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3.xml" ContentType="application/vnd.openxmlformats-officedocument.spreadsheetml.comments+xml"/>
  <Override PartName="/xl/threadedComments/threadedComment1.xml" ContentType="application/vnd.ms-excel.threaded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aveExternalLinkValues="0" codeName="ThisWorkbook"/>
  <mc:AlternateContent xmlns:mc="http://schemas.openxmlformats.org/markup-compatibility/2006">
    <mc:Choice Requires="x15">
      <x15ac:absPath xmlns:x15ac="http://schemas.microsoft.com/office/spreadsheetml/2010/11/ac" url="https://coloradohousin.sharepoint.com/teams/CHFATeamCenter/TC - Templates/Preapplication Documents/Application Documents/(ADMIN) Application in Progress/"/>
    </mc:Choice>
  </mc:AlternateContent>
  <xr:revisionPtr revIDLastSave="16" documentId="8_{C7861C98-5435-4F8C-8405-1F6EB931C4D2}" xr6:coauthVersionLast="47" xr6:coauthVersionMax="47" xr10:uidLastSave="{F3B610FB-C282-4E27-87D3-B0BE2012B75F}"/>
  <workbookProtection workbookAlgorithmName="SHA-512" workbookHashValue="HFzm/gI48jNRVlG1Mf57out0iqwHtcIDfYMzUWdVr9eoLWr2Q+SU67bCub6c2P5WRfdIail9IZGF5zqH0Wf7Gg==" workbookSaltValue="NBle8zFQAM2pq/qQOW/Geg==" workbookSpinCount="100000" lockStructure="1"/>
  <bookViews>
    <workbookView xWindow="-120" yWindow="-120" windowWidth="29040" windowHeight="15840" tabRatio="905" xr2:uid="{00000000-000D-0000-FFFF-FFFF00000000}"/>
  </bookViews>
  <sheets>
    <sheet name="Application Instructions" sheetId="1" r:id="rId1"/>
    <sheet name="Data Issues" sheetId="21" r:id="rId2"/>
    <sheet name="Contact Information" sheetId="46" r:id="rId3"/>
    <sheet name="Application" sheetId="2" r:id="rId4"/>
    <sheet name="Unit Mix &amp; Rents" sheetId="13" r:id="rId5"/>
    <sheet name="Financing" sheetId="6" r:id="rId6"/>
    <sheet name="Development Budget" sheetId="10" r:id="rId7"/>
    <sheet name="Commercial Budget" sheetId="11" r:id="rId8"/>
    <sheet name="Scoring" sheetId="14" r:id="rId9"/>
    <sheet name="Proforma, Income &amp; Expense" sheetId="12" r:id="rId10"/>
    <sheet name="Amenities" sheetId="20" r:id="rId11"/>
    <sheet name="Cost Summary" sheetId="9" r:id="rId12"/>
    <sheet name="Final Building Profile" sheetId="16" r:id="rId13"/>
    <sheet name="Contact Summary" sheetId="7" r:id="rId14"/>
    <sheet name="Tax Credit Details" sheetId="25" r:id="rId15"/>
    <sheet name="Tax Credit Summary" sheetId="24" r:id="rId16"/>
    <sheet name="Budget Output" sheetId="30" r:id="rId17"/>
    <sheet name="Development_Budget" sheetId="41" r:id="rId18"/>
    <sheet name="Income+Expense" sheetId="42" r:id="rId19"/>
    <sheet name="Financing DOH" sheetId="43" r:id="rId20"/>
    <sheet name="Rent &amp; Income Limits" sheetId="15" r:id="rId21"/>
    <sheet name="Final Totals" sheetId="34" r:id="rId22"/>
    <sheet name=" Stress Test &amp; Attachments" sheetId="32" r:id="rId23"/>
    <sheet name="Prolink" sheetId="5" state="hidden" r:id="rId24"/>
    <sheet name="Calculations" sheetId="3" r:id="rId25"/>
    <sheet name="Admin" sheetId="19" state="hidden" r:id="rId26"/>
    <sheet name="Validation" sheetId="44" state="hidden" r:id="rId27"/>
    <sheet name="Lookup" sheetId="8" state="hidden" r:id="rId28"/>
    <sheet name="SD_Dropdowns" sheetId="48" state="veryHidden" r:id="rId29"/>
  </sheets>
  <externalReferences>
    <externalReference r:id="rId30"/>
    <externalReference r:id="rId31"/>
    <externalReference r:id="rId32"/>
  </externalReferences>
  <definedNames>
    <definedName name="_xlnm._FilterDatabase" localSheetId="24" hidden="1">Calculations!$I$4248:$AB$4403</definedName>
    <definedName name="_xlnm._FilterDatabase" localSheetId="27" hidden="1">Lookup!$A$203:$A$203</definedName>
    <definedName name="Application_Stage_List" localSheetId="17">[1]!Application_Stage_Table[Application Stage]</definedName>
    <definedName name="Application_Stage_List">Application_Stage_Table[Application Stage]</definedName>
    <definedName name="Approval_List" localSheetId="17">[1]!Approval_Table[Approval]</definedName>
    <definedName name="Approval_List">Approval_Table[Approval]</definedName>
    <definedName name="Bond_Placement_List" localSheetId="17">[1]!Bond_Placement_Table[Bond Placement]</definedName>
    <definedName name="Bond_Placement_List">Bond_Placement_Table[Bond Placement]</definedName>
    <definedName name="Building_Construction_List" localSheetId="17">[1]!Building_Construction_Table[Building Construction]</definedName>
    <definedName name="Building_Construction_List">Building_Construction_Table[Building Construction]</definedName>
    <definedName name="Building_Type_List" localSheetId="17">[1]!Building_Type_Table[Building Type]</definedName>
    <definedName name="Building_Type_List">Building_Type_Table[Building Type]</definedName>
    <definedName name="Cable_List" localSheetId="17">[1]!Cable_Table[Cable]</definedName>
    <definedName name="Cable_List">Cable_Table[Cable]</definedName>
    <definedName name="City_List" localSheetId="17">[1]!City_Table[City]</definedName>
    <definedName name="City_List">City_Table[City]</definedName>
    <definedName name="Determination_TC_Range">'Tax Credit Details'!$A$59</definedName>
    <definedName name="Developer_Additional_Question_List" localSheetId="17">[1]!Developer_Additional_Question_Table[Developer Additional Question]</definedName>
    <definedName name="Developer_Additional_Question_List">Developer_Additional_Question_Table[Developer Additional Question]</definedName>
    <definedName name="Drawings_Complete">Lookup!$E$45:$E$48</definedName>
    <definedName name="Drawings_Complete_List">Drawings_Complete</definedName>
    <definedName name="Entity_Type_List" localSheetId="17">[1]!Entity_Type_Table[Entity Type]</definedName>
    <definedName name="Entity_Type_List">Entity_Type_Table[Entity Type]</definedName>
    <definedName name="Extended_Low_Income_Use_List" localSheetId="17">[1]!Extended_Low_Income_Use_Table[Extended Low-Income Use]</definedName>
    <definedName name="Extended_Low_Income_Use_List">Extended_Low_Income_Use_Table[Extended Low-Income Use]</definedName>
    <definedName name="Historic_Rehabilitation_Tax_Credits_List" localSheetId="17">[1]!Historic_Rehabilitation_Tax_Credits_Table[Historic Rehabilitation Tax Credits]</definedName>
    <definedName name="Historic_Rehabilitation_Tax_Credits_List">Historic_Rehabilitation_Tax_Credits_Table[Historic Rehabilitation Tax Credits]</definedName>
    <definedName name="Income_Level_List" localSheetId="17">[1]!Income_Level_Table[Income Level]</definedName>
    <definedName name="Income_Level_List">Income_Level_Table[Income Level]</definedName>
    <definedName name="Jurisdiction_Title_List">Jurisdiction_Title_Table[Jurisdiction Title]</definedName>
    <definedName name="Legal_Status_List" localSheetId="17">[1]!Legal_Status_Table[Legal Status]</definedName>
    <definedName name="Legal_Status_List">Legal_Status_Table[Legal Status]</definedName>
    <definedName name="Number_of_beds_per_room_List" localSheetId="17">[1]!Number_of_beds_per_room_Table[Number of beds per room]</definedName>
    <definedName name="Number_of_beds_per_room_List">Number_of_beds_per_room_Table[Number of beds per room]</definedName>
    <definedName name="_xlnm.Print_Area" localSheetId="22">' Stress Test &amp; Attachments'!$A$1:$L$211</definedName>
    <definedName name="_xlnm.Print_Area" localSheetId="16">'Budget Output'!$A$1:$I$226</definedName>
    <definedName name="_xlnm.Print_Area" localSheetId="17">Development_Budget!$A$1:$I$92</definedName>
    <definedName name="_xlnm.Print_Area" localSheetId="19">'Financing DOH'!$A$1:$J$67</definedName>
    <definedName name="_xlnm.Print_Area" localSheetId="18">'Income+Expense'!$A$1:$M$65</definedName>
    <definedName name="_xlnm.Print_Area" localSheetId="14">'Tax Credit Details'!$A$1:$L$120</definedName>
    <definedName name="_xlnm.Print_Area" localSheetId="15">'Tax Credit Summary'!$A$1:$K$335</definedName>
    <definedName name="_xlnm.Print_Titles" localSheetId="22">' Stress Test &amp; Attachments'!$1:$7</definedName>
    <definedName name="_xlnm.Print_Titles" localSheetId="16">'Budget Output'!$3:$5</definedName>
    <definedName name="_xlnm.Print_Titles" localSheetId="14">'Tax Credit Details'!$1:$7</definedName>
    <definedName name="_xlnm.Print_Titles" localSheetId="15">'Tax Credit Summary'!$1:$12</definedName>
    <definedName name="Project_Type_List" localSheetId="17">[1]!Project_Type_Table[Project  Type]</definedName>
    <definedName name="Project_Type_List">Project_Type_Table[Project  Type]</definedName>
    <definedName name="Residential_Loan_Type_List" localSheetId="17">[1]!Residential_Loan_Type_Table[Residential Loan Type]</definedName>
    <definedName name="Residential_Loan_Type_List">Residential_Loan_Type_Table[Residential Loan Type]</definedName>
    <definedName name="Scoring_Details_Range">'Tax Credit Details'!$A$13</definedName>
    <definedName name="Scoring_Development_Location_List" localSheetId="17">[1]!Scoring_Development_Location_Table[Scoring Development Location]</definedName>
    <definedName name="Scoring_Threshold_List" localSheetId="17">[1]!Scoring_Threshold_Table[Scoring Threshold]</definedName>
    <definedName name="Scoring_Threshold_List">Scoring_Threshold_Table[Scoring Threshold]</definedName>
    <definedName name="Scoring_VeryLowIncome">Calculations!$K$45:$M$47</definedName>
    <definedName name="SD_2558x1_11_B_0" localSheetId="23" hidden="1">Prolink!$D$905</definedName>
    <definedName name="SD_2558x1_24_B_1" localSheetId="23" hidden="1">Prolink!$C$905</definedName>
    <definedName name="SD_2558x2_11_B_0" localSheetId="23" hidden="1">Prolink!$D$906</definedName>
    <definedName name="SD_2558x2_24_B_1" localSheetId="23" hidden="1">Prolink!$C$906</definedName>
    <definedName name="SD_2558x3_11_B_0" localSheetId="23" hidden="1">Prolink!$D$907</definedName>
    <definedName name="SD_2558x3_24_B_1" localSheetId="23" hidden="1">Prolink!$C$907</definedName>
    <definedName name="SD_2558x4_11_B_0" localSheetId="23" hidden="1">Prolink!$D$908</definedName>
    <definedName name="SD_2558x4_24_B_1" localSheetId="23" hidden="1">Prolink!$C$908</definedName>
    <definedName name="SD_2558x5_11_B_0" localSheetId="23" hidden="1">Prolink!$D$909</definedName>
    <definedName name="SD_2558x5_24_B_1" localSheetId="23" hidden="1">Prolink!$C$909</definedName>
    <definedName name="SD_2558x6_11_B_0" localSheetId="23" hidden="1">Prolink!$D$910</definedName>
    <definedName name="SD_2558x6_24_B_1" localSheetId="23" hidden="1">Prolink!$C$910</definedName>
    <definedName name="SD_2558x7_11_B_0" localSheetId="23" hidden="1">Prolink!$D$911</definedName>
    <definedName name="SD_2558x7_24_B_1" localSheetId="23" hidden="1">Prolink!$C$911</definedName>
    <definedName name="SD_2558x8_11_B_0" localSheetId="23" hidden="1">Prolink!$D$912</definedName>
    <definedName name="SD_2558x8_24_B_1" localSheetId="23" hidden="1">Prolink!$C$912</definedName>
    <definedName name="SD_2558x9_11_B_0" localSheetId="23" hidden="1">Prolink!$D$913</definedName>
    <definedName name="SD_2558x9_24_B_1" localSheetId="23" hidden="1">Prolink!$C$913</definedName>
    <definedName name="SD_34x1_106_B_0" localSheetId="23" hidden="1">Prolink!$C$2</definedName>
    <definedName name="SD_34x1_109_B_0" localSheetId="23" hidden="1">Prolink!$C$3</definedName>
    <definedName name="SD_34x1_111_B_0" localSheetId="23" hidden="1">Prolink!$C$4</definedName>
    <definedName name="SD_34x1_112_B_0" localSheetId="23" hidden="1">Prolink!$C$5</definedName>
    <definedName name="SD_34x1_113_B_0" localSheetId="23" hidden="1">Prolink!$C$6</definedName>
    <definedName name="SD_34x1_114_B_0" localSheetId="23" hidden="1">Prolink!$C$148</definedName>
    <definedName name="SD_34x1_115_B_0" localSheetId="23" hidden="1">Prolink!$C$155</definedName>
    <definedName name="SD_34x1_117_B_0" localSheetId="23" hidden="1">Prolink!$C$154</definedName>
    <definedName name="SD_34x1_118_B_0" localSheetId="23" hidden="1">Prolink!$C$151</definedName>
    <definedName name="SD_34x1_119_B_0" localSheetId="23" hidden="1">Prolink!$C$152</definedName>
    <definedName name="SD_34x1_121_B_0" localSheetId="23" hidden="1">Prolink!$C$149</definedName>
    <definedName name="SD_34x1_123_B_0" localSheetId="23" hidden="1">Prolink!$C$147</definedName>
    <definedName name="SD_34x1_124_B_0" localSheetId="23" hidden="1">Prolink!$C$156</definedName>
    <definedName name="SD_34x1_127_B_0" localSheetId="23" hidden="1">Prolink!$C$160</definedName>
    <definedName name="SD_34x1_128_B_0" localSheetId="23" hidden="1">Prolink!$C$161</definedName>
    <definedName name="SD_34x1_129_B_0" localSheetId="23" hidden="1">Prolink!$C$162</definedName>
    <definedName name="SD_34x1_130_B_0" localSheetId="23" hidden="1">Prolink!$C$164</definedName>
    <definedName name="SD_34x1_131_B_0" localSheetId="23" hidden="1">Prolink!$C$163</definedName>
    <definedName name="SD_34x1_135_B_0" localSheetId="23" hidden="1">Prolink!$C$173</definedName>
    <definedName name="SD_34x1_136_B_0" localSheetId="23" hidden="1">Prolink!$C$165</definedName>
    <definedName name="SD_34x1_137_B_0" localSheetId="23" hidden="1">Prolink!$C$166</definedName>
    <definedName name="SD_34x1_140_B_0" localSheetId="23" hidden="1">Prolink!$C$174</definedName>
    <definedName name="SD_34x1_141_B_0" localSheetId="23" hidden="1">Prolink!$C$176</definedName>
    <definedName name="SD_34x1_142_B_0" localSheetId="23" hidden="1">Prolink!$C$177</definedName>
    <definedName name="SD_34x1_143_B_0" localSheetId="23" hidden="1">Prolink!$C$175</definedName>
    <definedName name="SD_34x1_144_B_0" localSheetId="23" hidden="1">Prolink!$C$172</definedName>
    <definedName name="SD_34x1_147_B_0" localSheetId="23" hidden="1">Prolink!$C$180</definedName>
    <definedName name="SD_34x1_148_B_0" localSheetId="23" hidden="1">Prolink!$C$179</definedName>
    <definedName name="SD_34x1_151_B_0" localSheetId="23" hidden="1">Prolink!$C$184</definedName>
    <definedName name="SD_34x1_152_B_0" localSheetId="23" hidden="1">Prolink!$C$188</definedName>
    <definedName name="SD_34x1_153_B_0" localSheetId="23" hidden="1">Prolink!$C$186</definedName>
    <definedName name="SD_34x1_154_B_0" localSheetId="23" hidden="1">Prolink!$C$187</definedName>
    <definedName name="SD_34x1_159_B_0" localSheetId="23" hidden="1">Prolink!$C$440</definedName>
    <definedName name="SD_34x1_165_B_0" localSheetId="23" hidden="1">Prolink!$C$267</definedName>
    <definedName name="SD_34x1_166_B_0" localSheetId="23" hidden="1">Prolink!$C$265</definedName>
    <definedName name="SD_34x1_171_B_0" localSheetId="23" hidden="1">Prolink!$C$266</definedName>
    <definedName name="SD_34x1_174_B_0" localSheetId="23" hidden="1">Prolink!$C$268</definedName>
    <definedName name="SD_34x1_176_B_0" localSheetId="23" hidden="1">Prolink!$C$203</definedName>
    <definedName name="SD_34x1_178_B_0" localSheetId="23" hidden="1">Prolink!$C$204</definedName>
    <definedName name="SD_34x1_179_B_0" localSheetId="23" hidden="1">Prolink!$C$581</definedName>
    <definedName name="SD_34x1_181_B_0" localSheetId="23" hidden="1">Prolink!$C$206</definedName>
    <definedName name="SD_34x1_186_B_0" localSheetId="23" hidden="1">Prolink!$C$207</definedName>
    <definedName name="SD_34x1_188_B_0" localSheetId="23" hidden="1">Prolink!$C$232</definedName>
    <definedName name="SD_34x1_200_B_0" localSheetId="23" hidden="1">Prolink!$C$247</definedName>
    <definedName name="SD_34x1_208_B_0" localSheetId="23" hidden="1">Prolink!$C$248</definedName>
    <definedName name="SD_34x1_21_B_0" localSheetId="23" hidden="1">Prolink!$C$234</definedName>
    <definedName name="SD_34x1_214_B_0" localSheetId="23" hidden="1">Prolink!$C$245</definedName>
    <definedName name="SD_34x1_218_B_0" localSheetId="23" hidden="1">Prolink!$C$246</definedName>
    <definedName name="SD_34x1_223_B_0" localSheetId="23" hidden="1">Prolink!$C$249</definedName>
    <definedName name="SD_34x1_23_B_0" localSheetId="23" hidden="1">Prolink!$C$235</definedName>
    <definedName name="SD_34x1_24_B_0" localSheetId="23" hidden="1">Prolink!$C$237</definedName>
    <definedName name="SD_34x1_26_B_0" localSheetId="23" hidden="1">Prolink!$C$238</definedName>
    <definedName name="SD_34x1_27_B_0" localSheetId="23" hidden="1">Prolink!$C$294</definedName>
    <definedName name="SD_34x1_28_B_0" localSheetId="23" hidden="1">Prolink!$C$295</definedName>
    <definedName name="SD_34x1_32_B_0" localSheetId="23" hidden="1">Prolink!$C$239</definedName>
    <definedName name="SD_34x1_337_B_1" localSheetId="23" hidden="1">Prolink!$C$236</definedName>
    <definedName name="SD_34x1_339_B_1" localSheetId="23" hidden="1">Prolink!$C$242</definedName>
    <definedName name="SD_34x1_34_B_0" localSheetId="23" hidden="1">Prolink!$C$240</definedName>
    <definedName name="SD_34x1_343_B_1" localSheetId="23" hidden="1">Prolink!$C$298</definedName>
    <definedName name="SD_34x1_347_B_1" localSheetId="23" hidden="1">Prolink!$C$304</definedName>
    <definedName name="SD_34x1_349_B_1" localSheetId="23" hidden="1">Prolink!$C$510</definedName>
    <definedName name="SD_34x1_35_B_0" localSheetId="23" hidden="1">Prolink!$C$241</definedName>
    <definedName name="SD_34x1_350_B_1" localSheetId="23" hidden="1">Prolink!$C$300</definedName>
    <definedName name="SD_34x1_363_B_1" localSheetId="23" hidden="1">Prolink!$C$301</definedName>
    <definedName name="SD_34x1_38_B_0" localSheetId="23" hidden="1">Prolink!$C$208</definedName>
    <definedName name="SD_34x1_39_B_0" localSheetId="23" hidden="1">Prolink!$C$209</definedName>
    <definedName name="SD_34x1_40_B_0" localSheetId="23" hidden="1">Prolink!$C$250</definedName>
    <definedName name="SD_34x1_42x1_10_B_0" localSheetId="23" hidden="1">Prolink!$C$350</definedName>
    <definedName name="SD_34x1_42x1_12_B_0" localSheetId="23" hidden="1">Prolink!$C$345</definedName>
    <definedName name="SD_34x1_42x1_15_B_0" localSheetId="23" hidden="1">Prolink!$C$352</definedName>
    <definedName name="SD_34x1_42x1_16_B_0" localSheetId="23" hidden="1">Prolink!$C$353</definedName>
    <definedName name="SD_34x1_42x1_17_B_0" localSheetId="23" hidden="1">Prolink!$C$354</definedName>
    <definedName name="SD_34x1_42x1_18_B_0" localSheetId="23" hidden="1">Prolink!$C$378</definedName>
    <definedName name="SD_34x1_42x1_21_B_0" localSheetId="23" hidden="1">Prolink!$C$358</definedName>
    <definedName name="SD_34x1_42x1_22_B_0" localSheetId="23" hidden="1">Prolink!$C$362</definedName>
    <definedName name="SD_34x1_42x1_23_B_0" localSheetId="23" hidden="1">Prolink!$C$363</definedName>
    <definedName name="SD_34x1_42x1_24_B_0" localSheetId="23" hidden="1">Prolink!$C$381</definedName>
    <definedName name="SD_34x1_42x1_25_B_0" localSheetId="23" hidden="1">Prolink!$C$410</definedName>
    <definedName name="SD_34x1_42x1_26_B_0" localSheetId="23" hidden="1">Prolink!$C$380</definedName>
    <definedName name="SD_34x1_42x1_27_B_0" localSheetId="23" hidden="1">Prolink!$C$379</definedName>
    <definedName name="SD_34x1_42x1_28_B_0" localSheetId="23" hidden="1">Prolink!$C$388</definedName>
    <definedName name="SD_34x1_42x1_29_B_0" localSheetId="23" hidden="1">Prolink!$C$376</definedName>
    <definedName name="SD_34x1_42x1_30_B_0" localSheetId="23" hidden="1">Prolink!$C$417</definedName>
    <definedName name="SD_34x1_42x1_31_B_0" localSheetId="23" hidden="1">Prolink!$C$400</definedName>
    <definedName name="SD_34x1_42x1_32_B_0" localSheetId="23" hidden="1">Prolink!$C$369</definedName>
    <definedName name="SD_34x1_42x1_33_B_0" localSheetId="23" hidden="1">Prolink!$C$398</definedName>
    <definedName name="SD_34x1_42x1_34_B_0" localSheetId="23" hidden="1">Prolink!$C$387</definedName>
    <definedName name="SD_34x1_42x1_35_B_0" localSheetId="23" hidden="1">Prolink!$C$399</definedName>
    <definedName name="SD_34x1_42x1_37_B_0" localSheetId="23" hidden="1">Prolink!$C$413</definedName>
    <definedName name="SD_34x1_42x1_38_B_0" localSheetId="23" hidden="1">Prolink!$C$365</definedName>
    <definedName name="SD_34x1_42x1_39_B_0" localSheetId="23" hidden="1">Prolink!$C$411</definedName>
    <definedName name="SD_34x1_42x1_40_B_0" localSheetId="23" hidden="1">Prolink!$C$412</definedName>
    <definedName name="SD_34x1_42x1_41_B_0" localSheetId="23" hidden="1">Prolink!$C$439</definedName>
    <definedName name="SD_34x1_42x1_42_B_0" localSheetId="23" hidden="1">Prolink!$C$415</definedName>
    <definedName name="SD_34x1_42x1_43_B_0" localSheetId="23" hidden="1">Prolink!$C$355</definedName>
    <definedName name="SD_34x1_42x1_44_B_0" localSheetId="23" hidden="1">Prolink!$C$431</definedName>
    <definedName name="SD_34x1_42x1_45_B_0" localSheetId="23" hidden="1">Prolink!$C$343</definedName>
    <definedName name="SD_34x1_42x1_46_B_0" localSheetId="23" hidden="1">Prolink!$C$344</definedName>
    <definedName name="SD_34x1_42x1_5_B_0" localSheetId="23" hidden="1">Prolink!$C$347</definedName>
    <definedName name="SD_34x1_42x1_6_B_0" localSheetId="23" hidden="1">Prolink!$C$346</definedName>
    <definedName name="SD_34x1_42x1_8_B_0" localSheetId="23" hidden="1">Prolink!$C$348</definedName>
    <definedName name="SD_34x1_42x1_82_B_0" localSheetId="23" hidden="1">Prolink!$C$351</definedName>
    <definedName name="SD_34x1_42x1_88_B_0" localSheetId="23" hidden="1">Prolink!$C$364</definedName>
    <definedName name="SD_34x1_42x1_89_B_0" localSheetId="23" hidden="1">Prolink!$C$366</definedName>
    <definedName name="SD_34x1_42x1_9_B_0" localSheetId="23" hidden="1">Prolink!$C$349</definedName>
    <definedName name="SD_34x1_42x1_92_B_0" localSheetId="23" hidden="1">Prolink!$C$357</definedName>
    <definedName name="SD_34x1_42x1_93_B_0" localSheetId="23" hidden="1">Prolink!$C$383</definedName>
    <definedName name="SD_34x1_42x1_94_B_0" localSheetId="23" hidden="1">Prolink!$C$384</definedName>
    <definedName name="SD_34x1_42x1_95_B_0" localSheetId="23" hidden="1">Prolink!$C$391</definedName>
    <definedName name="SD_34x1_4467x1_17_B_1" localSheetId="23" hidden="1">Prolink!$D$923</definedName>
    <definedName name="SD_34x1_4467x1_19_B_0" localSheetId="23" hidden="1">Prolink!$C$923</definedName>
    <definedName name="SD_34x1_4467x2_17_B_1" localSheetId="23" hidden="1">Prolink!$D$924</definedName>
    <definedName name="SD_34x1_4467x2_19_B_0" localSheetId="23" hidden="1">Prolink!$C$924</definedName>
    <definedName name="SD_34x1_4467x3_17_B_1" localSheetId="23" hidden="1">Prolink!$D$925</definedName>
    <definedName name="SD_34x1_4467x3_19_B_0" localSheetId="23" hidden="1">Prolink!$C$925</definedName>
    <definedName name="SD_34x1_4467x4_17_B_1" localSheetId="23" hidden="1">Prolink!$D$926</definedName>
    <definedName name="SD_34x1_4467x4_19_B_0" localSheetId="23" hidden="1">Prolink!$C$926</definedName>
    <definedName name="SD_34x1_4467x5_17_B_1" localSheetId="23" hidden="1">Prolink!$D$927</definedName>
    <definedName name="SD_34x1_4467x5_19_B_0" localSheetId="23" hidden="1">Prolink!$C$927</definedName>
    <definedName name="SD_34x1_4467x6_17_B_1" localSheetId="23" hidden="1">Prolink!$D$928</definedName>
    <definedName name="SD_34x1_4467x6_19_B_0" localSheetId="23" hidden="1">Prolink!$C$928</definedName>
    <definedName name="SD_34x1_45_B_0" localSheetId="23" hidden="1">Prolink!$C$462</definedName>
    <definedName name="SD_34x1_46_B_0" localSheetId="23" hidden="1">Prolink!$C$463</definedName>
    <definedName name="SD_34x1_464_B_0" localSheetId="23" hidden="1">Prolink!$C$491</definedName>
    <definedName name="SD_34x1_467_B_0" localSheetId="23" hidden="1">Prolink!$C$553</definedName>
    <definedName name="SD_34x1_468_B_0" localSheetId="23" hidden="1">Prolink!$C$554</definedName>
    <definedName name="SD_34x1_47_B_0" localSheetId="23" hidden="1">Prolink!$C$567</definedName>
    <definedName name="SD_34x1_470_B_0" localSheetId="23" hidden="1">Prolink!$C$555</definedName>
    <definedName name="SD_34x1_471_B_0" localSheetId="23" hidden="1">Prolink!$C$556</definedName>
    <definedName name="SD_34x1_472_B_0" localSheetId="23" hidden="1">Prolink!$C$557</definedName>
    <definedName name="SD_34x1_474_B_0" localSheetId="23" hidden="1">Prolink!$C$559</definedName>
    <definedName name="SD_34x1_475_B_0" localSheetId="23" hidden="1">Prolink!$C$560</definedName>
    <definedName name="SD_34x1_476_B_0" localSheetId="23" hidden="1">Prolink!$C$561</definedName>
    <definedName name="SD_34x1_478_B_0" localSheetId="23" hidden="1">Prolink!$C$562</definedName>
    <definedName name="SD_34x1_479_B_0" localSheetId="23" hidden="1">Prolink!$C$576</definedName>
    <definedName name="SD_34x1_480_B_0" localSheetId="23" hidden="1">Prolink!$C$577</definedName>
    <definedName name="SD_34x1_482_B_0" localSheetId="23" hidden="1">Prolink!$C$574</definedName>
    <definedName name="SD_34x1_483_B_0" localSheetId="23" hidden="1">Prolink!$C$575</definedName>
    <definedName name="SD_34x1_485_B_0" localSheetId="23" hidden="1">Prolink!$C$570</definedName>
    <definedName name="SD_34x1_486_B_0" localSheetId="23" hidden="1">Prolink!$C$571</definedName>
    <definedName name="SD_34x1_488_B_0" localSheetId="23" hidden="1">Prolink!$C$568</definedName>
    <definedName name="SD_34x1_489_B_0" localSheetId="23" hidden="1">Prolink!$C$569</definedName>
    <definedName name="SD_34x1_491_B_0" localSheetId="23" hidden="1">Prolink!$C$578</definedName>
    <definedName name="SD_34x1_492_B_0" localSheetId="23" hidden="1">Prolink!$C$579</definedName>
    <definedName name="SD_34x1_494_B_0" localSheetId="23" hidden="1">Prolink!$C$580</definedName>
    <definedName name="SD_34x1_50_B_0" localSheetId="23" hidden="1">Prolink!$C$492</definedName>
    <definedName name="SD_34x1_507_B_0" localSheetId="23" hidden="1">Prolink!$C$494</definedName>
    <definedName name="SD_34x1_508_B_0" localSheetId="23" hidden="1">Prolink!$C$495</definedName>
    <definedName name="SD_34x1_509_B_0" localSheetId="23" hidden="1">Prolink!$C$496</definedName>
    <definedName name="SD_34x1_51_B_0" localSheetId="23" hidden="1">Prolink!$C$508</definedName>
    <definedName name="SD_34x1_510_B_0" localSheetId="23" hidden="1">Prolink!$C$497</definedName>
    <definedName name="SD_34x1_5103x1_1042_B_0" localSheetId="23" hidden="1">Prolink!$C$744</definedName>
    <definedName name="SD_34x1_5103x1_1043_B_0" localSheetId="23" hidden="1">Prolink!$C$745</definedName>
    <definedName name="SD_34x1_5103x1_1044_B_0" localSheetId="23" hidden="1">Prolink!$C$752</definedName>
    <definedName name="SD_34x1_5103x1_1045_B_0" localSheetId="23" hidden="1">Prolink!$C$753</definedName>
    <definedName name="SD_34x1_5103x1_1046_B_0" localSheetId="23" hidden="1">Prolink!$C$755</definedName>
    <definedName name="SD_34x1_5103x1_1048_B_0" localSheetId="23" hidden="1">Prolink!$C$765</definedName>
    <definedName name="SD_34x1_5103x1_1106_B_0" localSheetId="23" hidden="1">Prolink!$C$270</definedName>
    <definedName name="SD_34x1_5103x1_1107_B_0" localSheetId="23" hidden="1">Prolink!$C$271</definedName>
    <definedName name="SD_34x1_5103x1_1108_B_0" localSheetId="23" hidden="1">Prolink!$C$272</definedName>
    <definedName name="SD_34x1_5103x1_1109_B_0" localSheetId="23" hidden="1">Prolink!$C$273</definedName>
    <definedName name="SD_34x1_5103x1_111_B_0" localSheetId="23" hidden="1">Prolink!$C$214</definedName>
    <definedName name="SD_34x1_5103x1_1110_B_0" localSheetId="23" hidden="1">Prolink!$C$286</definedName>
    <definedName name="SD_34x1_5103x1_1111_B_0" localSheetId="23" hidden="1">Prolink!$C$287</definedName>
    <definedName name="SD_34x1_5103x1_1112_B_0" localSheetId="23" hidden="1">Prolink!$C$288</definedName>
    <definedName name="SD_34x1_5103x1_1113_B_0" localSheetId="23" hidden="1">Prolink!$C$289</definedName>
    <definedName name="SD_34x1_5103x1_1114_B_0" localSheetId="23" hidden="1">Prolink!$C$564</definedName>
    <definedName name="SD_34x1_5103x1_1115_B_0" localSheetId="23" hidden="1">Prolink!$C$589</definedName>
    <definedName name="SD_34x1_5103x1_1116_B_0" localSheetId="23" hidden="1">Prolink!$C$597</definedName>
    <definedName name="SD_34x1_5103x1_1118_B_0" localSheetId="23" hidden="1">Prolink!$C$620</definedName>
    <definedName name="SD_34x1_5103x1_1119_B_0" localSheetId="23" hidden="1">Prolink!$C$691</definedName>
    <definedName name="SD_34x1_5103x1_112_B_0" localSheetId="23" hidden="1">Prolink!$C$215</definedName>
    <definedName name="SD_34x1_5103x1_1120_B_0" localSheetId="23" hidden="1">Prolink!$D$1387</definedName>
    <definedName name="SD_34x1_5103x1_1121_B_0" localSheetId="23" hidden="1">Prolink!$D$1388</definedName>
    <definedName name="SD_34x1_5103x1_1122_B_0" localSheetId="23" hidden="1">Prolink!$D$1389</definedName>
    <definedName name="SD_34x1_5103x1_1123_B_0" localSheetId="23" hidden="1">Prolink!$D$1401</definedName>
    <definedName name="SD_34x1_5103x1_1124_B_0" localSheetId="23" hidden="1">Prolink!$D$1402</definedName>
    <definedName name="SD_34x1_5103x1_1125_B_0" localSheetId="23" hidden="1">Prolink!$D$1403</definedName>
    <definedName name="SD_34x1_5103x1_1126_B_0" localSheetId="23" hidden="1">Prolink!$D$1404</definedName>
    <definedName name="SD_34x1_5103x1_1127_B_0" localSheetId="23" hidden="1">Prolink!$D$1405</definedName>
    <definedName name="SD_34x1_5103x1_1128_B_0" localSheetId="23" hidden="1">Prolink!$D$1429</definedName>
    <definedName name="SD_34x1_5103x1_1129_B_0" localSheetId="23" hidden="1">Prolink!$D$1430</definedName>
    <definedName name="SD_34x1_5103x1_1130_B_0" localSheetId="23" hidden="1">Prolink!$D$1431</definedName>
    <definedName name="SD_34x1_5103x1_1131_B_0" localSheetId="23" hidden="1">Prolink!$D$1450</definedName>
    <definedName name="SD_34x1_5103x1_1132_B_0" localSheetId="23" hidden="1">Prolink!$D$1449</definedName>
    <definedName name="SD_34x1_5103x1_1133_B_0" localSheetId="23" hidden="1">Prolink!$D$1457</definedName>
    <definedName name="SD_34x1_5103x1_1134_B_0" localSheetId="23" hidden="1">Prolink!$D$1458</definedName>
    <definedName name="SD_34x1_5103x1_1135_B_0" localSheetId="23" hidden="1">Prolink!$D$1432</definedName>
    <definedName name="SD_34x1_5103x1_114_B_0" localSheetId="23" hidden="1">Prolink!$C$218</definedName>
    <definedName name="SD_34x1_5103x1_115_B_0" localSheetId="23" hidden="1">Prolink!$C$219</definedName>
    <definedName name="SD_34x1_5103x1_1156_B_0" localSheetId="23" hidden="1">Prolink!$C$311</definedName>
    <definedName name="SD_34x1_5103x1_1157_B_0" localSheetId="23" hidden="1">Prolink!$C$312</definedName>
    <definedName name="SD_34x1_5103x1_1158_B_0" localSheetId="23" hidden="1">Prolink!$C$390</definedName>
    <definedName name="SD_34x1_5103x1_1159_B_0" localSheetId="23" hidden="1">Prolink!$D$1438</definedName>
    <definedName name="SD_34x1_5103x1_116_B_0" localSheetId="23" hidden="1">Prolink!$C$251</definedName>
    <definedName name="SD_34x1_5103x1_1160_B_0" localSheetId="23" hidden="1">Prolink!$D$1439</definedName>
    <definedName name="SD_34x1_5103x1_1161_B_1" localSheetId="23" hidden="1">Prolink!$C$758</definedName>
    <definedName name="SD_34x1_5103x1_117_B_0" localSheetId="23" hidden="1">Prolink!$C$252</definedName>
    <definedName name="SD_34x1_5103x1_118_B_0" localSheetId="23" hidden="1">Prolink!$C$269</definedName>
    <definedName name="SD_34x1_5103x1_119_B_0" localSheetId="23" hidden="1">Prolink!$C$279</definedName>
    <definedName name="SD_34x1_5103x1_1194_S_0" localSheetId="23" hidden="1">Prolink!$C$762</definedName>
    <definedName name="SD_34x1_5103x1_1195_S_0" localSheetId="23" hidden="1">Prolink!$C$760</definedName>
    <definedName name="SD_34x1_5103x1_1196_S_0" localSheetId="23" hidden="1">Prolink!$C$761</definedName>
    <definedName name="SD_34x1_5103x1_120_B_0" localSheetId="23" hidden="1">Prolink!$C$274</definedName>
    <definedName name="SD_34x1_5103x1_121_B_0" localSheetId="23" hidden="1">Prolink!$C$280</definedName>
    <definedName name="SD_34x1_5103x1_123_B_0" localSheetId="23" hidden="1">Prolink!$C$283</definedName>
    <definedName name="SD_34x1_5103x1_124_B_0" localSheetId="23" hidden="1">Prolink!$C$284</definedName>
    <definedName name="SD_34x1_5103x1_125_B_0" localSheetId="23" hidden="1">Prolink!#REF!</definedName>
    <definedName name="SD_34x1_5103x1_127_B_0" localSheetId="23" hidden="1">Prolink!$C$305</definedName>
    <definedName name="SD_34x1_5103x1_128_B_0" localSheetId="23" hidden="1">Prolink!$C$306</definedName>
    <definedName name="SD_34x1_5103x1_129_B_0" localSheetId="23" hidden="1">Prolink!$C$307</definedName>
    <definedName name="SD_34x1_5103x1_130_B_0" localSheetId="23" hidden="1">Prolink!$C$308</definedName>
    <definedName name="SD_34x1_5103x1_131_B_0" localSheetId="23" hidden="1">Prolink!$C$356</definedName>
    <definedName name="SD_34x1_5103x1_132_B_0" localSheetId="23" hidden="1">Prolink!$C$359</definedName>
    <definedName name="SD_34x1_5103x1_133_B_0" localSheetId="23" hidden="1">Prolink!$C$360</definedName>
    <definedName name="SD_34x1_5103x1_134_B_0" localSheetId="23" hidden="1">Prolink!$C$361</definedName>
    <definedName name="SD_34x1_5103x1_135_B_0" localSheetId="23" hidden="1">Prolink!$C$367</definedName>
    <definedName name="SD_34x1_5103x1_136_B_0" localSheetId="23" hidden="1">Prolink!$C$368</definedName>
    <definedName name="SD_34x1_5103x1_137_B_0" localSheetId="23" hidden="1">Prolink!$C$370</definedName>
    <definedName name="SD_34x1_5103x1_138_B_0" localSheetId="23" hidden="1">Prolink!$C$371</definedName>
    <definedName name="SD_34x1_5103x1_139_B_0" localSheetId="23" hidden="1">Prolink!$C$372</definedName>
    <definedName name="SD_34x1_5103x1_140_B_0" localSheetId="23" hidden="1">Prolink!$C$373</definedName>
    <definedName name="SD_34x1_5103x1_141_B_0" localSheetId="23" hidden="1">Prolink!$C$374</definedName>
    <definedName name="SD_34x1_5103x1_142_B_0" localSheetId="23" hidden="1">Prolink!$C$375</definedName>
    <definedName name="SD_34x1_5103x1_143_B_0" localSheetId="23" hidden="1">Prolink!$C$377</definedName>
    <definedName name="SD_34x1_5103x1_144_B_0" localSheetId="23" hidden="1">Prolink!$C$382</definedName>
    <definedName name="SD_34x1_5103x1_145_B_0" localSheetId="23" hidden="1">Prolink!$C$385</definedName>
    <definedName name="SD_34x1_5103x1_146_B_0" localSheetId="23" hidden="1">Prolink!$C$386</definedName>
    <definedName name="SD_34x1_5103x1_148_B_0" localSheetId="23" hidden="1">Prolink!$C$389</definedName>
    <definedName name="SD_34x1_5103x1_150_B_0" localSheetId="23" hidden="1">Prolink!$C$392</definedName>
    <definedName name="SD_34x1_5103x1_151_B_0" localSheetId="23" hidden="1">Prolink!$C$393</definedName>
    <definedName name="SD_34x1_5103x1_152_B_0" localSheetId="23" hidden="1">Prolink!$C$394</definedName>
    <definedName name="SD_34x1_5103x1_153_B_0" localSheetId="23" hidden="1">Prolink!$C$395</definedName>
    <definedName name="SD_34x1_5103x1_154_B_0" localSheetId="23" hidden="1">Prolink!$C$396</definedName>
    <definedName name="SD_34x1_5103x1_155_B_0" localSheetId="23" hidden="1">Prolink!$C$397</definedName>
    <definedName name="SD_34x1_5103x1_156_B_0" localSheetId="23" hidden="1">Prolink!$C$401</definedName>
    <definedName name="SD_34x1_5103x1_157_B_0" localSheetId="23" hidden="1">Prolink!$C$402</definedName>
    <definedName name="SD_34x1_5103x1_158_B_0" localSheetId="23" hidden="1">Prolink!$C$403</definedName>
    <definedName name="SD_34x1_5103x1_159_B_0" localSheetId="23" hidden="1">Prolink!$C$404</definedName>
    <definedName name="SD_34x1_5103x1_160_B_0" localSheetId="23" hidden="1">Prolink!$C$405</definedName>
    <definedName name="SD_34x1_5103x1_161_B_0" localSheetId="23" hidden="1">Prolink!$C$406</definedName>
    <definedName name="SD_34x1_5103x1_162_B_0" localSheetId="23" hidden="1">Prolink!$C$407</definedName>
    <definedName name="SD_34x1_5103x1_163_B_0" localSheetId="23" hidden="1">Prolink!$C$408</definedName>
    <definedName name="SD_34x1_5103x1_164_B_0" localSheetId="23" hidden="1">Prolink!$C$409</definedName>
    <definedName name="SD_34x1_5103x1_165_B_0" localSheetId="23" hidden="1">Prolink!$C$414</definedName>
    <definedName name="SD_34x1_5103x1_166_B_0" localSheetId="23" hidden="1">Prolink!$C$416</definedName>
    <definedName name="SD_34x1_5103x1_167_B_0" localSheetId="23" hidden="1">Prolink!$C$418</definedName>
    <definedName name="SD_34x1_5103x1_168_B_0" localSheetId="23" hidden="1">Prolink!$C$419</definedName>
    <definedName name="SD_34x1_5103x1_169_B_0" localSheetId="23" hidden="1">Prolink!$C$421</definedName>
    <definedName name="SD_34x1_5103x1_170_B_0" localSheetId="23" hidden="1">Prolink!$C$422</definedName>
    <definedName name="SD_34x1_5103x1_171_B_0" localSheetId="23" hidden="1">Prolink!$C$423</definedName>
    <definedName name="SD_34x1_5103x1_172_B_0" localSheetId="23" hidden="1">Prolink!$C$424</definedName>
    <definedName name="SD_34x1_5103x1_173_B_0" localSheetId="23" hidden="1">Prolink!$C$425</definedName>
    <definedName name="SD_34x1_5103x1_174_B_0" localSheetId="23" hidden="1">Prolink!$C$426</definedName>
    <definedName name="SD_34x1_5103x1_175_B_0" localSheetId="23" hidden="1">Prolink!$C$427</definedName>
    <definedName name="SD_34x1_5103x1_176_B_0" localSheetId="23" hidden="1">Prolink!$C$428</definedName>
    <definedName name="SD_34x1_5103x1_177_B_0" localSheetId="23" hidden="1">Prolink!$C$429</definedName>
    <definedName name="SD_34x1_5103x1_178_B_0" localSheetId="23" hidden="1">Prolink!$C$430</definedName>
    <definedName name="SD_34x1_5103x1_179_B_0" localSheetId="23" hidden="1">Prolink!$C$432</definedName>
    <definedName name="SD_34x1_5103x1_180_B_0" localSheetId="23" hidden="1">Prolink!$C$433</definedName>
    <definedName name="SD_34x1_5103x1_181_B_0" localSheetId="23" hidden="1">Prolink!$C$435</definedName>
    <definedName name="SD_34x1_5103x1_182_B_0" localSheetId="23" hidden="1">Prolink!$C$436</definedName>
    <definedName name="SD_34x1_5103x1_183_B_0" localSheetId="23" hidden="1">Prolink!$C$437</definedName>
    <definedName name="SD_34x1_5103x1_184_B_0" localSheetId="23" hidden="1">Prolink!$C$438</definedName>
    <definedName name="SD_34x1_5103x1_185_B_0" localSheetId="23" hidden="1">Prolink!$C$442</definedName>
    <definedName name="SD_34x1_5103x1_186_B_0" localSheetId="23" hidden="1">Prolink!$C$443</definedName>
    <definedName name="SD_34x1_5103x1_187_B_0" localSheetId="23" hidden="1">Prolink!$C$444</definedName>
    <definedName name="SD_34x1_5103x1_188_B_0" localSheetId="23" hidden="1">Prolink!$C$445</definedName>
    <definedName name="SD_34x1_5103x1_189_B_0" localSheetId="23" hidden="1">Prolink!$C$446</definedName>
    <definedName name="SD_34x1_5103x1_190_B_0" localSheetId="23" hidden="1">Prolink!$C$447</definedName>
    <definedName name="SD_34x1_5103x1_191_B_0" localSheetId="23" hidden="1">Prolink!$C$448</definedName>
    <definedName name="SD_34x1_5103x1_192_B_0" localSheetId="23" hidden="1">Prolink!$C$450</definedName>
    <definedName name="SD_34x1_5103x1_193_B_0" localSheetId="23" hidden="1">Prolink!$C$451</definedName>
    <definedName name="SD_34x1_5103x1_194_B_0" localSheetId="23" hidden="1">Prolink!$C$454</definedName>
    <definedName name="SD_34x1_5103x1_195_B_0" localSheetId="23" hidden="1">Prolink!$C$455</definedName>
    <definedName name="SD_34x1_5103x1_196_B_0" localSheetId="23" hidden="1">Prolink!$C$456</definedName>
    <definedName name="SD_34x1_5103x1_197_B_0" localSheetId="23" hidden="1">Prolink!$C$457</definedName>
    <definedName name="SD_34x1_5103x1_198_B_0" localSheetId="23" hidden="1">Prolink!$C$458</definedName>
    <definedName name="SD_34x1_5103x1_199_B_0" localSheetId="23" hidden="1">Prolink!$C$459</definedName>
    <definedName name="SD_34x1_5103x1_202_B_0" localSheetId="23" hidden="1">Prolink!$C$756</definedName>
    <definedName name="SD_34x1_5103x1_203_B_0" localSheetId="23" hidden="1">Prolink!$C$757</definedName>
    <definedName name="SD_34x1_5103x1_207_B_0" localSheetId="23" hidden="1">Prolink!$C$763</definedName>
    <definedName name="SD_34x1_5103x1_210_B_0" localSheetId="23" hidden="1">Prolink!$C$499</definedName>
    <definedName name="SD_34x1_5103x1_212_B_0" localSheetId="23" hidden="1">Prolink!$C$490</definedName>
    <definedName name="SD_34x1_5103x1_213_B_0" localSheetId="23" hidden="1">Prolink!$C$500</definedName>
    <definedName name="SD_34x1_5103x1_215_B_0" localSheetId="23" hidden="1">Prolink!$C$501</definedName>
    <definedName name="SD_34x1_5103x1_219_B_0" localSheetId="23" hidden="1">Prolink!$C$502</definedName>
    <definedName name="SD_34x1_5103x1_222_B_0" localSheetId="23" hidden="1">Prolink!$C$766</definedName>
    <definedName name="SD_34x1_5103x1_223_B_0" localSheetId="23" hidden="1">Prolink!$C$767</definedName>
    <definedName name="SD_34x1_5103x1_224_B_0" localSheetId="23" hidden="1">Prolink!$C$768</definedName>
    <definedName name="SD_34x1_5103x1_225_B_0" localSheetId="23" hidden="1">Prolink!$C$769</definedName>
    <definedName name="SD_34x1_5103x1_226_B_0" localSheetId="23" hidden="1">Prolink!$C$150</definedName>
    <definedName name="SD_34x1_5103x1_227_B_0" localSheetId="23" hidden="1">Prolink!$C$153</definedName>
    <definedName name="SD_34x1_5103x1_228_B_0" localSheetId="23" hidden="1">Prolink!$C$157</definedName>
    <definedName name="SD_34x1_5103x1_229_B_0" localSheetId="23" hidden="1">Prolink!$C$158</definedName>
    <definedName name="SD_34x1_5103x1_230_B_0" localSheetId="23" hidden="1">Prolink!$C$159</definedName>
    <definedName name="SD_34x1_5103x1_231_B_0" localSheetId="23" hidden="1">Prolink!$C$178</definedName>
    <definedName name="SD_34x1_5103x1_232_B_0" localSheetId="23" hidden="1">Prolink!$C$181</definedName>
    <definedName name="SD_34x1_5103x1_233_B_0" localSheetId="23" hidden="1">Prolink!$C$182</definedName>
    <definedName name="SD_34x1_5103x1_234_B_0" localSheetId="23" hidden="1">Prolink!$C$183</definedName>
    <definedName name="SD_34x1_5103x1_235_B_0" localSheetId="23" hidden="1">Prolink!$C$167</definedName>
    <definedName name="SD_34x1_5103x1_236_B_0" localSheetId="23" hidden="1">Prolink!$C$168</definedName>
    <definedName name="SD_34x1_5103x1_237_B_0" localSheetId="23" hidden="1">Prolink!$C$169</definedName>
    <definedName name="SD_34x1_5103x1_238_B_0" localSheetId="23" hidden="1">Prolink!$C$170</definedName>
    <definedName name="SD_34x1_5103x1_239_B_0" localSheetId="23" hidden="1">Prolink!$C$171</definedName>
    <definedName name="SD_34x1_5103x1_241_B_0" localSheetId="23" hidden="1">Prolink!$C$185</definedName>
    <definedName name="SD_34x1_5103x1_242_B_0" localSheetId="23" hidden="1">Prolink!$C$189</definedName>
    <definedName name="SD_34x1_5103x1_243_B_0" localSheetId="23" hidden="1">Prolink!$C$190</definedName>
    <definedName name="SD_34x1_5103x1_244_B_0" localSheetId="23" hidden="1">Prolink!$C$193</definedName>
    <definedName name="SD_34x1_5103x1_245_B_0" localSheetId="23" hidden="1">Prolink!$C$194</definedName>
    <definedName name="SD_34x1_5103x1_246_B_0" localSheetId="23" hidden="1">Prolink!$C$192</definedName>
    <definedName name="SD_34x1_5103x1_247_B_0" localSheetId="23" hidden="1">Prolink!$C$195</definedName>
    <definedName name="SD_34x1_5103x1_248_B_0" localSheetId="23" hidden="1">Prolink!$C$772</definedName>
    <definedName name="SD_34x1_5103x1_250_B_0" localSheetId="23" hidden="1">Prolink!$C$774</definedName>
    <definedName name="SD_34x1_5103x1_260_B_0" localSheetId="23" hidden="1">Prolink!$C$734</definedName>
    <definedName name="SD_34x1_5103x1_261_B_0" localSheetId="23" hidden="1">Prolink!$C$735</definedName>
    <definedName name="SD_34x1_5103x1_262_B_0" localSheetId="23" hidden="1">Prolink!$C$736</definedName>
    <definedName name="SD_34x1_5103x1_263_B_0" localSheetId="23" hidden="1">Prolink!$C$737</definedName>
    <definedName name="SD_34x1_5103x1_264_B_0" localSheetId="23" hidden="1">Prolink!$C$738</definedName>
    <definedName name="SD_34x1_5103x1_265_B_0" localSheetId="23" hidden="1">Prolink!$C$739</definedName>
    <definedName name="SD_34x1_5103x1_266_B_0" localSheetId="23" hidden="1">Prolink!$C$740</definedName>
    <definedName name="SD_34x1_5103x1_267_B_0" localSheetId="23" hidden="1">Prolink!$C$741</definedName>
    <definedName name="SD_34x1_5103x1_268_B_0" localSheetId="23" hidden="1">Prolink!$C$742</definedName>
    <definedName name="SD_34x1_5103x1_270_B_0" localSheetId="23" hidden="1">Prolink!$C$746</definedName>
    <definedName name="SD_34x1_5103x1_271_B_0" localSheetId="23" hidden="1">Prolink!$C$747</definedName>
    <definedName name="SD_34x1_5103x1_272_B_0" localSheetId="23" hidden="1">Prolink!$C$748</definedName>
    <definedName name="SD_34x1_5103x1_273_B_0" localSheetId="23" hidden="1">Prolink!$C$749</definedName>
    <definedName name="SD_34x1_5103x1_274_B_0" localSheetId="23" hidden="1">Prolink!$C$750</definedName>
    <definedName name="SD_34x1_5103x1_287_B_0" localSheetId="23" hidden="1">Prolink!$C$1073</definedName>
    <definedName name="SD_34x1_5103x1_288_B_0" localSheetId="23" hidden="1">Prolink!$C$1074</definedName>
    <definedName name="SD_34x1_5103x1_289_B_0" localSheetId="23" hidden="1">Prolink!$C$1075</definedName>
    <definedName name="SD_34x1_5103x1_290_B_0" localSheetId="23" hidden="1">Prolink!$C$1076</definedName>
    <definedName name="SD_34x1_5103x1_296_B_0" localSheetId="23" hidden="1">Prolink!$C$780</definedName>
    <definedName name="SD_34x1_5103x1_297_B_0" localSheetId="23" hidden="1">Prolink!$C$781</definedName>
    <definedName name="SD_34x1_5103x1_298_B_0" localSheetId="23" hidden="1">Prolink!$C$782</definedName>
    <definedName name="SD_34x1_5103x1_299_B_0" localSheetId="23" hidden="1">Prolink!$C$783</definedName>
    <definedName name="SD_34x1_5103x1_300_B_0" localSheetId="23" hidden="1">Prolink!$C$784</definedName>
    <definedName name="SD_34x1_5103x1_301_B_0" localSheetId="23" hidden="1">Prolink!$C$785</definedName>
    <definedName name="SD_34x1_5103x1_302_B_0" localSheetId="23" hidden="1">Prolink!$C$786</definedName>
    <definedName name="SD_34x1_5103x1_303_B_0" localSheetId="23" hidden="1">Prolink!$C$787</definedName>
    <definedName name="SD_34x1_5103x1_304_B_0" localSheetId="23" hidden="1">Prolink!$C$788</definedName>
    <definedName name="SD_34x1_5103x1_305_B_0" localSheetId="23" hidden="1">Prolink!$C$789</definedName>
    <definedName name="SD_34x1_5103x1_306_B_0" localSheetId="23" hidden="1">Prolink!$C$790</definedName>
    <definedName name="SD_34x1_5103x1_307_B_0" localSheetId="23" hidden="1">Prolink!$C$791</definedName>
    <definedName name="SD_34x1_5103x1_308_B_0" localSheetId="23" hidden="1">Prolink!$C$792</definedName>
    <definedName name="SD_34x1_5103x1_309_B_0" localSheetId="23" hidden="1">Prolink!$C$793</definedName>
    <definedName name="SD_34x1_5103x1_310_B_0" localSheetId="23" hidden="1">Prolink!$C$794</definedName>
    <definedName name="SD_34x1_5103x1_311_B_0" localSheetId="23" hidden="1">Prolink!$C$795</definedName>
    <definedName name="SD_34x1_5103x1_312_B_0" localSheetId="23" hidden="1">Prolink!$C$796</definedName>
    <definedName name="SD_34x1_5103x1_313_B_0" localSheetId="23" hidden="1">Prolink!$C$797</definedName>
    <definedName name="SD_34x1_5103x1_314_B_0" localSheetId="23" hidden="1">Prolink!$C$798</definedName>
    <definedName name="SD_34x1_5103x1_315_B_0" localSheetId="23" hidden="1">Prolink!$C$799</definedName>
    <definedName name="SD_34x1_5103x1_316_B_0" localSheetId="23" hidden="1">Prolink!$C$800</definedName>
    <definedName name="SD_34x1_5103x1_317_B_0" localSheetId="23" hidden="1">Prolink!$C$801</definedName>
    <definedName name="SD_34x1_5103x1_318_B_0" localSheetId="23" hidden="1">Prolink!$C$802</definedName>
    <definedName name="SD_34x1_5103x1_319_B_0" localSheetId="23" hidden="1">Prolink!$C$803</definedName>
    <definedName name="SD_34x1_5103x1_320_B_0" localSheetId="23" hidden="1">Prolink!$C$804</definedName>
    <definedName name="SD_34x1_5103x1_321_B_0" localSheetId="23" hidden="1">Prolink!$C$806</definedName>
    <definedName name="SD_34x1_5103x1_322_B_0" localSheetId="23" hidden="1">Prolink!$C$807</definedName>
    <definedName name="SD_34x1_5103x1_323_B_0" localSheetId="23" hidden="1">Prolink!$C$808</definedName>
    <definedName name="SD_34x1_5103x1_324_B_0" localSheetId="23" hidden="1">Prolink!$C$809</definedName>
    <definedName name="SD_34x1_5103x1_325_B_0" localSheetId="23" hidden="1">Prolink!$C$810</definedName>
    <definedName name="SD_34x1_5103x1_326_B_0" localSheetId="23" hidden="1">Prolink!$C$811</definedName>
    <definedName name="SD_34x1_5103x1_327_B_0" localSheetId="23" hidden="1">Prolink!$C$812</definedName>
    <definedName name="SD_34x1_5103x1_328_B_0" localSheetId="23" hidden="1">Prolink!$C$813</definedName>
    <definedName name="SD_34x1_5103x1_329_B_0" localSheetId="23" hidden="1">Prolink!$C$814</definedName>
    <definedName name="SD_34x1_5103x1_330_B_0" localSheetId="23" hidden="1">Prolink!$C$815</definedName>
    <definedName name="SD_34x1_5103x1_331_B_0" localSheetId="23" hidden="1">Prolink!$C$816</definedName>
    <definedName name="SD_34x1_5103x1_332_B_0" localSheetId="23" hidden="1">Prolink!$C$817</definedName>
    <definedName name="SD_34x1_5103x1_333_B_0" localSheetId="23" hidden="1">Prolink!$C$818</definedName>
    <definedName name="SD_34x1_5103x1_334_B_0" localSheetId="23" hidden="1">Prolink!$C$819</definedName>
    <definedName name="SD_34x1_5103x1_335_B_0" localSheetId="23" hidden="1">Prolink!$C$820</definedName>
    <definedName name="SD_34x1_5103x1_336_B_0" localSheetId="23" hidden="1">Prolink!$C$821</definedName>
    <definedName name="SD_34x1_5103x1_337_B_0" localSheetId="23" hidden="1">Prolink!$C$822</definedName>
    <definedName name="SD_34x1_5103x1_343_B_0" localSheetId="23" hidden="1">Prolink!$C$253</definedName>
    <definedName name="SD_34x1_5103x1_345_B_0" localSheetId="23" hidden="1">Prolink!$C$281</definedName>
    <definedName name="SD_34x1_5103x1_346_B_0" localSheetId="23" hidden="1">Prolink!$C$290</definedName>
    <definedName name="SD_34x1_5103x1_348_B_0" localSheetId="23" hidden="1">Prolink!$C$420</definedName>
    <definedName name="SD_34x1_5103x1_349_B_0" localSheetId="23" hidden="1">Prolink!$C$309</definedName>
    <definedName name="SD_34x1_5103x1_350_B_0" localSheetId="23" hidden="1">Prolink!$C$441</definedName>
    <definedName name="SD_34x1_5103x1_351_B_0" localSheetId="23" hidden="1">Prolink!$C$498</definedName>
    <definedName name="SD_34x1_5103x1_352_B_0" localSheetId="23" hidden="1">Prolink!$C$318</definedName>
    <definedName name="SD_34x1_5103x1_353_B_0" localSheetId="23" hidden="1">Prolink!$C$319</definedName>
    <definedName name="SD_34x1_5103x1_354_B_0" localSheetId="23" hidden="1">Prolink!$C$320</definedName>
    <definedName name="SD_34x1_5103x1_355_B_0" localSheetId="23" hidden="1">Prolink!$C$779</definedName>
    <definedName name="SD_34x1_5103x1_356_B_0" localSheetId="23" hidden="1">Prolink!$C$582</definedName>
    <definedName name="SD_34x1_5103x1_357_B_0" localSheetId="23" hidden="1">Prolink!$C$823</definedName>
    <definedName name="SD_34x1_5103x1_358_B_0" localSheetId="23" hidden="1">Prolink!$C$824</definedName>
    <definedName name="SD_34x1_5103x1_359_B_0" localSheetId="23" hidden="1">Prolink!$C$825</definedName>
    <definedName name="SD_34x1_5103x1_360_B_0" localSheetId="23" hidden="1">Prolink!$C$826</definedName>
    <definedName name="SD_34x1_5103x1_361_B_0" localSheetId="23" hidden="1">Prolink!$C$827</definedName>
    <definedName name="SD_34x1_5103x1_362_B_0" localSheetId="23" hidden="1">Prolink!$C$828</definedName>
    <definedName name="SD_34x1_5103x1_363_B_0" localSheetId="23" hidden="1">Prolink!$C$296</definedName>
    <definedName name="SD_34x1_5103x1_366_B_0" localSheetId="23" hidden="1">Prolink!$C$512</definedName>
    <definedName name="SD_34x1_5103x1_367_B_0" localSheetId="23" hidden="1">Prolink!$C$513</definedName>
    <definedName name="SD_34x1_5103x1_368_B_0" localSheetId="23" hidden="1">Prolink!$C$220</definedName>
    <definedName name="SD_34x1_5103x1_369_B_0" localSheetId="23" hidden="1">Prolink!$C$226</definedName>
    <definedName name="SD_34x1_5103x1_370_B_0" localSheetId="23" hidden="1">Prolink!$C$210</definedName>
    <definedName name="SD_34x1_5103x1_374_B_0" localSheetId="23" hidden="1">Prolink!$D$1360</definedName>
    <definedName name="SD_34x1_5103x1_375_B_0" localSheetId="23" hidden="1">Prolink!$D$1361</definedName>
    <definedName name="SD_34x1_5103x1_376_B_0" localSheetId="23" hidden="1">Prolink!$D$1362</definedName>
    <definedName name="SD_34x1_5103x1_377_B_0" localSheetId="23" hidden="1">Prolink!$D$1363</definedName>
    <definedName name="SD_34x1_5103x1_378_B_0" localSheetId="23" hidden="1">Prolink!$D$1364</definedName>
    <definedName name="SD_34x1_5103x1_379_B_0" localSheetId="23" hidden="1">Prolink!$D$1365</definedName>
    <definedName name="SD_34x1_5103x1_380_B_0" localSheetId="23" hidden="1">Prolink!$D$1366</definedName>
    <definedName name="SD_34x1_5103x1_381_B_0" localSheetId="23" hidden="1">Prolink!$D$1367</definedName>
    <definedName name="SD_34x1_5103x1_383_B_0" localSheetId="23" hidden="1">Prolink!$D$1372</definedName>
    <definedName name="SD_34x1_5103x1_384_B_0" localSheetId="23" hidden="1">Prolink!$D$1373</definedName>
    <definedName name="SD_34x1_5103x1_385_B_0" localSheetId="23" hidden="1">Prolink!$D$1374</definedName>
    <definedName name="SD_34x1_5103x1_386_B_0" localSheetId="23" hidden="1">Prolink!$D$1375</definedName>
    <definedName name="SD_34x1_5103x1_387_B_0" localSheetId="23" hidden="1">Prolink!$D$1376</definedName>
    <definedName name="SD_34x1_5103x1_390_B_0" localSheetId="23" hidden="1">Prolink!$D$1379</definedName>
    <definedName name="SD_34x1_5103x1_391_B_0" localSheetId="23" hidden="1">Prolink!$D$1381</definedName>
    <definedName name="SD_34x1_5103x1_392_B_0" localSheetId="23" hidden="1">Prolink!$D$1382</definedName>
    <definedName name="SD_34x1_5103x1_393_B_0" localSheetId="23" hidden="1">Prolink!$D$1383</definedName>
    <definedName name="SD_34x1_5103x1_394_B_0" localSheetId="23" hidden="1">Prolink!$D$1384</definedName>
    <definedName name="SD_34x1_5103x1_395_B_0" localSheetId="23" hidden="1">Prolink!$D$1385</definedName>
    <definedName name="SD_34x1_5103x1_396_B_0" localSheetId="23" hidden="1">Prolink!$D$1386</definedName>
    <definedName name="SD_34x1_5103x1_397_B_0" localSheetId="23" hidden="1">Prolink!$D$1390</definedName>
    <definedName name="SD_34x1_5103x1_398_B_0" localSheetId="23" hidden="1">Prolink!$D$1391</definedName>
    <definedName name="SD_34x1_5103x1_399_B_0" localSheetId="23" hidden="1">Prolink!$D$1392</definedName>
    <definedName name="SD_34x1_5103x1_400_B_0" localSheetId="23" hidden="1">Prolink!$D$1394</definedName>
    <definedName name="SD_34x1_5103x1_401_B_0" localSheetId="23" hidden="1">Prolink!$D$1395</definedName>
    <definedName name="SD_34x1_5103x1_402_B_0" localSheetId="23" hidden="1">Prolink!$D$1396</definedName>
    <definedName name="SD_34x1_5103x1_403_B_0" localSheetId="23" hidden="1">Prolink!$D$1397</definedName>
    <definedName name="SD_34x1_5103x1_404_B_0" localSheetId="23" hidden="1">Prolink!$D$1399</definedName>
    <definedName name="SD_34x1_5103x1_405_B_0" localSheetId="23" hidden="1">Prolink!$D$1400</definedName>
    <definedName name="SD_34x1_5103x1_406_B_0" localSheetId="23" hidden="1">Prolink!$D$1406</definedName>
    <definedName name="SD_34x1_5103x1_407_B_0" localSheetId="23" hidden="1">Prolink!$D$1408</definedName>
    <definedName name="SD_34x1_5103x1_408_B_0" localSheetId="23" hidden="1">Prolink!$D$1409</definedName>
    <definedName name="SD_34x1_5103x1_409_B_0" localSheetId="23" hidden="1">Prolink!$D$1410</definedName>
    <definedName name="SD_34x1_5103x1_410_B_0" localSheetId="23" hidden="1">Prolink!$D$1411</definedName>
    <definedName name="SD_34x1_5103x1_411_B_0" localSheetId="23" hidden="1">Prolink!$D$1412</definedName>
    <definedName name="SD_34x1_5103x1_412_B_0" localSheetId="23" hidden="1">Prolink!$D$1414</definedName>
    <definedName name="SD_34x1_5103x1_414_B_0" localSheetId="23" hidden="1">Prolink!$D$1417</definedName>
    <definedName name="SD_34x1_5103x1_419_B_0" localSheetId="23" hidden="1">Prolink!$D$1424</definedName>
    <definedName name="SD_34x1_5103x1_420_B_0" localSheetId="23" hidden="1">Prolink!$D$1368</definedName>
    <definedName name="SD_34x1_5103x1_421_B_0" localSheetId="23" hidden="1">Prolink!$D$1369</definedName>
    <definedName name="SD_34x1_5103x1_422_B_0" localSheetId="23" hidden="1">Prolink!$D$1370</definedName>
    <definedName name="SD_34x1_5103x1_426_B_0" localSheetId="23" hidden="1">Prolink!$D$1421</definedName>
    <definedName name="SD_34x1_5103x1_429_B_0" localSheetId="23" hidden="1">Prolink!$D$1425</definedName>
    <definedName name="SD_34x1_5103x1_430_B_0" localSheetId="23" hidden="1">Prolink!$D$1426</definedName>
    <definedName name="SD_34x1_5103x1_431_B_0" localSheetId="23" hidden="1">Prolink!$D$1433</definedName>
    <definedName name="SD_34x1_5103x1_432_B_0" localSheetId="23" hidden="1">Prolink!$D$1434</definedName>
    <definedName name="SD_34x1_5103x1_433_B_0" localSheetId="23" hidden="1">Prolink!$D$1435</definedName>
    <definedName name="SD_34x1_5103x1_434_B_0" localSheetId="23" hidden="1">Prolink!$D$1436</definedName>
    <definedName name="SD_34x1_5103x1_435_B_0" localSheetId="23" hidden="1">Prolink!$D$1441</definedName>
    <definedName name="SD_34x1_5103x1_436_B_0" localSheetId="23" hidden="1">Prolink!$D$1442</definedName>
    <definedName name="SD_34x1_5103x1_437_B_0" localSheetId="23" hidden="1">Prolink!$D$1444</definedName>
    <definedName name="SD_34x1_5103x1_438_B_0" localSheetId="23" hidden="1">Prolink!$D$1445</definedName>
    <definedName name="SD_34x1_5103x1_439_B_0" localSheetId="23" hidden="1">Prolink!$D$1446</definedName>
    <definedName name="SD_34x1_5103x1_440_B_0" localSheetId="23" hidden="1">Prolink!$D$1447</definedName>
    <definedName name="SD_34x1_5103x1_441_B_0" localSheetId="23" hidden="1">Prolink!$D$1448</definedName>
    <definedName name="SD_34x1_5103x1_443_B_0" localSheetId="23" hidden="1">Prolink!$D$1452</definedName>
    <definedName name="SD_34x1_5103x1_444_B_0" localSheetId="23" hidden="1">Prolink!$D$1453</definedName>
    <definedName name="SD_34x1_5103x1_445_B_0" localSheetId="23" hidden="1">Prolink!$D$1454</definedName>
    <definedName name="SD_34x1_5103x1_446_B_0" localSheetId="23" hidden="1">Prolink!$D$1455</definedName>
    <definedName name="SD_34x1_5103x1_447_B_0" localSheetId="23" hidden="1">Prolink!$D$1456</definedName>
    <definedName name="SD_34x1_5103x1_449_B_0" localSheetId="23" hidden="1">Prolink!$D$1377</definedName>
    <definedName name="SD_34x1_5103x1_450_B_0" localSheetId="23" hidden="1">Prolink!$D$1378</definedName>
    <definedName name="SD_34x1_5103x1_451_B_0" localSheetId="23" hidden="1">Prolink!$D$1393</definedName>
    <definedName name="SD_34x1_5103x1_452_B_0" localSheetId="23" hidden="1">Prolink!$D$1398</definedName>
    <definedName name="SD_34x1_5103x1_453_B_0" localSheetId="23" hidden="1">Prolink!$D$1416</definedName>
    <definedName name="SD_34x1_5103x1_454_B_0" localSheetId="23" hidden="1">Prolink!$D$1418</definedName>
    <definedName name="SD_34x1_5103x1_455_B_0" localSheetId="23" hidden="1">Prolink!$D$1419</definedName>
    <definedName name="SD_34x1_5103x1_456_B_0" localSheetId="23" hidden="1">Prolink!$D$1420</definedName>
    <definedName name="SD_34x1_5103x1_457_B_0" localSheetId="23" hidden="1">Prolink!$D$1423</definedName>
    <definedName name="SD_34x1_5103x1_458_B_0" localSheetId="23" hidden="1">Prolink!$D$1422</definedName>
    <definedName name="SD_34x1_5103x1_460_B_0" localSheetId="23" hidden="1">Prolink!$C$229</definedName>
    <definedName name="SD_34x1_5103x1_461_B_0" localSheetId="23" hidden="1">Prolink!$C$230</definedName>
    <definedName name="SD_34x1_5103x1_462_B_0" localSheetId="23" hidden="1">Prolink!$C$514</definedName>
    <definedName name="SD_34x1_5103x1_463_B_0" localSheetId="23" hidden="1">Prolink!$C$743</definedName>
    <definedName name="SD_34x1_5103x1_464_B_0" localSheetId="23" hidden="1">Prolink!$C$751</definedName>
    <definedName name="SD_34x1_5103x1_465_B_0" localSheetId="23" hidden="1">Prolink!$C$310</definedName>
    <definedName name="SD_34x1_5103x1_466_B_0" localSheetId="23" hidden="1">Prolink!$C$434</definedName>
    <definedName name="SD_34x1_5103x1_469_B_0" localSheetId="23" hidden="1">Prolink!$C$452</definedName>
    <definedName name="SD_34x1_5103x1_470_B_0" localSheetId="23" hidden="1">Prolink!$C$453</definedName>
    <definedName name="SD_34x1_5103x1_471_B_0" localSheetId="23" hidden="1">Prolink!$C$563</definedName>
    <definedName name="SD_34x1_5103x1_472_B_0" localSheetId="23" hidden="1">Prolink!$C$759</definedName>
    <definedName name="SD_34x1_5103x1_473_B_0" localSheetId="23" hidden="1">Prolink!$C$773</definedName>
    <definedName name="SD_34x1_5103x1_474_B_0" localSheetId="23" hidden="1">Prolink!$C$775</definedName>
    <definedName name="SD_34x1_5103x1_475_B_0" localSheetId="23" hidden="1">Prolink!$C$1077</definedName>
    <definedName name="SD_34x1_5103x1_476_B_0" localSheetId="23" hidden="1">Prolink!$C$1078</definedName>
    <definedName name="SD_34x1_5103x1_477_B_0" localSheetId="23" hidden="1">Prolink!$C$1079</definedName>
    <definedName name="SD_34x1_5103x1_478_B_0" localSheetId="23" hidden="1">Prolink!$C$449</definedName>
    <definedName name="SD_34x1_5103x1_479_B_0" localSheetId="23" hidden="1">Prolink!$C$515</definedName>
    <definedName name="SD_34x1_5103x1_519_B_0" localSheetId="23" hidden="1">Prolink!$A$157</definedName>
    <definedName name="SD_34x1_5103x1_520_B_0" localSheetId="23" hidden="1">Prolink!$A$158</definedName>
    <definedName name="SD_34x1_5103x1_521_B_0" localSheetId="23" hidden="1">Prolink!$A$159</definedName>
    <definedName name="SD_34x1_5103x1_522_B_0" localSheetId="23" hidden="1">Prolink!$A$168</definedName>
    <definedName name="SD_34x1_5103x1_523_B_0" localSheetId="23" hidden="1">Prolink!$A$169</definedName>
    <definedName name="SD_34x1_5103x1_524_B_0" localSheetId="23" hidden="1">Prolink!$A$170</definedName>
    <definedName name="SD_34x1_5103x1_525_B_0" localSheetId="23" hidden="1">Prolink!$A$171</definedName>
    <definedName name="SD_34x1_5103x1_526_B_0" localSheetId="23" hidden="1">Prolink!$A$181</definedName>
    <definedName name="SD_34x1_5103x1_527_B_0" localSheetId="23" hidden="1">Prolink!$A$182</definedName>
    <definedName name="SD_34x1_5103x1_528_B_0" localSheetId="23" hidden="1">Prolink!$A$183</definedName>
    <definedName name="SD_34x1_5103x1_529_B_0" localSheetId="23" hidden="1">Prolink!$A$189</definedName>
    <definedName name="SD_34x1_5103x1_530_B_0" localSheetId="23" hidden="1">Prolink!$A$190</definedName>
    <definedName name="SD_34x1_5103x1_531_B_0" localSheetId="23" hidden="1">Prolink!$A$359</definedName>
    <definedName name="SD_34x1_5103x1_532_B_0" localSheetId="23" hidden="1">Prolink!$A$360</definedName>
    <definedName name="SD_34x1_5103x1_533_B_0" localSheetId="23" hidden="1">Prolink!$A$361</definedName>
    <definedName name="SD_34x1_5103x1_534_B_0" localSheetId="23" hidden="1">Prolink!$A$373</definedName>
    <definedName name="SD_34x1_5103x1_535_B_0" localSheetId="23" hidden="1">Prolink!$A$374</definedName>
    <definedName name="SD_34x1_5103x1_536_B_0" localSheetId="23" hidden="1">Prolink!$A$375</definedName>
    <definedName name="SD_34x1_5103x1_537_B_0" localSheetId="23" hidden="1">Prolink!$A$392</definedName>
    <definedName name="SD_34x1_5103x1_538_B_0" localSheetId="23" hidden="1">Prolink!$A$393</definedName>
    <definedName name="SD_34x1_5103x1_539_B_0" localSheetId="23" hidden="1">Prolink!$A$405</definedName>
    <definedName name="SD_34x1_5103x1_540_B_0" localSheetId="23" hidden="1">Prolink!$A$406</definedName>
    <definedName name="SD_34x1_5103x1_541_B_0" localSheetId="23" hidden="1">Prolink!$A$407</definedName>
    <definedName name="SD_34x1_5103x1_542_B_0" localSheetId="23" hidden="1">Prolink!$A$422</definedName>
    <definedName name="SD_34x1_5103x1_543_B_0" localSheetId="23" hidden="1">Prolink!$A$423</definedName>
    <definedName name="SD_34x1_5103x1_544_B_0" localSheetId="23" hidden="1">Prolink!$A$424</definedName>
    <definedName name="SD_34x1_5103x1_545_B_0" localSheetId="23" hidden="1">Prolink!$A$428</definedName>
    <definedName name="SD_34x1_5103x1_546_B_0" localSheetId="23" hidden="1">Prolink!$A$429</definedName>
    <definedName name="SD_34x1_5103x1_547_B_0" localSheetId="23" hidden="1">Prolink!$A$430</definedName>
    <definedName name="SD_34x1_5103x1_548_B_0" localSheetId="23" hidden="1">Prolink!$C$542</definedName>
    <definedName name="SD_34x1_5103x1_549_B_0" localSheetId="23" hidden="1">Prolink!$C$545</definedName>
    <definedName name="SD_34x1_5103x1_550_B_0" localSheetId="23" hidden="1">Prolink!$C$546</definedName>
    <definedName name="SD_34x1_5103x1_551_B_0" localSheetId="23" hidden="1">Prolink!$C$549</definedName>
    <definedName name="SD_34x1_5103x1_552_B_0" localSheetId="23" hidden="1">Prolink!$C$550</definedName>
    <definedName name="SD_34x1_5103x1_553_B_0" localSheetId="23" hidden="1">Prolink!$C$543</definedName>
    <definedName name="SD_34x1_5103x1_554_B_0" localSheetId="23" hidden="1">Prolink!$C$544</definedName>
    <definedName name="SD_34x1_5103x1_555_B_0" localSheetId="23" hidden="1">Prolink!$C$547</definedName>
    <definedName name="SD_34x1_5103x1_556_B_0" localSheetId="23" hidden="1">Prolink!$C$548</definedName>
    <definedName name="SD_34x1_5103x1_558_B_0" localSheetId="23" hidden="1">Prolink!$C$572</definedName>
    <definedName name="SD_34x1_5103x1_559_B_0" localSheetId="23" hidden="1">Prolink!$C$573</definedName>
    <definedName name="SD_34x1_5103x1_560_B_0" localSheetId="23" hidden="1">Prolink!$C$299</definedName>
    <definedName name="SD_34x1_5103x1_565_B_0" localSheetId="23" hidden="1">Prolink!$C$7</definedName>
    <definedName name="SD_34x1_5103x1_567_B_0" localSheetId="23" hidden="1">Prolink!$C$13</definedName>
    <definedName name="SD_34x1_5103x1_568_B_0" localSheetId="23" hidden="1">Prolink!$C$197</definedName>
    <definedName name="SD_34x1_5103x1_569_B_0" localSheetId="23" hidden="1">Prolink!$C$198</definedName>
    <definedName name="SD_34x1_5103x1_570_B_0" localSheetId="23" hidden="1">Prolink!$C$199</definedName>
    <definedName name="SD_34x1_5103x1_571_B_0" localSheetId="23" hidden="1">Prolink!$C$200</definedName>
    <definedName name="SD_34x1_5103x1_572_B_0" localSheetId="23" hidden="1">Prolink!$C$201</definedName>
    <definedName name="SD_34x1_5103x1_573_B_0" localSheetId="23" hidden="1">Prolink!$C$202</definedName>
    <definedName name="SD_34x1_5103x1_574_B_0" localSheetId="23" hidden="1">Prolink!$C$212</definedName>
    <definedName name="SD_34x1_5103x1_575_B_0" localSheetId="23" hidden="1">Prolink!$C$213</definedName>
    <definedName name="SD_34x1_5103x1_576_B_0" localSheetId="23" hidden="1">Prolink!$C$205</definedName>
    <definedName name="SD_34x1_5103x1_577_B_0" localSheetId="23" hidden="1">Prolink!$C$12</definedName>
    <definedName name="SD_34x1_5103x1_578_B_0" localSheetId="23" hidden="1">Prolink!$C$321</definedName>
    <definedName name="SD_34x1_5103x1_579_B_0" localSheetId="23" hidden="1">Prolink!$C$322</definedName>
    <definedName name="SD_34x1_5103x1_580_B_0" localSheetId="23" hidden="1">Prolink!$C$323</definedName>
    <definedName name="SD_34x1_5103x1_581_B_0" localSheetId="23" hidden="1">Prolink!$C$14</definedName>
    <definedName name="SD_34x1_5103x1_583_B_0" localSheetId="23" hidden="1">Prolink!$C$19</definedName>
    <definedName name="SD_34x1_5103x1_584_B_0" localSheetId="23" hidden="1">Prolink!$C$20</definedName>
    <definedName name="SD_34x1_5103x1_585_B_0" localSheetId="23" hidden="1">Prolink!$C$21</definedName>
    <definedName name="SD_34x1_5103x1_587_B_0" localSheetId="23" hidden="1">Prolink!$C$26</definedName>
    <definedName name="SD_34x1_5103x1_588_B_0" localSheetId="23" hidden="1">Prolink!$C$27</definedName>
    <definedName name="SD_34x1_5103x1_589_B_0" localSheetId="23" hidden="1">Prolink!$C$28</definedName>
    <definedName name="SD_34x1_5103x1_591_B_0" localSheetId="23" hidden="1">Prolink!$C$33</definedName>
    <definedName name="SD_34x1_5103x1_592_B_0" localSheetId="23" hidden="1">Prolink!$C$34</definedName>
    <definedName name="SD_34x1_5103x1_593_B_0" localSheetId="23" hidden="1">Prolink!$C$35</definedName>
    <definedName name="SD_34x1_5103x1_595_B_0" localSheetId="23" hidden="1">Prolink!$C$40</definedName>
    <definedName name="SD_34x1_5103x1_596_B_0" localSheetId="23" hidden="1">Prolink!$C$41</definedName>
    <definedName name="SD_34x1_5103x1_597_B_0" localSheetId="23" hidden="1">Prolink!$C$42</definedName>
    <definedName name="SD_34x1_5103x1_599_B_0" localSheetId="23" hidden="1">Prolink!$C$47</definedName>
    <definedName name="SD_34x1_5103x1_600_B_0" localSheetId="23" hidden="1">Prolink!$C$48</definedName>
    <definedName name="SD_34x1_5103x1_601_B_0" localSheetId="23" hidden="1">Prolink!$C$49</definedName>
    <definedName name="SD_34x1_5103x1_603_B_0" localSheetId="23" hidden="1">Prolink!$C$54</definedName>
    <definedName name="SD_34x1_5103x1_604_B_0" localSheetId="23" hidden="1">Prolink!$C$55</definedName>
    <definedName name="SD_34x1_5103x1_605_B_0" localSheetId="23" hidden="1">Prolink!$C$56</definedName>
    <definedName name="SD_34x1_5103x1_607_B_0" localSheetId="23" hidden="1">Prolink!$C$61</definedName>
    <definedName name="SD_34x1_5103x1_608_B_0" localSheetId="23" hidden="1">Prolink!$C$62</definedName>
    <definedName name="SD_34x1_5103x1_609_B_0" localSheetId="23" hidden="1">Prolink!$C$63</definedName>
    <definedName name="SD_34x1_5103x1_611_B_0" localSheetId="23" hidden="1">Prolink!$C$68</definedName>
    <definedName name="SD_34x1_5103x1_612_B_0" localSheetId="23" hidden="1">Prolink!$C$69</definedName>
    <definedName name="SD_34x1_5103x1_613_B_0" localSheetId="23" hidden="1">Prolink!$C$70</definedName>
    <definedName name="SD_34x1_5103x1_615_B_0" localSheetId="23" hidden="1">Prolink!$C$75</definedName>
    <definedName name="SD_34x1_5103x1_616_B_0" localSheetId="23" hidden="1">Prolink!$C$76</definedName>
    <definedName name="SD_34x1_5103x1_617_B_0" localSheetId="23" hidden="1">Prolink!$C$77</definedName>
    <definedName name="SD_34x1_5103x1_619_B_0" localSheetId="23" hidden="1">Prolink!$C$82</definedName>
    <definedName name="SD_34x1_5103x1_620_B_0" localSheetId="23" hidden="1">Prolink!$C$83</definedName>
    <definedName name="SD_34x1_5103x1_621_B_0" localSheetId="23" hidden="1">Prolink!$C$84</definedName>
    <definedName name="SD_34x1_5103x1_623_B_0" localSheetId="23" hidden="1">Prolink!$C$89</definedName>
    <definedName name="SD_34x1_5103x1_624_B_0" localSheetId="23" hidden="1">Prolink!$C$90</definedName>
    <definedName name="SD_34x1_5103x1_625_B_0" localSheetId="23" hidden="1">Prolink!$C$91</definedName>
    <definedName name="SD_34x1_5103x1_627_B_0" localSheetId="23" hidden="1">Prolink!$C$96</definedName>
    <definedName name="SD_34x1_5103x1_628_B_0" localSheetId="23" hidden="1">Prolink!$C$97</definedName>
    <definedName name="SD_34x1_5103x1_629_B_0" localSheetId="23" hidden="1">Prolink!$C$98</definedName>
    <definedName name="SD_34x1_5103x1_631_B_0" localSheetId="23" hidden="1">Prolink!$C$103</definedName>
    <definedName name="SD_34x1_5103x1_632_B_0" localSheetId="23" hidden="1">Prolink!$C$104</definedName>
    <definedName name="SD_34x1_5103x1_633_B_0" localSheetId="23" hidden="1">Prolink!$C$105</definedName>
    <definedName name="SD_34x1_5103x1_635_B_0" localSheetId="23" hidden="1">Prolink!$C$110</definedName>
    <definedName name="SD_34x1_5103x1_636_B_0" localSheetId="23" hidden="1">Prolink!$C$111</definedName>
    <definedName name="SD_34x1_5103x1_637_B_0" localSheetId="23" hidden="1">Prolink!$C$217</definedName>
    <definedName name="SD_34x1_5103x1_638_B_0" localSheetId="23" hidden="1">Prolink!$D$1415</definedName>
    <definedName name="SD_34x1_5103x1_639_B_0" localSheetId="23" hidden="1">Prolink!$C$228</definedName>
    <definedName name="SD_34x1_5103x1_640_B_0" localSheetId="23" hidden="1">Prolink!$C$227</definedName>
    <definedName name="SD_34x1_5103x1_641_B_0" localSheetId="23" hidden="1">Prolink!$C$196</definedName>
    <definedName name="SD_34x1_5103x1_642_B_0" localSheetId="23" hidden="1">Prolink!$C$211</definedName>
    <definedName name="SD_34x1_5103x1_643_B_0" localSheetId="23" hidden="1">Prolink!$C$231</definedName>
    <definedName name="SD_34x1_5103x1_644_B_0" localSheetId="23" hidden="1">Prolink!$C$583</definedName>
    <definedName name="SD_34x1_5103x1_649_B_0" localSheetId="23" hidden="1">Prolink!$C$754</definedName>
    <definedName name="SD_34x1_5103x1_650_B_0" localSheetId="23" hidden="1">Prolink!$C$764</definedName>
    <definedName name="SD_34x1_5103x1_651_B_1" localSheetId="23" hidden="1">Prolink!$C$292</definedName>
    <definedName name="SD_34x1_5103x1_652_B_0" localSheetId="23" hidden="1">Prolink!$B$325</definedName>
    <definedName name="SD_34x1_5103x1_653_B_0" localSheetId="23" hidden="1">Prolink!$B$326</definedName>
    <definedName name="SD_34x1_5103x1_654_B_0" localSheetId="23" hidden="1">Prolink!$B$327</definedName>
    <definedName name="SD_34x1_5103x1_655_B_0" localSheetId="23" hidden="1">Prolink!$B$328</definedName>
    <definedName name="SD_34x1_5103x1_656_B_0" localSheetId="23" hidden="1">Prolink!$B$329</definedName>
    <definedName name="SD_34x1_5103x1_657_B_0" localSheetId="23" hidden="1">Prolink!$B$330</definedName>
    <definedName name="SD_34x1_5103x1_658_B_0" localSheetId="23" hidden="1">Prolink!$B$331</definedName>
    <definedName name="SD_34x1_5103x1_659_B_0" localSheetId="23" hidden="1">Prolink!$B$334</definedName>
    <definedName name="SD_34x1_5103x1_662_B_0" localSheetId="23" hidden="1">Prolink!$B$338</definedName>
    <definedName name="SD_34x1_5103x1_663_B_0" localSheetId="23" hidden="1">Prolink!$B$340</definedName>
    <definedName name="SD_34x1_5103x1_665_B_0" localSheetId="23" hidden="1">Prolink!$B$333</definedName>
    <definedName name="SD_34x1_5103x1_666_B_0" localSheetId="23" hidden="1">Prolink!$B$335</definedName>
    <definedName name="SD_34x1_5103x1_668_B_0" localSheetId="23" hidden="1">Prolink!$B$339</definedName>
    <definedName name="SD_34x1_5103x1_669_B_0" localSheetId="23" hidden="1">Prolink!$B$332</definedName>
    <definedName name="SD_34x1_5103x1_670_B_0" localSheetId="23" hidden="1">Prolink!$B$336</definedName>
    <definedName name="SD_34x1_5103x1_672_B_0" localSheetId="23" hidden="1">Prolink!$B$341</definedName>
    <definedName name="SD_34x1_5103x1_697_B_0" localSheetId="23" hidden="1">Prolink!$B$337</definedName>
    <definedName name="SD_34x1_5103x1_699_B_1" localSheetId="23" hidden="1">Prolink!$C$254</definedName>
    <definedName name="SD_34x1_5103x1_700_B_1" localSheetId="23" hidden="1">Prolink!$C$256</definedName>
    <definedName name="SD_34x1_5103x1_701_B_1" localSheetId="23" hidden="1">Prolink!$C$263</definedName>
    <definedName name="SD_34x1_5103x1_703_B_1" localSheetId="23" hidden="1">Prolink!$C$264</definedName>
    <definedName name="SD_34x1_5103x1_704_B_0" localSheetId="23" hidden="1">Prolink!$B$342</definedName>
    <definedName name="SD_34x1_5103x1_706_B_0" localSheetId="23" hidden="1">Prolink!$C$261</definedName>
    <definedName name="SD_34x1_5103x1_709_B_0" localSheetId="23" hidden="1">Prolink!$C$262</definedName>
    <definedName name="SD_34x1_5103x1_710_B_0" localSheetId="23" hidden="1">Prolink!$C$276</definedName>
    <definedName name="SD_34x1_5103x1_711_B_0" localSheetId="23" hidden="1">Prolink!$C$277</definedName>
    <definedName name="SD_34x1_5103x1_712_B_0" localSheetId="23" hidden="1">Prolink!$C$278</definedName>
    <definedName name="SD_34x1_5103x1_713_B_0" localSheetId="23" hidden="1">Prolink!$C$275</definedName>
    <definedName name="SD_34x1_5103x1_714_B_0" localSheetId="23" hidden="1">Prolink!$D$1427</definedName>
    <definedName name="SD_34x1_5103x1_715_B_0" localSheetId="23" hidden="1">Prolink!$D$1428</definedName>
    <definedName name="SD_34x1_5103x1_716_B_0" localSheetId="23" hidden="1">Prolink!$C$112</definedName>
    <definedName name="SD_34x1_5103x1_717_B_0" localSheetId="23" hidden="1">Prolink!$C$113</definedName>
    <definedName name="SD_34x1_5103x1_718_B_0" localSheetId="23" hidden="1">Prolink!$C$114</definedName>
    <definedName name="SD_34x1_5103x1_719_B_0" localSheetId="23" hidden="1">Prolink!$C$115</definedName>
    <definedName name="SD_34x1_5103x1_720_B_0" localSheetId="23" hidden="1">Prolink!$C$116</definedName>
    <definedName name="SD_34x1_5103x1_721_B_0" localSheetId="23" hidden="1">Prolink!$C$117</definedName>
    <definedName name="SD_34x1_5103x1_722_B_0" localSheetId="23" hidden="1">Prolink!$C$118</definedName>
    <definedName name="SD_34x1_5103x1_723_B_0" localSheetId="23" hidden="1">Prolink!$C$119</definedName>
    <definedName name="SD_34x1_5103x1_724_B_0" localSheetId="23" hidden="1">Prolink!$C$120</definedName>
    <definedName name="SD_34x1_5103x1_725_B_0" localSheetId="23" hidden="1">Prolink!$C$121</definedName>
    <definedName name="SD_34x1_5103x1_726_B_0" localSheetId="23" hidden="1">Prolink!$C$122</definedName>
    <definedName name="SD_34x1_5103x1_727_B_0" localSheetId="23" hidden="1">Prolink!$C$123</definedName>
    <definedName name="SD_34x1_5103x1_728_B_0" localSheetId="23" hidden="1">Prolink!$C$124</definedName>
    <definedName name="SD_34x1_5103x1_729_B_0" localSheetId="23" hidden="1">Prolink!$C$125</definedName>
    <definedName name="SD_34x1_5103x1_730_B_0" localSheetId="23" hidden="1">Prolink!$C$126</definedName>
    <definedName name="SD_34x1_5103x1_731_B_0" localSheetId="23" hidden="1">Prolink!$C$127</definedName>
    <definedName name="SD_34x1_5103x1_732_B_0" localSheetId="23" hidden="1">Prolink!$C$128</definedName>
    <definedName name="SD_34x1_5103x1_733_B_0" localSheetId="23" hidden="1">Prolink!$C$129</definedName>
    <definedName name="SD_34x1_5103x1_734_B_0" localSheetId="23" hidden="1">Prolink!$C$130</definedName>
    <definedName name="SD_34x1_5103x1_735_B_0" localSheetId="23" hidden="1">Prolink!$C$131</definedName>
    <definedName name="SD_34x1_5103x1_736_B_0" localSheetId="23" hidden="1">Prolink!$C$132</definedName>
    <definedName name="SD_34x1_5103x1_737_B_0" localSheetId="23" hidden="1">Prolink!$C$133</definedName>
    <definedName name="SD_34x1_5103x1_738_B_0" localSheetId="23" hidden="1">Prolink!$C$134</definedName>
    <definedName name="SD_34x1_5103x1_739_B_0" localSheetId="23" hidden="1">Prolink!$C$135</definedName>
    <definedName name="SD_34x1_5103x1_740_B_0" localSheetId="23" hidden="1">Prolink!$C$136</definedName>
    <definedName name="SD_34x1_5103x1_741_B_0" localSheetId="23" hidden="1">Prolink!$C$137</definedName>
    <definedName name="SD_34x1_5103x1_742_B_0" localSheetId="23" hidden="1">Prolink!$C$138</definedName>
    <definedName name="SD_34x1_5103x1_743_B_0" localSheetId="23" hidden="1">Prolink!$C$139</definedName>
    <definedName name="SD_34x1_5103x1_744_B_0" localSheetId="23" hidden="1">Prolink!$C$140</definedName>
    <definedName name="SD_34x1_5103x1_745_B_0" localSheetId="23" hidden="1">Prolink!$C$141</definedName>
    <definedName name="SD_34x1_5103x1_746_B_0" localSheetId="23" hidden="1">Prolink!$C$142</definedName>
    <definedName name="SD_34x1_5103x1_747_B_0" localSheetId="23" hidden="1">Prolink!$C$143</definedName>
    <definedName name="SD_34x1_5103x1_748_B_0" localSheetId="23" hidden="1">Prolink!$C$144</definedName>
    <definedName name="SD_34x1_5103x1_749_B_0" localSheetId="23" hidden="1">Prolink!$C$145</definedName>
    <definedName name="SD_34x1_5103x1_750_B_0" localSheetId="23" hidden="1">Prolink!$C$146</definedName>
    <definedName name="SD_34x1_5103x1_752_B_0" localSheetId="23" hidden="1">Prolink!$C$600</definedName>
    <definedName name="SD_34x1_5103x1_753_B_0" localSheetId="23" hidden="1">Prolink!$C$601</definedName>
    <definedName name="SD_34x1_5103x1_754_B_0" localSheetId="23" hidden="1">Prolink!$C$602</definedName>
    <definedName name="SD_34x1_5103x1_755_B_0" localSheetId="23" hidden="1">Prolink!$C$603</definedName>
    <definedName name="SD_34x1_5103x1_756_B_0" localSheetId="23" hidden="1">Prolink!$C$604</definedName>
    <definedName name="SD_34x1_5103x1_759_B_0" localSheetId="23" hidden="1">Prolink!$C$605</definedName>
    <definedName name="SD_34x1_5103x1_760_B_0" localSheetId="23" hidden="1">Prolink!$C$606</definedName>
    <definedName name="SD_34x1_5103x1_761_B_0" localSheetId="23" hidden="1">Prolink!$C$607</definedName>
    <definedName name="SD_34x1_5103x1_762_B_0" localSheetId="23" hidden="1">Prolink!$C$608</definedName>
    <definedName name="SD_34x1_5103x1_763_B_0" localSheetId="23" hidden="1">Prolink!$C$609</definedName>
    <definedName name="SD_34x1_5103x1_766_B_0" localSheetId="23" hidden="1">Prolink!$C$610</definedName>
    <definedName name="SD_34x1_5103x1_767_B_0" localSheetId="23" hidden="1">Prolink!$C$611</definedName>
    <definedName name="SD_34x1_5103x1_768_B_0" localSheetId="23" hidden="1">Prolink!$C$612</definedName>
    <definedName name="SD_34x1_5103x1_769_B_0" localSheetId="23" hidden="1">Prolink!$C$613</definedName>
    <definedName name="SD_34x1_5103x1_770_B_0" localSheetId="23" hidden="1">Prolink!$C$614</definedName>
    <definedName name="SD_34x1_5103x1_773_B_0" localSheetId="23" hidden="1">Prolink!$C$615</definedName>
    <definedName name="SD_34x1_5103x1_774_B_0" localSheetId="23" hidden="1">Prolink!$C$616</definedName>
    <definedName name="SD_34x1_5103x1_775_B_0" localSheetId="23" hidden="1">Prolink!$C$617</definedName>
    <definedName name="SD_34x1_5103x1_776_B_0" localSheetId="23" hidden="1">Prolink!$C$618</definedName>
    <definedName name="SD_34x1_5103x1_777_B_0" localSheetId="23" hidden="1">Prolink!$C$619</definedName>
    <definedName name="SD_34x1_5103x1_780_B_0" localSheetId="23" hidden="1">Prolink!$C$623</definedName>
    <definedName name="SD_34x1_5103x1_781_B_0" localSheetId="23" hidden="1">Prolink!$C$624</definedName>
    <definedName name="SD_34x1_5103x1_782_B_0" localSheetId="23" hidden="1">Prolink!$C$625</definedName>
    <definedName name="SD_34x1_5103x1_783_B_0" localSheetId="23" hidden="1">Prolink!$C$626</definedName>
    <definedName name="SD_34x1_5103x1_784_B_0" localSheetId="23" hidden="1">Prolink!$C$627</definedName>
    <definedName name="SD_34x1_5103x1_787_B_0" localSheetId="23" hidden="1">Prolink!$C$630</definedName>
    <definedName name="SD_34x1_5103x1_788_B_0" localSheetId="23" hidden="1">Prolink!$C$631</definedName>
    <definedName name="SD_34x1_5103x1_789_B_0" localSheetId="23" hidden="1">Prolink!$C$632</definedName>
    <definedName name="SD_34x1_5103x1_790_B_0" localSheetId="23" hidden="1">Prolink!$C$633</definedName>
    <definedName name="SD_34x1_5103x1_791_B_0" localSheetId="23" hidden="1">Prolink!$C$634</definedName>
    <definedName name="SD_34x1_5103x1_794_B_0" localSheetId="23" hidden="1">Prolink!$C$646</definedName>
    <definedName name="SD_34x1_5103x1_795_B_0" localSheetId="23" hidden="1">Prolink!$C$647</definedName>
    <definedName name="SD_34x1_5103x1_796_B_0" localSheetId="23" hidden="1">Prolink!$C$648</definedName>
    <definedName name="SD_34x1_5103x1_797_B_0" localSheetId="23" hidden="1">Prolink!$C$649</definedName>
    <definedName name="SD_34x1_5103x1_798_B_0" localSheetId="23" hidden="1">Prolink!$C$650</definedName>
    <definedName name="SD_34x1_5103x1_801_B_0" localSheetId="23" hidden="1">Prolink!$C$651</definedName>
    <definedName name="SD_34x1_5103x1_802_B_0" localSheetId="23" hidden="1">Prolink!$C$652</definedName>
    <definedName name="SD_34x1_5103x1_803_B_0" localSheetId="23" hidden="1">Prolink!$C$653</definedName>
    <definedName name="SD_34x1_5103x1_804_B_0" localSheetId="23" hidden="1">Prolink!$C$654</definedName>
    <definedName name="SD_34x1_5103x1_805_B_0" localSheetId="23" hidden="1">Prolink!$C$655</definedName>
    <definedName name="SD_34x1_5103x1_808_B_0" localSheetId="23" hidden="1">Prolink!$C$656</definedName>
    <definedName name="SD_34x1_5103x1_809_B_0" localSheetId="23" hidden="1">Prolink!$C$657</definedName>
    <definedName name="SD_34x1_5103x1_810_B_0" localSheetId="23" hidden="1">Prolink!$C$658</definedName>
    <definedName name="SD_34x1_5103x1_811_B_0" localSheetId="23" hidden="1">Prolink!$C$659</definedName>
    <definedName name="SD_34x1_5103x1_812_B_0" localSheetId="23" hidden="1">Prolink!$C$660</definedName>
    <definedName name="SD_34x1_5103x1_815_B_0" localSheetId="23" hidden="1">Prolink!$C$661</definedName>
    <definedName name="SD_34x1_5103x1_816_B_0" localSheetId="23" hidden="1">Prolink!$C$662</definedName>
    <definedName name="SD_34x1_5103x1_817_B_0" localSheetId="23" hidden="1">Prolink!$C$663</definedName>
    <definedName name="SD_34x1_5103x1_818_B_0" localSheetId="23" hidden="1">Prolink!$C$664</definedName>
    <definedName name="SD_34x1_5103x1_819_B_0" localSheetId="23" hidden="1">Prolink!$C$665</definedName>
    <definedName name="SD_34x1_5103x1_822_B_0" localSheetId="23" hidden="1">Prolink!$C$666</definedName>
    <definedName name="SD_34x1_5103x1_823_B_0" localSheetId="23" hidden="1">Prolink!$C$667</definedName>
    <definedName name="SD_34x1_5103x1_824_B_0" localSheetId="23" hidden="1">Prolink!$C$668</definedName>
    <definedName name="SD_34x1_5103x1_825_B_0" localSheetId="23" hidden="1">Prolink!$C$669</definedName>
    <definedName name="SD_34x1_5103x1_826_B_0" localSheetId="23" hidden="1">Prolink!$C$670</definedName>
    <definedName name="SD_34x1_5103x1_829_B_0" localSheetId="23" hidden="1">Prolink!$C$671</definedName>
    <definedName name="SD_34x1_5103x1_830_B_0" localSheetId="23" hidden="1">Prolink!$C$672</definedName>
    <definedName name="SD_34x1_5103x1_831_B_0" localSheetId="23" hidden="1">Prolink!$C$673</definedName>
    <definedName name="SD_34x1_5103x1_832_B_0" localSheetId="23" hidden="1">Prolink!$C$674</definedName>
    <definedName name="SD_34x1_5103x1_833_B_0" localSheetId="23" hidden="1">Prolink!$C$675</definedName>
    <definedName name="SD_34x1_5103x1_836_B_0" localSheetId="23" hidden="1">Prolink!$C$676</definedName>
    <definedName name="SD_34x1_5103x1_837_B_0" localSheetId="23" hidden="1">Prolink!$C$677</definedName>
    <definedName name="SD_34x1_5103x1_838_B_0" localSheetId="23" hidden="1">Prolink!$C$678</definedName>
    <definedName name="SD_34x1_5103x1_839_B_0" localSheetId="23" hidden="1">Prolink!$C$679</definedName>
    <definedName name="SD_34x1_5103x1_840_B_0" localSheetId="23" hidden="1">Prolink!$C$680</definedName>
    <definedName name="SD_34x1_5103x1_843_B_0" localSheetId="23" hidden="1">Prolink!$C$681</definedName>
    <definedName name="SD_34x1_5103x1_844_B_0" localSheetId="23" hidden="1">Prolink!$C$682</definedName>
    <definedName name="SD_34x1_5103x1_845_B_0" localSheetId="23" hidden="1">Prolink!$C$683</definedName>
    <definedName name="SD_34x1_5103x1_846_B_0" localSheetId="23" hidden="1">Prolink!$C$684</definedName>
    <definedName name="SD_34x1_5103x1_847_B_0" localSheetId="23" hidden="1">Prolink!$C$685</definedName>
    <definedName name="SD_34x1_5103x1_850_B_0" localSheetId="23" hidden="1">Prolink!$C$222</definedName>
    <definedName name="SD_34x1_5103x1_851_B_0" localSheetId="23" hidden="1">Prolink!$C$224</definedName>
    <definedName name="SD_34x1_5103x1_852_B_0" localSheetId="23" hidden="1">Prolink!$C$223</definedName>
    <definedName name="SD_34x1_5103x1_853_B_0" localSheetId="23" hidden="1">Prolink!$C$225</definedName>
    <definedName name="SD_34x1_5103x1_854_B_0" localSheetId="23" hidden="1">Prolink!$C$584</definedName>
    <definedName name="SD_34x1_5103x1_855_B_0" localSheetId="23" hidden="1">Prolink!$C$585</definedName>
    <definedName name="SD_34x1_5103x1_856_B_0" localSheetId="23" hidden="1">Prolink!$C$586</definedName>
    <definedName name="SD_34x1_5103x1_857_B_0" localSheetId="23" hidden="1">Prolink!$C$587</definedName>
    <definedName name="SD_34x1_5103x1_858_B_0" localSheetId="23" hidden="1">Prolink!$C$588</definedName>
    <definedName name="SD_34x1_5103x1_861_B_0" localSheetId="23" hidden="1">Prolink!$C$592</definedName>
    <definedName name="SD_34x1_5103x1_862_B_0" localSheetId="23" hidden="1">Prolink!$C$593</definedName>
    <definedName name="SD_34x1_5103x1_863_B_0" localSheetId="23" hidden="1">Prolink!$C$594</definedName>
    <definedName name="SD_34x1_5103x1_864_B_0" localSheetId="23" hidden="1">Prolink!$C$595</definedName>
    <definedName name="SD_34x1_5103x1_865_B_0" localSheetId="23" hidden="1">Prolink!$C$596</definedName>
    <definedName name="SD_34x1_5103x1_870_B_0" localSheetId="23" hidden="1">Prolink!$C$221</definedName>
    <definedName name="SD_34x1_5103x1_874_B_0" localSheetId="23" hidden="1">Prolink!$C$282</definedName>
    <definedName name="SD_34x1_5103x1_875_B_0" localSheetId="23" hidden="1">Prolink!$C$686</definedName>
    <definedName name="SD_34x1_5103x1_876_B_0" localSheetId="23" hidden="1">Prolink!$C$687</definedName>
    <definedName name="SD_34x1_5103x1_877_B_0" localSheetId="23" hidden="1">Prolink!$C$688</definedName>
    <definedName name="SD_34x1_5103x1_878_B_0" localSheetId="23" hidden="1">Prolink!$C$690</definedName>
    <definedName name="SD_34x1_5103x1_879_B_0" localSheetId="23" hidden="1">Prolink!$C$689</definedName>
    <definedName name="SD_34x1_5103x1_880_B_1" localSheetId="23" hidden="1">Prolink!$C$255</definedName>
    <definedName name="SD_34x1_5103x1_882_B_1" localSheetId="23" hidden="1">Prolink!$C$257</definedName>
    <definedName name="SD_34x1_5103x1_883_B_1" localSheetId="23" hidden="1">Prolink!$C$259</definedName>
    <definedName name="SD_34x1_5103x1_884_B_1" localSheetId="23" hidden="1">Prolink!$C$260</definedName>
    <definedName name="SD_34x1_5103x1_886_B_0" localSheetId="23" hidden="1">Prolink!$C$551</definedName>
    <definedName name="SD_34x1_5103x1_887_B_0" localSheetId="23" hidden="1">Prolink!$C$552</definedName>
    <definedName name="SD_34x1_5103x1_888_B_0" localSheetId="23" hidden="1">Prolink!$C$565</definedName>
    <definedName name="SD_34x1_5103x1_889_B_0" localSheetId="23" hidden="1">Prolink!$C$566</definedName>
    <definedName name="SD_34x1_5103x1_890_B_0" localSheetId="23" hidden="1">Prolink!$C$590</definedName>
    <definedName name="SD_34x1_5103x1_891_B_0" localSheetId="23" hidden="1">Prolink!$C$591</definedName>
    <definedName name="SD_34x1_5103x1_892_B_0" localSheetId="23" hidden="1">Prolink!$C$598</definedName>
    <definedName name="SD_34x1_5103x1_893_B_0" localSheetId="23" hidden="1">Prolink!$C$599</definedName>
    <definedName name="SD_34x1_5103x1_894_B_0" localSheetId="23" hidden="1">Prolink!$C$621</definedName>
    <definedName name="SD_34x1_5103x1_895_B_0" localSheetId="23" hidden="1">Prolink!$C$622</definedName>
    <definedName name="SD_34x1_5103x1_896_B_0" localSheetId="23" hidden="1">Prolink!$C$635</definedName>
    <definedName name="SD_34x1_5103x1_897_B_0" localSheetId="23" hidden="1">Prolink!$C$636</definedName>
    <definedName name="SD_34x1_5103x1_898_B_0" localSheetId="23" hidden="1">Prolink!$C$637</definedName>
    <definedName name="SD_34x1_5103x1_899_B_0" localSheetId="23" hidden="1">Prolink!$C$638</definedName>
    <definedName name="SD_34x1_5103x1_900_B_0" localSheetId="23" hidden="1">Prolink!$C$639</definedName>
    <definedName name="SD_34x1_5103x1_901_B_0" localSheetId="23" hidden="1">Prolink!$C$641</definedName>
    <definedName name="SD_34x1_5103x1_902_B_0" localSheetId="23" hidden="1">Prolink!$C$642</definedName>
    <definedName name="SD_34x1_5103x1_903_B_0" localSheetId="23" hidden="1">Prolink!$C$643</definedName>
    <definedName name="SD_34x1_5103x1_904_B_0" localSheetId="23" hidden="1">Prolink!$C$644</definedName>
    <definedName name="SD_34x1_5103x1_905_B_0" localSheetId="23" hidden="1">Prolink!$C$645</definedName>
    <definedName name="SD_34x1_5103x1_906_B_0" localSheetId="23" hidden="1">Prolink!$C$692</definedName>
    <definedName name="SD_34x1_5103x1_907_B_0" localSheetId="23" hidden="1">Prolink!$C$693</definedName>
    <definedName name="SD_34x1_5103x1_908_B_0" localSheetId="23" hidden="1">Prolink!$C$8</definedName>
    <definedName name="SD_34x1_5103x1_909_B_0" localSheetId="23" hidden="1">Prolink!$C$16</definedName>
    <definedName name="SD_34x1_5103x1_910_B_1" localSheetId="23" hidden="1">Prolink!$C$258</definedName>
    <definedName name="SD_34x1_5103x1_911_B_0" localSheetId="23" hidden="1">Prolink!$C$293</definedName>
    <definedName name="SD_34x1_5103x1_912_B_0" localSheetId="23" hidden="1">Prolink!$C$15</definedName>
    <definedName name="SD_34x1_5103x1_913_B_0" localSheetId="23" hidden="1">Prolink!$C$22</definedName>
    <definedName name="SD_34x1_5103x1_914_B_0" localSheetId="23" hidden="1">Prolink!$C$29</definedName>
    <definedName name="SD_34x1_5103x1_915_B_0" localSheetId="23" hidden="1">Prolink!$C$36</definedName>
    <definedName name="SD_34x1_5103x1_916_B_0" localSheetId="23" hidden="1">Prolink!$C$43</definedName>
    <definedName name="SD_34x1_5103x1_917_B_0" localSheetId="23" hidden="1">Prolink!$C$50</definedName>
    <definedName name="SD_34x1_5103x1_918_B_0" localSheetId="23" hidden="1">Prolink!$C$57</definedName>
    <definedName name="SD_34x1_5103x1_919_B_0" localSheetId="23" hidden="1">Prolink!$C$64</definedName>
    <definedName name="SD_34x1_5103x1_920_B_0" localSheetId="23" hidden="1">Prolink!$C$71</definedName>
    <definedName name="SD_34x1_5103x1_921_B_0" localSheetId="23" hidden="1">Prolink!$C$78</definedName>
    <definedName name="SD_34x1_5103x1_922_B_0" localSheetId="23" hidden="1">Prolink!$C$85</definedName>
    <definedName name="SD_34x1_5103x1_923_B_0" localSheetId="23" hidden="1">Prolink!$C$92</definedName>
    <definedName name="SD_34x1_5103x1_924_B_0" localSheetId="23" hidden="1">Prolink!$C$99</definedName>
    <definedName name="SD_34x1_5103x1_925_B_0" localSheetId="23" hidden="1">Prolink!$C$9</definedName>
    <definedName name="SD_34x1_5103x1_926_B_0" localSheetId="23" hidden="1">Prolink!$C$23</definedName>
    <definedName name="SD_34x1_5103x1_927_B_0" localSheetId="23" hidden="1">Prolink!$C$30</definedName>
    <definedName name="SD_34x1_5103x1_928_B_0" localSheetId="23" hidden="1">Prolink!$C$37</definedName>
    <definedName name="SD_34x1_5103x1_929_B_0" localSheetId="23" hidden="1">Prolink!$C$44</definedName>
    <definedName name="SD_34x1_5103x1_930_B_0" localSheetId="23" hidden="1">Prolink!$C$51</definedName>
    <definedName name="SD_34x1_5103x1_931_B_0" localSheetId="23" hidden="1">Prolink!$C$58</definedName>
    <definedName name="SD_34x1_5103x1_932_B_0" localSheetId="23" hidden="1">Prolink!$C$65</definedName>
    <definedName name="SD_34x1_5103x1_933_B_0" localSheetId="23" hidden="1">Prolink!$C$72</definedName>
    <definedName name="SD_34x1_5103x1_934_B_0" localSheetId="23" hidden="1">Prolink!$C$79</definedName>
    <definedName name="SD_34x1_5103x1_935_B_0" localSheetId="23" hidden="1">Prolink!$C$86</definedName>
    <definedName name="SD_34x1_5103x1_936_B_0" localSheetId="23" hidden="1">Prolink!$C$93</definedName>
    <definedName name="SD_34x1_5103x1_937_B_0" localSheetId="23" hidden="1">Prolink!$C$100</definedName>
    <definedName name="SD_34x1_5103x1_938_B_0" localSheetId="23" hidden="1">Prolink!$C$10</definedName>
    <definedName name="SD_34x1_5103x1_939_B_0" localSheetId="23" hidden="1">Prolink!$C$17</definedName>
    <definedName name="SD_34x1_5103x1_940_B_0" localSheetId="23" hidden="1">Prolink!$C$24</definedName>
    <definedName name="SD_34x1_5103x1_941_B_0" localSheetId="23" hidden="1">Prolink!$C$31</definedName>
    <definedName name="SD_34x1_5103x1_942_B_0" localSheetId="23" hidden="1">Prolink!$C$38</definedName>
    <definedName name="SD_34x1_5103x1_943_B_0" localSheetId="23" hidden="1">Prolink!$C$45</definedName>
    <definedName name="SD_34x1_5103x1_944_B_0" localSheetId="23" hidden="1">Prolink!$C$52</definedName>
    <definedName name="SD_34x1_5103x1_945_B_0" localSheetId="23" hidden="1">Prolink!$C$59</definedName>
    <definedName name="SD_34x1_5103x1_946_B_0" localSheetId="23" hidden="1">Prolink!$C$66</definedName>
    <definedName name="SD_34x1_5103x1_947_B_0" localSheetId="23" hidden="1">Prolink!$C$73</definedName>
    <definedName name="SD_34x1_5103x1_948_B_0" localSheetId="23" hidden="1">Prolink!$C$80</definedName>
    <definedName name="SD_34x1_5103x1_949_B_0" localSheetId="23" hidden="1">Prolink!$C$87</definedName>
    <definedName name="SD_34x1_5103x1_950_B_0" localSheetId="23" hidden="1">Prolink!$C$94</definedName>
    <definedName name="SD_34x1_5103x1_951_B_0" localSheetId="23" hidden="1">Prolink!$C$101</definedName>
    <definedName name="SD_34x1_5103x1_952_B_0" localSheetId="23" hidden="1">Prolink!$C$11</definedName>
    <definedName name="SD_34x1_5103x1_953_B_0" localSheetId="23" hidden="1">Prolink!$C$18</definedName>
    <definedName name="SD_34x1_5103x1_954_B_0" localSheetId="23" hidden="1">Prolink!$C$25</definedName>
    <definedName name="SD_34x1_5103x1_955_B_0" localSheetId="23" hidden="1">Prolink!$C$32</definedName>
    <definedName name="SD_34x1_5103x1_956_B_0" localSheetId="23" hidden="1">Prolink!$C$39</definedName>
    <definedName name="SD_34x1_5103x1_957_B_0" localSheetId="23" hidden="1">Prolink!$C$46</definedName>
    <definedName name="SD_34x1_5103x1_958_B_0" localSheetId="23" hidden="1">Prolink!$C$53</definedName>
    <definedName name="SD_34x1_5103x1_959_B_0" localSheetId="23" hidden="1">Prolink!$C$60</definedName>
    <definedName name="SD_34x1_5103x1_960_B_0" localSheetId="23" hidden="1">Prolink!$C$67</definedName>
    <definedName name="SD_34x1_5103x1_961_B_0" localSheetId="23" hidden="1">Prolink!$C$74</definedName>
    <definedName name="SD_34x1_5103x1_962_B_0" localSheetId="23" hidden="1">Prolink!$C$81</definedName>
    <definedName name="SD_34x1_5103x1_963_B_0" localSheetId="23" hidden="1">Prolink!$C$88</definedName>
    <definedName name="SD_34x1_5103x1_964_B_0" localSheetId="23" hidden="1">Prolink!$C$95</definedName>
    <definedName name="SD_34x1_5103x1_965_B_0" localSheetId="23" hidden="1">Prolink!$C$102</definedName>
    <definedName name="SD_34x1_5103x1_966_B_0" localSheetId="23" hidden="1">Prolink!$C$106</definedName>
    <definedName name="SD_34x1_5103x1_967_B_0" localSheetId="23" hidden="1">Prolink!$C$107</definedName>
    <definedName name="SD_34x1_5103x1_968_B_0" localSheetId="23" hidden="1">Prolink!$C$108</definedName>
    <definedName name="SD_34x1_5103x1_969_B_0" localSheetId="23" hidden="1">Prolink!$C$109</definedName>
    <definedName name="SD_34x1_5103x1_972_B_0" localSheetId="23" hidden="1">Prolink!$C$805</definedName>
    <definedName name="SD_34x1_511_B_0" localSheetId="23" hidden="1">Prolink!$C$493</definedName>
    <definedName name="SD_34x1_512_B_1" localSheetId="23" hidden="1">Prolink!$C$558</definedName>
    <definedName name="SD_34x1_5155x1_10_B_0" localSheetId="23" hidden="1">Prolink!$D$875</definedName>
    <definedName name="SD_34x1_5155x1_21_B_1" localSheetId="23" hidden="1">Prolink!$E$875</definedName>
    <definedName name="SD_34x1_5155x1_7_B_0" localSheetId="23" hidden="1">Prolink!$C$875</definedName>
    <definedName name="SD_34x1_5155x2_10_B_0" localSheetId="23" hidden="1">Prolink!$D$876</definedName>
    <definedName name="SD_34x1_5155x2_21_B_1" localSheetId="23" hidden="1">Prolink!$E$876</definedName>
    <definedName name="SD_34x1_5155x2_7_B_0" localSheetId="23" hidden="1">Prolink!$C$876</definedName>
    <definedName name="SD_34x1_5155x3_10_B_0" localSheetId="23" hidden="1">Prolink!$D$877</definedName>
    <definedName name="SD_34x1_5155x3_21_B_1" localSheetId="23" hidden="1">Prolink!$E$877</definedName>
    <definedName name="SD_34x1_5155x3_7_B_0" localSheetId="23" hidden="1">Prolink!$C$877</definedName>
    <definedName name="SD_34x1_5155x4_10_B_0" localSheetId="23" hidden="1">Prolink!$D$878</definedName>
    <definedName name="SD_34x1_5155x4_21_B_1" localSheetId="23" hidden="1">Prolink!$E$878</definedName>
    <definedName name="SD_34x1_5155x4_7_B_0" localSheetId="23" hidden="1">Prolink!$C$878</definedName>
    <definedName name="SD_34x1_5155x5_10_B_0" localSheetId="23" hidden="1">Prolink!$D$879</definedName>
    <definedName name="SD_34x1_5155x5_21_B_1" localSheetId="23" hidden="1">Prolink!$E$879</definedName>
    <definedName name="SD_34x1_5155x5_7_B_0" localSheetId="23" hidden="1">Prolink!$C$879</definedName>
    <definedName name="SD_34x1_5155x6_10_B_0" localSheetId="23" hidden="1">Prolink!$D$880</definedName>
    <definedName name="SD_34x1_5155x6_21_B_1" localSheetId="23" hidden="1">Prolink!$E$880</definedName>
    <definedName name="SD_34x1_5155x6_7_B_0" localSheetId="23" hidden="1">Prolink!$C$880</definedName>
    <definedName name="SD_34x1_5155x7_10_B_0" localSheetId="23" hidden="1">Prolink!$D$881</definedName>
    <definedName name="SD_34x1_5155x7_21_B_1" localSheetId="23" hidden="1">Prolink!$E$881</definedName>
    <definedName name="SD_34x1_5155x7_7_B_0" localSheetId="23" hidden="1">Prolink!$C$881</definedName>
    <definedName name="SD_34x1_5155x8_10_B_0" localSheetId="23" hidden="1">Prolink!$D$882</definedName>
    <definedName name="SD_34x1_5155x8_21_B_1" localSheetId="23" hidden="1">Prolink!$E$882</definedName>
    <definedName name="SD_34x1_5155x8_7_B_0" localSheetId="23" hidden="1">Prolink!$C$882</definedName>
    <definedName name="SD_34x1_5158x1_10_B_0" localSheetId="23" hidden="1">Prolink!$D$851</definedName>
    <definedName name="SD_34x1_5158x1_11_B_0" localSheetId="23" hidden="1">Prolink!$H$851</definedName>
    <definedName name="SD_34x1_5158x1_12_B_0" localSheetId="23" hidden="1">Prolink!$E$851</definedName>
    <definedName name="SD_34x1_5158x1_13_B_0" localSheetId="23" hidden="1">Prolink!$G$851</definedName>
    <definedName name="SD_34x1_5158x1_14_B_0" localSheetId="23" hidden="1">Prolink!$F$851</definedName>
    <definedName name="SD_34x1_5158x1_21_B_1" localSheetId="23" hidden="1">Prolink!$I$851</definedName>
    <definedName name="SD_34x1_5158x1_7_B_0" localSheetId="23" hidden="1">Prolink!$C$851</definedName>
    <definedName name="SD_34x1_5158x2_10_B_0" localSheetId="23" hidden="1">Prolink!$D$852</definedName>
    <definedName name="SD_34x1_5158x2_11_B_0" localSheetId="23" hidden="1">Prolink!$H$852</definedName>
    <definedName name="SD_34x1_5158x2_12_B_0" localSheetId="23" hidden="1">Prolink!$E$852</definedName>
    <definedName name="SD_34x1_5158x2_13_B_0" localSheetId="23" hidden="1">Prolink!$G$852</definedName>
    <definedName name="SD_34x1_5158x2_14_B_0" localSheetId="23" hidden="1">Prolink!$F$852</definedName>
    <definedName name="SD_34x1_5158x2_21_B_1" localSheetId="23" hidden="1">Prolink!$I$852</definedName>
    <definedName name="SD_34x1_5158x2_7_B_0" localSheetId="23" hidden="1">Prolink!$C$852</definedName>
    <definedName name="SD_34x1_5158x3_10_B_0" localSheetId="23" hidden="1">Prolink!$D$853</definedName>
    <definedName name="SD_34x1_5158x3_11_B_0" localSheetId="23" hidden="1">Prolink!$H$853</definedName>
    <definedName name="SD_34x1_5158x3_12_B_0" localSheetId="23" hidden="1">Prolink!$E$853</definedName>
    <definedName name="SD_34x1_5158x3_13_B_0" localSheetId="23" hidden="1">Prolink!$G$853</definedName>
    <definedName name="SD_34x1_5158x3_14_B_0" localSheetId="23" hidden="1">Prolink!$F$853</definedName>
    <definedName name="SD_34x1_5158x3_21_B_1" localSheetId="23" hidden="1">Prolink!$I$853</definedName>
    <definedName name="SD_34x1_5158x3_7_B_0" localSheetId="23" hidden="1">Prolink!$C$853</definedName>
    <definedName name="SD_34x1_5158x4_10_B_0" localSheetId="23" hidden="1">Prolink!$D$854</definedName>
    <definedName name="SD_34x1_5158x4_11_B_0" localSheetId="23" hidden="1">Prolink!$H$854</definedName>
    <definedName name="SD_34x1_5158x4_12_B_0" localSheetId="23" hidden="1">Prolink!$E$854</definedName>
    <definedName name="SD_34x1_5158x4_13_B_0" localSheetId="23" hidden="1">Prolink!$G$854</definedName>
    <definedName name="SD_34x1_5158x4_14_B_0" localSheetId="23" hidden="1">Prolink!$F$854</definedName>
    <definedName name="SD_34x1_5158x4_21_B_1" localSheetId="23" hidden="1">Prolink!$I$854</definedName>
    <definedName name="SD_34x1_5158x4_7_B_0" localSheetId="23" hidden="1">Prolink!$C$854</definedName>
    <definedName name="SD_34x1_5158x5_10_B_0" localSheetId="23" hidden="1">Prolink!$D$855</definedName>
    <definedName name="SD_34x1_5158x5_11_B_0" localSheetId="23" hidden="1">Prolink!$H$855</definedName>
    <definedName name="SD_34x1_5158x5_12_B_0" localSheetId="23" hidden="1">Prolink!$E$855</definedName>
    <definedName name="SD_34x1_5158x5_13_B_0" localSheetId="23" hidden="1">Prolink!$G$855</definedName>
    <definedName name="SD_34x1_5158x5_14_B_0" localSheetId="23" hidden="1">Prolink!$F$855</definedName>
    <definedName name="SD_34x1_5158x5_21_B_1" localSheetId="23" hidden="1">Prolink!$I$855</definedName>
    <definedName name="SD_34x1_5158x5_7_B_0" localSheetId="23" hidden="1">Prolink!$C$855</definedName>
    <definedName name="SD_34x1_5158x6_10_B_0" localSheetId="23" hidden="1">Prolink!$D$856</definedName>
    <definedName name="SD_34x1_5158x6_11_B_0" localSheetId="23" hidden="1">Prolink!$H$856</definedName>
    <definedName name="SD_34x1_5158x6_12_B_0" localSheetId="23" hidden="1">Prolink!$E$856</definedName>
    <definedName name="SD_34x1_5158x6_13_B_0" localSheetId="23" hidden="1">Prolink!$G$856</definedName>
    <definedName name="SD_34x1_5158x6_14_B_0" localSheetId="23" hidden="1">Prolink!$F$856</definedName>
    <definedName name="SD_34x1_5158x6_21_B_1" localSheetId="23" hidden="1">Prolink!$I$856</definedName>
    <definedName name="SD_34x1_5158x6_7_B_0" localSheetId="23" hidden="1">Prolink!$C$856</definedName>
    <definedName name="SD_34x1_5158x7_10_B_0" localSheetId="23" hidden="1">Prolink!$D$857</definedName>
    <definedName name="SD_34x1_5158x7_11_B_0" localSheetId="23" hidden="1">Prolink!$H$857</definedName>
    <definedName name="SD_34x1_5158x7_12_B_0" localSheetId="23" hidden="1">Prolink!$E$857</definedName>
    <definedName name="SD_34x1_5158x7_13_B_0" localSheetId="23" hidden="1">Prolink!$G$857</definedName>
    <definedName name="SD_34x1_5158x7_14_B_0" localSheetId="23" hidden="1">Prolink!$F$857</definedName>
    <definedName name="SD_34x1_5158x7_21_B_1" localSheetId="23" hidden="1">Prolink!$I$857</definedName>
    <definedName name="SD_34x1_5158x7_7_B_0" localSheetId="23" hidden="1">Prolink!$C$857</definedName>
    <definedName name="SD_34x1_5158x8_10_B_0" localSheetId="23" hidden="1">Prolink!$D$858</definedName>
    <definedName name="SD_34x1_5158x8_11_B_0" localSheetId="23" hidden="1">Prolink!$H$858</definedName>
    <definedName name="SD_34x1_5158x8_12_B_0" localSheetId="23" hidden="1">Prolink!$E$858</definedName>
    <definedName name="SD_34x1_5158x8_13_B_0" localSheetId="23" hidden="1">Prolink!$G$858</definedName>
    <definedName name="SD_34x1_5158x8_14_B_0" localSheetId="23" hidden="1">Prolink!$F$858</definedName>
    <definedName name="SD_34x1_5158x8_21_B_1" localSheetId="23" hidden="1">Prolink!$I$858</definedName>
    <definedName name="SD_34x1_5158x8_7_B_0" localSheetId="23" hidden="1">Prolink!$C$858</definedName>
    <definedName name="SD_34x1_5158x9_10_B_0" localSheetId="23" hidden="1">Prolink!$D$859</definedName>
    <definedName name="SD_34x1_5158x9_11_B_0" localSheetId="23" hidden="1">Prolink!$H$859</definedName>
    <definedName name="SD_34x1_5158x9_12_B_0" localSheetId="23" hidden="1">Prolink!$E$859</definedName>
    <definedName name="SD_34x1_5158x9_13_B_0" localSheetId="23" hidden="1">Prolink!$G$859</definedName>
    <definedName name="SD_34x1_5158x9_14_B_0" localSheetId="23" hidden="1">Prolink!$F$859</definedName>
    <definedName name="SD_34x1_5158x9_21_B_1" localSheetId="23" hidden="1">Prolink!$I$859</definedName>
    <definedName name="SD_34x1_5158x9_7_B_0" localSheetId="23" hidden="1">Prolink!$C$859</definedName>
    <definedName name="SD_34x1_54_B_0" localSheetId="23" hidden="1">Prolink!$C$503</definedName>
    <definedName name="SD_34x1_56_B_0" localSheetId="23" hidden="1">Prolink!$C$511</definedName>
    <definedName name="SD_34x1_65_B_0" localSheetId="23" hidden="1">Prolink!$C$317</definedName>
    <definedName name="SD_34x1_66_B_0" localSheetId="23" hidden="1">Prolink!$C$314</definedName>
    <definedName name="SD_34x1_667_B_0" localSheetId="23" hidden="1">Prolink!$C$297</definedName>
    <definedName name="SD_34x1_67_B_0" localSheetId="23" hidden="1">Prolink!$C$315</definedName>
    <definedName name="SD_34x1_68_B_0" localSheetId="23" hidden="1">Prolink!$C$316</definedName>
    <definedName name="SD_34x1_7026x1_11_B_0" localSheetId="23" hidden="1">Prolink!$C$466</definedName>
    <definedName name="SD_34x1_7026x1_8_B_1" localSheetId="23" hidden="1">Prolink!$C$465</definedName>
    <definedName name="SD_34x1_7026x1_9_B_0" localSheetId="23" hidden="1">Prolink!$C$467</definedName>
    <definedName name="SD_34x1_7026x2_11_B_0" localSheetId="23" hidden="1">Prolink!$C$469</definedName>
    <definedName name="SD_34x1_7026x2_8_B_1" localSheetId="23" hidden="1">Prolink!$C$468</definedName>
    <definedName name="SD_34x1_7026x2_9_B_0" localSheetId="23" hidden="1">Prolink!$C$470</definedName>
    <definedName name="SD_34x1_7026x3_11_B_0" localSheetId="23" hidden="1">Prolink!$C$472</definedName>
    <definedName name="SD_34x1_7026x3_8_B_1" localSheetId="23" hidden="1">Prolink!$C$471</definedName>
    <definedName name="SD_34x1_7026x3_9_B_0" localSheetId="23" hidden="1">Prolink!$C$473</definedName>
    <definedName name="SD_34x1_7026x4_11_B_0" localSheetId="23" hidden="1">Prolink!$C$475</definedName>
    <definedName name="SD_34x1_7026x4_8_B_1" localSheetId="23" hidden="1">Prolink!$C$474</definedName>
    <definedName name="SD_34x1_7026x4_9_B_0" localSheetId="23" hidden="1">Prolink!$C$476</definedName>
    <definedName name="SD_34x1_7026x5_11_B_0" localSheetId="23" hidden="1">Prolink!$C$478</definedName>
    <definedName name="SD_34x1_7026x5_8_B_1" localSheetId="23" hidden="1">Prolink!$C$477</definedName>
    <definedName name="SD_34x1_7026x5_9_B_0" localSheetId="23" hidden="1">Prolink!$C$479</definedName>
    <definedName name="SD_34x1_7026x6_11_B_0" localSheetId="23" hidden="1">Prolink!$C$481</definedName>
    <definedName name="SD_34x1_7026x6_8_B_1" localSheetId="23" hidden="1">Prolink!$C$480</definedName>
    <definedName name="SD_34x1_7026x6_9_B_0" localSheetId="23" hidden="1">Prolink!$C$482</definedName>
    <definedName name="SD_34x1_7026x7_11_B_0" localSheetId="23" hidden="1">Prolink!$C$484</definedName>
    <definedName name="SD_34x1_7026x7_8_B_1" localSheetId="23" hidden="1">Prolink!$C$483</definedName>
    <definedName name="SD_34x1_7026x7_9_B_0" localSheetId="23" hidden="1">Prolink!$C$485</definedName>
    <definedName name="SD_34x1_7026x8_11_B_0" localSheetId="23" hidden="1">Prolink!$C$487</definedName>
    <definedName name="SD_34x1_7026x8_8_B_1" localSheetId="23" hidden="1">Prolink!$C$486</definedName>
    <definedName name="SD_34x1_7026x8_9_B_0" localSheetId="23" hidden="1">Prolink!$C$488</definedName>
    <definedName name="SD_34x1_77x1_107_B_0" localSheetId="23" hidden="1">Prolink!$C$541</definedName>
    <definedName name="SD_34x1_77x1_133_B_0" localSheetId="23" hidden="1">Prolink!$C$540</definedName>
    <definedName name="SD_34x1_77x1_185_B_0" localSheetId="23" hidden="1">Prolink!$C$516</definedName>
    <definedName name="SD_34x1_77x1_186_B_0" localSheetId="23" hidden="1">Prolink!$C$517</definedName>
    <definedName name="SD_34x1_77x1_187_B_0" localSheetId="23" hidden="1">Prolink!$C$518</definedName>
    <definedName name="SD_34x1_77x1_188_B_0" localSheetId="23" hidden="1">Prolink!$C$519</definedName>
    <definedName name="SD_34x1_77x1_189_B_0" localSheetId="23" hidden="1">Prolink!$C$520</definedName>
    <definedName name="SD_34x1_77x1_190_B_0" localSheetId="23" hidden="1">Prolink!$C$521</definedName>
    <definedName name="SD_34x1_77x1_191_B_0" localSheetId="23" hidden="1">Prolink!$C$522</definedName>
    <definedName name="SD_34x1_77x1_192_B_0" localSheetId="23" hidden="1">Prolink!$C$523</definedName>
    <definedName name="SD_34x1_77x1_195_B_0" localSheetId="23" hidden="1">Prolink!$C$524</definedName>
    <definedName name="SD_34x1_77x1_197_B_0" localSheetId="23" hidden="1">Prolink!$C$525</definedName>
    <definedName name="SD_34x1_77x1_55_B_0" localSheetId="23" hidden="1">Prolink!$C$526</definedName>
    <definedName name="SD_34x1_77x1_56_B_0" localSheetId="23" hidden="1">Prolink!$C$527</definedName>
    <definedName name="SD_34x1_77x1_57_B_0" localSheetId="23" hidden="1">Prolink!$C$528</definedName>
    <definedName name="SD_34x1_77x1_58_B_0" localSheetId="23" hidden="1">Prolink!$C$529</definedName>
    <definedName name="SD_34x1_77x1_81_B_0" localSheetId="23" hidden="1">Prolink!$C$530</definedName>
    <definedName name="SD_34x1_77x1_82_B_0" localSheetId="23" hidden="1">Prolink!$C$531</definedName>
    <definedName name="SD_34x1_77x1_83_B_0" localSheetId="23" hidden="1">Prolink!$C$532</definedName>
    <definedName name="SD_34x1_77x1_84_B_0" localSheetId="23" hidden="1">Prolink!$C$533</definedName>
    <definedName name="SD_34x1_77x1_85_B_0" localSheetId="23" hidden="1">Prolink!$C$534</definedName>
    <definedName name="SD_34x1_77x1_86_B_0" localSheetId="23" hidden="1">Prolink!$C$535</definedName>
    <definedName name="SD_34x1_77x1_87_B_0" localSheetId="23" hidden="1">Prolink!$C$536</definedName>
    <definedName name="SD_34x1_77x1_88_B_0" localSheetId="23" hidden="1">Prolink!$C$537</definedName>
    <definedName name="SD_34x1_77x1_89_B_0" localSheetId="23" hidden="1">Prolink!$C$538</definedName>
    <definedName name="SD_34x1_77x1_90_B_0" localSheetId="23" hidden="1">Prolink!$C$539</definedName>
    <definedName name="SD_34x1_78_B_0" localSheetId="23" hidden="1">Prolink!$C$504</definedName>
    <definedName name="SD_34x1_78x1_10_B_0" localSheetId="23" hidden="1">Prolink!$G$1000</definedName>
    <definedName name="SD_34x1_78x1_17_B_1" localSheetId="23" hidden="1">Prolink!$C$1000</definedName>
    <definedName name="SD_34x1_78x1_20_B_1" localSheetId="23" hidden="1">Prolink!$D$1000</definedName>
    <definedName name="SD_34x1_78x1_8_B_0" localSheetId="23" hidden="1">Prolink!$E$1000</definedName>
    <definedName name="SD_34x1_78x1_9_B_0" localSheetId="23" hidden="1">Prolink!$F$1000</definedName>
    <definedName name="SD_34x1_78x10_10_B_0" localSheetId="23" hidden="1">Prolink!$G$1009</definedName>
    <definedName name="SD_34x1_78x10_17_B_1" localSheetId="23" hidden="1">Prolink!$C$1009</definedName>
    <definedName name="SD_34x1_78x10_20_B_1" localSheetId="23" hidden="1">Prolink!$D$1009</definedName>
    <definedName name="SD_34x1_78x10_8_B_0" localSheetId="23" hidden="1">Prolink!$E$1009</definedName>
    <definedName name="SD_34x1_78x10_9_B_0" localSheetId="23" hidden="1">Prolink!$F$1009</definedName>
    <definedName name="SD_34x1_78x11_10_B_0" localSheetId="23" hidden="1">Prolink!$G$1010</definedName>
    <definedName name="SD_34x1_78x11_17_B_1" localSheetId="23" hidden="1">Prolink!$C$1010</definedName>
    <definedName name="SD_34x1_78x11_20_B_1" localSheetId="23" hidden="1">Prolink!$D$1010</definedName>
    <definedName name="SD_34x1_78x11_8_B_0" localSheetId="23" hidden="1">Prolink!$E$1010</definedName>
    <definedName name="SD_34x1_78x11_9_B_0" localSheetId="23" hidden="1">Prolink!$F$1010</definedName>
    <definedName name="SD_34x1_78x12_10_B_0" localSheetId="23" hidden="1">Prolink!$G$1011</definedName>
    <definedName name="SD_34x1_78x12_17_B_1" localSheetId="23" hidden="1">Prolink!$C$1011</definedName>
    <definedName name="SD_34x1_78x12_20_B_1" localSheetId="23" hidden="1">Prolink!$D$1011</definedName>
    <definedName name="SD_34x1_78x12_8_B_0" localSheetId="23" hidden="1">Prolink!$E$1011</definedName>
    <definedName name="SD_34x1_78x12_9_B_0" localSheetId="23" hidden="1">Prolink!$F$1011</definedName>
    <definedName name="SD_34x1_78x13_10_B_0" localSheetId="23" hidden="1">Prolink!$G$1012</definedName>
    <definedName name="SD_34x1_78x13_17_B_1" localSheetId="23" hidden="1">Prolink!$C$1012</definedName>
    <definedName name="SD_34x1_78x13_20_B_1" localSheetId="23" hidden="1">Prolink!$D$1012</definedName>
    <definedName name="SD_34x1_78x13_8_B_0" localSheetId="23" hidden="1">Prolink!$E$1012</definedName>
    <definedName name="SD_34x1_78x13_9_B_0" localSheetId="23" hidden="1">Prolink!$F$1012</definedName>
    <definedName name="SD_34x1_78x14_10_B_0" localSheetId="23" hidden="1">Prolink!$G$1013</definedName>
    <definedName name="SD_34x1_78x14_17_B_1" localSheetId="23" hidden="1">Prolink!$C$1013</definedName>
    <definedName name="SD_34x1_78x14_20_B_1" localSheetId="23" hidden="1">Prolink!$D$1013</definedName>
    <definedName name="SD_34x1_78x14_8_B_0" localSheetId="23" hidden="1">Prolink!$E$1013</definedName>
    <definedName name="SD_34x1_78x14_9_B_0" localSheetId="23" hidden="1">Prolink!$F$1013</definedName>
    <definedName name="SD_34x1_78x15_10_B_0" localSheetId="23" hidden="1">Prolink!$G$1014</definedName>
    <definedName name="SD_34x1_78x15_17_B_1" localSheetId="23" hidden="1">Prolink!$C$1014</definedName>
    <definedName name="SD_34x1_78x15_20_B_1" localSheetId="23" hidden="1">Prolink!$D$1014</definedName>
    <definedName name="SD_34x1_78x15_8_B_0" localSheetId="23" hidden="1">Prolink!$E$1014</definedName>
    <definedName name="SD_34x1_78x15_9_B_0" localSheetId="23" hidden="1">Prolink!$F$1014</definedName>
    <definedName name="SD_34x1_78x16_10_B_0" localSheetId="23" hidden="1">Prolink!$G$1015</definedName>
    <definedName name="SD_34x1_78x16_17_B_1" localSheetId="23" hidden="1">Prolink!$C$1015</definedName>
    <definedName name="SD_34x1_78x16_20_B_1" localSheetId="23" hidden="1">Prolink!$D$1015</definedName>
    <definedName name="SD_34x1_78x16_8_B_0" localSheetId="23" hidden="1">Prolink!$E$1015</definedName>
    <definedName name="SD_34x1_78x16_9_B_0" localSheetId="23" hidden="1">Prolink!$F$1015</definedName>
    <definedName name="SD_34x1_78x17_10_B_0" localSheetId="23" hidden="1">Prolink!$G$1016</definedName>
    <definedName name="SD_34x1_78x17_17_B_1" localSheetId="23" hidden="1">Prolink!$C$1016</definedName>
    <definedName name="SD_34x1_78x17_20_B_1" localSheetId="23" hidden="1">Prolink!$D$1016</definedName>
    <definedName name="SD_34x1_78x17_8_B_0" localSheetId="23" hidden="1">Prolink!$E$1016</definedName>
    <definedName name="SD_34x1_78x17_9_B_0" localSheetId="23" hidden="1">Prolink!$F$1016</definedName>
    <definedName name="SD_34x1_78x18_10_B_0" localSheetId="23" hidden="1">Prolink!$G$1017</definedName>
    <definedName name="SD_34x1_78x18_17_B_1" localSheetId="23" hidden="1">Prolink!$C$1017</definedName>
    <definedName name="SD_34x1_78x18_20_B_1" localSheetId="23" hidden="1">Prolink!$D$1017</definedName>
    <definedName name="SD_34x1_78x18_8_B_0" localSheetId="23" hidden="1">Prolink!$E$1017</definedName>
    <definedName name="SD_34x1_78x18_9_B_0" localSheetId="23" hidden="1">Prolink!$F$1017</definedName>
    <definedName name="SD_34x1_78x19_10_B_0" localSheetId="23" hidden="1">Prolink!$G$1018</definedName>
    <definedName name="SD_34x1_78x19_17_B_1" localSheetId="23" hidden="1">Prolink!$C$1018</definedName>
    <definedName name="SD_34x1_78x19_20_B_1" localSheetId="23" hidden="1">Prolink!$D$1018</definedName>
    <definedName name="SD_34x1_78x19_8_B_0" localSheetId="23" hidden="1">Prolink!$E$1018</definedName>
    <definedName name="SD_34x1_78x19_9_B_0" localSheetId="23" hidden="1">Prolink!$F$1018</definedName>
    <definedName name="SD_34x1_78x2_10_B_0" localSheetId="23" hidden="1">Prolink!$G$1001</definedName>
    <definedName name="SD_34x1_78x2_17_B_1" localSheetId="23" hidden="1">Prolink!$C$1001</definedName>
    <definedName name="SD_34x1_78x2_20_B_1" localSheetId="23" hidden="1">Prolink!$D$1001</definedName>
    <definedName name="SD_34x1_78x2_8_B_0" localSheetId="23" hidden="1">Prolink!$E$1001</definedName>
    <definedName name="SD_34x1_78x2_9_B_0" localSheetId="23" hidden="1">Prolink!$F$1001</definedName>
    <definedName name="SD_34x1_78x20_10_B_0" localSheetId="23" hidden="1">Prolink!$G$1019</definedName>
    <definedName name="SD_34x1_78x20_17_B_1" localSheetId="23" hidden="1">Prolink!$C$1019</definedName>
    <definedName name="SD_34x1_78x20_20_B_1" localSheetId="23" hidden="1">Prolink!$D$1019</definedName>
    <definedName name="SD_34x1_78x20_8_B_0" localSheetId="23" hidden="1">Prolink!$E$1019</definedName>
    <definedName name="SD_34x1_78x20_9_B_0" localSheetId="23" hidden="1">Prolink!$F$1019</definedName>
    <definedName name="SD_34x1_78x21_10_B_0" localSheetId="23" hidden="1">Prolink!$G$1020</definedName>
    <definedName name="SD_34x1_78x21_17_B_1" localSheetId="23" hidden="1">Prolink!$C$1020</definedName>
    <definedName name="SD_34x1_78x21_20_B_1" localSheetId="23" hidden="1">Prolink!$D$1020</definedName>
    <definedName name="SD_34x1_78x21_8_B_0" localSheetId="23" hidden="1">Prolink!$E$1020</definedName>
    <definedName name="SD_34x1_78x21_9_B_0" localSheetId="23" hidden="1">Prolink!$F$1020</definedName>
    <definedName name="SD_34x1_78x22_10_B_0" localSheetId="23" hidden="1">Prolink!$G$1021</definedName>
    <definedName name="SD_34x1_78x22_17_B_1" localSheetId="23" hidden="1">Prolink!$C$1021</definedName>
    <definedName name="SD_34x1_78x22_20_B_1" localSheetId="23" hidden="1">Prolink!$D$1021</definedName>
    <definedName name="SD_34x1_78x22_8_B_0" localSheetId="23" hidden="1">Prolink!$E$1021</definedName>
    <definedName name="SD_34x1_78x22_9_B_0" localSheetId="23" hidden="1">Prolink!$F$1021</definedName>
    <definedName name="SD_34x1_78x23_10_B_0" localSheetId="23" hidden="1">Prolink!$G$1022</definedName>
    <definedName name="SD_34x1_78x23_17_B_1" localSheetId="23" hidden="1">Prolink!$C$1022</definedName>
    <definedName name="SD_34x1_78x23_20_B_1" localSheetId="23" hidden="1">Prolink!$D$1022</definedName>
    <definedName name="SD_34x1_78x23_8_B_0" localSheetId="23" hidden="1">Prolink!$E$1022</definedName>
    <definedName name="SD_34x1_78x23_9_B_0" localSheetId="23" hidden="1">Prolink!$F$1022</definedName>
    <definedName name="SD_34x1_78x24_10_B_0" localSheetId="23" hidden="1">Prolink!$G$1023</definedName>
    <definedName name="SD_34x1_78x24_17_B_1" localSheetId="23" hidden="1">Prolink!$C$1023</definedName>
    <definedName name="SD_34x1_78x24_20_B_1" localSheetId="23" hidden="1">Prolink!$D$1023</definedName>
    <definedName name="SD_34x1_78x24_8_B_0" localSheetId="23" hidden="1">Prolink!$E$1023</definedName>
    <definedName name="SD_34x1_78x24_9_B_0" localSheetId="23" hidden="1">Prolink!$F$1023</definedName>
    <definedName name="SD_34x1_78x25_10_B_0" localSheetId="23" hidden="1">Prolink!$G$1024</definedName>
    <definedName name="SD_34x1_78x25_17_B_1" localSheetId="23" hidden="1">Prolink!$C$1024</definedName>
    <definedName name="SD_34x1_78x25_20_B_1" localSheetId="23" hidden="1">Prolink!$D$1024</definedName>
    <definedName name="SD_34x1_78x25_8_B_0" localSheetId="23" hidden="1">Prolink!$E$1024</definedName>
    <definedName name="SD_34x1_78x25_9_B_0" localSheetId="23" hidden="1">Prolink!$F$1024</definedName>
    <definedName name="SD_34x1_78x26_10_B_0" localSheetId="23" hidden="1">Prolink!$G$1025</definedName>
    <definedName name="SD_34x1_78x26_17_B_1" localSheetId="23" hidden="1">Prolink!$C$1025</definedName>
    <definedName name="SD_34x1_78x26_20_B_1" localSheetId="23" hidden="1">Prolink!$D$1025</definedName>
    <definedName name="SD_34x1_78x26_8_B_0" localSheetId="23" hidden="1">Prolink!$E$1025</definedName>
    <definedName name="SD_34x1_78x26_9_B_0" localSheetId="23" hidden="1">Prolink!$F$1025</definedName>
    <definedName name="SD_34x1_78x27_10_B_0" localSheetId="23" hidden="1">Prolink!$G$1026</definedName>
    <definedName name="SD_34x1_78x27_17_B_1" localSheetId="23" hidden="1">Prolink!$C$1026</definedName>
    <definedName name="SD_34x1_78x27_20_B_1" localSheetId="23" hidden="1">Prolink!$D$1026</definedName>
    <definedName name="SD_34x1_78x27_8_B_0" localSheetId="23" hidden="1">Prolink!$E$1026</definedName>
    <definedName name="SD_34x1_78x27_9_B_0" localSheetId="23" hidden="1">Prolink!$F$1026</definedName>
    <definedName name="SD_34x1_78x28_10_B_0" localSheetId="23" hidden="1">Prolink!$G$1027</definedName>
    <definedName name="SD_34x1_78x28_17_B_1" localSheetId="23" hidden="1">Prolink!$C$1027</definedName>
    <definedName name="SD_34x1_78x28_20_B_1" localSheetId="23" hidden="1">Prolink!$D$1027</definedName>
    <definedName name="SD_34x1_78x28_8_B_0" localSheetId="23" hidden="1">Prolink!$E$1027</definedName>
    <definedName name="SD_34x1_78x28_9_B_0" localSheetId="23" hidden="1">Prolink!$F$1027</definedName>
    <definedName name="SD_34x1_78x29_10_B_0" localSheetId="23" hidden="1">Prolink!$G$1028</definedName>
    <definedName name="SD_34x1_78x29_17_B_1" localSheetId="23" hidden="1">Prolink!$C$1028</definedName>
    <definedName name="SD_34x1_78x29_20_B_1" localSheetId="23" hidden="1">Prolink!$D$1028</definedName>
    <definedName name="SD_34x1_78x29_8_B_0" localSheetId="23" hidden="1">Prolink!$E$1028</definedName>
    <definedName name="SD_34x1_78x29_9_B_0" localSheetId="23" hidden="1">Prolink!$F$1028</definedName>
    <definedName name="SD_34x1_78x3_10_B_0" localSheetId="23" hidden="1">Prolink!$G$1002</definedName>
    <definedName name="SD_34x1_78x3_17_B_1" localSheetId="23" hidden="1">Prolink!$C$1002</definedName>
    <definedName name="SD_34x1_78x3_20_B_1" localSheetId="23" hidden="1">Prolink!$D$1002</definedName>
    <definedName name="SD_34x1_78x3_8_B_0" localSheetId="23" hidden="1">Prolink!$E$1002</definedName>
    <definedName name="SD_34x1_78x3_9_B_0" localSheetId="23" hidden="1">Prolink!$F$1002</definedName>
    <definedName name="SD_34x1_78x30_10_B_0" localSheetId="23" hidden="1">Prolink!$G$1029</definedName>
    <definedName name="SD_34x1_78x30_17_B_1" localSheetId="23" hidden="1">Prolink!$C$1029</definedName>
    <definedName name="SD_34x1_78x30_20_B_1" localSheetId="23" hidden="1">Prolink!$D$1029</definedName>
    <definedName name="SD_34x1_78x30_8_B_0" localSheetId="23" hidden="1">Prolink!$E$1029</definedName>
    <definedName name="SD_34x1_78x30_9_B_0" localSheetId="23" hidden="1">Prolink!$F$1029</definedName>
    <definedName name="SD_34x1_78x31_10_B_0" localSheetId="23" hidden="1">Prolink!$G$1030</definedName>
    <definedName name="SD_34x1_78x31_17_B_1" localSheetId="23" hidden="1">Prolink!$C$1030</definedName>
    <definedName name="SD_34x1_78x31_20_B_1" localSheetId="23" hidden="1">Prolink!$D$1030</definedName>
    <definedName name="SD_34x1_78x31_8_B_0" localSheetId="23" hidden="1">Prolink!$E$1030</definedName>
    <definedName name="SD_34x1_78x31_9_B_0" localSheetId="23" hidden="1">Prolink!$F$1030</definedName>
    <definedName name="SD_34x1_78x32_10_B_0" localSheetId="23" hidden="1">Prolink!$G$1031</definedName>
    <definedName name="SD_34x1_78x32_17_B_1" localSheetId="23" hidden="1">Prolink!$C$1031</definedName>
    <definedName name="SD_34x1_78x32_20_B_1" localSheetId="23" hidden="1">Prolink!$D$1031</definedName>
    <definedName name="SD_34x1_78x32_8_B_0" localSheetId="23" hidden="1">Prolink!$E$1031</definedName>
    <definedName name="SD_34x1_78x32_9_B_0" localSheetId="23" hidden="1">Prolink!$F$1031</definedName>
    <definedName name="SD_34x1_78x33_10_B_0" localSheetId="23" hidden="1">Prolink!$G$1032</definedName>
    <definedName name="SD_34x1_78x33_17_B_1" localSheetId="23" hidden="1">Prolink!$C$1032</definedName>
    <definedName name="SD_34x1_78x33_20_B_1" localSheetId="23" hidden="1">Prolink!$D$1032</definedName>
    <definedName name="SD_34x1_78x33_8_B_0" localSheetId="23" hidden="1">Prolink!$E$1032</definedName>
    <definedName name="SD_34x1_78x33_9_B_0" localSheetId="23" hidden="1">Prolink!$F$1032</definedName>
    <definedName name="SD_34x1_78x34_10_B_0" localSheetId="23" hidden="1">Prolink!$G$1033</definedName>
    <definedName name="SD_34x1_78x34_17_B_1" localSheetId="23" hidden="1">Prolink!$C$1033</definedName>
    <definedName name="SD_34x1_78x34_20_B_1" localSheetId="23" hidden="1">Prolink!$D$1033</definedName>
    <definedName name="SD_34x1_78x34_8_B_0" localSheetId="23" hidden="1">Prolink!$E$1033</definedName>
    <definedName name="SD_34x1_78x34_9_B_0" localSheetId="23" hidden="1">Prolink!$F$1033</definedName>
    <definedName name="SD_34x1_78x35_10_B_0" localSheetId="23" hidden="1">Prolink!$G$1034</definedName>
    <definedName name="SD_34x1_78x35_17_B_1" localSheetId="23" hidden="1">Prolink!$C$1034</definedName>
    <definedName name="SD_34x1_78x35_20_B_1" localSheetId="23" hidden="1">Prolink!$D$1034</definedName>
    <definedName name="SD_34x1_78x35_8_B_0" localSheetId="23" hidden="1">Prolink!$E$1034</definedName>
    <definedName name="SD_34x1_78x35_9_B_0" localSheetId="23" hidden="1">Prolink!$F$1034</definedName>
    <definedName name="SD_34x1_78x36_10_B_0" localSheetId="23" hidden="1">Prolink!$G$1035</definedName>
    <definedName name="SD_34x1_78x36_17_B_1" localSheetId="23" hidden="1">Prolink!$C$1035</definedName>
    <definedName name="SD_34x1_78x36_20_B_1" localSheetId="23" hidden="1">Prolink!$D$1035</definedName>
    <definedName name="SD_34x1_78x36_8_B_0" localSheetId="23" hidden="1">Prolink!$E$1035</definedName>
    <definedName name="SD_34x1_78x36_9_B_0" localSheetId="23" hidden="1">Prolink!$F$1035</definedName>
    <definedName name="SD_34x1_78x37_10_B_0" localSheetId="23" hidden="1">Prolink!$G$1036</definedName>
    <definedName name="SD_34x1_78x37_17_B_1" localSheetId="23" hidden="1">Prolink!$C$1036</definedName>
    <definedName name="SD_34x1_78x37_20_B_1" localSheetId="23" hidden="1">Prolink!$D$1036</definedName>
    <definedName name="SD_34x1_78x37_8_B_0" localSheetId="23" hidden="1">Prolink!$E$1036</definedName>
    <definedName name="SD_34x1_78x37_9_B_0" localSheetId="23" hidden="1">Prolink!$F$1036</definedName>
    <definedName name="SD_34x1_78x38_10_B_0" localSheetId="23" hidden="1">Prolink!$G$1037</definedName>
    <definedName name="SD_34x1_78x38_17_B_1" localSheetId="23" hidden="1">Prolink!$C$1037</definedName>
    <definedName name="SD_34x1_78x38_20_B_1" localSheetId="23" hidden="1">Prolink!$D$1037</definedName>
    <definedName name="SD_34x1_78x38_8_B_0" localSheetId="23" hidden="1">Prolink!$E$1037</definedName>
    <definedName name="SD_34x1_78x38_9_B_0" localSheetId="23" hidden="1">Prolink!$F$1037</definedName>
    <definedName name="SD_34x1_78x39_10_B_0" localSheetId="23" hidden="1">Prolink!$G$1038</definedName>
    <definedName name="SD_34x1_78x39_17_B_1" localSheetId="23" hidden="1">Prolink!$C$1038</definedName>
    <definedName name="SD_34x1_78x39_20_B_1" localSheetId="23" hidden="1">Prolink!$D$1038</definedName>
    <definedName name="SD_34x1_78x39_8_B_0" localSheetId="23" hidden="1">Prolink!$E$1038</definedName>
    <definedName name="SD_34x1_78x39_9_B_0" localSheetId="23" hidden="1">Prolink!$F$1038</definedName>
    <definedName name="SD_34x1_78x4_10_B_0" localSheetId="23" hidden="1">Prolink!$G$1003</definedName>
    <definedName name="SD_34x1_78x4_17_B_1" localSheetId="23" hidden="1">Prolink!$C$1003</definedName>
    <definedName name="SD_34x1_78x4_20_B_1" localSheetId="23" hidden="1">Prolink!$D$1003</definedName>
    <definedName name="SD_34x1_78x4_8_B_0" localSheetId="23" hidden="1">Prolink!$E$1003</definedName>
    <definedName name="SD_34x1_78x4_9_B_0" localSheetId="23" hidden="1">Prolink!$F$1003</definedName>
    <definedName name="SD_34x1_78x40_10_B_0" localSheetId="23" hidden="1">Prolink!$G$1039</definedName>
    <definedName name="SD_34x1_78x40_17_B_1" localSheetId="23" hidden="1">Prolink!$C$1039</definedName>
    <definedName name="SD_34x1_78x40_20_B_1" localSheetId="23" hidden="1">Prolink!$D$1039</definedName>
    <definedName name="SD_34x1_78x40_8_B_0" localSheetId="23" hidden="1">Prolink!$E$1039</definedName>
    <definedName name="SD_34x1_78x40_9_B_0" localSheetId="23" hidden="1">Prolink!$F$1039</definedName>
    <definedName name="SD_34x1_78x41_10_B_0" localSheetId="23" hidden="1">Prolink!$G$1040</definedName>
    <definedName name="SD_34x1_78x41_17_B_1" localSheetId="23" hidden="1">Prolink!$C$1040</definedName>
    <definedName name="SD_34x1_78x41_20_B_1" localSheetId="23" hidden="1">Prolink!$D$1040</definedName>
    <definedName name="SD_34x1_78x41_8_B_0" localSheetId="23" hidden="1">Prolink!$E$1040</definedName>
    <definedName name="SD_34x1_78x41_9_B_0" localSheetId="23" hidden="1">Prolink!$F$1040</definedName>
    <definedName name="SD_34x1_78x42_10_B_0" localSheetId="23" hidden="1">Prolink!$G$1041</definedName>
    <definedName name="SD_34x1_78x42_17_B_1" localSheetId="23" hidden="1">Prolink!$C$1041</definedName>
    <definedName name="SD_34x1_78x42_20_B_1" localSheetId="23" hidden="1">Prolink!$D$1041</definedName>
    <definedName name="SD_34x1_78x42_8_B_0" localSheetId="23" hidden="1">Prolink!$E$1041</definedName>
    <definedName name="SD_34x1_78x42_9_B_0" localSheetId="23" hidden="1">Prolink!$F$1041</definedName>
    <definedName name="SD_34x1_78x43_10_B_0" localSheetId="23" hidden="1">Prolink!$G$1042</definedName>
    <definedName name="SD_34x1_78x43_17_B_1" localSheetId="23" hidden="1">Prolink!$C$1042</definedName>
    <definedName name="SD_34x1_78x43_20_B_1" localSheetId="23" hidden="1">Prolink!$D$1042</definedName>
    <definedName name="SD_34x1_78x43_8_B_0" localSheetId="23" hidden="1">Prolink!$E$1042</definedName>
    <definedName name="SD_34x1_78x43_9_B_0" localSheetId="23" hidden="1">Prolink!$F$1042</definedName>
    <definedName name="SD_34x1_78x44_10_B_0" localSheetId="23" hidden="1">Prolink!$G$1043</definedName>
    <definedName name="SD_34x1_78x44_17_B_1" localSheetId="23" hidden="1">Prolink!$C$1043</definedName>
    <definedName name="SD_34x1_78x44_20_B_1" localSheetId="23" hidden="1">Prolink!$D$1043</definedName>
    <definedName name="SD_34x1_78x44_8_B_0" localSheetId="23" hidden="1">Prolink!$E$1043</definedName>
    <definedName name="SD_34x1_78x44_9_B_0" localSheetId="23" hidden="1">Prolink!$F$1043</definedName>
    <definedName name="SD_34x1_78x45_10_B_0" localSheetId="23" hidden="1">Prolink!$G$1044</definedName>
    <definedName name="SD_34x1_78x45_17_B_1" localSheetId="23" hidden="1">Prolink!$C$1044</definedName>
    <definedName name="SD_34x1_78x45_20_B_1" localSheetId="23" hidden="1">Prolink!$D$1044</definedName>
    <definedName name="SD_34x1_78x45_8_B_0" localSheetId="23" hidden="1">Prolink!$E$1044</definedName>
    <definedName name="SD_34x1_78x45_9_B_0" localSheetId="23" hidden="1">Prolink!$F$1044</definedName>
    <definedName name="SD_34x1_78x46_10_B_0" localSheetId="23" hidden="1">Prolink!$G$1045</definedName>
    <definedName name="SD_34x1_78x46_17_B_1" localSheetId="23" hidden="1">Prolink!$C$1045</definedName>
    <definedName name="SD_34x1_78x46_20_B_1" localSheetId="23" hidden="1">Prolink!$D$1045</definedName>
    <definedName name="SD_34x1_78x46_8_B_0" localSheetId="23" hidden="1">Prolink!$E$1045</definedName>
    <definedName name="SD_34x1_78x46_9_B_0" localSheetId="23" hidden="1">Prolink!$F$1045</definedName>
    <definedName name="SD_34x1_78x47_10_B_0" localSheetId="23" hidden="1">Prolink!$G$1046</definedName>
    <definedName name="SD_34x1_78x47_17_B_1" localSheetId="23" hidden="1">Prolink!$C$1046</definedName>
    <definedName name="SD_34x1_78x47_20_B_1" localSheetId="23" hidden="1">Prolink!$D$1046</definedName>
    <definedName name="SD_34x1_78x47_8_B_0" localSheetId="23" hidden="1">Prolink!$E$1046</definedName>
    <definedName name="SD_34x1_78x47_9_B_0" localSheetId="23" hidden="1">Prolink!$F$1046</definedName>
    <definedName name="SD_34x1_78x48_10_B_0" localSheetId="23" hidden="1">Prolink!$G$1047</definedName>
    <definedName name="SD_34x1_78x48_17_B_1" localSheetId="23" hidden="1">Prolink!$C$1047</definedName>
    <definedName name="SD_34x1_78x48_20_B_1" localSheetId="23" hidden="1">Prolink!$D$1047</definedName>
    <definedName name="SD_34x1_78x48_8_B_0" localSheetId="23" hidden="1">Prolink!$E$1047</definedName>
    <definedName name="SD_34x1_78x48_9_B_0" localSheetId="23" hidden="1">Prolink!$F$1047</definedName>
    <definedName name="SD_34x1_78x49_10_B_0" localSheetId="23" hidden="1">Prolink!$G$1048</definedName>
    <definedName name="SD_34x1_78x49_17_B_1" localSheetId="23" hidden="1">Prolink!$C$1048</definedName>
    <definedName name="SD_34x1_78x49_20_B_1" localSheetId="23" hidden="1">Prolink!$D$1048</definedName>
    <definedName name="SD_34x1_78x49_8_B_0" localSheetId="23" hidden="1">Prolink!$E$1048</definedName>
    <definedName name="SD_34x1_78x49_9_B_0" localSheetId="23" hidden="1">Prolink!$F$1048</definedName>
    <definedName name="SD_34x1_78x5_10_B_0" localSheetId="23" hidden="1">Prolink!$G$1004</definedName>
    <definedName name="SD_34x1_78x5_17_B_1" localSheetId="23" hidden="1">Prolink!$C$1004</definedName>
    <definedName name="SD_34x1_78x5_20_B_1" localSheetId="23" hidden="1">Prolink!$D$1004</definedName>
    <definedName name="SD_34x1_78x5_8_B_0" localSheetId="23" hidden="1">Prolink!$E$1004</definedName>
    <definedName name="SD_34x1_78x5_9_B_0" localSheetId="23" hidden="1">Prolink!$F$1004</definedName>
    <definedName name="SD_34x1_78x50_10_B_0" localSheetId="23" hidden="1">Prolink!$G$1049</definedName>
    <definedName name="SD_34x1_78x50_17_B_1" localSheetId="23" hidden="1">Prolink!$C$1049</definedName>
    <definedName name="SD_34x1_78x50_20_B_1" localSheetId="23" hidden="1">Prolink!$D$1049</definedName>
    <definedName name="SD_34x1_78x50_8_B_0" localSheetId="23" hidden="1">Prolink!$E$1049</definedName>
    <definedName name="SD_34x1_78x50_9_B_0" localSheetId="23" hidden="1">Prolink!$F$1049</definedName>
    <definedName name="SD_34x1_78x51_10_B_0" localSheetId="23" hidden="1">Prolink!$G$1050</definedName>
    <definedName name="SD_34x1_78x51_17_B_1" localSheetId="23" hidden="1">Prolink!$C$1050</definedName>
    <definedName name="SD_34x1_78x51_20_B_1" localSheetId="23" hidden="1">Prolink!$D$1050</definedName>
    <definedName name="SD_34x1_78x51_8_B_0" localSheetId="23" hidden="1">Prolink!$E$1050</definedName>
    <definedName name="SD_34x1_78x51_9_B_0" localSheetId="23" hidden="1">Prolink!$F$1050</definedName>
    <definedName name="SD_34x1_78x52_10_B_0" localSheetId="23" hidden="1">Prolink!$G$1051</definedName>
    <definedName name="SD_34x1_78x52_17_B_1" localSheetId="23" hidden="1">Prolink!$C$1051</definedName>
    <definedName name="SD_34x1_78x52_20_B_1" localSheetId="23" hidden="1">Prolink!$D$1051</definedName>
    <definedName name="SD_34x1_78x52_8_B_0" localSheetId="23" hidden="1">Prolink!$E$1051</definedName>
    <definedName name="SD_34x1_78x52_9_B_0" localSheetId="23" hidden="1">Prolink!$F$1051</definedName>
    <definedName name="SD_34x1_78x53_10_B_0" localSheetId="23" hidden="1">Prolink!$G$1052</definedName>
    <definedName name="SD_34x1_78x53_17_B_1" localSheetId="23" hidden="1">Prolink!$C$1052</definedName>
    <definedName name="SD_34x1_78x53_20_B_1" localSheetId="23" hidden="1">Prolink!$D$1052</definedName>
    <definedName name="SD_34x1_78x53_8_B_0" localSheetId="23" hidden="1">Prolink!$E$1052</definedName>
    <definedName name="SD_34x1_78x53_9_B_0" localSheetId="23" hidden="1">Prolink!$F$1052</definedName>
    <definedName name="SD_34x1_78x54_10_B_0" localSheetId="23" hidden="1">Prolink!$G$1053</definedName>
    <definedName name="SD_34x1_78x54_17_B_1" localSheetId="23" hidden="1">Prolink!$C$1053</definedName>
    <definedName name="SD_34x1_78x54_20_B_1" localSheetId="23" hidden="1">Prolink!$D$1053</definedName>
    <definedName name="SD_34x1_78x54_8_B_0" localSheetId="23" hidden="1">Prolink!$E$1053</definedName>
    <definedName name="SD_34x1_78x54_9_B_0" localSheetId="23" hidden="1">Prolink!$F$1053</definedName>
    <definedName name="SD_34x1_78x55_10_B_0" localSheetId="23" hidden="1">Prolink!$G$1054</definedName>
    <definedName name="SD_34x1_78x55_17_B_1" localSheetId="23" hidden="1">Prolink!$C$1054</definedName>
    <definedName name="SD_34x1_78x55_20_B_1" localSheetId="23" hidden="1">Prolink!$D$1054</definedName>
    <definedName name="SD_34x1_78x55_8_B_0" localSheetId="23" hidden="1">Prolink!$E$1054</definedName>
    <definedName name="SD_34x1_78x55_9_B_0" localSheetId="23" hidden="1">Prolink!$F$1054</definedName>
    <definedName name="SD_34x1_78x56_10_B_0" localSheetId="23" hidden="1">Prolink!$G$1055</definedName>
    <definedName name="SD_34x1_78x56_17_B_1" localSheetId="23" hidden="1">Prolink!$C$1055</definedName>
    <definedName name="SD_34x1_78x56_20_B_1" localSheetId="23" hidden="1">Prolink!$D$1055</definedName>
    <definedName name="SD_34x1_78x56_8_B_0" localSheetId="23" hidden="1">Prolink!$E$1055</definedName>
    <definedName name="SD_34x1_78x56_9_B_0" localSheetId="23" hidden="1">Prolink!$F$1055</definedName>
    <definedName name="SD_34x1_78x57_10_B_0" localSheetId="23" hidden="1">Prolink!$G$1056</definedName>
    <definedName name="SD_34x1_78x57_17_B_1" localSheetId="23" hidden="1">Prolink!$C$1056</definedName>
    <definedName name="SD_34x1_78x57_20_B_1" localSheetId="23" hidden="1">Prolink!$D$1056</definedName>
    <definedName name="SD_34x1_78x57_8_B_0" localSheetId="23" hidden="1">Prolink!$E$1056</definedName>
    <definedName name="SD_34x1_78x57_9_B_0" localSheetId="23" hidden="1">Prolink!$F$1056</definedName>
    <definedName name="SD_34x1_78x58_10_B_0" localSheetId="23" hidden="1">Prolink!$G$1057</definedName>
    <definedName name="SD_34x1_78x58_17_B_1" localSheetId="23" hidden="1">Prolink!$C$1057</definedName>
    <definedName name="SD_34x1_78x58_20_B_1" localSheetId="23" hidden="1">Prolink!$D$1057</definedName>
    <definedName name="SD_34x1_78x58_8_B_0" localSheetId="23" hidden="1">Prolink!$E$1057</definedName>
    <definedName name="SD_34x1_78x58_9_B_0" localSheetId="23" hidden="1">Prolink!$F$1057</definedName>
    <definedName name="SD_34x1_78x59_10_B_0" localSheetId="23" hidden="1">Prolink!$G$1058</definedName>
    <definedName name="SD_34x1_78x59_17_B_1" localSheetId="23" hidden="1">Prolink!$C$1058</definedName>
    <definedName name="SD_34x1_78x59_20_B_1" localSheetId="23" hidden="1">Prolink!$D$1058</definedName>
    <definedName name="SD_34x1_78x59_8_B_0" localSheetId="23" hidden="1">Prolink!$E$1058</definedName>
    <definedName name="SD_34x1_78x59_9_B_0" localSheetId="23" hidden="1">Prolink!$F$1058</definedName>
    <definedName name="SD_34x1_78x6_10_B_0" localSheetId="23" hidden="1">Prolink!$G$1005</definedName>
    <definedName name="SD_34x1_78x6_17_B_1" localSheetId="23" hidden="1">Prolink!$C$1005</definedName>
    <definedName name="SD_34x1_78x6_20_B_1" localSheetId="23" hidden="1">Prolink!$D$1005</definedName>
    <definedName name="SD_34x1_78x6_8_B_0" localSheetId="23" hidden="1">Prolink!$E$1005</definedName>
    <definedName name="SD_34x1_78x6_9_B_0" localSheetId="23" hidden="1">Prolink!$F$1005</definedName>
    <definedName name="SD_34x1_78x60_10_B_0" localSheetId="23" hidden="1">Prolink!$G$1059</definedName>
    <definedName name="SD_34x1_78x60_17_B_1" localSheetId="23" hidden="1">Prolink!$C$1059</definedName>
    <definedName name="SD_34x1_78x60_20_B_1" localSheetId="23" hidden="1">Prolink!$D$1059</definedName>
    <definedName name="SD_34x1_78x60_8_B_0" localSheetId="23" hidden="1">Prolink!$E$1059</definedName>
    <definedName name="SD_34x1_78x60_9_B_0" localSheetId="23" hidden="1">Prolink!$F$1059</definedName>
    <definedName name="SD_34x1_78x7_10_B_0" localSheetId="23" hidden="1">Prolink!$G$1006</definedName>
    <definedName name="SD_34x1_78x7_17_B_1" localSheetId="23" hidden="1">Prolink!$C$1006</definedName>
    <definedName name="SD_34x1_78x7_20_B_1" localSheetId="23" hidden="1">Prolink!$D$1006</definedName>
    <definedName name="SD_34x1_78x7_8_B_0" localSheetId="23" hidden="1">Prolink!$E$1006</definedName>
    <definedName name="SD_34x1_78x7_9_B_0" localSheetId="23" hidden="1">Prolink!$F$1006</definedName>
    <definedName name="SD_34x1_78x8_10_B_0" localSheetId="23" hidden="1">Prolink!$G$1007</definedName>
    <definedName name="SD_34x1_78x8_17_B_1" localSheetId="23" hidden="1">Prolink!$C$1007</definedName>
    <definedName name="SD_34x1_78x8_20_B_1" localSheetId="23" hidden="1">Prolink!$D$1007</definedName>
    <definedName name="SD_34x1_78x8_8_B_0" localSheetId="23" hidden="1">Prolink!$E$1007</definedName>
    <definedName name="SD_34x1_78x8_9_B_0" localSheetId="23" hidden="1">Prolink!$F$1007</definedName>
    <definedName name="SD_34x1_78x9_10_B_0" localSheetId="23" hidden="1">Prolink!$G$1008</definedName>
    <definedName name="SD_34x1_78x9_17_B_1" localSheetId="23" hidden="1">Prolink!$C$1008</definedName>
    <definedName name="SD_34x1_78x9_20_B_1" localSheetId="23" hidden="1">Prolink!$D$1008</definedName>
    <definedName name="SD_34x1_78x9_8_B_0" localSheetId="23" hidden="1">Prolink!$E$1008</definedName>
    <definedName name="SD_34x1_78x9_9_B_0" localSheetId="23" hidden="1">Prolink!$F$1008</definedName>
    <definedName name="SD_34x1_79_B_0" localSheetId="23" hidden="1">Prolink!$C$313</definedName>
    <definedName name="SD_34x1_82_B_0" localSheetId="23" hidden="1">Prolink!$C$505</definedName>
    <definedName name="SD_34x1_83_B_0" localSheetId="23" hidden="1">Prolink!$C$506</definedName>
    <definedName name="SD_34x1_84_B_0" localSheetId="23" hidden="1">Prolink!$C$507</definedName>
    <definedName name="SD_34x1_86_B_0" localSheetId="23" hidden="1">Prolink!$C$303</definedName>
    <definedName name="SD_34x1_91_B_0" localSheetId="23" hidden="1">Prolink!$C$244</definedName>
    <definedName name="SD_34x1_91x1_10_B_0" localSheetId="23" hidden="1">Prolink!$R$1188</definedName>
    <definedName name="SD_34x1_91x1_11_B_0" localSheetId="23" hidden="1">Prolink!$P$1188</definedName>
    <definedName name="SD_34x1_91x1_12_B_0" localSheetId="23" hidden="1">Prolink!$Q$1188</definedName>
    <definedName name="SD_34x1_91x1_14_B_0" localSheetId="23" hidden="1">Prolink!$M$1188</definedName>
    <definedName name="SD_34x1_91x1_15_B_0" localSheetId="23" hidden="1">Prolink!$K$1188</definedName>
    <definedName name="SD_34x1_91x1_16_B_0" localSheetId="23" hidden="1">Prolink!$L$1188</definedName>
    <definedName name="SD_34x1_91x1_18_B_0" localSheetId="23" hidden="1">Prolink!$H$1188</definedName>
    <definedName name="SD_34x1_91x1_19_B_0" localSheetId="23" hidden="1">Prolink!$F$1188</definedName>
    <definedName name="SD_34x1_91x1_20_B_0" localSheetId="23" hidden="1">Prolink!$G$1188</definedName>
    <definedName name="SD_34x1_91x1_22_B_0" localSheetId="23" hidden="1">Prolink!$C$1188</definedName>
    <definedName name="SD_34x1_91x1_23_B_0" localSheetId="23" hidden="1">Prolink!$S$1188</definedName>
    <definedName name="SD_34x1_91x1_24_B_0" localSheetId="23" hidden="1">Prolink!$T$1188</definedName>
    <definedName name="SD_34x1_91x1_25_B_0" localSheetId="23" hidden="1">Prolink!$N$1188</definedName>
    <definedName name="SD_34x1_91x1_26_B_0" localSheetId="23" hidden="1">Prolink!$O$1188</definedName>
    <definedName name="SD_34x1_91x1_27_B_0" localSheetId="23" hidden="1">Prolink!$I$1188</definedName>
    <definedName name="SD_34x1_91x1_28_B_0" localSheetId="23" hidden="1">Prolink!$J$1188</definedName>
    <definedName name="SD_34x1_91x1_4_B_0" localSheetId="23" hidden="1">Prolink!$D$1188</definedName>
    <definedName name="SD_34x1_91x1_8_B_0" localSheetId="23" hidden="1">Prolink!$E$1188</definedName>
    <definedName name="SD_34x1_91x10_10_B_0" localSheetId="23" hidden="1">Prolink!$R$1197</definedName>
    <definedName name="SD_34x1_91x10_11_B_0" localSheetId="23" hidden="1">Prolink!$P$1197</definedName>
    <definedName name="SD_34x1_91x10_12_B_0" localSheetId="23" hidden="1">Prolink!$Q$1197</definedName>
    <definedName name="SD_34x1_91x10_14_B_0" localSheetId="23" hidden="1">Prolink!$M$1197</definedName>
    <definedName name="SD_34x1_91x10_15_B_0" localSheetId="23" hidden="1">Prolink!$K$1197</definedName>
    <definedName name="SD_34x1_91x10_16_B_0" localSheetId="23" hidden="1">Prolink!$L$1197</definedName>
    <definedName name="SD_34x1_91x10_18_B_0" localSheetId="23" hidden="1">Prolink!$H$1197</definedName>
    <definedName name="SD_34x1_91x10_19_B_0" localSheetId="23" hidden="1">Prolink!$F$1197</definedName>
    <definedName name="SD_34x1_91x10_20_B_0" localSheetId="23" hidden="1">Prolink!$G$1197</definedName>
    <definedName name="SD_34x1_91x10_22_B_0" localSheetId="23" hidden="1">Prolink!$C$1197</definedName>
    <definedName name="SD_34x1_91x10_23_B_0" localSheetId="23" hidden="1">Prolink!$S$1197</definedName>
    <definedName name="SD_34x1_91x10_24_B_0" localSheetId="23" hidden="1">Prolink!$T$1197</definedName>
    <definedName name="SD_34x1_91x10_25_B_0" localSheetId="23" hidden="1">Prolink!$N$1197</definedName>
    <definedName name="SD_34x1_91x10_26_B_0" localSheetId="23" hidden="1">Prolink!$O$1197</definedName>
    <definedName name="SD_34x1_91x10_27_B_0" localSheetId="23" hidden="1">Prolink!$I$1197</definedName>
    <definedName name="SD_34x1_91x10_28_B_0" localSheetId="23" hidden="1">Prolink!$J$1197</definedName>
    <definedName name="SD_34x1_91x10_4_B_0" localSheetId="23" hidden="1">Prolink!$D$1197</definedName>
    <definedName name="SD_34x1_91x10_8_B_0" localSheetId="23" hidden="1">Prolink!$E$1197</definedName>
    <definedName name="SD_34x1_91x11_10_B_0" localSheetId="23" hidden="1">Prolink!$R$1198</definedName>
    <definedName name="SD_34x1_91x11_11_B_0" localSheetId="23" hidden="1">Prolink!$P$1198</definedName>
    <definedName name="SD_34x1_91x11_12_B_0" localSheetId="23" hidden="1">Prolink!$Q$1198</definedName>
    <definedName name="SD_34x1_91x11_14_B_0" localSheetId="23" hidden="1">Prolink!$M$1198</definedName>
    <definedName name="SD_34x1_91x11_15_B_0" localSheetId="23" hidden="1">Prolink!$K$1198</definedName>
    <definedName name="SD_34x1_91x11_16_B_0" localSheetId="23" hidden="1">Prolink!$L$1198</definedName>
    <definedName name="SD_34x1_91x11_18_B_0" localSheetId="23" hidden="1">Prolink!$H$1198</definedName>
    <definedName name="SD_34x1_91x11_19_B_0" localSheetId="23" hidden="1">Prolink!$F$1198</definedName>
    <definedName name="SD_34x1_91x11_20_B_0" localSheetId="23" hidden="1">Prolink!$G$1198</definedName>
    <definedName name="SD_34x1_91x11_22_B_0" localSheetId="23" hidden="1">Prolink!$C$1198</definedName>
    <definedName name="SD_34x1_91x11_23_B_0" localSheetId="23" hidden="1">Prolink!$S$1198</definedName>
    <definedName name="SD_34x1_91x11_24_B_0" localSheetId="23" hidden="1">Prolink!$T$1198</definedName>
    <definedName name="SD_34x1_91x11_25_B_0" localSheetId="23" hidden="1">Prolink!$N$1198</definedName>
    <definedName name="SD_34x1_91x11_26_B_0" localSheetId="23" hidden="1">Prolink!$O$1198</definedName>
    <definedName name="SD_34x1_91x11_27_B_0" localSheetId="23" hidden="1">Prolink!$I$1198</definedName>
    <definedName name="SD_34x1_91x11_28_B_0" localSheetId="23" hidden="1">Prolink!$J$1198</definedName>
    <definedName name="SD_34x1_91x11_4_B_0" localSheetId="23" hidden="1">Prolink!$D$1198</definedName>
    <definedName name="SD_34x1_91x11_8_B_0" localSheetId="23" hidden="1">Prolink!$E$1198</definedName>
    <definedName name="SD_34x1_91x12_10_B_0" localSheetId="23" hidden="1">Prolink!$R$1199</definedName>
    <definedName name="SD_34x1_91x12_11_B_0" localSheetId="23" hidden="1">Prolink!$P$1199</definedName>
    <definedName name="SD_34x1_91x12_12_B_0" localSheetId="23" hidden="1">Prolink!$Q$1199</definedName>
    <definedName name="SD_34x1_91x12_14_B_0" localSheetId="23" hidden="1">Prolink!$M$1199</definedName>
    <definedName name="SD_34x1_91x12_15_B_0" localSheetId="23" hidden="1">Prolink!$K$1199</definedName>
    <definedName name="SD_34x1_91x12_16_B_0" localSheetId="23" hidden="1">Prolink!$L$1199</definedName>
    <definedName name="SD_34x1_91x12_18_B_0" localSheetId="23" hidden="1">Prolink!$H$1199</definedName>
    <definedName name="SD_34x1_91x12_19_B_0" localSheetId="23" hidden="1">Prolink!$F$1199</definedName>
    <definedName name="SD_34x1_91x12_20_B_0" localSheetId="23" hidden="1">Prolink!$G$1199</definedName>
    <definedName name="SD_34x1_91x12_22_B_0" localSheetId="23" hidden="1">Prolink!$C$1199</definedName>
    <definedName name="SD_34x1_91x12_23_B_0" localSheetId="23" hidden="1">Prolink!$S$1199</definedName>
    <definedName name="SD_34x1_91x12_24_B_0" localSheetId="23" hidden="1">Prolink!$T$1199</definedName>
    <definedName name="SD_34x1_91x12_25_B_0" localSheetId="23" hidden="1">Prolink!$N$1199</definedName>
    <definedName name="SD_34x1_91x12_26_B_0" localSheetId="23" hidden="1">Prolink!$O$1199</definedName>
    <definedName name="SD_34x1_91x12_27_B_0" localSheetId="23" hidden="1">Prolink!$I$1199</definedName>
    <definedName name="SD_34x1_91x12_28_B_0" localSheetId="23" hidden="1">Prolink!$J$1199</definedName>
    <definedName name="SD_34x1_91x12_4_B_0" localSheetId="23" hidden="1">Prolink!$D$1199</definedName>
    <definedName name="SD_34x1_91x12_8_B_0" localSheetId="23" hidden="1">Prolink!$E$1199</definedName>
    <definedName name="SD_34x1_91x13_10_B_0" localSheetId="23" hidden="1">Prolink!$R$1200</definedName>
    <definedName name="SD_34x1_91x13_11_B_0" localSheetId="23" hidden="1">Prolink!$P$1200</definedName>
    <definedName name="SD_34x1_91x13_12_B_0" localSheetId="23" hidden="1">Prolink!$Q$1200</definedName>
    <definedName name="SD_34x1_91x13_14_B_0" localSheetId="23" hidden="1">Prolink!$M$1200</definedName>
    <definedName name="SD_34x1_91x13_15_B_0" localSheetId="23" hidden="1">Prolink!$K$1200</definedName>
    <definedName name="SD_34x1_91x13_16_B_0" localSheetId="23" hidden="1">Prolink!$L$1200</definedName>
    <definedName name="SD_34x1_91x13_18_B_0" localSheetId="23" hidden="1">Prolink!$H$1200</definedName>
    <definedName name="SD_34x1_91x13_19_B_0" localSheetId="23" hidden="1">Prolink!$F$1200</definedName>
    <definedName name="SD_34x1_91x13_20_B_0" localSheetId="23" hidden="1">Prolink!$G$1200</definedName>
    <definedName name="SD_34x1_91x13_22_B_0" localSheetId="23" hidden="1">Prolink!$C$1200</definedName>
    <definedName name="SD_34x1_91x13_23_B_0" localSheetId="23" hidden="1">Prolink!$S$1200</definedName>
    <definedName name="SD_34x1_91x13_24_B_0" localSheetId="23" hidden="1">Prolink!$T$1200</definedName>
    <definedName name="SD_34x1_91x13_25_B_0" localSheetId="23" hidden="1">Prolink!$N$1200</definedName>
    <definedName name="SD_34x1_91x13_26_B_0" localSheetId="23" hidden="1">Prolink!$O$1200</definedName>
    <definedName name="SD_34x1_91x13_27_B_0" localSheetId="23" hidden="1">Prolink!$I$1200</definedName>
    <definedName name="SD_34x1_91x13_28_B_0" localSheetId="23" hidden="1">Prolink!$J$1200</definedName>
    <definedName name="SD_34x1_91x13_4_B_0" localSheetId="23" hidden="1">Prolink!$D$1200</definedName>
    <definedName name="SD_34x1_91x13_8_B_0" localSheetId="23" hidden="1">Prolink!$E$1200</definedName>
    <definedName name="SD_34x1_91x14_10_B_0" localSheetId="23" hidden="1">Prolink!$R$1201</definedName>
    <definedName name="SD_34x1_91x14_11_B_0" localSheetId="23" hidden="1">Prolink!$P$1201</definedName>
    <definedName name="SD_34x1_91x14_12_B_0" localSheetId="23" hidden="1">Prolink!$Q$1201</definedName>
    <definedName name="SD_34x1_91x14_14_B_0" localSheetId="23" hidden="1">Prolink!$M$1201</definedName>
    <definedName name="SD_34x1_91x14_15_B_0" localSheetId="23" hidden="1">Prolink!$K$1201</definedName>
    <definedName name="SD_34x1_91x14_16_B_0" localSheetId="23" hidden="1">Prolink!$L$1201</definedName>
    <definedName name="SD_34x1_91x14_18_B_0" localSheetId="23" hidden="1">Prolink!$H$1201</definedName>
    <definedName name="SD_34x1_91x14_19_B_0" localSheetId="23" hidden="1">Prolink!$F$1201</definedName>
    <definedName name="SD_34x1_91x14_20_B_0" localSheetId="23" hidden="1">Prolink!$G$1201</definedName>
    <definedName name="SD_34x1_91x14_22_B_0" localSheetId="23" hidden="1">Prolink!$C$1201</definedName>
    <definedName name="SD_34x1_91x14_23_B_0" localSheetId="23" hidden="1">Prolink!$S$1201</definedName>
    <definedName name="SD_34x1_91x14_24_B_0" localSheetId="23" hidden="1">Prolink!$T$1201</definedName>
    <definedName name="SD_34x1_91x14_25_B_0" localSheetId="23" hidden="1">Prolink!$N$1201</definedName>
    <definedName name="SD_34x1_91x14_26_B_0" localSheetId="23" hidden="1">Prolink!$O$1201</definedName>
    <definedName name="SD_34x1_91x14_27_B_0" localSheetId="23" hidden="1">Prolink!$I$1201</definedName>
    <definedName name="SD_34x1_91x14_28_B_0" localSheetId="23" hidden="1">Prolink!$J$1201</definedName>
    <definedName name="SD_34x1_91x14_4_B_0" localSheetId="23" hidden="1">Prolink!$D$1201</definedName>
    <definedName name="SD_34x1_91x14_8_B_0" localSheetId="23" hidden="1">Prolink!$E$1201</definedName>
    <definedName name="SD_34x1_91x15_10_B_0" localSheetId="23" hidden="1">Prolink!$R$1202</definedName>
    <definedName name="SD_34x1_91x15_11_B_0" localSheetId="23" hidden="1">Prolink!$P$1202</definedName>
    <definedName name="SD_34x1_91x15_12_B_0" localSheetId="23" hidden="1">Prolink!$Q$1202</definedName>
    <definedName name="SD_34x1_91x15_14_B_0" localSheetId="23" hidden="1">Prolink!$M$1202</definedName>
    <definedName name="SD_34x1_91x15_15_B_0" localSheetId="23" hidden="1">Prolink!$K$1202</definedName>
    <definedName name="SD_34x1_91x15_16_B_0" localSheetId="23" hidden="1">Prolink!$L$1202</definedName>
    <definedName name="SD_34x1_91x15_18_B_0" localSheetId="23" hidden="1">Prolink!$H$1202</definedName>
    <definedName name="SD_34x1_91x15_19_B_0" localSheetId="23" hidden="1">Prolink!$F$1202</definedName>
    <definedName name="SD_34x1_91x15_20_B_0" localSheetId="23" hidden="1">Prolink!$G$1202</definedName>
    <definedName name="SD_34x1_91x15_22_B_0" localSheetId="23" hidden="1">Prolink!$C$1202</definedName>
    <definedName name="SD_34x1_91x15_23_B_0" localSheetId="23" hidden="1">Prolink!$S$1202</definedName>
    <definedName name="SD_34x1_91x15_24_B_0" localSheetId="23" hidden="1">Prolink!$T$1202</definedName>
    <definedName name="SD_34x1_91x15_25_B_0" localSheetId="23" hidden="1">Prolink!$N$1202</definedName>
    <definedName name="SD_34x1_91x15_26_B_0" localSheetId="23" hidden="1">Prolink!$O$1202</definedName>
    <definedName name="SD_34x1_91x15_27_B_0" localSheetId="23" hidden="1">Prolink!$I$1202</definedName>
    <definedName name="SD_34x1_91x15_28_B_0" localSheetId="23" hidden="1">Prolink!$J$1202</definedName>
    <definedName name="SD_34x1_91x15_4_B_0" localSheetId="23" hidden="1">Prolink!$D$1202</definedName>
    <definedName name="SD_34x1_91x15_8_B_0" localSheetId="23" hidden="1">Prolink!$E$1202</definedName>
    <definedName name="SD_34x1_91x16_10_B_0" localSheetId="23" hidden="1">Prolink!$R$1203</definedName>
    <definedName name="SD_34x1_91x16_11_B_0" localSheetId="23" hidden="1">Prolink!$P$1203</definedName>
    <definedName name="SD_34x1_91x16_12_B_0" localSheetId="23" hidden="1">Prolink!$Q$1203</definedName>
    <definedName name="SD_34x1_91x16_14_B_0" localSheetId="23" hidden="1">Prolink!$M$1203</definedName>
    <definedName name="SD_34x1_91x16_15_B_0" localSheetId="23" hidden="1">Prolink!$K$1203</definedName>
    <definedName name="SD_34x1_91x16_16_B_0" localSheetId="23" hidden="1">Prolink!$L$1203</definedName>
    <definedName name="SD_34x1_91x16_18_B_0" localSheetId="23" hidden="1">Prolink!$H$1203</definedName>
    <definedName name="SD_34x1_91x16_19_B_0" localSheetId="23" hidden="1">Prolink!$F$1203</definedName>
    <definedName name="SD_34x1_91x16_20_B_0" localSheetId="23" hidden="1">Prolink!$G$1203</definedName>
    <definedName name="SD_34x1_91x16_22_B_0" localSheetId="23" hidden="1">Prolink!$C$1203</definedName>
    <definedName name="SD_34x1_91x16_23_B_0" localSheetId="23" hidden="1">Prolink!$S$1203</definedName>
    <definedName name="SD_34x1_91x16_24_B_0" localSheetId="23" hidden="1">Prolink!$T$1203</definedName>
    <definedName name="SD_34x1_91x16_25_B_0" localSheetId="23" hidden="1">Prolink!$N$1203</definedName>
    <definedName name="SD_34x1_91x16_26_B_0" localSheetId="23" hidden="1">Prolink!$O$1203</definedName>
    <definedName name="SD_34x1_91x16_27_B_0" localSheetId="23" hidden="1">Prolink!$I$1203</definedName>
    <definedName name="SD_34x1_91x16_28_B_0" localSheetId="23" hidden="1">Prolink!$J$1203</definedName>
    <definedName name="SD_34x1_91x16_4_B_0" localSheetId="23" hidden="1">Prolink!$D$1203</definedName>
    <definedName name="SD_34x1_91x16_8_B_0" localSheetId="23" hidden="1">Prolink!$E$1203</definedName>
    <definedName name="SD_34x1_91x17_10_B_0" localSheetId="23" hidden="1">Prolink!$R$1204</definedName>
    <definedName name="SD_34x1_91x17_11_B_0" localSheetId="23" hidden="1">Prolink!$P$1204</definedName>
    <definedName name="SD_34x1_91x17_12_B_0" localSheetId="23" hidden="1">Prolink!$Q$1204</definedName>
    <definedName name="SD_34x1_91x17_14_B_0" localSheetId="23" hidden="1">Prolink!$M$1204</definedName>
    <definedName name="SD_34x1_91x17_15_B_0" localSheetId="23" hidden="1">Prolink!$K$1204</definedName>
    <definedName name="SD_34x1_91x17_16_B_0" localSheetId="23" hidden="1">Prolink!$L$1204</definedName>
    <definedName name="SD_34x1_91x17_18_B_0" localSheetId="23" hidden="1">Prolink!$H$1204</definedName>
    <definedName name="SD_34x1_91x17_19_B_0" localSheetId="23" hidden="1">Prolink!$F$1204</definedName>
    <definedName name="SD_34x1_91x17_20_B_0" localSheetId="23" hidden="1">Prolink!$G$1204</definedName>
    <definedName name="SD_34x1_91x17_22_B_0" localSheetId="23" hidden="1">Prolink!$C$1204</definedName>
    <definedName name="SD_34x1_91x17_23_B_0" localSheetId="23" hidden="1">Prolink!$S$1204</definedName>
    <definedName name="SD_34x1_91x17_24_B_0" localSheetId="23" hidden="1">Prolink!$T$1204</definedName>
    <definedName name="SD_34x1_91x17_25_B_0" localSheetId="23" hidden="1">Prolink!$N$1204</definedName>
    <definedName name="SD_34x1_91x17_26_B_0" localSheetId="23" hidden="1">Prolink!$O$1204</definedName>
    <definedName name="SD_34x1_91x17_27_B_0" localSheetId="23" hidden="1">Prolink!$I$1204</definedName>
    <definedName name="SD_34x1_91x17_28_B_0" localSheetId="23" hidden="1">Prolink!$J$1204</definedName>
    <definedName name="SD_34x1_91x17_4_B_0" localSheetId="23" hidden="1">Prolink!$D$1204</definedName>
    <definedName name="SD_34x1_91x17_8_B_0" localSheetId="23" hidden="1">Prolink!$E$1204</definedName>
    <definedName name="SD_34x1_91x18_10_B_0" localSheetId="23" hidden="1">Prolink!$R$1205</definedName>
    <definedName name="SD_34x1_91x18_11_B_0" localSheetId="23" hidden="1">Prolink!$P$1205</definedName>
    <definedName name="SD_34x1_91x18_12_B_0" localSheetId="23" hidden="1">Prolink!$Q$1205</definedName>
    <definedName name="SD_34x1_91x18_14_B_0" localSheetId="23" hidden="1">Prolink!$M$1205</definedName>
    <definedName name="SD_34x1_91x18_15_B_0" localSheetId="23" hidden="1">Prolink!$K$1205</definedName>
    <definedName name="SD_34x1_91x18_16_B_0" localSheetId="23" hidden="1">Prolink!$L$1205</definedName>
    <definedName name="SD_34x1_91x18_18_B_0" localSheetId="23" hidden="1">Prolink!$H$1205</definedName>
    <definedName name="SD_34x1_91x18_19_B_0" localSheetId="23" hidden="1">Prolink!$F$1205</definedName>
    <definedName name="SD_34x1_91x18_20_B_0" localSheetId="23" hidden="1">Prolink!$G$1205</definedName>
    <definedName name="SD_34x1_91x18_22_B_0" localSheetId="23" hidden="1">Prolink!$C$1205</definedName>
    <definedName name="SD_34x1_91x18_23_B_0" localSheetId="23" hidden="1">Prolink!$S$1205</definedName>
    <definedName name="SD_34x1_91x18_24_B_0" localSheetId="23" hidden="1">Prolink!$T$1205</definedName>
    <definedName name="SD_34x1_91x18_25_B_0" localSheetId="23" hidden="1">Prolink!$N$1205</definedName>
    <definedName name="SD_34x1_91x18_26_B_0" localSheetId="23" hidden="1">Prolink!$O$1205</definedName>
    <definedName name="SD_34x1_91x18_27_B_0" localSheetId="23" hidden="1">Prolink!$I$1205</definedName>
    <definedName name="SD_34x1_91x18_28_B_0" localSheetId="23" hidden="1">Prolink!$J$1205</definedName>
    <definedName name="SD_34x1_91x18_4_B_0" localSheetId="23" hidden="1">Prolink!$D$1205</definedName>
    <definedName name="SD_34x1_91x18_8_B_0" localSheetId="23" hidden="1">Prolink!$E$1205</definedName>
    <definedName name="SD_34x1_91x19_10_B_0" localSheetId="23" hidden="1">Prolink!$R$1206</definedName>
    <definedName name="SD_34x1_91x19_11_B_0" localSheetId="23" hidden="1">Prolink!$P$1206</definedName>
    <definedName name="SD_34x1_91x19_12_B_0" localSheetId="23" hidden="1">Prolink!$Q$1206</definedName>
    <definedName name="SD_34x1_91x19_14_B_0" localSheetId="23" hidden="1">Prolink!$M$1206</definedName>
    <definedName name="SD_34x1_91x19_15_B_0" localSheetId="23" hidden="1">Prolink!$K$1206</definedName>
    <definedName name="SD_34x1_91x19_16_B_0" localSheetId="23" hidden="1">Prolink!$L$1206</definedName>
    <definedName name="SD_34x1_91x19_18_B_0" localSheetId="23" hidden="1">Prolink!$H$1206</definedName>
    <definedName name="SD_34x1_91x19_19_B_0" localSheetId="23" hidden="1">Prolink!$F$1206</definedName>
    <definedName name="SD_34x1_91x19_20_B_0" localSheetId="23" hidden="1">Prolink!$G$1206</definedName>
    <definedName name="SD_34x1_91x19_22_B_0" localSheetId="23" hidden="1">Prolink!$C$1206</definedName>
    <definedName name="SD_34x1_91x19_23_B_0" localSheetId="23" hidden="1">Prolink!$S$1206</definedName>
    <definedName name="SD_34x1_91x19_24_B_0" localSheetId="23" hidden="1">Prolink!$T$1206</definedName>
    <definedName name="SD_34x1_91x19_25_B_0" localSheetId="23" hidden="1">Prolink!$N$1206</definedName>
    <definedName name="SD_34x1_91x19_26_B_0" localSheetId="23" hidden="1">Prolink!$O$1206</definedName>
    <definedName name="SD_34x1_91x19_27_B_0" localSheetId="23" hidden="1">Prolink!$I$1206</definedName>
    <definedName name="SD_34x1_91x19_28_B_0" localSheetId="23" hidden="1">Prolink!$J$1206</definedName>
    <definedName name="SD_34x1_91x19_4_B_0" localSheetId="23" hidden="1">Prolink!$D$1206</definedName>
    <definedName name="SD_34x1_91x19_8_B_0" localSheetId="23" hidden="1">Prolink!$E$1206</definedName>
    <definedName name="SD_34x1_91x2_10_B_0" localSheetId="23" hidden="1">Prolink!$R$1189</definedName>
    <definedName name="SD_34x1_91x2_11_B_0" localSheetId="23" hidden="1">Prolink!$P$1189</definedName>
    <definedName name="SD_34x1_91x2_12_B_0" localSheetId="23" hidden="1">Prolink!$Q$1189</definedName>
    <definedName name="SD_34x1_91x2_14_B_0" localSheetId="23" hidden="1">Prolink!$M$1189</definedName>
    <definedName name="SD_34x1_91x2_15_B_0" localSheetId="23" hidden="1">Prolink!$K$1189</definedName>
    <definedName name="SD_34x1_91x2_16_B_0" localSheetId="23" hidden="1">Prolink!$L$1189</definedName>
    <definedName name="SD_34x1_91x2_18_B_0" localSheetId="23" hidden="1">Prolink!$H$1189</definedName>
    <definedName name="SD_34x1_91x2_19_B_0" localSheetId="23" hidden="1">Prolink!$F$1189</definedName>
    <definedName name="SD_34x1_91x2_20_B_0" localSheetId="23" hidden="1">Prolink!$G$1189</definedName>
    <definedName name="SD_34x1_91x2_22_B_0" localSheetId="23" hidden="1">Prolink!$C$1189</definedName>
    <definedName name="SD_34x1_91x2_23_B_0" localSheetId="23" hidden="1">Prolink!$S$1189</definedName>
    <definedName name="SD_34x1_91x2_24_B_0" localSheetId="23" hidden="1">Prolink!$T$1189</definedName>
    <definedName name="SD_34x1_91x2_25_B_0" localSheetId="23" hidden="1">Prolink!$N$1189</definedName>
    <definedName name="SD_34x1_91x2_26_B_0" localSheetId="23" hidden="1">Prolink!$O$1189</definedName>
    <definedName name="SD_34x1_91x2_27_B_0" localSheetId="23" hidden="1">Prolink!$I$1189</definedName>
    <definedName name="SD_34x1_91x2_28_B_0" localSheetId="23" hidden="1">Prolink!$J$1189</definedName>
    <definedName name="SD_34x1_91x2_4_B_0" localSheetId="23" hidden="1">Prolink!$D$1189</definedName>
    <definedName name="SD_34x1_91x2_8_B_0" localSheetId="23" hidden="1">Prolink!$E$1189</definedName>
    <definedName name="SD_34x1_91x20_10_B_0" localSheetId="23" hidden="1">Prolink!$R$1207</definedName>
    <definedName name="SD_34x1_91x20_11_B_0" localSheetId="23" hidden="1">Prolink!$P$1207</definedName>
    <definedName name="SD_34x1_91x20_12_B_0" localSheetId="23" hidden="1">Prolink!$Q$1207</definedName>
    <definedName name="SD_34x1_91x20_14_B_0" localSheetId="23" hidden="1">Prolink!$M$1207</definedName>
    <definedName name="SD_34x1_91x20_15_B_0" localSheetId="23" hidden="1">Prolink!$K$1207</definedName>
    <definedName name="SD_34x1_91x20_16_B_0" localSheetId="23" hidden="1">Prolink!$L$1207</definedName>
    <definedName name="SD_34x1_91x20_18_B_0" localSheetId="23" hidden="1">Prolink!$H$1207</definedName>
    <definedName name="SD_34x1_91x20_19_B_0" localSheetId="23" hidden="1">Prolink!$F$1207</definedName>
    <definedName name="SD_34x1_91x20_20_B_0" localSheetId="23" hidden="1">Prolink!$G$1207</definedName>
    <definedName name="SD_34x1_91x20_22_B_0" localSheetId="23" hidden="1">Prolink!$C$1207</definedName>
    <definedName name="SD_34x1_91x20_23_B_0" localSheetId="23" hidden="1">Prolink!$S$1207</definedName>
    <definedName name="SD_34x1_91x20_24_B_0" localSheetId="23" hidden="1">Prolink!$T$1207</definedName>
    <definedName name="SD_34x1_91x20_25_B_0" localSheetId="23" hidden="1">Prolink!$N$1207</definedName>
    <definedName name="SD_34x1_91x20_26_B_0" localSheetId="23" hidden="1">Prolink!$O$1207</definedName>
    <definedName name="SD_34x1_91x20_27_B_0" localSheetId="23" hidden="1">Prolink!$I$1207</definedName>
    <definedName name="SD_34x1_91x20_28_B_0" localSheetId="23" hidden="1">Prolink!$J$1207</definedName>
    <definedName name="SD_34x1_91x20_4_B_0" localSheetId="23" hidden="1">Prolink!$D$1207</definedName>
    <definedName name="SD_34x1_91x20_8_B_0" localSheetId="23" hidden="1">Prolink!$E$1207</definedName>
    <definedName name="SD_34x1_91x21_10_B_0" localSheetId="23" hidden="1">Prolink!$R$1208</definedName>
    <definedName name="SD_34x1_91x21_11_B_0" localSheetId="23" hidden="1">Prolink!$P$1208</definedName>
    <definedName name="SD_34x1_91x21_12_B_0" localSheetId="23" hidden="1">Prolink!$Q$1208</definedName>
    <definedName name="SD_34x1_91x21_14_B_0" localSheetId="23" hidden="1">Prolink!$M$1208</definedName>
    <definedName name="SD_34x1_91x21_15_B_0" localSheetId="23" hidden="1">Prolink!$K$1208</definedName>
    <definedName name="SD_34x1_91x21_16_B_0" localSheetId="23" hidden="1">Prolink!$L$1208</definedName>
    <definedName name="SD_34x1_91x21_18_B_0" localSheetId="23" hidden="1">Prolink!$H$1208</definedName>
    <definedName name="SD_34x1_91x21_19_B_0" localSheetId="23" hidden="1">Prolink!$F$1208</definedName>
    <definedName name="SD_34x1_91x21_20_B_0" localSheetId="23" hidden="1">Prolink!$G$1208</definedName>
    <definedName name="SD_34x1_91x21_22_B_0" localSheetId="23" hidden="1">Prolink!$C$1208</definedName>
    <definedName name="SD_34x1_91x21_23_B_0" localSheetId="23" hidden="1">Prolink!$S$1208</definedName>
    <definedName name="SD_34x1_91x21_24_B_0" localSheetId="23" hidden="1">Prolink!$T$1208</definedName>
    <definedName name="SD_34x1_91x21_25_B_0" localSheetId="23" hidden="1">Prolink!$N$1208</definedName>
    <definedName name="SD_34x1_91x21_26_B_0" localSheetId="23" hidden="1">Prolink!$O$1208</definedName>
    <definedName name="SD_34x1_91x21_27_B_0" localSheetId="23" hidden="1">Prolink!$I$1208</definedName>
    <definedName name="SD_34x1_91x21_28_B_0" localSheetId="23" hidden="1">Prolink!$J$1208</definedName>
    <definedName name="SD_34x1_91x21_4_B_0" localSheetId="23" hidden="1">Prolink!$D$1208</definedName>
    <definedName name="SD_34x1_91x21_8_B_0" localSheetId="23" hidden="1">Prolink!$E$1208</definedName>
    <definedName name="SD_34x1_91x22_10_B_0" localSheetId="23" hidden="1">Prolink!$R$1209</definedName>
    <definedName name="SD_34x1_91x22_11_B_0" localSheetId="23" hidden="1">Prolink!$P$1209</definedName>
    <definedName name="SD_34x1_91x22_12_B_0" localSheetId="23" hidden="1">Prolink!$Q$1209</definedName>
    <definedName name="SD_34x1_91x22_14_B_0" localSheetId="23" hidden="1">Prolink!$M$1209</definedName>
    <definedName name="SD_34x1_91x22_15_B_0" localSheetId="23" hidden="1">Prolink!$K$1209</definedName>
    <definedName name="SD_34x1_91x22_16_B_0" localSheetId="23" hidden="1">Prolink!$L$1209</definedName>
    <definedName name="SD_34x1_91x22_18_B_0" localSheetId="23" hidden="1">Prolink!$H$1209</definedName>
    <definedName name="SD_34x1_91x22_19_B_0" localSheetId="23" hidden="1">Prolink!$F$1209</definedName>
    <definedName name="SD_34x1_91x22_20_B_0" localSheetId="23" hidden="1">Prolink!$G$1209</definedName>
    <definedName name="SD_34x1_91x22_22_B_0" localSheetId="23" hidden="1">Prolink!$C$1209</definedName>
    <definedName name="SD_34x1_91x22_23_B_0" localSheetId="23" hidden="1">Prolink!$S$1209</definedName>
    <definedName name="SD_34x1_91x22_24_B_0" localSheetId="23" hidden="1">Prolink!$T$1209</definedName>
    <definedName name="SD_34x1_91x22_25_B_0" localSheetId="23" hidden="1">Prolink!$N$1209</definedName>
    <definedName name="SD_34x1_91x22_26_B_0" localSheetId="23" hidden="1">Prolink!$O$1209</definedName>
    <definedName name="SD_34x1_91x22_27_B_0" localSheetId="23" hidden="1">Prolink!$I$1209</definedName>
    <definedName name="SD_34x1_91x22_28_B_0" localSheetId="23" hidden="1">Prolink!$J$1209</definedName>
    <definedName name="SD_34x1_91x22_4_B_0" localSheetId="23" hidden="1">Prolink!$D$1209</definedName>
    <definedName name="SD_34x1_91x22_8_B_0" localSheetId="23" hidden="1">Prolink!$E$1209</definedName>
    <definedName name="SD_34x1_91x23_10_B_0" localSheetId="23" hidden="1">Prolink!$R$1210</definedName>
    <definedName name="SD_34x1_91x23_11_B_0" localSheetId="23" hidden="1">Prolink!$P$1210</definedName>
    <definedName name="SD_34x1_91x23_12_B_0" localSheetId="23" hidden="1">Prolink!$Q$1210</definedName>
    <definedName name="SD_34x1_91x23_14_B_0" localSheetId="23" hidden="1">Prolink!$M$1210</definedName>
    <definedName name="SD_34x1_91x23_15_B_0" localSheetId="23" hidden="1">Prolink!$K$1210</definedName>
    <definedName name="SD_34x1_91x23_16_B_0" localSheetId="23" hidden="1">Prolink!$L$1210</definedName>
    <definedName name="SD_34x1_91x23_18_B_0" localSheetId="23" hidden="1">Prolink!$H$1210</definedName>
    <definedName name="SD_34x1_91x23_19_B_0" localSheetId="23" hidden="1">Prolink!$F$1210</definedName>
    <definedName name="SD_34x1_91x23_20_B_0" localSheetId="23" hidden="1">Prolink!$G$1210</definedName>
    <definedName name="SD_34x1_91x23_22_B_0" localSheetId="23" hidden="1">Prolink!$C$1210</definedName>
    <definedName name="SD_34x1_91x23_23_B_0" localSheetId="23" hidden="1">Prolink!$S$1210</definedName>
    <definedName name="SD_34x1_91x23_24_B_0" localSheetId="23" hidden="1">Prolink!$T$1210</definedName>
    <definedName name="SD_34x1_91x23_25_B_0" localSheetId="23" hidden="1">Prolink!$N$1210</definedName>
    <definedName name="SD_34x1_91x23_26_B_0" localSheetId="23" hidden="1">Prolink!$O$1210</definedName>
    <definedName name="SD_34x1_91x23_27_B_0" localSheetId="23" hidden="1">Prolink!$I$1210</definedName>
    <definedName name="SD_34x1_91x23_28_B_0" localSheetId="23" hidden="1">Prolink!$J$1210</definedName>
    <definedName name="SD_34x1_91x23_4_B_0" localSheetId="23" hidden="1">Prolink!$D$1210</definedName>
    <definedName name="SD_34x1_91x23_8_B_0" localSheetId="23" hidden="1">Prolink!$E$1210</definedName>
    <definedName name="SD_34x1_91x24_10_B_0" localSheetId="23" hidden="1">Prolink!$R$1211</definedName>
    <definedName name="SD_34x1_91x24_11_B_0" localSheetId="23" hidden="1">Prolink!$P$1211</definedName>
    <definedName name="SD_34x1_91x24_12_B_0" localSheetId="23" hidden="1">Prolink!$Q$1211</definedName>
    <definedName name="SD_34x1_91x24_14_B_0" localSheetId="23" hidden="1">Prolink!$M$1211</definedName>
    <definedName name="SD_34x1_91x24_15_B_0" localSheetId="23" hidden="1">Prolink!$K$1211</definedName>
    <definedName name="SD_34x1_91x24_16_B_0" localSheetId="23" hidden="1">Prolink!$L$1211</definedName>
    <definedName name="SD_34x1_91x24_18_B_0" localSheetId="23" hidden="1">Prolink!$H$1211</definedName>
    <definedName name="SD_34x1_91x24_19_B_0" localSheetId="23" hidden="1">Prolink!$F$1211</definedName>
    <definedName name="SD_34x1_91x24_20_B_0" localSheetId="23" hidden="1">Prolink!$G$1211</definedName>
    <definedName name="SD_34x1_91x24_22_B_0" localSheetId="23" hidden="1">Prolink!$C$1211</definedName>
    <definedName name="SD_34x1_91x24_23_B_0" localSheetId="23" hidden="1">Prolink!$S$1211</definedName>
    <definedName name="SD_34x1_91x24_24_B_0" localSheetId="23" hidden="1">Prolink!$T$1211</definedName>
    <definedName name="SD_34x1_91x24_25_B_0" localSheetId="23" hidden="1">Prolink!$N$1211</definedName>
    <definedName name="SD_34x1_91x24_26_B_0" localSheetId="23" hidden="1">Prolink!$O$1211</definedName>
    <definedName name="SD_34x1_91x24_27_B_0" localSheetId="23" hidden="1">Prolink!$I$1211</definedName>
    <definedName name="SD_34x1_91x24_28_B_0" localSheetId="23" hidden="1">Prolink!$J$1211</definedName>
    <definedName name="SD_34x1_91x24_4_B_0" localSheetId="23" hidden="1">Prolink!$D$1211</definedName>
    <definedName name="SD_34x1_91x24_8_B_0" localSheetId="23" hidden="1">Prolink!$E$1211</definedName>
    <definedName name="SD_34x1_91x25_10_B_0" localSheetId="23" hidden="1">Prolink!$R$1212</definedName>
    <definedName name="SD_34x1_91x25_11_B_0" localSheetId="23" hidden="1">Prolink!$P$1212</definedName>
    <definedName name="SD_34x1_91x25_12_B_0" localSheetId="23" hidden="1">Prolink!$Q$1212</definedName>
    <definedName name="SD_34x1_91x25_14_B_0" localSheetId="23" hidden="1">Prolink!$M$1212</definedName>
    <definedName name="SD_34x1_91x25_15_B_0" localSheetId="23" hidden="1">Prolink!$K$1212</definedName>
    <definedName name="SD_34x1_91x25_16_B_0" localSheetId="23" hidden="1">Prolink!$L$1212</definedName>
    <definedName name="SD_34x1_91x25_18_B_0" localSheetId="23" hidden="1">Prolink!$H$1212</definedName>
    <definedName name="SD_34x1_91x25_19_B_0" localSheetId="23" hidden="1">Prolink!$F$1212</definedName>
    <definedName name="SD_34x1_91x25_20_B_0" localSheetId="23" hidden="1">Prolink!$G$1212</definedName>
    <definedName name="SD_34x1_91x25_22_B_0" localSheetId="23" hidden="1">Prolink!$C$1212</definedName>
    <definedName name="SD_34x1_91x25_23_B_0" localSheetId="23" hidden="1">Prolink!$S$1212</definedName>
    <definedName name="SD_34x1_91x25_24_B_0" localSheetId="23" hidden="1">Prolink!$T$1212</definedName>
    <definedName name="SD_34x1_91x25_25_B_0" localSheetId="23" hidden="1">Prolink!$N$1212</definedName>
    <definedName name="SD_34x1_91x25_26_B_0" localSheetId="23" hidden="1">Prolink!$O$1212</definedName>
    <definedName name="SD_34x1_91x25_27_B_0" localSheetId="23" hidden="1">Prolink!$I$1212</definedName>
    <definedName name="SD_34x1_91x25_28_B_0" localSheetId="23" hidden="1">Prolink!$J$1212</definedName>
    <definedName name="SD_34x1_91x25_4_B_0" localSheetId="23" hidden="1">Prolink!$D$1212</definedName>
    <definedName name="SD_34x1_91x25_8_B_0" localSheetId="23" hidden="1">Prolink!$E$1212</definedName>
    <definedName name="SD_34x1_91x26_10_B_0" localSheetId="23" hidden="1">Prolink!$R$1213</definedName>
    <definedName name="SD_34x1_91x26_11_B_0" localSheetId="23" hidden="1">Prolink!$P$1213</definedName>
    <definedName name="SD_34x1_91x26_12_B_0" localSheetId="23" hidden="1">Prolink!$Q$1213</definedName>
    <definedName name="SD_34x1_91x26_14_B_0" localSheetId="23" hidden="1">Prolink!$M$1213</definedName>
    <definedName name="SD_34x1_91x26_15_B_0" localSheetId="23" hidden="1">Prolink!$K$1213</definedName>
    <definedName name="SD_34x1_91x26_16_B_0" localSheetId="23" hidden="1">Prolink!$L$1213</definedName>
    <definedName name="SD_34x1_91x26_18_B_0" localSheetId="23" hidden="1">Prolink!$H$1213</definedName>
    <definedName name="SD_34x1_91x26_19_B_0" localSheetId="23" hidden="1">Prolink!$F$1213</definedName>
    <definedName name="SD_34x1_91x26_20_B_0" localSheetId="23" hidden="1">Prolink!$G$1213</definedName>
    <definedName name="SD_34x1_91x26_22_B_0" localSheetId="23" hidden="1">Prolink!$C$1213</definedName>
    <definedName name="SD_34x1_91x26_23_B_0" localSheetId="23" hidden="1">Prolink!$S$1213</definedName>
    <definedName name="SD_34x1_91x26_24_B_0" localSheetId="23" hidden="1">Prolink!$T$1213</definedName>
    <definedName name="SD_34x1_91x26_25_B_0" localSheetId="23" hidden="1">Prolink!$N$1213</definedName>
    <definedName name="SD_34x1_91x26_26_B_0" localSheetId="23" hidden="1">Prolink!$O$1213</definedName>
    <definedName name="SD_34x1_91x26_27_B_0" localSheetId="23" hidden="1">Prolink!$I$1213</definedName>
    <definedName name="SD_34x1_91x26_28_B_0" localSheetId="23" hidden="1">Prolink!$J$1213</definedName>
    <definedName name="SD_34x1_91x26_4_B_0" localSheetId="23" hidden="1">Prolink!$D$1213</definedName>
    <definedName name="SD_34x1_91x26_8_B_0" localSheetId="23" hidden="1">Prolink!$E$1213</definedName>
    <definedName name="SD_34x1_91x27_10_B_0" localSheetId="23" hidden="1">Prolink!$R$1214</definedName>
    <definedName name="SD_34x1_91x27_11_B_0" localSheetId="23" hidden="1">Prolink!$P$1214</definedName>
    <definedName name="SD_34x1_91x27_12_B_0" localSheetId="23" hidden="1">Prolink!$Q$1214</definedName>
    <definedName name="SD_34x1_91x27_14_B_0" localSheetId="23" hidden="1">Prolink!$M$1214</definedName>
    <definedName name="SD_34x1_91x27_15_B_0" localSheetId="23" hidden="1">Prolink!$K$1214</definedName>
    <definedName name="SD_34x1_91x27_16_B_0" localSheetId="23" hidden="1">Prolink!$L$1214</definedName>
    <definedName name="SD_34x1_91x27_18_B_0" localSheetId="23" hidden="1">Prolink!$H$1214</definedName>
    <definedName name="SD_34x1_91x27_19_B_0" localSheetId="23" hidden="1">Prolink!$F$1214</definedName>
    <definedName name="SD_34x1_91x27_20_B_0" localSheetId="23" hidden="1">Prolink!$G$1214</definedName>
    <definedName name="SD_34x1_91x27_22_B_0" localSheetId="23" hidden="1">Prolink!$C$1214</definedName>
    <definedName name="SD_34x1_91x27_23_B_0" localSheetId="23" hidden="1">Prolink!$S$1214</definedName>
    <definedName name="SD_34x1_91x27_24_B_0" localSheetId="23" hidden="1">Prolink!$T$1214</definedName>
    <definedName name="SD_34x1_91x27_25_B_0" localSheetId="23" hidden="1">Prolink!$N$1214</definedName>
    <definedName name="SD_34x1_91x27_26_B_0" localSheetId="23" hidden="1">Prolink!$O$1214</definedName>
    <definedName name="SD_34x1_91x27_27_B_0" localSheetId="23" hidden="1">Prolink!$I$1214</definedName>
    <definedName name="SD_34x1_91x27_28_B_0" localSheetId="23" hidden="1">Prolink!$J$1214</definedName>
    <definedName name="SD_34x1_91x27_4_B_0" localSheetId="23" hidden="1">Prolink!$D$1214</definedName>
    <definedName name="SD_34x1_91x27_8_B_0" localSheetId="23" hidden="1">Prolink!$E$1214</definedName>
    <definedName name="SD_34x1_91x28_10_B_0" localSheetId="23" hidden="1">Prolink!$R$1215</definedName>
    <definedName name="SD_34x1_91x28_11_B_0" localSheetId="23" hidden="1">Prolink!$P$1215</definedName>
    <definedName name="SD_34x1_91x28_12_B_0" localSheetId="23" hidden="1">Prolink!$Q$1215</definedName>
    <definedName name="SD_34x1_91x28_14_B_0" localSheetId="23" hidden="1">Prolink!$M$1215</definedName>
    <definedName name="SD_34x1_91x28_15_B_0" localSheetId="23" hidden="1">Prolink!$K$1215</definedName>
    <definedName name="SD_34x1_91x28_16_B_0" localSheetId="23" hidden="1">Prolink!$L$1215</definedName>
    <definedName name="SD_34x1_91x28_18_B_0" localSheetId="23" hidden="1">Prolink!$H$1215</definedName>
    <definedName name="SD_34x1_91x28_19_B_0" localSheetId="23" hidden="1">Prolink!$F$1215</definedName>
    <definedName name="SD_34x1_91x28_20_B_0" localSheetId="23" hidden="1">Prolink!$G$1215</definedName>
    <definedName name="SD_34x1_91x28_22_B_0" localSheetId="23" hidden="1">Prolink!$C$1215</definedName>
    <definedName name="SD_34x1_91x28_23_B_0" localSheetId="23" hidden="1">Prolink!$S$1215</definedName>
    <definedName name="SD_34x1_91x28_24_B_0" localSheetId="23" hidden="1">Prolink!$T$1215</definedName>
    <definedName name="SD_34x1_91x28_25_B_0" localSheetId="23" hidden="1">Prolink!$N$1215</definedName>
    <definedName name="SD_34x1_91x28_26_B_0" localSheetId="23" hidden="1">Prolink!$O$1215</definedName>
    <definedName name="SD_34x1_91x28_27_B_0" localSheetId="23" hidden="1">Prolink!$I$1215</definedName>
    <definedName name="SD_34x1_91x28_28_B_0" localSheetId="23" hidden="1">Prolink!$J$1215</definedName>
    <definedName name="SD_34x1_91x28_4_B_0" localSheetId="23" hidden="1">Prolink!$D$1215</definedName>
    <definedName name="SD_34x1_91x28_8_B_0" localSheetId="23" hidden="1">Prolink!$E$1215</definedName>
    <definedName name="SD_34x1_91x29_10_B_0" localSheetId="23" hidden="1">Prolink!$R$1216</definedName>
    <definedName name="SD_34x1_91x29_11_B_0" localSheetId="23" hidden="1">Prolink!$P$1216</definedName>
    <definedName name="SD_34x1_91x29_12_B_0" localSheetId="23" hidden="1">Prolink!$Q$1216</definedName>
    <definedName name="SD_34x1_91x29_14_B_0" localSheetId="23" hidden="1">Prolink!$M$1216</definedName>
    <definedName name="SD_34x1_91x29_15_B_0" localSheetId="23" hidden="1">Prolink!$K$1216</definedName>
    <definedName name="SD_34x1_91x29_16_B_0" localSheetId="23" hidden="1">Prolink!$L$1216</definedName>
    <definedName name="SD_34x1_91x29_18_B_0" localSheetId="23" hidden="1">Prolink!$H$1216</definedName>
    <definedName name="SD_34x1_91x29_19_B_0" localSheetId="23" hidden="1">Prolink!$F$1216</definedName>
    <definedName name="SD_34x1_91x29_20_B_0" localSheetId="23" hidden="1">Prolink!$G$1216</definedName>
    <definedName name="SD_34x1_91x29_22_B_0" localSheetId="23" hidden="1">Prolink!$C$1216</definedName>
    <definedName name="SD_34x1_91x29_23_B_0" localSheetId="23" hidden="1">Prolink!$S$1216</definedName>
    <definedName name="SD_34x1_91x29_24_B_0" localSheetId="23" hidden="1">Prolink!$T$1216</definedName>
    <definedName name="SD_34x1_91x29_25_B_0" localSheetId="23" hidden="1">Prolink!$N$1216</definedName>
    <definedName name="SD_34x1_91x29_26_B_0" localSheetId="23" hidden="1">Prolink!$O$1216</definedName>
    <definedName name="SD_34x1_91x29_27_B_0" localSheetId="23" hidden="1">Prolink!$I$1216</definedName>
    <definedName name="SD_34x1_91x29_28_B_0" localSheetId="23" hidden="1">Prolink!$J$1216</definedName>
    <definedName name="SD_34x1_91x29_4_B_0" localSheetId="23" hidden="1">Prolink!$D$1216</definedName>
    <definedName name="SD_34x1_91x29_8_B_0" localSheetId="23" hidden="1">Prolink!$E$1216</definedName>
    <definedName name="SD_34x1_91x3_10_B_0" localSheetId="23" hidden="1">Prolink!$R$1190</definedName>
    <definedName name="SD_34x1_91x3_11_B_0" localSheetId="23" hidden="1">Prolink!$P$1190</definedName>
    <definedName name="SD_34x1_91x3_12_B_0" localSheetId="23" hidden="1">Prolink!$Q$1190</definedName>
    <definedName name="SD_34x1_91x3_14_B_0" localSheetId="23" hidden="1">Prolink!$M$1190</definedName>
    <definedName name="SD_34x1_91x3_15_B_0" localSheetId="23" hidden="1">Prolink!$K$1190</definedName>
    <definedName name="SD_34x1_91x3_16_B_0" localSheetId="23" hidden="1">Prolink!$L$1190</definedName>
    <definedName name="SD_34x1_91x3_18_B_0" localSheetId="23" hidden="1">Prolink!$H$1190</definedName>
    <definedName name="SD_34x1_91x3_19_B_0" localSheetId="23" hidden="1">Prolink!$F$1190</definedName>
    <definedName name="SD_34x1_91x3_20_B_0" localSheetId="23" hidden="1">Prolink!$G$1190</definedName>
    <definedName name="SD_34x1_91x3_22_B_0" localSheetId="23" hidden="1">Prolink!$C$1190</definedName>
    <definedName name="SD_34x1_91x3_23_B_0" localSheetId="23" hidden="1">Prolink!$S$1190</definedName>
    <definedName name="SD_34x1_91x3_24_B_0" localSheetId="23" hidden="1">Prolink!$T$1190</definedName>
    <definedName name="SD_34x1_91x3_25_B_0" localSheetId="23" hidden="1">Prolink!$N$1190</definedName>
    <definedName name="SD_34x1_91x3_26_B_0" localSheetId="23" hidden="1">Prolink!$O$1190</definedName>
    <definedName name="SD_34x1_91x3_27_B_0" localSheetId="23" hidden="1">Prolink!$I$1190</definedName>
    <definedName name="SD_34x1_91x3_28_B_0" localSheetId="23" hidden="1">Prolink!$J$1190</definedName>
    <definedName name="SD_34x1_91x3_4_B_0" localSheetId="23" hidden="1">Prolink!$D$1190</definedName>
    <definedName name="SD_34x1_91x3_8_B_0" localSheetId="23" hidden="1">Prolink!$E$1190</definedName>
    <definedName name="SD_34x1_91x30_10_B_0" localSheetId="23" hidden="1">Prolink!$R$1217</definedName>
    <definedName name="SD_34x1_91x30_11_B_0" localSheetId="23" hidden="1">Prolink!$P$1217</definedName>
    <definedName name="SD_34x1_91x30_12_B_0" localSheetId="23" hidden="1">Prolink!$Q$1217</definedName>
    <definedName name="SD_34x1_91x30_14_B_0" localSheetId="23" hidden="1">Prolink!$M$1217</definedName>
    <definedName name="SD_34x1_91x30_15_B_0" localSheetId="23" hidden="1">Prolink!$K$1217</definedName>
    <definedName name="SD_34x1_91x30_16_B_0" localSheetId="23" hidden="1">Prolink!$L$1217</definedName>
    <definedName name="SD_34x1_91x30_18_B_0" localSheetId="23" hidden="1">Prolink!$H$1217</definedName>
    <definedName name="SD_34x1_91x30_19_B_0" localSheetId="23" hidden="1">Prolink!$F$1217</definedName>
    <definedName name="SD_34x1_91x30_20_B_0" localSheetId="23" hidden="1">Prolink!$G$1217</definedName>
    <definedName name="SD_34x1_91x30_22_B_0" localSheetId="23" hidden="1">Prolink!$C$1217</definedName>
    <definedName name="SD_34x1_91x30_23_B_0" localSheetId="23" hidden="1">Prolink!$S$1217</definedName>
    <definedName name="SD_34x1_91x30_24_B_0" localSheetId="23" hidden="1">Prolink!$T$1217</definedName>
    <definedName name="SD_34x1_91x30_25_B_0" localSheetId="23" hidden="1">Prolink!$N$1217</definedName>
    <definedName name="SD_34x1_91x30_26_B_0" localSheetId="23" hidden="1">Prolink!$O$1217</definedName>
    <definedName name="SD_34x1_91x30_27_B_0" localSheetId="23" hidden="1">Prolink!$I$1217</definedName>
    <definedName name="SD_34x1_91x30_28_B_0" localSheetId="23" hidden="1">Prolink!$J$1217</definedName>
    <definedName name="SD_34x1_91x30_4_B_0" localSheetId="23" hidden="1">Prolink!$D$1217</definedName>
    <definedName name="SD_34x1_91x30_8_B_0" localSheetId="23" hidden="1">Prolink!$E$1217</definedName>
    <definedName name="SD_34x1_91x31_10_B_0" localSheetId="23" hidden="1">Prolink!$R$1218</definedName>
    <definedName name="SD_34x1_91x31_11_B_0" localSheetId="23" hidden="1">Prolink!$P$1218</definedName>
    <definedName name="SD_34x1_91x31_12_B_0" localSheetId="23" hidden="1">Prolink!$Q$1218</definedName>
    <definedName name="SD_34x1_91x31_14_B_0" localSheetId="23" hidden="1">Prolink!$M$1218</definedName>
    <definedName name="SD_34x1_91x31_15_B_0" localSheetId="23" hidden="1">Prolink!$K$1218</definedName>
    <definedName name="SD_34x1_91x31_16_B_0" localSheetId="23" hidden="1">Prolink!$L$1218</definedName>
    <definedName name="SD_34x1_91x31_18_B_0" localSheetId="23" hidden="1">Prolink!$H$1218</definedName>
    <definedName name="SD_34x1_91x31_19_B_0" localSheetId="23" hidden="1">Prolink!$F$1218</definedName>
    <definedName name="SD_34x1_91x31_20_B_0" localSheetId="23" hidden="1">Prolink!$G$1218</definedName>
    <definedName name="SD_34x1_91x31_22_B_0" localSheetId="23" hidden="1">Prolink!$C$1218</definedName>
    <definedName name="SD_34x1_91x31_23_B_0" localSheetId="23" hidden="1">Prolink!$S$1218</definedName>
    <definedName name="SD_34x1_91x31_24_B_0" localSheetId="23" hidden="1">Prolink!$T$1218</definedName>
    <definedName name="SD_34x1_91x31_25_B_0" localSheetId="23" hidden="1">Prolink!$N$1218</definedName>
    <definedName name="SD_34x1_91x31_26_B_0" localSheetId="23" hidden="1">Prolink!$O$1218</definedName>
    <definedName name="SD_34x1_91x31_27_B_0" localSheetId="23" hidden="1">Prolink!$I$1218</definedName>
    <definedName name="SD_34x1_91x31_28_B_0" localSheetId="23" hidden="1">Prolink!$J$1218</definedName>
    <definedName name="SD_34x1_91x31_4_B_0" localSheetId="23" hidden="1">Prolink!$D$1218</definedName>
    <definedName name="SD_34x1_91x31_8_B_0" localSheetId="23" hidden="1">Prolink!$E$1218</definedName>
    <definedName name="SD_34x1_91x32_10_B_0" localSheetId="23" hidden="1">Prolink!$R$1219</definedName>
    <definedName name="SD_34x1_91x32_11_B_0" localSheetId="23" hidden="1">Prolink!$P$1219</definedName>
    <definedName name="SD_34x1_91x32_12_B_0" localSheetId="23" hidden="1">Prolink!$Q$1219</definedName>
    <definedName name="SD_34x1_91x32_14_B_0" localSheetId="23" hidden="1">Prolink!$M$1219</definedName>
    <definedName name="SD_34x1_91x32_15_B_0" localSheetId="23" hidden="1">Prolink!$K$1219</definedName>
    <definedName name="SD_34x1_91x32_16_B_0" localSheetId="23" hidden="1">Prolink!$L$1219</definedName>
    <definedName name="SD_34x1_91x32_18_B_0" localSheetId="23" hidden="1">Prolink!$H$1219</definedName>
    <definedName name="SD_34x1_91x32_19_B_0" localSheetId="23" hidden="1">Prolink!$F$1219</definedName>
    <definedName name="SD_34x1_91x32_20_B_0" localSheetId="23" hidden="1">Prolink!$G$1219</definedName>
    <definedName name="SD_34x1_91x32_22_B_0" localSheetId="23" hidden="1">Prolink!$C$1219</definedName>
    <definedName name="SD_34x1_91x32_23_B_0" localSheetId="23" hidden="1">Prolink!$S$1219</definedName>
    <definedName name="SD_34x1_91x32_24_B_0" localSheetId="23" hidden="1">Prolink!$T$1219</definedName>
    <definedName name="SD_34x1_91x32_25_B_0" localSheetId="23" hidden="1">Prolink!$N$1219</definedName>
    <definedName name="SD_34x1_91x32_26_B_0" localSheetId="23" hidden="1">Prolink!$O$1219</definedName>
    <definedName name="SD_34x1_91x32_27_B_0" localSheetId="23" hidden="1">Prolink!$I$1219</definedName>
    <definedName name="SD_34x1_91x32_28_B_0" localSheetId="23" hidden="1">Prolink!$J$1219</definedName>
    <definedName name="SD_34x1_91x32_4_B_0" localSheetId="23" hidden="1">Prolink!$D$1219</definedName>
    <definedName name="SD_34x1_91x32_8_B_0" localSheetId="23" hidden="1">Prolink!$E$1219</definedName>
    <definedName name="SD_34x1_91x33_10_B_0" localSheetId="23" hidden="1">Prolink!$R$1220</definedName>
    <definedName name="SD_34x1_91x33_11_B_0" localSheetId="23" hidden="1">Prolink!$P$1220</definedName>
    <definedName name="SD_34x1_91x33_12_B_0" localSheetId="23" hidden="1">Prolink!$Q$1220</definedName>
    <definedName name="SD_34x1_91x33_14_B_0" localSheetId="23" hidden="1">Prolink!$M$1220</definedName>
    <definedName name="SD_34x1_91x33_15_B_0" localSheetId="23" hidden="1">Prolink!$K$1220</definedName>
    <definedName name="SD_34x1_91x33_16_B_0" localSheetId="23" hidden="1">Prolink!$L$1220</definedName>
    <definedName name="SD_34x1_91x33_18_B_0" localSheetId="23" hidden="1">Prolink!$H$1220</definedName>
    <definedName name="SD_34x1_91x33_19_B_0" localSheetId="23" hidden="1">Prolink!$F$1220</definedName>
    <definedName name="SD_34x1_91x33_20_B_0" localSheetId="23" hidden="1">Prolink!$G$1220</definedName>
    <definedName name="SD_34x1_91x33_22_B_0" localSheetId="23" hidden="1">Prolink!$C$1220</definedName>
    <definedName name="SD_34x1_91x33_23_B_0" localSheetId="23" hidden="1">Prolink!$S$1220</definedName>
    <definedName name="SD_34x1_91x33_24_B_0" localSheetId="23" hidden="1">Prolink!$T$1220</definedName>
    <definedName name="SD_34x1_91x33_25_B_0" localSheetId="23" hidden="1">Prolink!$N$1220</definedName>
    <definedName name="SD_34x1_91x33_26_B_0" localSheetId="23" hidden="1">Prolink!$O$1220</definedName>
    <definedName name="SD_34x1_91x33_27_B_0" localSheetId="23" hidden="1">Prolink!$I$1220</definedName>
    <definedName name="SD_34x1_91x33_28_B_0" localSheetId="23" hidden="1">Prolink!$J$1220</definedName>
    <definedName name="SD_34x1_91x33_4_B_0" localSheetId="23" hidden="1">Prolink!$D$1220</definedName>
    <definedName name="SD_34x1_91x33_8_B_0" localSheetId="23" hidden="1">Prolink!$E$1220</definedName>
    <definedName name="SD_34x1_91x34_10_B_0" localSheetId="23" hidden="1">Prolink!$R$1221</definedName>
    <definedName name="SD_34x1_91x34_11_B_0" localSheetId="23" hidden="1">Prolink!$P$1221</definedName>
    <definedName name="SD_34x1_91x34_12_B_0" localSheetId="23" hidden="1">Prolink!$Q$1221</definedName>
    <definedName name="SD_34x1_91x34_14_B_0" localSheetId="23" hidden="1">Prolink!$M$1221</definedName>
    <definedName name="SD_34x1_91x34_15_B_0" localSheetId="23" hidden="1">Prolink!$K$1221</definedName>
    <definedName name="SD_34x1_91x34_16_B_0" localSheetId="23" hidden="1">Prolink!$L$1221</definedName>
    <definedName name="SD_34x1_91x34_18_B_0" localSheetId="23" hidden="1">Prolink!$H$1221</definedName>
    <definedName name="SD_34x1_91x34_19_B_0" localSheetId="23" hidden="1">Prolink!$F$1221</definedName>
    <definedName name="SD_34x1_91x34_20_B_0" localSheetId="23" hidden="1">Prolink!$G$1221</definedName>
    <definedName name="SD_34x1_91x34_22_B_0" localSheetId="23" hidden="1">Prolink!$C$1221</definedName>
    <definedName name="SD_34x1_91x34_23_B_0" localSheetId="23" hidden="1">Prolink!$S$1221</definedName>
    <definedName name="SD_34x1_91x34_24_B_0" localSheetId="23" hidden="1">Prolink!$T$1221</definedName>
    <definedName name="SD_34x1_91x34_25_B_0" localSheetId="23" hidden="1">Prolink!$N$1221</definedName>
    <definedName name="SD_34x1_91x34_26_B_0" localSheetId="23" hidden="1">Prolink!$O$1221</definedName>
    <definedName name="SD_34x1_91x34_27_B_0" localSheetId="23" hidden="1">Prolink!$I$1221</definedName>
    <definedName name="SD_34x1_91x34_28_B_0" localSheetId="23" hidden="1">Prolink!$J$1221</definedName>
    <definedName name="SD_34x1_91x34_4_B_0" localSheetId="23" hidden="1">Prolink!$D$1221</definedName>
    <definedName name="SD_34x1_91x34_8_B_0" localSheetId="23" hidden="1">Prolink!$E$1221</definedName>
    <definedName name="SD_34x1_91x35_10_B_0" localSheetId="23" hidden="1">Prolink!$R$1222</definedName>
    <definedName name="SD_34x1_91x35_11_B_0" localSheetId="23" hidden="1">Prolink!$P$1222</definedName>
    <definedName name="SD_34x1_91x35_12_B_0" localSheetId="23" hidden="1">Prolink!$Q$1222</definedName>
    <definedName name="SD_34x1_91x35_14_B_0" localSheetId="23" hidden="1">Prolink!$M$1222</definedName>
    <definedName name="SD_34x1_91x35_15_B_0" localSheetId="23" hidden="1">Prolink!$K$1222</definedName>
    <definedName name="SD_34x1_91x35_16_B_0" localSheetId="23" hidden="1">Prolink!$L$1222</definedName>
    <definedName name="SD_34x1_91x35_18_B_0" localSheetId="23" hidden="1">Prolink!$H$1222</definedName>
    <definedName name="SD_34x1_91x35_19_B_0" localSheetId="23" hidden="1">Prolink!$F$1222</definedName>
    <definedName name="SD_34x1_91x35_20_B_0" localSheetId="23" hidden="1">Prolink!$G$1222</definedName>
    <definedName name="SD_34x1_91x35_22_B_0" localSheetId="23" hidden="1">Prolink!$C$1222</definedName>
    <definedName name="SD_34x1_91x35_23_B_0" localSheetId="23" hidden="1">Prolink!$S$1222</definedName>
    <definedName name="SD_34x1_91x35_24_B_0" localSheetId="23" hidden="1">Prolink!$T$1222</definedName>
    <definedName name="SD_34x1_91x35_25_B_0" localSheetId="23" hidden="1">Prolink!$N$1222</definedName>
    <definedName name="SD_34x1_91x35_26_B_0" localSheetId="23" hidden="1">Prolink!$O$1222</definedName>
    <definedName name="SD_34x1_91x35_27_B_0" localSheetId="23" hidden="1">Prolink!$I$1222</definedName>
    <definedName name="SD_34x1_91x35_28_B_0" localSheetId="23" hidden="1">Prolink!$J$1222</definedName>
    <definedName name="SD_34x1_91x35_4_B_0" localSheetId="23" hidden="1">Prolink!$D$1222</definedName>
    <definedName name="SD_34x1_91x35_8_B_0" localSheetId="23" hidden="1">Prolink!$E$1222</definedName>
    <definedName name="SD_34x1_91x36_10_B_0" localSheetId="23" hidden="1">Prolink!$R$1223</definedName>
    <definedName name="SD_34x1_91x36_11_B_0" localSheetId="23" hidden="1">Prolink!$P$1223</definedName>
    <definedName name="SD_34x1_91x36_12_B_0" localSheetId="23" hidden="1">Prolink!$Q$1223</definedName>
    <definedName name="SD_34x1_91x36_14_B_0" localSheetId="23" hidden="1">Prolink!$M$1223</definedName>
    <definedName name="SD_34x1_91x36_15_B_0" localSheetId="23" hidden="1">Prolink!$K$1223</definedName>
    <definedName name="SD_34x1_91x36_16_B_0" localSheetId="23" hidden="1">Prolink!$L$1223</definedName>
    <definedName name="SD_34x1_91x36_18_B_0" localSheetId="23" hidden="1">Prolink!$H$1223</definedName>
    <definedName name="SD_34x1_91x36_19_B_0" localSheetId="23" hidden="1">Prolink!$F$1223</definedName>
    <definedName name="SD_34x1_91x36_20_B_0" localSheetId="23" hidden="1">Prolink!$G$1223</definedName>
    <definedName name="SD_34x1_91x36_22_B_0" localSheetId="23" hidden="1">Prolink!$C$1223</definedName>
    <definedName name="SD_34x1_91x36_23_B_0" localSheetId="23" hidden="1">Prolink!$S$1223</definedName>
    <definedName name="SD_34x1_91x36_24_B_0" localSheetId="23" hidden="1">Prolink!$T$1223</definedName>
    <definedName name="SD_34x1_91x36_25_B_0" localSheetId="23" hidden="1">Prolink!$N$1223</definedName>
    <definedName name="SD_34x1_91x36_26_B_0" localSheetId="23" hidden="1">Prolink!$O$1223</definedName>
    <definedName name="SD_34x1_91x36_27_B_0" localSheetId="23" hidden="1">Prolink!$I$1223</definedName>
    <definedName name="SD_34x1_91x36_28_B_0" localSheetId="23" hidden="1">Prolink!$J$1223</definedName>
    <definedName name="SD_34x1_91x36_4_B_0" localSheetId="23" hidden="1">Prolink!$D$1223</definedName>
    <definedName name="SD_34x1_91x36_8_B_0" localSheetId="23" hidden="1">Prolink!$E$1223</definedName>
    <definedName name="SD_34x1_91x37_10_B_0" localSheetId="23" hidden="1">Prolink!$R$1224</definedName>
    <definedName name="SD_34x1_91x37_11_B_0" localSheetId="23" hidden="1">Prolink!$P$1224</definedName>
    <definedName name="SD_34x1_91x37_12_B_0" localSheetId="23" hidden="1">Prolink!$Q$1224</definedName>
    <definedName name="SD_34x1_91x37_14_B_0" localSheetId="23" hidden="1">Prolink!$M$1224</definedName>
    <definedName name="SD_34x1_91x37_15_B_0" localSheetId="23" hidden="1">Prolink!$K$1224</definedName>
    <definedName name="SD_34x1_91x37_16_B_0" localSheetId="23" hidden="1">Prolink!$L$1224</definedName>
    <definedName name="SD_34x1_91x37_18_B_0" localSheetId="23" hidden="1">Prolink!$H$1224</definedName>
    <definedName name="SD_34x1_91x37_19_B_0" localSheetId="23" hidden="1">Prolink!$F$1224</definedName>
    <definedName name="SD_34x1_91x37_20_B_0" localSheetId="23" hidden="1">Prolink!$G$1224</definedName>
    <definedName name="SD_34x1_91x37_22_B_0" localSheetId="23" hidden="1">Prolink!$C$1224</definedName>
    <definedName name="SD_34x1_91x37_23_B_0" localSheetId="23" hidden="1">Prolink!$S$1224</definedName>
    <definedName name="SD_34x1_91x37_24_B_0" localSheetId="23" hidden="1">Prolink!$T$1224</definedName>
    <definedName name="SD_34x1_91x37_25_B_0" localSheetId="23" hidden="1">Prolink!$N$1224</definedName>
    <definedName name="SD_34x1_91x37_26_B_0" localSheetId="23" hidden="1">Prolink!$O$1224</definedName>
    <definedName name="SD_34x1_91x37_27_B_0" localSheetId="23" hidden="1">Prolink!$I$1224</definedName>
    <definedName name="SD_34x1_91x37_28_B_0" localSheetId="23" hidden="1">Prolink!$J$1224</definedName>
    <definedName name="SD_34x1_91x37_4_B_0" localSheetId="23" hidden="1">Prolink!$D$1224</definedName>
    <definedName name="SD_34x1_91x37_8_B_0" localSheetId="23" hidden="1">Prolink!$E$1224</definedName>
    <definedName name="SD_34x1_91x38_10_B_0" localSheetId="23" hidden="1">Prolink!$R$1225</definedName>
    <definedName name="SD_34x1_91x38_11_B_0" localSheetId="23" hidden="1">Prolink!$P$1225</definedName>
    <definedName name="SD_34x1_91x38_12_B_0" localSheetId="23" hidden="1">Prolink!$Q$1225</definedName>
    <definedName name="SD_34x1_91x38_14_B_0" localSheetId="23" hidden="1">Prolink!$M$1225</definedName>
    <definedName name="SD_34x1_91x38_15_B_0" localSheetId="23" hidden="1">Prolink!$K$1225</definedName>
    <definedName name="SD_34x1_91x38_16_B_0" localSheetId="23" hidden="1">Prolink!$L$1225</definedName>
    <definedName name="SD_34x1_91x38_18_B_0" localSheetId="23" hidden="1">Prolink!$H$1225</definedName>
    <definedName name="SD_34x1_91x38_19_B_0" localSheetId="23" hidden="1">Prolink!$F$1225</definedName>
    <definedName name="SD_34x1_91x38_20_B_0" localSheetId="23" hidden="1">Prolink!$G$1225</definedName>
    <definedName name="SD_34x1_91x38_22_B_0" localSheetId="23" hidden="1">Prolink!$C$1225</definedName>
    <definedName name="SD_34x1_91x38_23_B_0" localSheetId="23" hidden="1">Prolink!$S$1225</definedName>
    <definedName name="SD_34x1_91x38_24_B_0" localSheetId="23" hidden="1">Prolink!$T$1225</definedName>
    <definedName name="SD_34x1_91x38_25_B_0" localSheetId="23" hidden="1">Prolink!$N$1225</definedName>
    <definedName name="SD_34x1_91x38_26_B_0" localSheetId="23" hidden="1">Prolink!$O$1225</definedName>
    <definedName name="SD_34x1_91x38_27_B_0" localSheetId="23" hidden="1">Prolink!$I$1225</definedName>
    <definedName name="SD_34x1_91x38_28_B_0" localSheetId="23" hidden="1">Prolink!$J$1225</definedName>
    <definedName name="SD_34x1_91x38_4_B_0" localSheetId="23" hidden="1">Prolink!$D$1225</definedName>
    <definedName name="SD_34x1_91x38_8_B_0" localSheetId="23" hidden="1">Prolink!$E$1225</definedName>
    <definedName name="SD_34x1_91x39_10_B_0" localSheetId="23" hidden="1">Prolink!$R$1226</definedName>
    <definedName name="SD_34x1_91x39_11_B_0" localSheetId="23" hidden="1">Prolink!$P$1226</definedName>
    <definedName name="SD_34x1_91x39_12_B_0" localSheetId="23" hidden="1">Prolink!$Q$1226</definedName>
    <definedName name="SD_34x1_91x39_14_B_0" localSheetId="23" hidden="1">Prolink!$M$1226</definedName>
    <definedName name="SD_34x1_91x39_15_B_0" localSheetId="23" hidden="1">Prolink!$K$1226</definedName>
    <definedName name="SD_34x1_91x39_16_B_0" localSheetId="23" hidden="1">Prolink!$L$1226</definedName>
    <definedName name="SD_34x1_91x39_18_B_0" localSheetId="23" hidden="1">Prolink!$H$1226</definedName>
    <definedName name="SD_34x1_91x39_19_B_0" localSheetId="23" hidden="1">Prolink!$F$1226</definedName>
    <definedName name="SD_34x1_91x39_20_B_0" localSheetId="23" hidden="1">Prolink!$G$1226</definedName>
    <definedName name="SD_34x1_91x39_22_B_0" localSheetId="23" hidden="1">Prolink!$C$1226</definedName>
    <definedName name="SD_34x1_91x39_23_B_0" localSheetId="23" hidden="1">Prolink!$S$1226</definedName>
    <definedName name="SD_34x1_91x39_24_B_0" localSheetId="23" hidden="1">Prolink!$T$1226</definedName>
    <definedName name="SD_34x1_91x39_25_B_0" localSheetId="23" hidden="1">Prolink!$N$1226</definedName>
    <definedName name="SD_34x1_91x39_26_B_0" localSheetId="23" hidden="1">Prolink!$O$1226</definedName>
    <definedName name="SD_34x1_91x39_27_B_0" localSheetId="23" hidden="1">Prolink!$I$1226</definedName>
    <definedName name="SD_34x1_91x39_28_B_0" localSheetId="23" hidden="1">Prolink!$J$1226</definedName>
    <definedName name="SD_34x1_91x39_4_B_0" localSheetId="23" hidden="1">Prolink!$D$1226</definedName>
    <definedName name="SD_34x1_91x39_8_B_0" localSheetId="23" hidden="1">Prolink!$E$1226</definedName>
    <definedName name="SD_34x1_91x4_10_B_0" localSheetId="23" hidden="1">Prolink!$R$1191</definedName>
    <definedName name="SD_34x1_91x4_11_B_0" localSheetId="23" hidden="1">Prolink!$P$1191</definedName>
    <definedName name="SD_34x1_91x4_12_B_0" localSheetId="23" hidden="1">Prolink!$Q$1191</definedName>
    <definedName name="SD_34x1_91x4_14_B_0" localSheetId="23" hidden="1">Prolink!$M$1191</definedName>
    <definedName name="SD_34x1_91x4_15_B_0" localSheetId="23" hidden="1">Prolink!$K$1191</definedName>
    <definedName name="SD_34x1_91x4_16_B_0" localSheetId="23" hidden="1">Prolink!$L$1191</definedName>
    <definedName name="SD_34x1_91x4_18_B_0" localSheetId="23" hidden="1">Prolink!$H$1191</definedName>
    <definedName name="SD_34x1_91x4_19_B_0" localSheetId="23" hidden="1">Prolink!$F$1191</definedName>
    <definedName name="SD_34x1_91x4_20_B_0" localSheetId="23" hidden="1">Prolink!$G$1191</definedName>
    <definedName name="SD_34x1_91x4_22_B_0" localSheetId="23" hidden="1">Prolink!$C$1191</definedName>
    <definedName name="SD_34x1_91x4_23_B_0" localSheetId="23" hidden="1">Prolink!$S$1191</definedName>
    <definedName name="SD_34x1_91x4_24_B_0" localSheetId="23" hidden="1">Prolink!$T$1191</definedName>
    <definedName name="SD_34x1_91x4_25_B_0" localSheetId="23" hidden="1">Prolink!$N$1191</definedName>
    <definedName name="SD_34x1_91x4_26_B_0" localSheetId="23" hidden="1">Prolink!$O$1191</definedName>
    <definedName name="SD_34x1_91x4_27_B_0" localSheetId="23" hidden="1">Prolink!$I$1191</definedName>
    <definedName name="SD_34x1_91x4_28_B_0" localSheetId="23" hidden="1">Prolink!$J$1191</definedName>
    <definedName name="SD_34x1_91x4_4_B_0" localSheetId="23" hidden="1">Prolink!$D$1191</definedName>
    <definedName name="SD_34x1_91x4_8_B_0" localSheetId="23" hidden="1">Prolink!$E$1191</definedName>
    <definedName name="SD_34x1_91x40_10_B_0" localSheetId="23" hidden="1">Prolink!$R$1227</definedName>
    <definedName name="SD_34x1_91x40_11_B_0" localSheetId="23" hidden="1">Prolink!$P$1227</definedName>
    <definedName name="SD_34x1_91x40_12_B_0" localSheetId="23" hidden="1">Prolink!$Q$1227</definedName>
    <definedName name="SD_34x1_91x40_14_B_0" localSheetId="23" hidden="1">Prolink!$M$1227</definedName>
    <definedName name="SD_34x1_91x40_15_B_0" localSheetId="23" hidden="1">Prolink!$K$1227</definedName>
    <definedName name="SD_34x1_91x40_16_B_0" localSheetId="23" hidden="1">Prolink!$L$1227</definedName>
    <definedName name="SD_34x1_91x40_18_B_0" localSheetId="23" hidden="1">Prolink!$H$1227</definedName>
    <definedName name="SD_34x1_91x40_19_B_0" localSheetId="23" hidden="1">Prolink!$F$1227</definedName>
    <definedName name="SD_34x1_91x40_20_B_0" localSheetId="23" hidden="1">Prolink!$G$1227</definedName>
    <definedName name="SD_34x1_91x40_22_B_0" localSheetId="23" hidden="1">Prolink!$C$1227</definedName>
    <definedName name="SD_34x1_91x40_23_B_0" localSheetId="23" hidden="1">Prolink!$S$1227</definedName>
    <definedName name="SD_34x1_91x40_24_B_0" localSheetId="23" hidden="1">Prolink!$T$1227</definedName>
    <definedName name="SD_34x1_91x40_25_B_0" localSheetId="23" hidden="1">Prolink!$N$1227</definedName>
    <definedName name="SD_34x1_91x40_26_B_0" localSheetId="23" hidden="1">Prolink!$O$1227</definedName>
    <definedName name="SD_34x1_91x40_27_B_0" localSheetId="23" hidden="1">Prolink!$I$1227</definedName>
    <definedName name="SD_34x1_91x40_28_B_0" localSheetId="23" hidden="1">Prolink!$J$1227</definedName>
    <definedName name="SD_34x1_91x40_4_B_0" localSheetId="23" hidden="1">Prolink!$D$1227</definedName>
    <definedName name="SD_34x1_91x40_8_B_0" localSheetId="23" hidden="1">Prolink!$E$1227</definedName>
    <definedName name="SD_34x1_91x41_10_B_0" localSheetId="23" hidden="1">Prolink!$R$1228</definedName>
    <definedName name="SD_34x1_91x41_11_B_0" localSheetId="23" hidden="1">Prolink!$P$1228</definedName>
    <definedName name="SD_34x1_91x41_12_B_0" localSheetId="23" hidden="1">Prolink!$Q$1228</definedName>
    <definedName name="SD_34x1_91x41_14_B_0" localSheetId="23" hidden="1">Prolink!$M$1228</definedName>
    <definedName name="SD_34x1_91x41_15_B_0" localSheetId="23" hidden="1">Prolink!$K$1228</definedName>
    <definedName name="SD_34x1_91x41_16_B_0" localSheetId="23" hidden="1">Prolink!$L$1228</definedName>
    <definedName name="SD_34x1_91x41_18_B_0" localSheetId="23" hidden="1">Prolink!$H$1228</definedName>
    <definedName name="SD_34x1_91x41_19_B_0" localSheetId="23" hidden="1">Prolink!$F$1228</definedName>
    <definedName name="SD_34x1_91x41_20_B_0" localSheetId="23" hidden="1">Prolink!$G$1228</definedName>
    <definedName name="SD_34x1_91x41_22_B_0" localSheetId="23" hidden="1">Prolink!$C$1228</definedName>
    <definedName name="SD_34x1_91x41_23_B_0" localSheetId="23" hidden="1">Prolink!$S$1228</definedName>
    <definedName name="SD_34x1_91x41_24_B_0" localSheetId="23" hidden="1">Prolink!$T$1228</definedName>
    <definedName name="SD_34x1_91x41_25_B_0" localSheetId="23" hidden="1">Prolink!$N$1228</definedName>
    <definedName name="SD_34x1_91x41_26_B_0" localSheetId="23" hidden="1">Prolink!$O$1228</definedName>
    <definedName name="SD_34x1_91x41_27_B_0" localSheetId="23" hidden="1">Prolink!$I$1228</definedName>
    <definedName name="SD_34x1_91x41_28_B_0" localSheetId="23" hidden="1">Prolink!$J$1228</definedName>
    <definedName name="SD_34x1_91x41_4_B_0" localSheetId="23" hidden="1">Prolink!$D$1228</definedName>
    <definedName name="SD_34x1_91x41_8_B_0" localSheetId="23" hidden="1">Prolink!$E$1228</definedName>
    <definedName name="SD_34x1_91x42_10_B_0" localSheetId="23" hidden="1">Prolink!$R$1229</definedName>
    <definedName name="SD_34x1_91x42_11_B_0" localSheetId="23" hidden="1">Prolink!$P$1229</definedName>
    <definedName name="SD_34x1_91x42_12_B_0" localSheetId="23" hidden="1">Prolink!$Q$1229</definedName>
    <definedName name="SD_34x1_91x42_14_B_0" localSheetId="23" hidden="1">Prolink!$M$1229</definedName>
    <definedName name="SD_34x1_91x42_15_B_0" localSheetId="23" hidden="1">Prolink!$K$1229</definedName>
    <definedName name="SD_34x1_91x42_16_B_0" localSheetId="23" hidden="1">Prolink!$L$1229</definedName>
    <definedName name="SD_34x1_91x42_18_B_0" localSheetId="23" hidden="1">Prolink!$H$1229</definedName>
    <definedName name="SD_34x1_91x42_19_B_0" localSheetId="23" hidden="1">Prolink!$F$1229</definedName>
    <definedName name="SD_34x1_91x42_20_B_0" localSheetId="23" hidden="1">Prolink!$G$1229</definedName>
    <definedName name="SD_34x1_91x42_22_B_0" localSheetId="23" hidden="1">Prolink!$C$1229</definedName>
    <definedName name="SD_34x1_91x42_23_B_0" localSheetId="23" hidden="1">Prolink!$S$1229</definedName>
    <definedName name="SD_34x1_91x42_24_B_0" localSheetId="23" hidden="1">Prolink!$T$1229</definedName>
    <definedName name="SD_34x1_91x42_25_B_0" localSheetId="23" hidden="1">Prolink!$N$1229</definedName>
    <definedName name="SD_34x1_91x42_26_B_0" localSheetId="23" hidden="1">Prolink!$O$1229</definedName>
    <definedName name="SD_34x1_91x42_27_B_0" localSheetId="23" hidden="1">Prolink!$I$1229</definedName>
    <definedName name="SD_34x1_91x42_28_B_0" localSheetId="23" hidden="1">Prolink!$J$1229</definedName>
    <definedName name="SD_34x1_91x42_4_B_0" localSheetId="23" hidden="1">Prolink!$D$1229</definedName>
    <definedName name="SD_34x1_91x42_8_B_0" localSheetId="23" hidden="1">Prolink!$E$1229</definedName>
    <definedName name="SD_34x1_91x43_10_B_0" localSheetId="23" hidden="1">Prolink!$R$1230</definedName>
    <definedName name="SD_34x1_91x43_11_B_0" localSheetId="23" hidden="1">Prolink!$P$1230</definedName>
    <definedName name="SD_34x1_91x43_12_B_0" localSheetId="23" hidden="1">Prolink!$Q$1230</definedName>
    <definedName name="SD_34x1_91x43_14_B_0" localSheetId="23" hidden="1">Prolink!$M$1230</definedName>
    <definedName name="SD_34x1_91x43_15_B_0" localSheetId="23" hidden="1">Prolink!$K$1230</definedName>
    <definedName name="SD_34x1_91x43_16_B_0" localSheetId="23" hidden="1">Prolink!$L$1230</definedName>
    <definedName name="SD_34x1_91x43_18_B_0" localSheetId="23" hidden="1">Prolink!$H$1230</definedName>
    <definedName name="SD_34x1_91x43_19_B_0" localSheetId="23" hidden="1">Prolink!$F$1230</definedName>
    <definedName name="SD_34x1_91x43_20_B_0" localSheetId="23" hidden="1">Prolink!$G$1230</definedName>
    <definedName name="SD_34x1_91x43_22_B_0" localSheetId="23" hidden="1">Prolink!$C$1230</definedName>
    <definedName name="SD_34x1_91x43_23_B_0" localSheetId="23" hidden="1">Prolink!$S$1230</definedName>
    <definedName name="SD_34x1_91x43_24_B_0" localSheetId="23" hidden="1">Prolink!$T$1230</definedName>
    <definedName name="SD_34x1_91x43_25_B_0" localSheetId="23" hidden="1">Prolink!$N$1230</definedName>
    <definedName name="SD_34x1_91x43_26_B_0" localSheetId="23" hidden="1">Prolink!$O$1230</definedName>
    <definedName name="SD_34x1_91x43_27_B_0" localSheetId="23" hidden="1">Prolink!$I$1230</definedName>
    <definedName name="SD_34x1_91x43_28_B_0" localSheetId="23" hidden="1">Prolink!$J$1230</definedName>
    <definedName name="SD_34x1_91x43_4_B_0" localSheetId="23" hidden="1">Prolink!$D$1230</definedName>
    <definedName name="SD_34x1_91x43_8_B_0" localSheetId="23" hidden="1">Prolink!$E$1230</definedName>
    <definedName name="SD_34x1_91x44_10_B_0" localSheetId="23" hidden="1">Prolink!$R$1231</definedName>
    <definedName name="SD_34x1_91x44_11_B_0" localSheetId="23" hidden="1">Prolink!$P$1231</definedName>
    <definedName name="SD_34x1_91x44_12_B_0" localSheetId="23" hidden="1">Prolink!$Q$1231</definedName>
    <definedName name="SD_34x1_91x44_14_B_0" localSheetId="23" hidden="1">Prolink!$M$1231</definedName>
    <definedName name="SD_34x1_91x44_15_B_0" localSheetId="23" hidden="1">Prolink!$K$1231</definedName>
    <definedName name="SD_34x1_91x44_16_B_0" localSheetId="23" hidden="1">Prolink!$L$1231</definedName>
    <definedName name="SD_34x1_91x44_18_B_0" localSheetId="23" hidden="1">Prolink!$H$1231</definedName>
    <definedName name="SD_34x1_91x44_19_B_0" localSheetId="23" hidden="1">Prolink!$F$1231</definedName>
    <definedName name="SD_34x1_91x44_20_B_0" localSheetId="23" hidden="1">Prolink!$G$1231</definedName>
    <definedName name="SD_34x1_91x44_22_B_0" localSheetId="23" hidden="1">Prolink!$C$1231</definedName>
    <definedName name="SD_34x1_91x44_23_B_0" localSheetId="23" hidden="1">Prolink!$S$1231</definedName>
    <definedName name="SD_34x1_91x44_24_B_0" localSheetId="23" hidden="1">Prolink!$T$1231</definedName>
    <definedName name="SD_34x1_91x44_25_B_0" localSheetId="23" hidden="1">Prolink!$N$1231</definedName>
    <definedName name="SD_34x1_91x44_26_B_0" localSheetId="23" hidden="1">Prolink!$O$1231</definedName>
    <definedName name="SD_34x1_91x44_27_B_0" localSheetId="23" hidden="1">Prolink!$I$1231</definedName>
    <definedName name="SD_34x1_91x44_28_B_0" localSheetId="23" hidden="1">Prolink!$J$1231</definedName>
    <definedName name="SD_34x1_91x44_4_B_0" localSheetId="23" hidden="1">Prolink!$D$1231</definedName>
    <definedName name="SD_34x1_91x44_8_B_0" localSheetId="23" hidden="1">Prolink!$E$1231</definedName>
    <definedName name="SD_34x1_91x45_10_B_0" localSheetId="23" hidden="1">Prolink!$R$1232</definedName>
    <definedName name="SD_34x1_91x45_11_B_0" localSheetId="23" hidden="1">Prolink!$P$1232</definedName>
    <definedName name="SD_34x1_91x45_12_B_0" localSheetId="23" hidden="1">Prolink!$Q$1232</definedName>
    <definedName name="SD_34x1_91x45_14_B_0" localSheetId="23" hidden="1">Prolink!$M$1232</definedName>
    <definedName name="SD_34x1_91x45_15_B_0" localSheetId="23" hidden="1">Prolink!$K$1232</definedName>
    <definedName name="SD_34x1_91x45_16_B_0" localSheetId="23" hidden="1">Prolink!$L$1232</definedName>
    <definedName name="SD_34x1_91x45_18_B_0" localSheetId="23" hidden="1">Prolink!$H$1232</definedName>
    <definedName name="SD_34x1_91x45_19_B_0" localSheetId="23" hidden="1">Prolink!$F$1232</definedName>
    <definedName name="SD_34x1_91x45_20_B_0" localSheetId="23" hidden="1">Prolink!$G$1232</definedName>
    <definedName name="SD_34x1_91x45_22_B_0" localSheetId="23" hidden="1">Prolink!$C$1232</definedName>
    <definedName name="SD_34x1_91x45_23_B_0" localSheetId="23" hidden="1">Prolink!$S$1232</definedName>
    <definedName name="SD_34x1_91x45_24_B_0" localSheetId="23" hidden="1">Prolink!$T$1232</definedName>
    <definedName name="SD_34x1_91x45_25_B_0" localSheetId="23" hidden="1">Prolink!$N$1232</definedName>
    <definedName name="SD_34x1_91x45_26_B_0" localSheetId="23" hidden="1">Prolink!$O$1232</definedName>
    <definedName name="SD_34x1_91x45_27_B_0" localSheetId="23" hidden="1">Prolink!$I$1232</definedName>
    <definedName name="SD_34x1_91x45_28_B_0" localSheetId="23" hidden="1">Prolink!$J$1232</definedName>
    <definedName name="SD_34x1_91x45_4_B_0" localSheetId="23" hidden="1">Prolink!$D$1232</definedName>
    <definedName name="SD_34x1_91x45_8_B_0" localSheetId="23" hidden="1">Prolink!$E$1232</definedName>
    <definedName name="SD_34x1_91x46_10_B_0" localSheetId="23" hidden="1">Prolink!$R$1233</definedName>
    <definedName name="SD_34x1_91x46_11_B_0" localSheetId="23" hidden="1">Prolink!$P$1233</definedName>
    <definedName name="SD_34x1_91x46_12_B_0" localSheetId="23" hidden="1">Prolink!$Q$1233</definedName>
    <definedName name="SD_34x1_91x46_14_B_0" localSheetId="23" hidden="1">Prolink!$M$1233</definedName>
    <definedName name="SD_34x1_91x46_15_B_0" localSheetId="23" hidden="1">Prolink!$K$1233</definedName>
    <definedName name="SD_34x1_91x46_16_B_0" localSheetId="23" hidden="1">Prolink!$L$1233</definedName>
    <definedName name="SD_34x1_91x46_18_B_0" localSheetId="23" hidden="1">Prolink!$H$1233</definedName>
    <definedName name="SD_34x1_91x46_19_B_0" localSheetId="23" hidden="1">Prolink!$F$1233</definedName>
    <definedName name="SD_34x1_91x46_20_B_0" localSheetId="23" hidden="1">Prolink!$G$1233</definedName>
    <definedName name="SD_34x1_91x46_22_B_0" localSheetId="23" hidden="1">Prolink!$C$1233</definedName>
    <definedName name="SD_34x1_91x46_23_B_0" localSheetId="23" hidden="1">Prolink!$S$1233</definedName>
    <definedName name="SD_34x1_91x46_24_B_0" localSheetId="23" hidden="1">Prolink!$T$1233</definedName>
    <definedName name="SD_34x1_91x46_25_B_0" localSheetId="23" hidden="1">Prolink!$N$1233</definedName>
    <definedName name="SD_34x1_91x46_26_B_0" localSheetId="23" hidden="1">Prolink!$O$1233</definedName>
    <definedName name="SD_34x1_91x46_27_B_0" localSheetId="23" hidden="1">Prolink!$I$1233</definedName>
    <definedName name="SD_34x1_91x46_28_B_0" localSheetId="23" hidden="1">Prolink!$J$1233</definedName>
    <definedName name="SD_34x1_91x46_4_B_0" localSheetId="23" hidden="1">Prolink!$D$1233</definedName>
    <definedName name="SD_34x1_91x46_8_B_0" localSheetId="23" hidden="1">Prolink!$E$1233</definedName>
    <definedName name="SD_34x1_91x47_10_B_0" localSheetId="23" hidden="1">Prolink!$R$1234</definedName>
    <definedName name="SD_34x1_91x47_11_B_0" localSheetId="23" hidden="1">Prolink!$P$1234</definedName>
    <definedName name="SD_34x1_91x47_12_B_0" localSheetId="23" hidden="1">Prolink!$Q$1234</definedName>
    <definedName name="SD_34x1_91x47_14_B_0" localSheetId="23" hidden="1">Prolink!$M$1234</definedName>
    <definedName name="SD_34x1_91x47_15_B_0" localSheetId="23" hidden="1">Prolink!$K$1234</definedName>
    <definedName name="SD_34x1_91x47_16_B_0" localSheetId="23" hidden="1">Prolink!$L$1234</definedName>
    <definedName name="SD_34x1_91x47_18_B_0" localSheetId="23" hidden="1">Prolink!$H$1234</definedName>
    <definedName name="SD_34x1_91x47_19_B_0" localSheetId="23" hidden="1">Prolink!$F$1234</definedName>
    <definedName name="SD_34x1_91x47_20_B_0" localSheetId="23" hidden="1">Prolink!$G$1234</definedName>
    <definedName name="SD_34x1_91x47_22_B_0" localSheetId="23" hidden="1">Prolink!$C$1234</definedName>
    <definedName name="SD_34x1_91x47_23_B_0" localSheetId="23" hidden="1">Prolink!$S$1234</definedName>
    <definedName name="SD_34x1_91x47_24_B_0" localSheetId="23" hidden="1">Prolink!$T$1234</definedName>
    <definedName name="SD_34x1_91x47_25_B_0" localSheetId="23" hidden="1">Prolink!$N$1234</definedName>
    <definedName name="SD_34x1_91x47_26_B_0" localSheetId="23" hidden="1">Prolink!$O$1234</definedName>
    <definedName name="SD_34x1_91x47_27_B_0" localSheetId="23" hidden="1">Prolink!$I$1234</definedName>
    <definedName name="SD_34x1_91x47_28_B_0" localSheetId="23" hidden="1">Prolink!$J$1234</definedName>
    <definedName name="SD_34x1_91x47_4_B_0" localSheetId="23" hidden="1">Prolink!$D$1234</definedName>
    <definedName name="SD_34x1_91x47_8_B_0" localSheetId="23" hidden="1">Prolink!$E$1234</definedName>
    <definedName name="SD_34x1_91x48_10_B_0" localSheetId="23" hidden="1">Prolink!$R$1235</definedName>
    <definedName name="SD_34x1_91x48_11_B_0" localSheetId="23" hidden="1">Prolink!$P$1235</definedName>
    <definedName name="SD_34x1_91x48_12_B_0" localSheetId="23" hidden="1">Prolink!$Q$1235</definedName>
    <definedName name="SD_34x1_91x48_14_B_0" localSheetId="23" hidden="1">Prolink!$M$1235</definedName>
    <definedName name="SD_34x1_91x48_15_B_0" localSheetId="23" hidden="1">Prolink!$K$1235</definedName>
    <definedName name="SD_34x1_91x48_16_B_0" localSheetId="23" hidden="1">Prolink!$L$1235</definedName>
    <definedName name="SD_34x1_91x48_18_B_0" localSheetId="23" hidden="1">Prolink!$H$1235</definedName>
    <definedName name="SD_34x1_91x48_19_B_0" localSheetId="23" hidden="1">Prolink!$F$1235</definedName>
    <definedName name="SD_34x1_91x48_20_B_0" localSheetId="23" hidden="1">Prolink!$G$1235</definedName>
    <definedName name="SD_34x1_91x48_22_B_0" localSheetId="23" hidden="1">Prolink!$C$1235</definedName>
    <definedName name="SD_34x1_91x48_23_B_0" localSheetId="23" hidden="1">Prolink!$S$1235</definedName>
    <definedName name="SD_34x1_91x48_24_B_0" localSheetId="23" hidden="1">Prolink!$T$1235</definedName>
    <definedName name="SD_34x1_91x48_25_B_0" localSheetId="23" hidden="1">Prolink!$N$1235</definedName>
    <definedName name="SD_34x1_91x48_26_B_0" localSheetId="23" hidden="1">Prolink!$O$1235</definedName>
    <definedName name="SD_34x1_91x48_27_B_0" localSheetId="23" hidden="1">Prolink!$I$1235</definedName>
    <definedName name="SD_34x1_91x48_28_B_0" localSheetId="23" hidden="1">Prolink!$J$1235</definedName>
    <definedName name="SD_34x1_91x48_4_B_0" localSheetId="23" hidden="1">Prolink!$D$1235</definedName>
    <definedName name="SD_34x1_91x48_8_B_0" localSheetId="23" hidden="1">Prolink!$E$1235</definedName>
    <definedName name="SD_34x1_91x49_10_B_0" localSheetId="23" hidden="1">Prolink!$R$1236</definedName>
    <definedName name="SD_34x1_91x49_11_B_0" localSheetId="23" hidden="1">Prolink!$P$1236</definedName>
    <definedName name="SD_34x1_91x49_12_B_0" localSheetId="23" hidden="1">Prolink!$Q$1236</definedName>
    <definedName name="SD_34x1_91x49_14_B_0" localSheetId="23" hidden="1">Prolink!$M$1236</definedName>
    <definedName name="SD_34x1_91x49_15_B_0" localSheetId="23" hidden="1">Prolink!$K$1236</definedName>
    <definedName name="SD_34x1_91x49_16_B_0" localSheetId="23" hidden="1">Prolink!$L$1236</definedName>
    <definedName name="SD_34x1_91x49_18_B_0" localSheetId="23" hidden="1">Prolink!$H$1236</definedName>
    <definedName name="SD_34x1_91x49_19_B_0" localSheetId="23" hidden="1">Prolink!$F$1236</definedName>
    <definedName name="SD_34x1_91x49_20_B_0" localSheetId="23" hidden="1">Prolink!$G$1236</definedName>
    <definedName name="SD_34x1_91x49_22_B_0" localSheetId="23" hidden="1">Prolink!$C$1236</definedName>
    <definedName name="SD_34x1_91x49_23_B_0" localSheetId="23" hidden="1">Prolink!$S$1236</definedName>
    <definedName name="SD_34x1_91x49_24_B_0" localSheetId="23" hidden="1">Prolink!$T$1236</definedName>
    <definedName name="SD_34x1_91x49_25_B_0" localSheetId="23" hidden="1">Prolink!$N$1236</definedName>
    <definedName name="SD_34x1_91x49_26_B_0" localSheetId="23" hidden="1">Prolink!$O$1236</definedName>
    <definedName name="SD_34x1_91x49_27_B_0" localSheetId="23" hidden="1">Prolink!$I$1236</definedName>
    <definedName name="SD_34x1_91x49_28_B_0" localSheetId="23" hidden="1">Prolink!$J$1236</definedName>
    <definedName name="SD_34x1_91x49_4_B_0" localSheetId="23" hidden="1">Prolink!$D$1236</definedName>
    <definedName name="SD_34x1_91x49_8_B_0" localSheetId="23" hidden="1">Prolink!$E$1236</definedName>
    <definedName name="SD_34x1_91x5_10_B_0" localSheetId="23" hidden="1">Prolink!$R$1192</definedName>
    <definedName name="SD_34x1_91x5_11_B_0" localSheetId="23" hidden="1">Prolink!$P$1192</definedName>
    <definedName name="SD_34x1_91x5_12_B_0" localSheetId="23" hidden="1">Prolink!$Q$1192</definedName>
    <definedName name="SD_34x1_91x5_14_B_0" localSheetId="23" hidden="1">Prolink!$M$1192</definedName>
    <definedName name="SD_34x1_91x5_15_B_0" localSheetId="23" hidden="1">Prolink!$K$1192</definedName>
    <definedName name="SD_34x1_91x5_16_B_0" localSheetId="23" hidden="1">Prolink!$L$1192</definedName>
    <definedName name="SD_34x1_91x5_18_B_0" localSheetId="23" hidden="1">Prolink!$H$1192</definedName>
    <definedName name="SD_34x1_91x5_19_B_0" localSheetId="23" hidden="1">Prolink!$F$1192</definedName>
    <definedName name="SD_34x1_91x5_20_B_0" localSheetId="23" hidden="1">Prolink!$G$1192</definedName>
    <definedName name="SD_34x1_91x5_22_B_0" localSheetId="23" hidden="1">Prolink!$C$1192</definedName>
    <definedName name="SD_34x1_91x5_23_B_0" localSheetId="23" hidden="1">Prolink!$S$1192</definedName>
    <definedName name="SD_34x1_91x5_24_B_0" localSheetId="23" hidden="1">Prolink!$T$1192</definedName>
    <definedName name="SD_34x1_91x5_25_B_0" localSheetId="23" hidden="1">Prolink!$N$1192</definedName>
    <definedName name="SD_34x1_91x5_26_B_0" localSheetId="23" hidden="1">Prolink!$O$1192</definedName>
    <definedName name="SD_34x1_91x5_27_B_0" localSheetId="23" hidden="1">Prolink!$I$1192</definedName>
    <definedName name="SD_34x1_91x5_28_B_0" localSheetId="23" hidden="1">Prolink!$J$1192</definedName>
    <definedName name="SD_34x1_91x5_4_B_0" localSheetId="23" hidden="1">Prolink!$D$1192</definedName>
    <definedName name="SD_34x1_91x5_8_B_0" localSheetId="23" hidden="1">Prolink!$E$1192</definedName>
    <definedName name="SD_34x1_91x50_10_B_0" localSheetId="23" hidden="1">Prolink!$R$1237</definedName>
    <definedName name="SD_34x1_91x50_11_B_0" localSheetId="23" hidden="1">Prolink!$P$1237</definedName>
    <definedName name="SD_34x1_91x50_12_B_0" localSheetId="23" hidden="1">Prolink!$Q$1237</definedName>
    <definedName name="SD_34x1_91x50_14_B_0" localSheetId="23" hidden="1">Prolink!$M$1237</definedName>
    <definedName name="SD_34x1_91x50_15_B_0" localSheetId="23" hidden="1">Prolink!$K$1237</definedName>
    <definedName name="SD_34x1_91x50_16_B_0" localSheetId="23" hidden="1">Prolink!$L$1237</definedName>
    <definedName name="SD_34x1_91x50_18_B_0" localSheetId="23" hidden="1">Prolink!$H$1237</definedName>
    <definedName name="SD_34x1_91x50_19_B_0" localSheetId="23" hidden="1">Prolink!$F$1237</definedName>
    <definedName name="SD_34x1_91x50_20_B_0" localSheetId="23" hidden="1">Prolink!$G$1237</definedName>
    <definedName name="SD_34x1_91x50_22_B_0" localSheetId="23" hidden="1">Prolink!$C$1237</definedName>
    <definedName name="SD_34x1_91x50_23_B_0" localSheetId="23" hidden="1">Prolink!$S$1237</definedName>
    <definedName name="SD_34x1_91x50_24_B_0" localSheetId="23" hidden="1">Prolink!$T$1237</definedName>
    <definedName name="SD_34x1_91x50_25_B_0" localSheetId="23" hidden="1">Prolink!$N$1237</definedName>
    <definedName name="SD_34x1_91x50_26_B_0" localSheetId="23" hidden="1">Prolink!$O$1237</definedName>
    <definedName name="SD_34x1_91x50_27_B_0" localSheetId="23" hidden="1">Prolink!$I$1237</definedName>
    <definedName name="SD_34x1_91x50_28_B_0" localSheetId="23" hidden="1">Prolink!$J$1237</definedName>
    <definedName name="SD_34x1_91x50_4_B_0" localSheetId="23" hidden="1">Prolink!$D$1237</definedName>
    <definedName name="SD_34x1_91x50_8_B_0" localSheetId="23" hidden="1">Prolink!$E$1237</definedName>
    <definedName name="SD_34x1_91x51_10_B_0" localSheetId="23" hidden="1">Prolink!$R$1238</definedName>
    <definedName name="SD_34x1_91x51_11_B_0" localSheetId="23" hidden="1">Prolink!$P$1238</definedName>
    <definedName name="SD_34x1_91x51_12_B_0" localSheetId="23" hidden="1">Prolink!$Q$1238</definedName>
    <definedName name="SD_34x1_91x51_14_B_0" localSheetId="23" hidden="1">Prolink!$M$1238</definedName>
    <definedName name="SD_34x1_91x51_15_B_0" localSheetId="23" hidden="1">Prolink!$K$1238</definedName>
    <definedName name="SD_34x1_91x51_16_B_0" localSheetId="23" hidden="1">Prolink!$L$1238</definedName>
    <definedName name="SD_34x1_91x51_18_B_0" localSheetId="23" hidden="1">Prolink!$H$1238</definedName>
    <definedName name="SD_34x1_91x51_19_B_0" localSheetId="23" hidden="1">Prolink!$F$1238</definedName>
    <definedName name="SD_34x1_91x51_20_B_0" localSheetId="23" hidden="1">Prolink!$G$1238</definedName>
    <definedName name="SD_34x1_91x51_22_B_0" localSheetId="23" hidden="1">Prolink!$C$1238</definedName>
    <definedName name="SD_34x1_91x51_23_B_0" localSheetId="23" hidden="1">Prolink!$S$1238</definedName>
    <definedName name="SD_34x1_91x51_24_B_0" localSheetId="23" hidden="1">Prolink!$T$1238</definedName>
    <definedName name="SD_34x1_91x51_25_B_0" localSheetId="23" hidden="1">Prolink!$N$1238</definedName>
    <definedName name="SD_34x1_91x51_26_B_0" localSheetId="23" hidden="1">Prolink!$O$1238</definedName>
    <definedName name="SD_34x1_91x51_27_B_0" localSheetId="23" hidden="1">Prolink!$I$1238</definedName>
    <definedName name="SD_34x1_91x51_28_B_0" localSheetId="23" hidden="1">Prolink!$J$1238</definedName>
    <definedName name="SD_34x1_91x51_4_B_0" localSheetId="23" hidden="1">Prolink!$D$1238</definedName>
    <definedName name="SD_34x1_91x51_8_B_0" localSheetId="23" hidden="1">Prolink!$E$1238</definedName>
    <definedName name="SD_34x1_91x52_10_B_0" localSheetId="23" hidden="1">Prolink!$R$1239</definedName>
    <definedName name="SD_34x1_91x52_11_B_0" localSheetId="23" hidden="1">Prolink!$P$1239</definedName>
    <definedName name="SD_34x1_91x52_12_B_0" localSheetId="23" hidden="1">Prolink!$Q$1239</definedName>
    <definedName name="SD_34x1_91x52_14_B_0" localSheetId="23" hidden="1">Prolink!$M$1239</definedName>
    <definedName name="SD_34x1_91x52_15_B_0" localSheetId="23" hidden="1">Prolink!$K$1239</definedName>
    <definedName name="SD_34x1_91x52_16_B_0" localSheetId="23" hidden="1">Prolink!$L$1239</definedName>
    <definedName name="SD_34x1_91x52_18_B_0" localSheetId="23" hidden="1">Prolink!$H$1239</definedName>
    <definedName name="SD_34x1_91x52_19_B_0" localSheetId="23" hidden="1">Prolink!$F$1239</definedName>
    <definedName name="SD_34x1_91x52_20_B_0" localSheetId="23" hidden="1">Prolink!$G$1239</definedName>
    <definedName name="SD_34x1_91x52_22_B_0" localSheetId="23" hidden="1">Prolink!$C$1239</definedName>
    <definedName name="SD_34x1_91x52_23_B_0" localSheetId="23" hidden="1">Prolink!$S$1239</definedName>
    <definedName name="SD_34x1_91x52_24_B_0" localSheetId="23" hidden="1">Prolink!$T$1239</definedName>
    <definedName name="SD_34x1_91x52_25_B_0" localSheetId="23" hidden="1">Prolink!$N$1239</definedName>
    <definedName name="SD_34x1_91x52_26_B_0" localSheetId="23" hidden="1">Prolink!$O$1239</definedName>
    <definedName name="SD_34x1_91x52_27_B_0" localSheetId="23" hidden="1">Prolink!$I$1239</definedName>
    <definedName name="SD_34x1_91x52_28_B_0" localSheetId="23" hidden="1">Prolink!$J$1239</definedName>
    <definedName name="SD_34x1_91x52_4_B_0" localSheetId="23" hidden="1">Prolink!$D$1239</definedName>
    <definedName name="SD_34x1_91x52_8_B_0" localSheetId="23" hidden="1">Prolink!$E$1239</definedName>
    <definedName name="SD_34x1_91x53_10_B_0" localSheetId="23" hidden="1">Prolink!$R$1240</definedName>
    <definedName name="SD_34x1_91x53_11_B_0" localSheetId="23" hidden="1">Prolink!$P$1240</definedName>
    <definedName name="SD_34x1_91x53_12_B_0" localSheetId="23" hidden="1">Prolink!$Q$1240</definedName>
    <definedName name="SD_34x1_91x53_14_B_0" localSheetId="23" hidden="1">Prolink!$M$1240</definedName>
    <definedName name="SD_34x1_91x53_15_B_0" localSheetId="23" hidden="1">Prolink!$K$1240</definedName>
    <definedName name="SD_34x1_91x53_16_B_0" localSheetId="23" hidden="1">Prolink!$L$1240</definedName>
    <definedName name="SD_34x1_91x53_18_B_0" localSheetId="23" hidden="1">Prolink!$H$1240</definedName>
    <definedName name="SD_34x1_91x53_19_B_0" localSheetId="23" hidden="1">Prolink!$F$1240</definedName>
    <definedName name="SD_34x1_91x53_20_B_0" localSheetId="23" hidden="1">Prolink!$G$1240</definedName>
    <definedName name="SD_34x1_91x53_22_B_0" localSheetId="23" hidden="1">Prolink!$C$1240</definedName>
    <definedName name="SD_34x1_91x53_23_B_0" localSheetId="23" hidden="1">Prolink!$S$1240</definedName>
    <definedName name="SD_34x1_91x53_24_B_0" localSheetId="23" hidden="1">Prolink!$T$1240</definedName>
    <definedName name="SD_34x1_91x53_25_B_0" localSheetId="23" hidden="1">Prolink!$N$1240</definedName>
    <definedName name="SD_34x1_91x53_26_B_0" localSheetId="23" hidden="1">Prolink!$O$1240</definedName>
    <definedName name="SD_34x1_91x53_27_B_0" localSheetId="23" hidden="1">Prolink!$I$1240</definedName>
    <definedName name="SD_34x1_91x53_28_B_0" localSheetId="23" hidden="1">Prolink!$J$1240</definedName>
    <definedName name="SD_34x1_91x53_4_B_0" localSheetId="23" hidden="1">Prolink!$D$1240</definedName>
    <definedName name="SD_34x1_91x53_8_B_0" localSheetId="23" hidden="1">Prolink!$E$1240</definedName>
    <definedName name="SD_34x1_91x54_10_B_0" localSheetId="23" hidden="1">Prolink!$R$1241</definedName>
    <definedName name="SD_34x1_91x54_11_B_0" localSheetId="23" hidden="1">Prolink!$P$1241</definedName>
    <definedName name="SD_34x1_91x54_12_B_0" localSheetId="23" hidden="1">Prolink!$Q$1241</definedName>
    <definedName name="SD_34x1_91x54_14_B_0" localSheetId="23" hidden="1">Prolink!$M$1241</definedName>
    <definedName name="SD_34x1_91x54_15_B_0" localSheetId="23" hidden="1">Prolink!$K$1241</definedName>
    <definedName name="SD_34x1_91x54_16_B_0" localSheetId="23" hidden="1">Prolink!$L$1241</definedName>
    <definedName name="SD_34x1_91x54_18_B_0" localSheetId="23" hidden="1">Prolink!$H$1241</definedName>
    <definedName name="SD_34x1_91x54_19_B_0" localSheetId="23" hidden="1">Prolink!$F$1241</definedName>
    <definedName name="SD_34x1_91x54_20_B_0" localSheetId="23" hidden="1">Prolink!$G$1241</definedName>
    <definedName name="SD_34x1_91x54_22_B_0" localSheetId="23" hidden="1">Prolink!$C$1241</definedName>
    <definedName name="SD_34x1_91x54_23_B_0" localSheetId="23" hidden="1">Prolink!$S$1241</definedName>
    <definedName name="SD_34x1_91x54_24_B_0" localSheetId="23" hidden="1">Prolink!$T$1241</definedName>
    <definedName name="SD_34x1_91x54_25_B_0" localSheetId="23" hidden="1">Prolink!$N$1241</definedName>
    <definedName name="SD_34x1_91x54_26_B_0" localSheetId="23" hidden="1">Prolink!$O$1241</definedName>
    <definedName name="SD_34x1_91x54_27_B_0" localSheetId="23" hidden="1">Prolink!$I$1241</definedName>
    <definedName name="SD_34x1_91x54_28_B_0" localSheetId="23" hidden="1">Prolink!$J$1241</definedName>
    <definedName name="SD_34x1_91x54_4_B_0" localSheetId="23" hidden="1">Prolink!$D$1241</definedName>
    <definedName name="SD_34x1_91x54_8_B_0" localSheetId="23" hidden="1">Prolink!$E$1241</definedName>
    <definedName name="SD_34x1_91x55_10_B_0" localSheetId="23" hidden="1">Prolink!$R$1242</definedName>
    <definedName name="SD_34x1_91x55_11_B_0" localSheetId="23" hidden="1">Prolink!$P$1242</definedName>
    <definedName name="SD_34x1_91x55_12_B_0" localSheetId="23" hidden="1">Prolink!$Q$1242</definedName>
    <definedName name="SD_34x1_91x55_14_B_0" localSheetId="23" hidden="1">Prolink!$M$1242</definedName>
    <definedName name="SD_34x1_91x55_15_B_0" localSheetId="23" hidden="1">Prolink!$K$1242</definedName>
    <definedName name="SD_34x1_91x55_16_B_0" localSheetId="23" hidden="1">Prolink!$L$1242</definedName>
    <definedName name="SD_34x1_91x55_18_B_0" localSheetId="23" hidden="1">Prolink!$H$1242</definedName>
    <definedName name="SD_34x1_91x55_19_B_0" localSheetId="23" hidden="1">Prolink!$F$1242</definedName>
    <definedName name="SD_34x1_91x55_20_B_0" localSheetId="23" hidden="1">Prolink!$G$1242</definedName>
    <definedName name="SD_34x1_91x55_22_B_0" localSheetId="23" hidden="1">Prolink!$C$1242</definedName>
    <definedName name="SD_34x1_91x55_23_B_0" localSheetId="23" hidden="1">Prolink!$S$1242</definedName>
    <definedName name="SD_34x1_91x55_24_B_0" localSheetId="23" hidden="1">Prolink!$T$1242</definedName>
    <definedName name="SD_34x1_91x55_25_B_0" localSheetId="23" hidden="1">Prolink!$N$1242</definedName>
    <definedName name="SD_34x1_91x55_26_B_0" localSheetId="23" hidden="1">Prolink!$O$1242</definedName>
    <definedName name="SD_34x1_91x55_27_B_0" localSheetId="23" hidden="1">Prolink!$I$1242</definedName>
    <definedName name="SD_34x1_91x55_28_B_0" localSheetId="23" hidden="1">Prolink!$J$1242</definedName>
    <definedName name="SD_34x1_91x55_4_B_0" localSheetId="23" hidden="1">Prolink!$D$1242</definedName>
    <definedName name="SD_34x1_91x55_8_B_0" localSheetId="23" hidden="1">Prolink!$E$1242</definedName>
    <definedName name="SD_34x1_91x56_10_B_0" localSheetId="23" hidden="1">Prolink!$R$1243</definedName>
    <definedName name="SD_34x1_91x56_11_B_0" localSheetId="23" hidden="1">Prolink!$P$1243</definedName>
    <definedName name="SD_34x1_91x56_12_B_0" localSheetId="23" hidden="1">Prolink!$Q$1243</definedName>
    <definedName name="SD_34x1_91x56_14_B_0" localSheetId="23" hidden="1">Prolink!$M$1243</definedName>
    <definedName name="SD_34x1_91x56_15_B_0" localSheetId="23" hidden="1">Prolink!$K$1243</definedName>
    <definedName name="SD_34x1_91x56_16_B_0" localSheetId="23" hidden="1">Prolink!$L$1243</definedName>
    <definedName name="SD_34x1_91x56_18_B_0" localSheetId="23" hidden="1">Prolink!$H$1243</definedName>
    <definedName name="SD_34x1_91x56_19_B_0" localSheetId="23" hidden="1">Prolink!$F$1243</definedName>
    <definedName name="SD_34x1_91x56_20_B_0" localSheetId="23" hidden="1">Prolink!$G$1243</definedName>
    <definedName name="SD_34x1_91x56_22_B_0" localSheetId="23" hidden="1">Prolink!$C$1243</definedName>
    <definedName name="SD_34x1_91x56_23_B_0" localSheetId="23" hidden="1">Prolink!$S$1243</definedName>
    <definedName name="SD_34x1_91x56_24_B_0" localSheetId="23" hidden="1">Prolink!$T$1243</definedName>
    <definedName name="SD_34x1_91x56_25_B_0" localSheetId="23" hidden="1">Prolink!$N$1243</definedName>
    <definedName name="SD_34x1_91x56_26_B_0" localSheetId="23" hidden="1">Prolink!$O$1243</definedName>
    <definedName name="SD_34x1_91x56_27_B_0" localSheetId="23" hidden="1">Prolink!$I$1243</definedName>
    <definedName name="SD_34x1_91x56_28_B_0" localSheetId="23" hidden="1">Prolink!$J$1243</definedName>
    <definedName name="SD_34x1_91x56_4_B_0" localSheetId="23" hidden="1">Prolink!$D$1243</definedName>
    <definedName name="SD_34x1_91x56_8_B_0" localSheetId="23" hidden="1">Prolink!$E$1243</definedName>
    <definedName name="SD_34x1_91x57_10_B_0" localSheetId="23" hidden="1">Prolink!$R$1244</definedName>
    <definedName name="SD_34x1_91x57_11_B_0" localSheetId="23" hidden="1">Prolink!$P$1244</definedName>
    <definedName name="SD_34x1_91x57_12_B_0" localSheetId="23" hidden="1">Prolink!$Q$1244</definedName>
    <definedName name="SD_34x1_91x57_14_B_0" localSheetId="23" hidden="1">Prolink!$M$1244</definedName>
    <definedName name="SD_34x1_91x57_15_B_0" localSheetId="23" hidden="1">Prolink!$K$1244</definedName>
    <definedName name="SD_34x1_91x57_16_B_0" localSheetId="23" hidden="1">Prolink!$L$1244</definedName>
    <definedName name="SD_34x1_91x57_18_B_0" localSheetId="23" hidden="1">Prolink!$H$1244</definedName>
    <definedName name="SD_34x1_91x57_19_B_0" localSheetId="23" hidden="1">Prolink!$F$1244</definedName>
    <definedName name="SD_34x1_91x57_20_B_0" localSheetId="23" hidden="1">Prolink!$G$1244</definedName>
    <definedName name="SD_34x1_91x57_22_B_0" localSheetId="23" hidden="1">Prolink!$C$1244</definedName>
    <definedName name="SD_34x1_91x57_23_B_0" localSheetId="23" hidden="1">Prolink!$S$1244</definedName>
    <definedName name="SD_34x1_91x57_24_B_0" localSheetId="23" hidden="1">Prolink!$T$1244</definedName>
    <definedName name="SD_34x1_91x57_25_B_0" localSheetId="23" hidden="1">Prolink!$N$1244</definedName>
    <definedName name="SD_34x1_91x57_26_B_0" localSheetId="23" hidden="1">Prolink!$O$1244</definedName>
    <definedName name="SD_34x1_91x57_27_B_0" localSheetId="23" hidden="1">Prolink!$I$1244</definedName>
    <definedName name="SD_34x1_91x57_28_B_0" localSheetId="23" hidden="1">Prolink!$J$1244</definedName>
    <definedName name="SD_34x1_91x57_4_B_0" localSheetId="23" hidden="1">Prolink!$D$1244</definedName>
    <definedName name="SD_34x1_91x57_8_B_0" localSheetId="23" hidden="1">Prolink!$E$1244</definedName>
    <definedName name="SD_34x1_91x58_10_B_0" localSheetId="23" hidden="1">Prolink!$R$1245</definedName>
    <definedName name="SD_34x1_91x58_11_B_0" localSheetId="23" hidden="1">Prolink!$P$1245</definedName>
    <definedName name="SD_34x1_91x58_12_B_0" localSheetId="23" hidden="1">Prolink!$Q$1245</definedName>
    <definedName name="SD_34x1_91x58_14_B_0" localSheetId="23" hidden="1">Prolink!$M$1245</definedName>
    <definedName name="SD_34x1_91x58_15_B_0" localSheetId="23" hidden="1">Prolink!$K$1245</definedName>
    <definedName name="SD_34x1_91x58_16_B_0" localSheetId="23" hidden="1">Prolink!$L$1245</definedName>
    <definedName name="SD_34x1_91x58_18_B_0" localSheetId="23" hidden="1">Prolink!$H$1245</definedName>
    <definedName name="SD_34x1_91x58_19_B_0" localSheetId="23" hidden="1">Prolink!$F$1245</definedName>
    <definedName name="SD_34x1_91x58_20_B_0" localSheetId="23" hidden="1">Prolink!$G$1245</definedName>
    <definedName name="SD_34x1_91x58_22_B_0" localSheetId="23" hidden="1">Prolink!$C$1245</definedName>
    <definedName name="SD_34x1_91x58_23_B_0" localSheetId="23" hidden="1">Prolink!$S$1245</definedName>
    <definedName name="SD_34x1_91x58_24_B_0" localSheetId="23" hidden="1">Prolink!$T$1245</definedName>
    <definedName name="SD_34x1_91x58_25_B_0" localSheetId="23" hidden="1">Prolink!$N$1245</definedName>
    <definedName name="SD_34x1_91x58_26_B_0" localSheetId="23" hidden="1">Prolink!$O$1245</definedName>
    <definedName name="SD_34x1_91x58_27_B_0" localSheetId="23" hidden="1">Prolink!$I$1245</definedName>
    <definedName name="SD_34x1_91x58_28_B_0" localSheetId="23" hidden="1">Prolink!$J$1245</definedName>
    <definedName name="SD_34x1_91x58_4_B_0" localSheetId="23" hidden="1">Prolink!$D$1245</definedName>
    <definedName name="SD_34x1_91x58_8_B_0" localSheetId="23" hidden="1">Prolink!$E$1245</definedName>
    <definedName name="SD_34x1_91x59_10_B_0" localSheetId="23" hidden="1">Prolink!$R$1246</definedName>
    <definedName name="SD_34x1_91x59_11_B_0" localSheetId="23" hidden="1">Prolink!$P$1246</definedName>
    <definedName name="SD_34x1_91x59_12_B_0" localSheetId="23" hidden="1">Prolink!$Q$1246</definedName>
    <definedName name="SD_34x1_91x59_14_B_0" localSheetId="23" hidden="1">Prolink!$M$1246</definedName>
    <definedName name="SD_34x1_91x59_15_B_0" localSheetId="23" hidden="1">Prolink!$K$1246</definedName>
    <definedName name="SD_34x1_91x59_16_B_0" localSheetId="23" hidden="1">Prolink!$L$1246</definedName>
    <definedName name="SD_34x1_91x59_18_B_0" localSheetId="23" hidden="1">Prolink!$H$1246</definedName>
    <definedName name="SD_34x1_91x59_19_B_0" localSheetId="23" hidden="1">Prolink!$F$1246</definedName>
    <definedName name="SD_34x1_91x59_20_B_0" localSheetId="23" hidden="1">Prolink!$G$1246</definedName>
    <definedName name="SD_34x1_91x59_22_B_0" localSheetId="23" hidden="1">Prolink!$C$1246</definedName>
    <definedName name="SD_34x1_91x59_23_B_0" localSheetId="23" hidden="1">Prolink!$S$1246</definedName>
    <definedName name="SD_34x1_91x59_24_B_0" localSheetId="23" hidden="1">Prolink!$T$1246</definedName>
    <definedName name="SD_34x1_91x59_25_B_0" localSheetId="23" hidden="1">Prolink!$N$1246</definedName>
    <definedName name="SD_34x1_91x59_26_B_0" localSheetId="23" hidden="1">Prolink!$O$1246</definedName>
    <definedName name="SD_34x1_91x59_27_B_0" localSheetId="23" hidden="1">Prolink!$I$1246</definedName>
    <definedName name="SD_34x1_91x59_28_B_0" localSheetId="23" hidden="1">Prolink!$J$1246</definedName>
    <definedName name="SD_34x1_91x59_4_B_0" localSheetId="23" hidden="1">Prolink!$D$1246</definedName>
    <definedName name="SD_34x1_91x59_8_B_0" localSheetId="23" hidden="1">Prolink!$E$1246</definedName>
    <definedName name="SD_34x1_91x6_10_B_0" localSheetId="23" hidden="1">Prolink!$R$1193</definedName>
    <definedName name="SD_34x1_91x6_11_B_0" localSheetId="23" hidden="1">Prolink!$P$1193</definedName>
    <definedName name="SD_34x1_91x6_12_B_0" localSheetId="23" hidden="1">Prolink!$Q$1193</definedName>
    <definedName name="SD_34x1_91x6_14_B_0" localSheetId="23" hidden="1">Prolink!$M$1193</definedName>
    <definedName name="SD_34x1_91x6_15_B_0" localSheetId="23" hidden="1">Prolink!$K$1193</definedName>
    <definedName name="SD_34x1_91x6_16_B_0" localSheetId="23" hidden="1">Prolink!$L$1193</definedName>
    <definedName name="SD_34x1_91x6_18_B_0" localSheetId="23" hidden="1">Prolink!$H$1193</definedName>
    <definedName name="SD_34x1_91x6_19_B_0" localSheetId="23" hidden="1">Prolink!$F$1193</definedName>
    <definedName name="SD_34x1_91x6_20_B_0" localSheetId="23" hidden="1">Prolink!$G$1193</definedName>
    <definedName name="SD_34x1_91x6_22_B_0" localSheetId="23" hidden="1">Prolink!$C$1193</definedName>
    <definedName name="SD_34x1_91x6_23_B_0" localSheetId="23" hidden="1">Prolink!$S$1193</definedName>
    <definedName name="SD_34x1_91x6_24_B_0" localSheetId="23" hidden="1">Prolink!$T$1193</definedName>
    <definedName name="SD_34x1_91x6_25_B_0" localSheetId="23" hidden="1">Prolink!$N$1193</definedName>
    <definedName name="SD_34x1_91x6_26_B_0" localSheetId="23" hidden="1">Prolink!$O$1193</definedName>
    <definedName name="SD_34x1_91x6_27_B_0" localSheetId="23" hidden="1">Prolink!$I$1193</definedName>
    <definedName name="SD_34x1_91x6_28_B_0" localSheetId="23" hidden="1">Prolink!$J$1193</definedName>
    <definedName name="SD_34x1_91x6_4_B_0" localSheetId="23" hidden="1">Prolink!$D$1193</definedName>
    <definedName name="SD_34x1_91x6_8_B_0" localSheetId="23" hidden="1">Prolink!$E$1193</definedName>
    <definedName name="SD_34x1_91x60_10_B_0" localSheetId="23" hidden="1">Prolink!$R$1247</definedName>
    <definedName name="SD_34x1_91x60_11_B_0" localSheetId="23" hidden="1">Prolink!$P$1247</definedName>
    <definedName name="SD_34x1_91x60_12_B_0" localSheetId="23" hidden="1">Prolink!$Q$1247</definedName>
    <definedName name="SD_34x1_91x60_14_B_0" localSheetId="23" hidden="1">Prolink!$M$1247</definedName>
    <definedName name="SD_34x1_91x60_15_B_0" localSheetId="23" hidden="1">Prolink!$K$1247</definedName>
    <definedName name="SD_34x1_91x60_16_B_0" localSheetId="23" hidden="1">Prolink!$L$1247</definedName>
    <definedName name="SD_34x1_91x60_18_B_0" localSheetId="23" hidden="1">Prolink!$H$1247</definedName>
    <definedName name="SD_34x1_91x60_19_B_0" localSheetId="23" hidden="1">Prolink!$F$1247</definedName>
    <definedName name="SD_34x1_91x60_20_B_0" localSheetId="23" hidden="1">Prolink!$G$1247</definedName>
    <definedName name="SD_34x1_91x60_22_B_0" localSheetId="23" hidden="1">Prolink!$C$1247</definedName>
    <definedName name="SD_34x1_91x60_23_B_0" localSheetId="23" hidden="1">Prolink!$S$1247</definedName>
    <definedName name="SD_34x1_91x60_24_B_0" localSheetId="23" hidden="1">Prolink!$T$1247</definedName>
    <definedName name="SD_34x1_91x60_25_B_0" localSheetId="23" hidden="1">Prolink!$N$1247</definedName>
    <definedName name="SD_34x1_91x60_26_B_0" localSheetId="23" hidden="1">Prolink!$O$1247</definedName>
    <definedName name="SD_34x1_91x60_27_B_0" localSheetId="23" hidden="1">Prolink!$I$1247</definedName>
    <definedName name="SD_34x1_91x60_28_B_0" localSheetId="23" hidden="1">Prolink!$J$1247</definedName>
    <definedName name="SD_34x1_91x60_4_B_0" localSheetId="23" hidden="1">Prolink!$D$1247</definedName>
    <definedName name="SD_34x1_91x60_8_B_0" localSheetId="23" hidden="1">Prolink!$E$1247</definedName>
    <definedName name="SD_34x1_91x61_10_B_0" localSheetId="23" hidden="1">Prolink!$R$1248</definedName>
    <definedName name="SD_34x1_91x61_11_B_0" localSheetId="23" hidden="1">Prolink!$P$1248</definedName>
    <definedName name="SD_34x1_91x61_12_B_0" localSheetId="23" hidden="1">Prolink!$Q$1248</definedName>
    <definedName name="SD_34x1_91x61_14_B_0" localSheetId="23" hidden="1">Prolink!$M$1248</definedName>
    <definedName name="SD_34x1_91x61_15_B_0" localSheetId="23" hidden="1">Prolink!$K$1248</definedName>
    <definedName name="SD_34x1_91x61_16_B_0" localSheetId="23" hidden="1">Prolink!$L$1248</definedName>
    <definedName name="SD_34x1_91x61_18_B_0" localSheetId="23" hidden="1">Prolink!$H$1248</definedName>
    <definedName name="SD_34x1_91x61_19_B_0" localSheetId="23" hidden="1">Prolink!$F$1248</definedName>
    <definedName name="SD_34x1_91x61_20_B_0" localSheetId="23" hidden="1">Prolink!$G$1248</definedName>
    <definedName name="SD_34x1_91x61_22_B_0" localSheetId="23" hidden="1">Prolink!$C$1248</definedName>
    <definedName name="SD_34x1_91x61_23_B_0" localSheetId="23" hidden="1">Prolink!$S$1248</definedName>
    <definedName name="SD_34x1_91x61_24_B_0" localSheetId="23" hidden="1">Prolink!$T$1248</definedName>
    <definedName name="SD_34x1_91x61_25_B_0" localSheetId="23" hidden="1">Prolink!$N$1248</definedName>
    <definedName name="SD_34x1_91x61_26_B_0" localSheetId="23" hidden="1">Prolink!$O$1248</definedName>
    <definedName name="SD_34x1_91x61_27_B_0" localSheetId="23" hidden="1">Prolink!$I$1248</definedName>
    <definedName name="SD_34x1_91x61_28_B_0" localSheetId="23" hidden="1">Prolink!$J$1248</definedName>
    <definedName name="SD_34x1_91x61_4_B_0" localSheetId="23" hidden="1">Prolink!$D$1248</definedName>
    <definedName name="SD_34x1_91x61_8_B_0" localSheetId="23" hidden="1">Prolink!$E$1248</definedName>
    <definedName name="SD_34x1_91x62_10_B_0" localSheetId="23" hidden="1">Prolink!$R$1249</definedName>
    <definedName name="SD_34x1_91x62_11_B_0" localSheetId="23" hidden="1">Prolink!$P$1249</definedName>
    <definedName name="SD_34x1_91x62_12_B_0" localSheetId="23" hidden="1">Prolink!$Q$1249</definedName>
    <definedName name="SD_34x1_91x62_14_B_0" localSheetId="23" hidden="1">Prolink!$M$1249</definedName>
    <definedName name="SD_34x1_91x62_15_B_0" localSheetId="23" hidden="1">Prolink!$K$1249</definedName>
    <definedName name="SD_34x1_91x62_16_B_0" localSheetId="23" hidden="1">Prolink!$L$1249</definedName>
    <definedName name="SD_34x1_91x62_18_B_0" localSheetId="23" hidden="1">Prolink!$H$1249</definedName>
    <definedName name="SD_34x1_91x62_19_B_0" localSheetId="23" hidden="1">Prolink!$F$1249</definedName>
    <definedName name="SD_34x1_91x62_20_B_0" localSheetId="23" hidden="1">Prolink!$G$1249</definedName>
    <definedName name="SD_34x1_91x62_22_B_0" localSheetId="23" hidden="1">Prolink!$C$1249</definedName>
    <definedName name="SD_34x1_91x62_23_B_0" localSheetId="23" hidden="1">Prolink!$S$1249</definedName>
    <definedName name="SD_34x1_91x62_24_B_0" localSheetId="23" hidden="1">Prolink!$T$1249</definedName>
    <definedName name="SD_34x1_91x62_25_B_0" localSheetId="23" hidden="1">Prolink!$N$1249</definedName>
    <definedName name="SD_34x1_91x62_26_B_0" localSheetId="23" hidden="1">Prolink!$O$1249</definedName>
    <definedName name="SD_34x1_91x62_27_B_0" localSheetId="23" hidden="1">Prolink!$I$1249</definedName>
    <definedName name="SD_34x1_91x62_28_B_0" localSheetId="23" hidden="1">Prolink!$J$1249</definedName>
    <definedName name="SD_34x1_91x62_4_B_0" localSheetId="23" hidden="1">Prolink!$D$1249</definedName>
    <definedName name="SD_34x1_91x62_8_B_0" localSheetId="23" hidden="1">Prolink!$E$1249</definedName>
    <definedName name="SD_34x1_91x63_10_B_0" localSheetId="23" hidden="1">Prolink!$R$1250</definedName>
    <definedName name="SD_34x1_91x63_11_B_0" localSheetId="23" hidden="1">Prolink!$P$1250</definedName>
    <definedName name="SD_34x1_91x63_12_B_0" localSheetId="23" hidden="1">Prolink!$Q$1250</definedName>
    <definedName name="SD_34x1_91x63_14_B_0" localSheetId="23" hidden="1">Prolink!$M$1250</definedName>
    <definedName name="SD_34x1_91x63_15_B_0" localSheetId="23" hidden="1">Prolink!$K$1250</definedName>
    <definedName name="SD_34x1_91x63_16_B_0" localSheetId="23" hidden="1">Prolink!$L$1250</definedName>
    <definedName name="SD_34x1_91x63_18_B_0" localSheetId="23" hidden="1">Prolink!$H$1250</definedName>
    <definedName name="SD_34x1_91x63_19_B_0" localSheetId="23" hidden="1">Prolink!$F$1250</definedName>
    <definedName name="SD_34x1_91x63_20_B_0" localSheetId="23" hidden="1">Prolink!$G$1250</definedName>
    <definedName name="SD_34x1_91x63_22_B_0" localSheetId="23" hidden="1">Prolink!$C$1250</definedName>
    <definedName name="SD_34x1_91x63_23_B_0" localSheetId="23" hidden="1">Prolink!$S$1250</definedName>
    <definedName name="SD_34x1_91x63_24_B_0" localSheetId="23" hidden="1">Prolink!$T$1250</definedName>
    <definedName name="SD_34x1_91x63_25_B_0" localSheetId="23" hidden="1">Prolink!$N$1250</definedName>
    <definedName name="SD_34x1_91x63_26_B_0" localSheetId="23" hidden="1">Prolink!$O$1250</definedName>
    <definedName name="SD_34x1_91x63_27_B_0" localSheetId="23" hidden="1">Prolink!$I$1250</definedName>
    <definedName name="SD_34x1_91x63_28_B_0" localSheetId="23" hidden="1">Prolink!$J$1250</definedName>
    <definedName name="SD_34x1_91x63_4_B_0" localSheetId="23" hidden="1">Prolink!$D$1250</definedName>
    <definedName name="SD_34x1_91x63_8_B_0" localSheetId="23" hidden="1">Prolink!$E$1250</definedName>
    <definedName name="SD_34x1_91x64_10_B_0" localSheetId="23" hidden="1">Prolink!$R$1251</definedName>
    <definedName name="SD_34x1_91x64_11_B_0" localSheetId="23" hidden="1">Prolink!$P$1251</definedName>
    <definedName name="SD_34x1_91x64_12_B_0" localSheetId="23" hidden="1">Prolink!$Q$1251</definedName>
    <definedName name="SD_34x1_91x64_14_B_0" localSheetId="23" hidden="1">Prolink!$M$1251</definedName>
    <definedName name="SD_34x1_91x64_15_B_0" localSheetId="23" hidden="1">Prolink!$K$1251</definedName>
    <definedName name="SD_34x1_91x64_16_B_0" localSheetId="23" hidden="1">Prolink!$L$1251</definedName>
    <definedName name="SD_34x1_91x64_18_B_0" localSheetId="23" hidden="1">Prolink!$H$1251</definedName>
    <definedName name="SD_34x1_91x64_19_B_0" localSheetId="23" hidden="1">Prolink!$F$1251</definedName>
    <definedName name="SD_34x1_91x64_20_B_0" localSheetId="23" hidden="1">Prolink!$G$1251</definedName>
    <definedName name="SD_34x1_91x64_22_B_0" localSheetId="23" hidden="1">Prolink!$C$1251</definedName>
    <definedName name="SD_34x1_91x64_23_B_0" localSheetId="23" hidden="1">Prolink!$S$1251</definedName>
    <definedName name="SD_34x1_91x64_24_B_0" localSheetId="23" hidden="1">Prolink!$T$1251</definedName>
    <definedName name="SD_34x1_91x64_25_B_0" localSheetId="23" hidden="1">Prolink!$N$1251</definedName>
    <definedName name="SD_34x1_91x64_26_B_0" localSheetId="23" hidden="1">Prolink!$O$1251</definedName>
    <definedName name="SD_34x1_91x64_27_B_0" localSheetId="23" hidden="1">Prolink!$I$1251</definedName>
    <definedName name="SD_34x1_91x64_28_B_0" localSheetId="23" hidden="1">Prolink!$J$1251</definedName>
    <definedName name="SD_34x1_91x64_4_B_0" localSheetId="23" hidden="1">Prolink!$D$1251</definedName>
    <definedName name="SD_34x1_91x64_8_B_0" localSheetId="23" hidden="1">Prolink!$E$1251</definedName>
    <definedName name="SD_34x1_91x65_10_B_0" localSheetId="23" hidden="1">Prolink!$R$1252</definedName>
    <definedName name="SD_34x1_91x65_11_B_0" localSheetId="23" hidden="1">Prolink!$P$1252</definedName>
    <definedName name="SD_34x1_91x65_12_B_0" localSheetId="23" hidden="1">Prolink!$Q$1252</definedName>
    <definedName name="SD_34x1_91x65_14_B_0" localSheetId="23" hidden="1">Prolink!$M$1252</definedName>
    <definedName name="SD_34x1_91x65_15_B_0" localSheetId="23" hidden="1">Prolink!$K$1252</definedName>
    <definedName name="SD_34x1_91x65_16_B_0" localSheetId="23" hidden="1">Prolink!$L$1252</definedName>
    <definedName name="SD_34x1_91x65_18_B_0" localSheetId="23" hidden="1">Prolink!$H$1252</definedName>
    <definedName name="SD_34x1_91x65_19_B_0" localSheetId="23" hidden="1">Prolink!$F$1252</definedName>
    <definedName name="SD_34x1_91x65_20_B_0" localSheetId="23" hidden="1">Prolink!$G$1252</definedName>
    <definedName name="SD_34x1_91x65_22_B_0" localSheetId="23" hidden="1">Prolink!$C$1252</definedName>
    <definedName name="SD_34x1_91x65_23_B_0" localSheetId="23" hidden="1">Prolink!$S$1252</definedName>
    <definedName name="SD_34x1_91x65_24_B_0" localSheetId="23" hidden="1">Prolink!$T$1252</definedName>
    <definedName name="SD_34x1_91x65_25_B_0" localSheetId="23" hidden="1">Prolink!$N$1252</definedName>
    <definedName name="SD_34x1_91x65_26_B_0" localSheetId="23" hidden="1">Prolink!$O$1252</definedName>
    <definedName name="SD_34x1_91x65_27_B_0" localSheetId="23" hidden="1">Prolink!$I$1252</definedName>
    <definedName name="SD_34x1_91x65_28_B_0" localSheetId="23" hidden="1">Prolink!$J$1252</definedName>
    <definedName name="SD_34x1_91x65_4_B_0" localSheetId="23" hidden="1">Prolink!$D$1252</definedName>
    <definedName name="SD_34x1_91x65_8_B_0" localSheetId="23" hidden="1">Prolink!$E$1252</definedName>
    <definedName name="SD_34x1_91x66_10_B_0" localSheetId="23" hidden="1">Prolink!$R$1253</definedName>
    <definedName name="SD_34x1_91x66_11_B_0" localSheetId="23" hidden="1">Prolink!$P$1253</definedName>
    <definedName name="SD_34x1_91x66_12_B_0" localSheetId="23" hidden="1">Prolink!$Q$1253</definedName>
    <definedName name="SD_34x1_91x66_14_B_0" localSheetId="23" hidden="1">Prolink!$M$1253</definedName>
    <definedName name="SD_34x1_91x66_15_B_0" localSheetId="23" hidden="1">Prolink!$K$1253</definedName>
    <definedName name="SD_34x1_91x66_16_B_0" localSheetId="23" hidden="1">Prolink!$L$1253</definedName>
    <definedName name="SD_34x1_91x66_18_B_0" localSheetId="23" hidden="1">Prolink!$H$1253</definedName>
    <definedName name="SD_34x1_91x66_19_B_0" localSheetId="23" hidden="1">Prolink!$F$1253</definedName>
    <definedName name="SD_34x1_91x66_20_B_0" localSheetId="23" hidden="1">Prolink!$G$1253</definedName>
    <definedName name="SD_34x1_91x66_22_B_0" localSheetId="23" hidden="1">Prolink!$C$1253</definedName>
    <definedName name="SD_34x1_91x66_23_B_0" localSheetId="23" hidden="1">Prolink!$S$1253</definedName>
    <definedName name="SD_34x1_91x66_24_B_0" localSheetId="23" hidden="1">Prolink!$T$1253</definedName>
    <definedName name="SD_34x1_91x66_25_B_0" localSheetId="23" hidden="1">Prolink!$N$1253</definedName>
    <definedName name="SD_34x1_91x66_26_B_0" localSheetId="23" hidden="1">Prolink!$O$1253</definedName>
    <definedName name="SD_34x1_91x66_27_B_0" localSheetId="23" hidden="1">Prolink!$I$1253</definedName>
    <definedName name="SD_34x1_91x66_28_B_0" localSheetId="23" hidden="1">Prolink!$J$1253</definedName>
    <definedName name="SD_34x1_91x66_4_B_0" localSheetId="23" hidden="1">Prolink!$D$1253</definedName>
    <definedName name="SD_34x1_91x66_8_B_0" localSheetId="23" hidden="1">Prolink!$E$1253</definedName>
    <definedName name="SD_34x1_91x67_10_B_0" localSheetId="23" hidden="1">Prolink!$R$1254</definedName>
    <definedName name="SD_34x1_91x67_11_B_0" localSheetId="23" hidden="1">Prolink!$P$1254</definedName>
    <definedName name="SD_34x1_91x67_12_B_0" localSheetId="23" hidden="1">Prolink!$Q$1254</definedName>
    <definedName name="SD_34x1_91x67_14_B_0" localSheetId="23" hidden="1">Prolink!$M$1254</definedName>
    <definedName name="SD_34x1_91x67_15_B_0" localSheetId="23" hidden="1">Prolink!$K$1254</definedName>
    <definedName name="SD_34x1_91x67_16_B_0" localSheetId="23" hidden="1">Prolink!$L$1254</definedName>
    <definedName name="SD_34x1_91x67_18_B_0" localSheetId="23" hidden="1">Prolink!$H$1254</definedName>
    <definedName name="SD_34x1_91x67_19_B_0" localSheetId="23" hidden="1">Prolink!$F$1254</definedName>
    <definedName name="SD_34x1_91x67_20_B_0" localSheetId="23" hidden="1">Prolink!$G$1254</definedName>
    <definedName name="SD_34x1_91x67_22_B_0" localSheetId="23" hidden="1">Prolink!$C$1254</definedName>
    <definedName name="SD_34x1_91x67_23_B_0" localSheetId="23" hidden="1">Prolink!$S$1254</definedName>
    <definedName name="SD_34x1_91x67_24_B_0" localSheetId="23" hidden="1">Prolink!$T$1254</definedName>
    <definedName name="SD_34x1_91x67_25_B_0" localSheetId="23" hidden="1">Prolink!$N$1254</definedName>
    <definedName name="SD_34x1_91x67_26_B_0" localSheetId="23" hidden="1">Prolink!$O$1254</definedName>
    <definedName name="SD_34x1_91x67_27_B_0" localSheetId="23" hidden="1">Prolink!$I$1254</definedName>
    <definedName name="SD_34x1_91x67_28_B_0" localSheetId="23" hidden="1">Prolink!$J$1254</definedName>
    <definedName name="SD_34x1_91x67_4_B_0" localSheetId="23" hidden="1">Prolink!$D$1254</definedName>
    <definedName name="SD_34x1_91x67_8_B_0" localSheetId="23" hidden="1">Prolink!$E$1254</definedName>
    <definedName name="SD_34x1_91x68_10_B_0" localSheetId="23" hidden="1">Prolink!$R$1255</definedName>
    <definedName name="SD_34x1_91x68_11_B_0" localSheetId="23" hidden="1">Prolink!$P$1255</definedName>
    <definedName name="SD_34x1_91x68_12_B_0" localSheetId="23" hidden="1">Prolink!$Q$1255</definedName>
    <definedName name="SD_34x1_91x68_14_B_0" localSheetId="23" hidden="1">Prolink!$M$1255</definedName>
    <definedName name="SD_34x1_91x68_15_B_0" localSheetId="23" hidden="1">Prolink!$K$1255</definedName>
    <definedName name="SD_34x1_91x68_16_B_0" localSheetId="23" hidden="1">Prolink!$L$1255</definedName>
    <definedName name="SD_34x1_91x68_18_B_0" localSheetId="23" hidden="1">Prolink!$H$1255</definedName>
    <definedName name="SD_34x1_91x68_19_B_0" localSheetId="23" hidden="1">Prolink!$F$1255</definedName>
    <definedName name="SD_34x1_91x68_20_B_0" localSheetId="23" hidden="1">Prolink!$G$1255</definedName>
    <definedName name="SD_34x1_91x68_22_B_0" localSheetId="23" hidden="1">Prolink!$C$1255</definedName>
    <definedName name="SD_34x1_91x68_23_B_0" localSheetId="23" hidden="1">Prolink!$S$1255</definedName>
    <definedName name="SD_34x1_91x68_24_B_0" localSheetId="23" hidden="1">Prolink!$T$1255</definedName>
    <definedName name="SD_34x1_91x68_25_B_0" localSheetId="23" hidden="1">Prolink!$N$1255</definedName>
    <definedName name="SD_34x1_91x68_26_B_0" localSheetId="23" hidden="1">Prolink!$O$1255</definedName>
    <definedName name="SD_34x1_91x68_27_B_0" localSheetId="23" hidden="1">Prolink!$I$1255</definedName>
    <definedName name="SD_34x1_91x68_28_B_0" localSheetId="23" hidden="1">Prolink!$J$1255</definedName>
    <definedName name="SD_34x1_91x68_4_B_0" localSheetId="23" hidden="1">Prolink!$D$1255</definedName>
    <definedName name="SD_34x1_91x68_8_B_0" localSheetId="23" hidden="1">Prolink!$E$1255</definedName>
    <definedName name="SD_34x1_91x69_10_B_0" localSheetId="23" hidden="1">Prolink!$R$1256</definedName>
    <definedName name="SD_34x1_91x69_11_B_0" localSheetId="23" hidden="1">Prolink!$P$1256</definedName>
    <definedName name="SD_34x1_91x69_12_B_0" localSheetId="23" hidden="1">Prolink!$Q$1256</definedName>
    <definedName name="SD_34x1_91x69_14_B_0" localSheetId="23" hidden="1">Prolink!$M$1256</definedName>
    <definedName name="SD_34x1_91x69_15_B_0" localSheetId="23" hidden="1">Prolink!$K$1256</definedName>
    <definedName name="SD_34x1_91x69_16_B_0" localSheetId="23" hidden="1">Prolink!$L$1256</definedName>
    <definedName name="SD_34x1_91x69_18_B_0" localSheetId="23" hidden="1">Prolink!$H$1256</definedName>
    <definedName name="SD_34x1_91x69_19_B_0" localSheetId="23" hidden="1">Prolink!$F$1256</definedName>
    <definedName name="SD_34x1_91x69_20_B_0" localSheetId="23" hidden="1">Prolink!$G$1256</definedName>
    <definedName name="SD_34x1_91x69_22_B_0" localSheetId="23" hidden="1">Prolink!$C$1256</definedName>
    <definedName name="SD_34x1_91x69_23_B_0" localSheetId="23" hidden="1">Prolink!$S$1256</definedName>
    <definedName name="SD_34x1_91x69_24_B_0" localSheetId="23" hidden="1">Prolink!$T$1256</definedName>
    <definedName name="SD_34x1_91x69_25_B_0" localSheetId="23" hidden="1">Prolink!$N$1256</definedName>
    <definedName name="SD_34x1_91x69_26_B_0" localSheetId="23" hidden="1">Prolink!$O$1256</definedName>
    <definedName name="SD_34x1_91x69_27_B_0" localSheetId="23" hidden="1">Prolink!$I$1256</definedName>
    <definedName name="SD_34x1_91x69_28_B_0" localSheetId="23" hidden="1">Prolink!$J$1256</definedName>
    <definedName name="SD_34x1_91x69_4_B_0" localSheetId="23" hidden="1">Prolink!$D$1256</definedName>
    <definedName name="SD_34x1_91x69_8_B_0" localSheetId="23" hidden="1">Prolink!$E$1256</definedName>
    <definedName name="SD_34x1_91x7_10_B_0" localSheetId="23" hidden="1">Prolink!$R$1194</definedName>
    <definedName name="SD_34x1_91x7_11_B_0" localSheetId="23" hidden="1">Prolink!$P$1194</definedName>
    <definedName name="SD_34x1_91x7_12_B_0" localSheetId="23" hidden="1">Prolink!$Q$1194</definedName>
    <definedName name="SD_34x1_91x7_14_B_0" localSheetId="23" hidden="1">Prolink!$M$1194</definedName>
    <definedName name="SD_34x1_91x7_15_B_0" localSheetId="23" hidden="1">Prolink!$K$1194</definedName>
    <definedName name="SD_34x1_91x7_16_B_0" localSheetId="23" hidden="1">Prolink!$L$1194</definedName>
    <definedName name="SD_34x1_91x7_18_B_0" localSheetId="23" hidden="1">Prolink!$H$1194</definedName>
    <definedName name="SD_34x1_91x7_19_B_0" localSheetId="23" hidden="1">Prolink!$F$1194</definedName>
    <definedName name="SD_34x1_91x7_20_B_0" localSheetId="23" hidden="1">Prolink!$G$1194</definedName>
    <definedName name="SD_34x1_91x7_22_B_0" localSheetId="23" hidden="1">Prolink!$C$1194</definedName>
    <definedName name="SD_34x1_91x7_23_B_0" localSheetId="23" hidden="1">Prolink!$S$1194</definedName>
    <definedName name="SD_34x1_91x7_24_B_0" localSheetId="23" hidden="1">Prolink!$T$1194</definedName>
    <definedName name="SD_34x1_91x7_25_B_0" localSheetId="23" hidden="1">Prolink!$N$1194</definedName>
    <definedName name="SD_34x1_91x7_26_B_0" localSheetId="23" hidden="1">Prolink!$O$1194</definedName>
    <definedName name="SD_34x1_91x7_27_B_0" localSheetId="23" hidden="1">Prolink!$I$1194</definedName>
    <definedName name="SD_34x1_91x7_28_B_0" localSheetId="23" hidden="1">Prolink!$J$1194</definedName>
    <definedName name="SD_34x1_91x7_4_B_0" localSheetId="23" hidden="1">Prolink!$D$1194</definedName>
    <definedName name="SD_34x1_91x7_8_B_0" localSheetId="23" hidden="1">Prolink!$E$1194</definedName>
    <definedName name="SD_34x1_91x70_10_B_0" localSheetId="23" hidden="1">Prolink!$R$1257</definedName>
    <definedName name="SD_34x1_91x70_11_B_0" localSheetId="23" hidden="1">Prolink!$P$1257</definedName>
    <definedName name="SD_34x1_91x70_12_B_0" localSheetId="23" hidden="1">Prolink!$Q$1257</definedName>
    <definedName name="SD_34x1_91x70_14_B_0" localSheetId="23" hidden="1">Prolink!$M$1257</definedName>
    <definedName name="SD_34x1_91x70_15_B_0" localSheetId="23" hidden="1">Prolink!$K$1257</definedName>
    <definedName name="SD_34x1_91x70_16_B_0" localSheetId="23" hidden="1">Prolink!$L$1257</definedName>
    <definedName name="SD_34x1_91x70_18_B_0" localSheetId="23" hidden="1">Prolink!$H$1257</definedName>
    <definedName name="SD_34x1_91x70_19_B_0" localSheetId="23" hidden="1">Prolink!$F$1257</definedName>
    <definedName name="SD_34x1_91x70_20_B_0" localSheetId="23" hidden="1">Prolink!$G$1257</definedName>
    <definedName name="SD_34x1_91x70_22_B_0" localSheetId="23" hidden="1">Prolink!$C$1257</definedName>
    <definedName name="SD_34x1_91x70_23_B_0" localSheetId="23" hidden="1">Prolink!$S$1257</definedName>
    <definedName name="SD_34x1_91x70_24_B_0" localSheetId="23" hidden="1">Prolink!$T$1257</definedName>
    <definedName name="SD_34x1_91x70_25_B_0" localSheetId="23" hidden="1">Prolink!$N$1257</definedName>
    <definedName name="SD_34x1_91x70_26_B_0" localSheetId="23" hidden="1">Prolink!$O$1257</definedName>
    <definedName name="SD_34x1_91x70_27_B_0" localSheetId="23" hidden="1">Prolink!$I$1257</definedName>
    <definedName name="SD_34x1_91x70_28_B_0" localSheetId="23" hidden="1">Prolink!$J$1257</definedName>
    <definedName name="SD_34x1_91x70_4_B_0" localSheetId="23" hidden="1">Prolink!$D$1257</definedName>
    <definedName name="SD_34x1_91x70_8_B_0" localSheetId="23" hidden="1">Prolink!$E$1257</definedName>
    <definedName name="SD_34x1_91x71_10_B_0" localSheetId="23" hidden="1">Prolink!$R$1258</definedName>
    <definedName name="SD_34x1_91x71_11_B_0" localSheetId="23" hidden="1">Prolink!$P$1258</definedName>
    <definedName name="SD_34x1_91x71_12_B_0" localSheetId="23" hidden="1">Prolink!$Q$1258</definedName>
    <definedName name="SD_34x1_91x71_14_B_0" localSheetId="23" hidden="1">Prolink!$M$1258</definedName>
    <definedName name="SD_34x1_91x71_15_B_0" localSheetId="23" hidden="1">Prolink!$K$1258</definedName>
    <definedName name="SD_34x1_91x71_16_B_0" localSheetId="23" hidden="1">Prolink!$L$1258</definedName>
    <definedName name="SD_34x1_91x71_18_B_0" localSheetId="23" hidden="1">Prolink!$H$1258</definedName>
    <definedName name="SD_34x1_91x71_19_B_0" localSheetId="23" hidden="1">Prolink!$F$1258</definedName>
    <definedName name="SD_34x1_91x71_20_B_0" localSheetId="23" hidden="1">Prolink!$G$1258</definedName>
    <definedName name="SD_34x1_91x71_22_B_0" localSheetId="23" hidden="1">Prolink!$C$1258</definedName>
    <definedName name="SD_34x1_91x71_23_B_0" localSheetId="23" hidden="1">Prolink!$S$1258</definedName>
    <definedName name="SD_34x1_91x71_24_B_0" localSheetId="23" hidden="1">Prolink!$T$1258</definedName>
    <definedName name="SD_34x1_91x71_25_B_0" localSheetId="23" hidden="1">Prolink!$N$1258</definedName>
    <definedName name="SD_34x1_91x71_26_B_0" localSheetId="23" hidden="1">Prolink!$O$1258</definedName>
    <definedName name="SD_34x1_91x71_27_B_0" localSheetId="23" hidden="1">Prolink!$I$1258</definedName>
    <definedName name="SD_34x1_91x71_28_B_0" localSheetId="23" hidden="1">Prolink!$J$1258</definedName>
    <definedName name="SD_34x1_91x71_4_B_0" localSheetId="23" hidden="1">Prolink!$D$1258</definedName>
    <definedName name="SD_34x1_91x71_8_B_0" localSheetId="23" hidden="1">Prolink!$E$1258</definedName>
    <definedName name="SD_34x1_91x72_10_B_0" localSheetId="23" hidden="1">Prolink!$R$1259</definedName>
    <definedName name="SD_34x1_91x72_11_B_0" localSheetId="23" hidden="1">Prolink!$P$1259</definedName>
    <definedName name="SD_34x1_91x72_12_B_0" localSheetId="23" hidden="1">Prolink!$Q$1259</definedName>
    <definedName name="SD_34x1_91x72_14_B_0" localSheetId="23" hidden="1">Prolink!$M$1259</definedName>
    <definedName name="SD_34x1_91x72_15_B_0" localSheetId="23" hidden="1">Prolink!$K$1259</definedName>
    <definedName name="SD_34x1_91x72_16_B_0" localSheetId="23" hidden="1">Prolink!$L$1259</definedName>
    <definedName name="SD_34x1_91x72_18_B_0" localSheetId="23" hidden="1">Prolink!$H$1259</definedName>
    <definedName name="SD_34x1_91x72_19_B_0" localSheetId="23" hidden="1">Prolink!$F$1259</definedName>
    <definedName name="SD_34x1_91x72_20_B_0" localSheetId="23" hidden="1">Prolink!$G$1259</definedName>
    <definedName name="SD_34x1_91x72_22_B_0" localSheetId="23" hidden="1">Prolink!$C$1259</definedName>
    <definedName name="SD_34x1_91x72_23_B_0" localSheetId="23" hidden="1">Prolink!$S$1259</definedName>
    <definedName name="SD_34x1_91x72_24_B_0" localSheetId="23" hidden="1">Prolink!$T$1259</definedName>
    <definedName name="SD_34x1_91x72_25_B_0" localSheetId="23" hidden="1">Prolink!$N$1259</definedName>
    <definedName name="SD_34x1_91x72_26_B_0" localSheetId="23" hidden="1">Prolink!$O$1259</definedName>
    <definedName name="SD_34x1_91x72_27_B_0" localSheetId="23" hidden="1">Prolink!$I$1259</definedName>
    <definedName name="SD_34x1_91x72_28_B_0" localSheetId="23" hidden="1">Prolink!$J$1259</definedName>
    <definedName name="SD_34x1_91x72_4_B_0" localSheetId="23" hidden="1">Prolink!$D$1259</definedName>
    <definedName name="SD_34x1_91x72_8_B_0" localSheetId="23" hidden="1">Prolink!$E$1259</definedName>
    <definedName name="SD_34x1_91x73_10_B_0" localSheetId="23" hidden="1">Prolink!$R$1260</definedName>
    <definedName name="SD_34x1_91x73_11_B_0" localSheetId="23" hidden="1">Prolink!$P$1260</definedName>
    <definedName name="SD_34x1_91x73_12_B_0" localSheetId="23" hidden="1">Prolink!$Q$1260</definedName>
    <definedName name="SD_34x1_91x73_14_B_0" localSheetId="23" hidden="1">Prolink!$M$1260</definedName>
    <definedName name="SD_34x1_91x73_15_B_0" localSheetId="23" hidden="1">Prolink!$K$1260</definedName>
    <definedName name="SD_34x1_91x73_16_B_0" localSheetId="23" hidden="1">Prolink!$L$1260</definedName>
    <definedName name="SD_34x1_91x73_18_B_0" localSheetId="23" hidden="1">Prolink!$H$1260</definedName>
    <definedName name="SD_34x1_91x73_19_B_0" localSheetId="23" hidden="1">Prolink!$F$1260</definedName>
    <definedName name="SD_34x1_91x73_20_B_0" localSheetId="23" hidden="1">Prolink!$G$1260</definedName>
    <definedName name="SD_34x1_91x73_22_B_0" localSheetId="23" hidden="1">Prolink!$C$1260</definedName>
    <definedName name="SD_34x1_91x73_23_B_0" localSheetId="23" hidden="1">Prolink!$S$1260</definedName>
    <definedName name="SD_34x1_91x73_24_B_0" localSheetId="23" hidden="1">Prolink!$T$1260</definedName>
    <definedName name="SD_34x1_91x73_25_B_0" localSheetId="23" hidden="1">Prolink!$N$1260</definedName>
    <definedName name="SD_34x1_91x73_26_B_0" localSheetId="23" hidden="1">Prolink!$O$1260</definedName>
    <definedName name="SD_34x1_91x73_27_B_0" localSheetId="23" hidden="1">Prolink!$I$1260</definedName>
    <definedName name="SD_34x1_91x73_28_B_0" localSheetId="23" hidden="1">Prolink!$J$1260</definedName>
    <definedName name="SD_34x1_91x73_4_B_0" localSheetId="23" hidden="1">Prolink!$D$1260</definedName>
    <definedName name="SD_34x1_91x73_8_B_0" localSheetId="23" hidden="1">Prolink!$E$1260</definedName>
    <definedName name="SD_34x1_91x74_10_B_0" localSheetId="23" hidden="1">Prolink!$R$1261</definedName>
    <definedName name="SD_34x1_91x74_11_B_0" localSheetId="23" hidden="1">Prolink!$P$1261</definedName>
    <definedName name="SD_34x1_91x74_12_B_0" localSheetId="23" hidden="1">Prolink!$Q$1261</definedName>
    <definedName name="SD_34x1_91x74_14_B_0" localSheetId="23" hidden="1">Prolink!$M$1261</definedName>
    <definedName name="SD_34x1_91x74_15_B_0" localSheetId="23" hidden="1">Prolink!$K$1261</definedName>
    <definedName name="SD_34x1_91x74_16_B_0" localSheetId="23" hidden="1">Prolink!$L$1261</definedName>
    <definedName name="SD_34x1_91x74_18_B_0" localSheetId="23" hidden="1">Prolink!$H$1261</definedName>
    <definedName name="SD_34x1_91x74_19_B_0" localSheetId="23" hidden="1">Prolink!$F$1261</definedName>
    <definedName name="SD_34x1_91x74_20_B_0" localSheetId="23" hidden="1">Prolink!$G$1261</definedName>
    <definedName name="SD_34x1_91x74_22_B_0" localSheetId="23" hidden="1">Prolink!$C$1261</definedName>
    <definedName name="SD_34x1_91x74_23_B_0" localSheetId="23" hidden="1">Prolink!$S$1261</definedName>
    <definedName name="SD_34x1_91x74_24_B_0" localSheetId="23" hidden="1">Prolink!$T$1261</definedName>
    <definedName name="SD_34x1_91x74_25_B_0" localSheetId="23" hidden="1">Prolink!$N$1261</definedName>
    <definedName name="SD_34x1_91x74_26_B_0" localSheetId="23" hidden="1">Prolink!$O$1261</definedName>
    <definedName name="SD_34x1_91x74_27_B_0" localSheetId="23" hidden="1">Prolink!$I$1261</definedName>
    <definedName name="SD_34x1_91x74_28_B_0" localSheetId="23" hidden="1">Prolink!$J$1261</definedName>
    <definedName name="SD_34x1_91x74_4_B_0" localSheetId="23" hidden="1">Prolink!$D$1261</definedName>
    <definedName name="SD_34x1_91x74_8_B_0" localSheetId="23" hidden="1">Prolink!$E$1261</definedName>
    <definedName name="SD_34x1_91x75_10_B_0" localSheetId="23" hidden="1">Prolink!$R$1262</definedName>
    <definedName name="SD_34x1_91x75_11_B_0" localSheetId="23" hidden="1">Prolink!$P$1262</definedName>
    <definedName name="SD_34x1_91x75_12_B_0" localSheetId="23" hidden="1">Prolink!$Q$1262</definedName>
    <definedName name="SD_34x1_91x75_14_B_0" localSheetId="23" hidden="1">Prolink!$M$1262</definedName>
    <definedName name="SD_34x1_91x75_15_B_0" localSheetId="23" hidden="1">Prolink!$K$1262</definedName>
    <definedName name="SD_34x1_91x75_16_B_0" localSheetId="23" hidden="1">Prolink!$L$1262</definedName>
    <definedName name="SD_34x1_91x75_18_B_0" localSheetId="23" hidden="1">Prolink!$H$1262</definedName>
    <definedName name="SD_34x1_91x75_19_B_0" localSheetId="23" hidden="1">Prolink!$F$1262</definedName>
    <definedName name="SD_34x1_91x75_20_B_0" localSheetId="23" hidden="1">Prolink!$G$1262</definedName>
    <definedName name="SD_34x1_91x75_22_B_0" localSheetId="23" hidden="1">Prolink!$C$1262</definedName>
    <definedName name="SD_34x1_91x75_23_B_0" localSheetId="23" hidden="1">Prolink!$S$1262</definedName>
    <definedName name="SD_34x1_91x75_24_B_0" localSheetId="23" hidden="1">Prolink!$T$1262</definedName>
    <definedName name="SD_34x1_91x75_25_B_0" localSheetId="23" hidden="1">Prolink!$N$1262</definedName>
    <definedName name="SD_34x1_91x75_26_B_0" localSheetId="23" hidden="1">Prolink!$O$1262</definedName>
    <definedName name="SD_34x1_91x75_27_B_0" localSheetId="23" hidden="1">Prolink!$I$1262</definedName>
    <definedName name="SD_34x1_91x75_28_B_0" localSheetId="23" hidden="1">Prolink!$J$1262</definedName>
    <definedName name="SD_34x1_91x75_4_B_0" localSheetId="23" hidden="1">Prolink!$D$1262</definedName>
    <definedName name="SD_34x1_91x75_8_B_0" localSheetId="23" hidden="1">Prolink!$E$1262</definedName>
    <definedName name="SD_34x1_91x76_10_B_0" localSheetId="23" hidden="1">Prolink!$R$1263</definedName>
    <definedName name="SD_34x1_91x76_11_B_0" localSheetId="23" hidden="1">Prolink!$P$1263</definedName>
    <definedName name="SD_34x1_91x76_12_B_0" localSheetId="23" hidden="1">Prolink!$Q$1263</definedName>
    <definedName name="SD_34x1_91x76_14_B_0" localSheetId="23" hidden="1">Prolink!$M$1263</definedName>
    <definedName name="SD_34x1_91x76_15_B_0" localSheetId="23" hidden="1">Prolink!$K$1263</definedName>
    <definedName name="SD_34x1_91x76_16_B_0" localSheetId="23" hidden="1">Prolink!$L$1263</definedName>
    <definedName name="SD_34x1_91x76_18_B_0" localSheetId="23" hidden="1">Prolink!$H$1263</definedName>
    <definedName name="SD_34x1_91x76_19_B_0" localSheetId="23" hidden="1">Prolink!$F$1263</definedName>
    <definedName name="SD_34x1_91x76_20_B_0" localSheetId="23" hidden="1">Prolink!$G$1263</definedName>
    <definedName name="SD_34x1_91x76_22_B_0" localSheetId="23" hidden="1">Prolink!$C$1263</definedName>
    <definedName name="SD_34x1_91x76_23_B_0" localSheetId="23" hidden="1">Prolink!$S$1263</definedName>
    <definedName name="SD_34x1_91x76_24_B_0" localSheetId="23" hidden="1">Prolink!$T$1263</definedName>
    <definedName name="SD_34x1_91x76_25_B_0" localSheetId="23" hidden="1">Prolink!$N$1263</definedName>
    <definedName name="SD_34x1_91x76_26_B_0" localSheetId="23" hidden="1">Prolink!$O$1263</definedName>
    <definedName name="SD_34x1_91x76_27_B_0" localSheetId="23" hidden="1">Prolink!$I$1263</definedName>
    <definedName name="SD_34x1_91x76_28_B_0" localSheetId="23" hidden="1">Prolink!$J$1263</definedName>
    <definedName name="SD_34x1_91x76_4_B_0" localSheetId="23" hidden="1">Prolink!$D$1263</definedName>
    <definedName name="SD_34x1_91x76_8_B_0" localSheetId="23" hidden="1">Prolink!$E$1263</definedName>
    <definedName name="SD_34x1_91x77_10_B_0" localSheetId="23" hidden="1">Prolink!$R$1264</definedName>
    <definedName name="SD_34x1_91x77_11_B_0" localSheetId="23" hidden="1">Prolink!$P$1264</definedName>
    <definedName name="SD_34x1_91x77_12_B_0" localSheetId="23" hidden="1">Prolink!$Q$1264</definedName>
    <definedName name="SD_34x1_91x77_14_B_0" localSheetId="23" hidden="1">Prolink!$M$1264</definedName>
    <definedName name="SD_34x1_91x77_15_B_0" localSheetId="23" hidden="1">Prolink!$K$1264</definedName>
    <definedName name="SD_34x1_91x77_16_B_0" localSheetId="23" hidden="1">Prolink!$L$1264</definedName>
    <definedName name="SD_34x1_91x77_18_B_0" localSheetId="23" hidden="1">Prolink!$H$1264</definedName>
    <definedName name="SD_34x1_91x77_19_B_0" localSheetId="23" hidden="1">Prolink!$F$1264</definedName>
    <definedName name="SD_34x1_91x77_20_B_0" localSheetId="23" hidden="1">Prolink!$G$1264</definedName>
    <definedName name="SD_34x1_91x77_22_B_0" localSheetId="23" hidden="1">Prolink!$C$1264</definedName>
    <definedName name="SD_34x1_91x77_23_B_0" localSheetId="23" hidden="1">Prolink!$S$1264</definedName>
    <definedName name="SD_34x1_91x77_24_B_0" localSheetId="23" hidden="1">Prolink!$T$1264</definedName>
    <definedName name="SD_34x1_91x77_25_B_0" localSheetId="23" hidden="1">Prolink!$N$1264</definedName>
    <definedName name="SD_34x1_91x77_26_B_0" localSheetId="23" hidden="1">Prolink!$O$1264</definedName>
    <definedName name="SD_34x1_91x77_27_B_0" localSheetId="23" hidden="1">Prolink!$I$1264</definedName>
    <definedName name="SD_34x1_91x77_28_B_0" localSheetId="23" hidden="1">Prolink!$J$1264</definedName>
    <definedName name="SD_34x1_91x77_4_B_0" localSheetId="23" hidden="1">Prolink!$D$1264</definedName>
    <definedName name="SD_34x1_91x77_8_B_0" localSheetId="23" hidden="1">Prolink!$E$1264</definedName>
    <definedName name="SD_34x1_91x78_10_B_0" localSheetId="23" hidden="1">Prolink!$R$1265</definedName>
    <definedName name="SD_34x1_91x78_11_B_0" localSheetId="23" hidden="1">Prolink!$P$1265</definedName>
    <definedName name="SD_34x1_91x78_12_B_0" localSheetId="23" hidden="1">Prolink!$Q$1265</definedName>
    <definedName name="SD_34x1_91x78_14_B_0" localSheetId="23" hidden="1">Prolink!$M$1265</definedName>
    <definedName name="SD_34x1_91x78_15_B_0" localSheetId="23" hidden="1">Prolink!$K$1265</definedName>
    <definedName name="SD_34x1_91x78_16_B_0" localSheetId="23" hidden="1">Prolink!$L$1265</definedName>
    <definedName name="SD_34x1_91x78_18_B_0" localSheetId="23" hidden="1">Prolink!$H$1265</definedName>
    <definedName name="SD_34x1_91x78_19_B_0" localSheetId="23" hidden="1">Prolink!$F$1265</definedName>
    <definedName name="SD_34x1_91x78_20_B_0" localSheetId="23" hidden="1">Prolink!$G$1265</definedName>
    <definedName name="SD_34x1_91x78_22_B_0" localSheetId="23" hidden="1">Prolink!$C$1265</definedName>
    <definedName name="SD_34x1_91x78_23_B_0" localSheetId="23" hidden="1">Prolink!$S$1265</definedName>
    <definedName name="SD_34x1_91x78_24_B_0" localSheetId="23" hidden="1">Prolink!$T$1265</definedName>
    <definedName name="SD_34x1_91x78_25_B_0" localSheetId="23" hidden="1">Prolink!$N$1265</definedName>
    <definedName name="SD_34x1_91x78_26_B_0" localSheetId="23" hidden="1">Prolink!$O$1265</definedName>
    <definedName name="SD_34x1_91x78_27_B_0" localSheetId="23" hidden="1">Prolink!$I$1265</definedName>
    <definedName name="SD_34x1_91x78_28_B_0" localSheetId="23" hidden="1">Prolink!$J$1265</definedName>
    <definedName name="SD_34x1_91x78_4_B_0" localSheetId="23" hidden="1">Prolink!$D$1265</definedName>
    <definedName name="SD_34x1_91x78_8_B_0" localSheetId="23" hidden="1">Prolink!$E$1265</definedName>
    <definedName name="SD_34x1_91x79_10_B_0" localSheetId="23" hidden="1">Prolink!$R$1266</definedName>
    <definedName name="SD_34x1_91x79_11_B_0" localSheetId="23" hidden="1">Prolink!$P$1266</definedName>
    <definedName name="SD_34x1_91x79_12_B_0" localSheetId="23" hidden="1">Prolink!$Q$1266</definedName>
    <definedName name="SD_34x1_91x79_14_B_0" localSheetId="23" hidden="1">Prolink!$M$1266</definedName>
    <definedName name="SD_34x1_91x79_15_B_0" localSheetId="23" hidden="1">Prolink!$K$1266</definedName>
    <definedName name="SD_34x1_91x79_16_B_0" localSheetId="23" hidden="1">Prolink!$L$1266</definedName>
    <definedName name="SD_34x1_91x79_18_B_0" localSheetId="23" hidden="1">Prolink!$H$1266</definedName>
    <definedName name="SD_34x1_91x79_19_B_0" localSheetId="23" hidden="1">Prolink!$F$1266</definedName>
    <definedName name="SD_34x1_91x79_20_B_0" localSheetId="23" hidden="1">Prolink!$G$1266</definedName>
    <definedName name="SD_34x1_91x79_22_B_0" localSheetId="23" hidden="1">Prolink!$C$1266</definedName>
    <definedName name="SD_34x1_91x79_23_B_0" localSheetId="23" hidden="1">Prolink!$S$1266</definedName>
    <definedName name="SD_34x1_91x79_24_B_0" localSheetId="23" hidden="1">Prolink!$T$1266</definedName>
    <definedName name="SD_34x1_91x79_25_B_0" localSheetId="23" hidden="1">Prolink!$N$1266</definedName>
    <definedName name="SD_34x1_91x79_26_B_0" localSheetId="23" hidden="1">Prolink!$O$1266</definedName>
    <definedName name="SD_34x1_91x79_27_B_0" localSheetId="23" hidden="1">Prolink!$I$1266</definedName>
    <definedName name="SD_34x1_91x79_28_B_0" localSheetId="23" hidden="1">Prolink!$J$1266</definedName>
    <definedName name="SD_34x1_91x79_4_B_0" localSheetId="23" hidden="1">Prolink!$D$1266</definedName>
    <definedName name="SD_34x1_91x79_8_B_0" localSheetId="23" hidden="1">Prolink!$E$1266</definedName>
    <definedName name="SD_34x1_91x8_10_B_0" localSheetId="23" hidden="1">Prolink!$R$1195</definedName>
    <definedName name="SD_34x1_91x8_11_B_0" localSheetId="23" hidden="1">Prolink!$P$1195</definedName>
    <definedName name="SD_34x1_91x8_12_B_0" localSheetId="23" hidden="1">Prolink!$Q$1195</definedName>
    <definedName name="SD_34x1_91x8_14_B_0" localSheetId="23" hidden="1">Prolink!$M$1195</definedName>
    <definedName name="SD_34x1_91x8_15_B_0" localSheetId="23" hidden="1">Prolink!$K$1195</definedName>
    <definedName name="SD_34x1_91x8_16_B_0" localSheetId="23" hidden="1">Prolink!$L$1195</definedName>
    <definedName name="SD_34x1_91x8_18_B_0" localSheetId="23" hidden="1">Prolink!$H$1195</definedName>
    <definedName name="SD_34x1_91x8_19_B_0" localSheetId="23" hidden="1">Prolink!$F$1195</definedName>
    <definedName name="SD_34x1_91x8_20_B_0" localSheetId="23" hidden="1">Prolink!$G$1195</definedName>
    <definedName name="SD_34x1_91x8_22_B_0" localSheetId="23" hidden="1">Prolink!$C$1195</definedName>
    <definedName name="SD_34x1_91x8_23_B_0" localSheetId="23" hidden="1">Prolink!$S$1195</definedName>
    <definedName name="SD_34x1_91x8_24_B_0" localSheetId="23" hidden="1">Prolink!$T$1195</definedName>
    <definedName name="SD_34x1_91x8_25_B_0" localSheetId="23" hidden="1">Prolink!$N$1195</definedName>
    <definedName name="SD_34x1_91x8_26_B_0" localSheetId="23" hidden="1">Prolink!$O$1195</definedName>
    <definedName name="SD_34x1_91x8_27_B_0" localSheetId="23" hidden="1">Prolink!$I$1195</definedName>
    <definedName name="SD_34x1_91x8_28_B_0" localSheetId="23" hidden="1">Prolink!$J$1195</definedName>
    <definedName name="SD_34x1_91x8_4_B_0" localSheetId="23" hidden="1">Prolink!$D$1195</definedName>
    <definedName name="SD_34x1_91x8_8_B_0" localSheetId="23" hidden="1">Prolink!$E$1195</definedName>
    <definedName name="SD_34x1_91x80_10_B_0" localSheetId="23" hidden="1">Prolink!$R$1267</definedName>
    <definedName name="SD_34x1_91x80_11_B_0" localSheetId="23" hidden="1">Prolink!$P$1267</definedName>
    <definedName name="SD_34x1_91x80_12_B_0" localSheetId="23" hidden="1">Prolink!$Q$1267</definedName>
    <definedName name="SD_34x1_91x80_14_B_0" localSheetId="23" hidden="1">Prolink!$M$1267</definedName>
    <definedName name="SD_34x1_91x80_15_B_0" localSheetId="23" hidden="1">Prolink!$K$1267</definedName>
    <definedName name="SD_34x1_91x80_16_B_0" localSheetId="23" hidden="1">Prolink!$L$1267</definedName>
    <definedName name="SD_34x1_91x80_18_B_0" localSheetId="23" hidden="1">Prolink!$H$1267</definedName>
    <definedName name="SD_34x1_91x80_19_B_0" localSheetId="23" hidden="1">Prolink!$F$1267</definedName>
    <definedName name="SD_34x1_91x80_20_B_0" localSheetId="23" hidden="1">Prolink!$G$1267</definedName>
    <definedName name="SD_34x1_91x80_22_B_0" localSheetId="23" hidden="1">Prolink!$C$1267</definedName>
    <definedName name="SD_34x1_91x80_23_B_0" localSheetId="23" hidden="1">Prolink!$S$1267</definedName>
    <definedName name="SD_34x1_91x80_24_B_0" localSheetId="23" hidden="1">Prolink!$T$1267</definedName>
    <definedName name="SD_34x1_91x80_25_B_0" localSheetId="23" hidden="1">Prolink!$N$1267</definedName>
    <definedName name="SD_34x1_91x80_26_B_0" localSheetId="23" hidden="1">Prolink!$O$1267</definedName>
    <definedName name="SD_34x1_91x80_27_B_0" localSheetId="23" hidden="1">Prolink!$I$1267</definedName>
    <definedName name="SD_34x1_91x80_28_B_0" localSheetId="23" hidden="1">Prolink!$J$1267</definedName>
    <definedName name="SD_34x1_91x80_4_B_0" localSheetId="23" hidden="1">Prolink!$D$1267</definedName>
    <definedName name="SD_34x1_91x80_8_B_0" localSheetId="23" hidden="1">Prolink!$E$1267</definedName>
    <definedName name="SD_34x1_91x81_10_B_0" localSheetId="23" hidden="1">Prolink!$R$1268</definedName>
    <definedName name="SD_34x1_91x81_11_B_0" localSheetId="23" hidden="1">Prolink!$P$1268</definedName>
    <definedName name="SD_34x1_91x81_12_B_0" localSheetId="23" hidden="1">Prolink!$Q$1268</definedName>
    <definedName name="SD_34x1_91x81_14_B_0" localSheetId="23" hidden="1">Prolink!$M$1268</definedName>
    <definedName name="SD_34x1_91x81_15_B_0" localSheetId="23" hidden="1">Prolink!$K$1268</definedName>
    <definedName name="SD_34x1_91x81_16_B_0" localSheetId="23" hidden="1">Prolink!$L$1268</definedName>
    <definedName name="SD_34x1_91x81_18_B_0" localSheetId="23" hidden="1">Prolink!$H$1268</definedName>
    <definedName name="SD_34x1_91x81_19_B_0" localSheetId="23" hidden="1">Prolink!$F$1268</definedName>
    <definedName name="SD_34x1_91x81_20_B_0" localSheetId="23" hidden="1">Prolink!$G$1268</definedName>
    <definedName name="SD_34x1_91x81_22_B_0" localSheetId="23" hidden="1">Prolink!$C$1268</definedName>
    <definedName name="SD_34x1_91x81_23_B_0" localSheetId="23" hidden="1">Prolink!$S$1268</definedName>
    <definedName name="SD_34x1_91x81_24_B_0" localSheetId="23" hidden="1">Prolink!$T$1268</definedName>
    <definedName name="SD_34x1_91x81_25_B_0" localSheetId="23" hidden="1">Prolink!$N$1268</definedName>
    <definedName name="SD_34x1_91x81_26_B_0" localSheetId="23" hidden="1">Prolink!$O$1268</definedName>
    <definedName name="SD_34x1_91x81_27_B_0" localSheetId="23" hidden="1">Prolink!$I$1268</definedName>
    <definedName name="SD_34x1_91x81_28_B_0" localSheetId="23" hidden="1">Prolink!$J$1268</definedName>
    <definedName name="SD_34x1_91x81_4_B_0" localSheetId="23" hidden="1">Prolink!$D$1268</definedName>
    <definedName name="SD_34x1_91x81_8_B_0" localSheetId="23" hidden="1">Prolink!$E$1268</definedName>
    <definedName name="SD_34x1_91x82_10_B_0" localSheetId="23" hidden="1">Prolink!$R$1269</definedName>
    <definedName name="SD_34x1_91x82_11_B_0" localSheetId="23" hidden="1">Prolink!$P$1269</definedName>
    <definedName name="SD_34x1_91x82_12_B_0" localSheetId="23" hidden="1">Prolink!$Q$1269</definedName>
    <definedName name="SD_34x1_91x82_14_B_0" localSheetId="23" hidden="1">Prolink!$M$1269</definedName>
    <definedName name="SD_34x1_91x82_15_B_0" localSheetId="23" hidden="1">Prolink!$K$1269</definedName>
    <definedName name="SD_34x1_91x82_16_B_0" localSheetId="23" hidden="1">Prolink!$L$1269</definedName>
    <definedName name="SD_34x1_91x82_18_B_0" localSheetId="23" hidden="1">Prolink!$H$1269</definedName>
    <definedName name="SD_34x1_91x82_19_B_0" localSheetId="23" hidden="1">Prolink!$F$1269</definedName>
    <definedName name="SD_34x1_91x82_20_B_0" localSheetId="23" hidden="1">Prolink!$G$1269</definedName>
    <definedName name="SD_34x1_91x82_22_B_0" localSheetId="23" hidden="1">Prolink!$C$1269</definedName>
    <definedName name="SD_34x1_91x82_23_B_0" localSheetId="23" hidden="1">Prolink!$S$1269</definedName>
    <definedName name="SD_34x1_91x82_24_B_0" localSheetId="23" hidden="1">Prolink!$T$1269</definedName>
    <definedName name="SD_34x1_91x82_25_B_0" localSheetId="23" hidden="1">Prolink!$N$1269</definedName>
    <definedName name="SD_34x1_91x82_26_B_0" localSheetId="23" hidden="1">Prolink!$O$1269</definedName>
    <definedName name="SD_34x1_91x82_27_B_0" localSheetId="23" hidden="1">Prolink!$I$1269</definedName>
    <definedName name="SD_34x1_91x82_28_B_0" localSheetId="23" hidden="1">Prolink!$J$1269</definedName>
    <definedName name="SD_34x1_91x82_4_B_0" localSheetId="23" hidden="1">Prolink!$D$1269</definedName>
    <definedName name="SD_34x1_91x82_8_B_0" localSheetId="23" hidden="1">Prolink!$E$1269</definedName>
    <definedName name="SD_34x1_91x83_10_B_0" localSheetId="23" hidden="1">Prolink!$R$1270</definedName>
    <definedName name="SD_34x1_91x83_11_B_0" localSheetId="23" hidden="1">Prolink!$P$1270</definedName>
    <definedName name="SD_34x1_91x83_12_B_0" localSheetId="23" hidden="1">Prolink!$Q$1270</definedName>
    <definedName name="SD_34x1_91x83_14_B_0" localSheetId="23" hidden="1">Prolink!$M$1270</definedName>
    <definedName name="SD_34x1_91x83_15_B_0" localSheetId="23" hidden="1">Prolink!$K$1270</definedName>
    <definedName name="SD_34x1_91x83_16_B_0" localSheetId="23" hidden="1">Prolink!$L$1270</definedName>
    <definedName name="SD_34x1_91x83_18_B_0" localSheetId="23" hidden="1">Prolink!$H$1270</definedName>
    <definedName name="SD_34x1_91x83_19_B_0" localSheetId="23" hidden="1">Prolink!$F$1270</definedName>
    <definedName name="SD_34x1_91x83_20_B_0" localSheetId="23" hidden="1">Prolink!$G$1270</definedName>
    <definedName name="SD_34x1_91x83_22_B_0" localSheetId="23" hidden="1">Prolink!$C$1270</definedName>
    <definedName name="SD_34x1_91x83_23_B_0" localSheetId="23" hidden="1">Prolink!$S$1270</definedName>
    <definedName name="SD_34x1_91x83_24_B_0" localSheetId="23" hidden="1">Prolink!$T$1270</definedName>
    <definedName name="SD_34x1_91x83_25_B_0" localSheetId="23" hidden="1">Prolink!$N$1270</definedName>
    <definedName name="SD_34x1_91x83_26_B_0" localSheetId="23" hidden="1">Prolink!$O$1270</definedName>
    <definedName name="SD_34x1_91x83_27_B_0" localSheetId="23" hidden="1">Prolink!$I$1270</definedName>
    <definedName name="SD_34x1_91x83_28_B_0" localSheetId="23" hidden="1">Prolink!$J$1270</definedName>
    <definedName name="SD_34x1_91x83_4_B_0" localSheetId="23" hidden="1">Prolink!$D$1270</definedName>
    <definedName name="SD_34x1_91x83_8_B_0" localSheetId="23" hidden="1">Prolink!$E$1270</definedName>
    <definedName name="SD_34x1_91x84_10_B_0" localSheetId="23" hidden="1">Prolink!$R$1271</definedName>
    <definedName name="SD_34x1_91x84_11_B_0" localSheetId="23" hidden="1">Prolink!$P$1271</definedName>
    <definedName name="SD_34x1_91x84_12_B_0" localSheetId="23" hidden="1">Prolink!$Q$1271</definedName>
    <definedName name="SD_34x1_91x84_14_B_0" localSheetId="23" hidden="1">Prolink!$M$1271</definedName>
    <definedName name="SD_34x1_91x84_15_B_0" localSheetId="23" hidden="1">Prolink!$K$1271</definedName>
    <definedName name="SD_34x1_91x84_16_B_0" localSheetId="23" hidden="1">Prolink!$L$1271</definedName>
    <definedName name="SD_34x1_91x84_18_B_0" localSheetId="23" hidden="1">Prolink!$H$1271</definedName>
    <definedName name="SD_34x1_91x84_19_B_0" localSheetId="23" hidden="1">Prolink!$F$1271</definedName>
    <definedName name="SD_34x1_91x84_20_B_0" localSheetId="23" hidden="1">Prolink!$G$1271</definedName>
    <definedName name="SD_34x1_91x84_22_B_0" localSheetId="23" hidden="1">Prolink!$C$1271</definedName>
    <definedName name="SD_34x1_91x84_23_B_0" localSheetId="23" hidden="1">Prolink!$S$1271</definedName>
    <definedName name="SD_34x1_91x84_24_B_0" localSheetId="23" hidden="1">Prolink!$T$1271</definedName>
    <definedName name="SD_34x1_91x84_25_B_0" localSheetId="23" hidden="1">Prolink!$N$1271</definedName>
    <definedName name="SD_34x1_91x84_26_B_0" localSheetId="23" hidden="1">Prolink!$O$1271</definedName>
    <definedName name="SD_34x1_91x84_27_B_0" localSheetId="23" hidden="1">Prolink!$I$1271</definedName>
    <definedName name="SD_34x1_91x84_28_B_0" localSheetId="23" hidden="1">Prolink!$J$1271</definedName>
    <definedName name="SD_34x1_91x84_4_B_0" localSheetId="23" hidden="1">Prolink!$D$1271</definedName>
    <definedName name="SD_34x1_91x84_8_B_0" localSheetId="23" hidden="1">Prolink!$E$1271</definedName>
    <definedName name="SD_34x1_91x85_10_B_0" localSheetId="23" hidden="1">Prolink!$R$1272</definedName>
    <definedName name="SD_34x1_91x85_11_B_0" localSheetId="23" hidden="1">Prolink!$P$1272</definedName>
    <definedName name="SD_34x1_91x85_12_B_0" localSheetId="23" hidden="1">Prolink!$Q$1272</definedName>
    <definedName name="SD_34x1_91x85_14_B_0" localSheetId="23" hidden="1">Prolink!$M$1272</definedName>
    <definedName name="SD_34x1_91x85_15_B_0" localSheetId="23" hidden="1">Prolink!$K$1272</definedName>
    <definedName name="SD_34x1_91x85_16_B_0" localSheetId="23" hidden="1">Prolink!$L$1272</definedName>
    <definedName name="SD_34x1_91x85_18_B_0" localSheetId="23" hidden="1">Prolink!$H$1272</definedName>
    <definedName name="SD_34x1_91x85_19_B_0" localSheetId="23" hidden="1">Prolink!$F$1272</definedName>
    <definedName name="SD_34x1_91x85_20_B_0" localSheetId="23" hidden="1">Prolink!$G$1272</definedName>
    <definedName name="SD_34x1_91x85_22_B_0" localSheetId="23" hidden="1">Prolink!$C$1272</definedName>
    <definedName name="SD_34x1_91x85_23_B_0" localSheetId="23" hidden="1">Prolink!$S$1272</definedName>
    <definedName name="SD_34x1_91x85_24_B_0" localSheetId="23" hidden="1">Prolink!$T$1272</definedName>
    <definedName name="SD_34x1_91x85_25_B_0" localSheetId="23" hidden="1">Prolink!$N$1272</definedName>
    <definedName name="SD_34x1_91x85_26_B_0" localSheetId="23" hidden="1">Prolink!$O$1272</definedName>
    <definedName name="SD_34x1_91x85_27_B_0" localSheetId="23" hidden="1">Prolink!$I$1272</definedName>
    <definedName name="SD_34x1_91x85_28_B_0" localSheetId="23" hidden="1">Prolink!$J$1272</definedName>
    <definedName name="SD_34x1_91x85_4_B_0" localSheetId="23" hidden="1">Prolink!$D$1272</definedName>
    <definedName name="SD_34x1_91x85_8_B_0" localSheetId="23" hidden="1">Prolink!$E$1272</definedName>
    <definedName name="SD_34x1_91x86_10_B_0" localSheetId="23" hidden="1">Prolink!$R$1273</definedName>
    <definedName name="SD_34x1_91x86_11_B_0" localSheetId="23" hidden="1">Prolink!$P$1273</definedName>
    <definedName name="SD_34x1_91x86_12_B_0" localSheetId="23" hidden="1">Prolink!$Q$1273</definedName>
    <definedName name="SD_34x1_91x86_14_B_0" localSheetId="23" hidden="1">Prolink!$M$1273</definedName>
    <definedName name="SD_34x1_91x86_15_B_0" localSheetId="23" hidden="1">Prolink!$K$1273</definedName>
    <definedName name="SD_34x1_91x86_16_B_0" localSheetId="23" hidden="1">Prolink!$L$1273</definedName>
    <definedName name="SD_34x1_91x86_18_B_0" localSheetId="23" hidden="1">Prolink!$H$1273</definedName>
    <definedName name="SD_34x1_91x86_19_B_0" localSheetId="23" hidden="1">Prolink!$F$1273</definedName>
    <definedName name="SD_34x1_91x86_20_B_0" localSheetId="23" hidden="1">Prolink!$G$1273</definedName>
    <definedName name="SD_34x1_91x86_22_B_0" localSheetId="23" hidden="1">Prolink!$C$1273</definedName>
    <definedName name="SD_34x1_91x86_23_B_0" localSheetId="23" hidden="1">Prolink!$S$1273</definedName>
    <definedName name="SD_34x1_91x86_24_B_0" localSheetId="23" hidden="1">Prolink!$T$1273</definedName>
    <definedName name="SD_34x1_91x86_25_B_0" localSheetId="23" hidden="1">Prolink!$N$1273</definedName>
    <definedName name="SD_34x1_91x86_26_B_0" localSheetId="23" hidden="1">Prolink!$O$1273</definedName>
    <definedName name="SD_34x1_91x86_27_B_0" localSheetId="23" hidden="1">Prolink!$I$1273</definedName>
    <definedName name="SD_34x1_91x86_28_B_0" localSheetId="23" hidden="1">Prolink!$J$1273</definedName>
    <definedName name="SD_34x1_91x86_4_B_0" localSheetId="23" hidden="1">Prolink!$D$1273</definedName>
    <definedName name="SD_34x1_91x86_8_B_0" localSheetId="23" hidden="1">Prolink!$E$1273</definedName>
    <definedName name="SD_34x1_91x87_10_B_0" localSheetId="23" hidden="1">Prolink!$R$1274</definedName>
    <definedName name="SD_34x1_91x87_11_B_0" localSheetId="23" hidden="1">Prolink!$P$1274</definedName>
    <definedName name="SD_34x1_91x87_12_B_0" localSheetId="23" hidden="1">Prolink!$Q$1274</definedName>
    <definedName name="SD_34x1_91x87_14_B_0" localSheetId="23" hidden="1">Prolink!$M$1274</definedName>
    <definedName name="SD_34x1_91x87_15_B_0" localSheetId="23" hidden="1">Prolink!$K$1274</definedName>
    <definedName name="SD_34x1_91x87_16_B_0" localSheetId="23" hidden="1">Prolink!$L$1274</definedName>
    <definedName name="SD_34x1_91x87_18_B_0" localSheetId="23" hidden="1">Prolink!$H$1274</definedName>
    <definedName name="SD_34x1_91x87_19_B_0" localSheetId="23" hidden="1">Prolink!$F$1274</definedName>
    <definedName name="SD_34x1_91x87_20_B_0" localSheetId="23" hidden="1">Prolink!$G$1274</definedName>
    <definedName name="SD_34x1_91x87_22_B_0" localSheetId="23" hidden="1">Prolink!$C$1274</definedName>
    <definedName name="SD_34x1_91x87_23_B_0" localSheetId="23" hidden="1">Prolink!$S$1274</definedName>
    <definedName name="SD_34x1_91x87_24_B_0" localSheetId="23" hidden="1">Prolink!$T$1274</definedName>
    <definedName name="SD_34x1_91x87_25_B_0" localSheetId="23" hidden="1">Prolink!$N$1274</definedName>
    <definedName name="SD_34x1_91x87_26_B_0" localSheetId="23" hidden="1">Prolink!$O$1274</definedName>
    <definedName name="SD_34x1_91x87_27_B_0" localSheetId="23" hidden="1">Prolink!$I$1274</definedName>
    <definedName name="SD_34x1_91x87_28_B_0" localSheetId="23" hidden="1">Prolink!$J$1274</definedName>
    <definedName name="SD_34x1_91x87_4_B_0" localSheetId="23" hidden="1">Prolink!$D$1274</definedName>
    <definedName name="SD_34x1_91x87_8_B_0" localSheetId="23" hidden="1">Prolink!$E$1274</definedName>
    <definedName name="SD_34x1_91x88_10_B_0" localSheetId="23" hidden="1">Prolink!$R$1275</definedName>
    <definedName name="SD_34x1_91x88_11_B_0" localSheetId="23" hidden="1">Prolink!$P$1275</definedName>
    <definedName name="SD_34x1_91x88_12_B_0" localSheetId="23" hidden="1">Prolink!$Q$1275</definedName>
    <definedName name="SD_34x1_91x88_14_B_0" localSheetId="23" hidden="1">Prolink!$M$1275</definedName>
    <definedName name="SD_34x1_91x88_15_B_0" localSheetId="23" hidden="1">Prolink!$K$1275</definedName>
    <definedName name="SD_34x1_91x88_16_B_0" localSheetId="23" hidden="1">Prolink!$L$1275</definedName>
    <definedName name="SD_34x1_91x88_18_B_0" localSheetId="23" hidden="1">Prolink!$H$1275</definedName>
    <definedName name="SD_34x1_91x88_19_B_0" localSheetId="23" hidden="1">Prolink!$F$1275</definedName>
    <definedName name="SD_34x1_91x88_20_B_0" localSheetId="23" hidden="1">Prolink!$G$1275</definedName>
    <definedName name="SD_34x1_91x88_22_B_0" localSheetId="23" hidden="1">Prolink!$C$1275</definedName>
    <definedName name="SD_34x1_91x88_23_B_0" localSheetId="23" hidden="1">Prolink!$S$1275</definedName>
    <definedName name="SD_34x1_91x88_24_B_0" localSheetId="23" hidden="1">Prolink!$T$1275</definedName>
    <definedName name="SD_34x1_91x88_25_B_0" localSheetId="23" hidden="1">Prolink!$N$1275</definedName>
    <definedName name="SD_34x1_91x88_26_B_0" localSheetId="23" hidden="1">Prolink!$O$1275</definedName>
    <definedName name="SD_34x1_91x88_27_B_0" localSheetId="23" hidden="1">Prolink!$I$1275</definedName>
    <definedName name="SD_34x1_91x88_28_B_0" localSheetId="23" hidden="1">Prolink!$J$1275</definedName>
    <definedName name="SD_34x1_91x88_4_B_0" localSheetId="23" hidden="1">Prolink!$D$1275</definedName>
    <definedName name="SD_34x1_91x88_8_B_0" localSheetId="23" hidden="1">Prolink!$E$1275</definedName>
    <definedName name="SD_34x1_91x89_10_B_0" localSheetId="23" hidden="1">Prolink!$R$1276</definedName>
    <definedName name="SD_34x1_91x89_11_B_0" localSheetId="23" hidden="1">Prolink!$P$1276</definedName>
    <definedName name="SD_34x1_91x89_12_B_0" localSheetId="23" hidden="1">Prolink!$Q$1276</definedName>
    <definedName name="SD_34x1_91x89_14_B_0" localSheetId="23" hidden="1">Prolink!$M$1276</definedName>
    <definedName name="SD_34x1_91x89_15_B_0" localSheetId="23" hidden="1">Prolink!$K$1276</definedName>
    <definedName name="SD_34x1_91x89_16_B_0" localSheetId="23" hidden="1">Prolink!$L$1276</definedName>
    <definedName name="SD_34x1_91x89_18_B_0" localSheetId="23" hidden="1">Prolink!$H$1276</definedName>
    <definedName name="SD_34x1_91x89_19_B_0" localSheetId="23" hidden="1">Prolink!$F$1276</definedName>
    <definedName name="SD_34x1_91x89_20_B_0" localSheetId="23" hidden="1">Prolink!$G$1276</definedName>
    <definedName name="SD_34x1_91x89_22_B_0" localSheetId="23" hidden="1">Prolink!$C$1276</definedName>
    <definedName name="SD_34x1_91x89_23_B_0" localSheetId="23" hidden="1">Prolink!$S$1276</definedName>
    <definedName name="SD_34x1_91x89_24_B_0" localSheetId="23" hidden="1">Prolink!$T$1276</definedName>
    <definedName name="SD_34x1_91x89_25_B_0" localSheetId="23" hidden="1">Prolink!$N$1276</definedName>
    <definedName name="SD_34x1_91x89_26_B_0" localSheetId="23" hidden="1">Prolink!$O$1276</definedName>
    <definedName name="SD_34x1_91x89_27_B_0" localSheetId="23" hidden="1">Prolink!$I$1276</definedName>
    <definedName name="SD_34x1_91x89_28_B_0" localSheetId="23" hidden="1">Prolink!$J$1276</definedName>
    <definedName name="SD_34x1_91x89_4_B_0" localSheetId="23" hidden="1">Prolink!$D$1276</definedName>
    <definedName name="SD_34x1_91x89_8_B_0" localSheetId="23" hidden="1">Prolink!$E$1276</definedName>
    <definedName name="SD_34x1_91x9_10_B_0" localSheetId="23" hidden="1">Prolink!$R$1196</definedName>
    <definedName name="SD_34x1_91x9_11_B_0" localSheetId="23" hidden="1">Prolink!$P$1196</definedName>
    <definedName name="SD_34x1_91x9_12_B_0" localSheetId="23" hidden="1">Prolink!$Q$1196</definedName>
    <definedName name="SD_34x1_91x9_14_B_0" localSheetId="23" hidden="1">Prolink!$M$1196</definedName>
    <definedName name="SD_34x1_91x9_15_B_0" localSheetId="23" hidden="1">Prolink!$K$1196</definedName>
    <definedName name="SD_34x1_91x9_16_B_0" localSheetId="23" hidden="1">Prolink!$L$1196</definedName>
    <definedName name="SD_34x1_91x9_18_B_0" localSheetId="23" hidden="1">Prolink!$H$1196</definedName>
    <definedName name="SD_34x1_91x9_19_B_0" localSheetId="23" hidden="1">Prolink!$F$1196</definedName>
    <definedName name="SD_34x1_91x9_20_B_0" localSheetId="23" hidden="1">Prolink!$G$1196</definedName>
    <definedName name="SD_34x1_91x9_22_B_0" localSheetId="23" hidden="1">Prolink!$C$1196</definedName>
    <definedName name="SD_34x1_91x9_23_B_0" localSheetId="23" hidden="1">Prolink!$S$1196</definedName>
    <definedName name="SD_34x1_91x9_24_B_0" localSheetId="23" hidden="1">Prolink!$T$1196</definedName>
    <definedName name="SD_34x1_91x9_25_B_0" localSheetId="23" hidden="1">Prolink!$N$1196</definedName>
    <definedName name="SD_34x1_91x9_26_B_0" localSheetId="23" hidden="1">Prolink!$O$1196</definedName>
    <definedName name="SD_34x1_91x9_27_B_0" localSheetId="23" hidden="1">Prolink!$I$1196</definedName>
    <definedName name="SD_34x1_91x9_28_B_0" localSheetId="23" hidden="1">Prolink!$J$1196</definedName>
    <definedName name="SD_34x1_91x9_4_B_0" localSheetId="23" hidden="1">Prolink!$D$1196</definedName>
    <definedName name="SD_34x1_91x9_8_B_0" localSheetId="23" hidden="1">Prolink!$E$1196</definedName>
    <definedName name="SD_34x1_91x90_10_B_0" localSheetId="23" hidden="1">Prolink!$R$1277</definedName>
    <definedName name="SD_34x1_91x90_11_B_0" localSheetId="23" hidden="1">Prolink!$P$1277</definedName>
    <definedName name="SD_34x1_91x90_12_B_0" localSheetId="23" hidden="1">Prolink!$Q$1277</definedName>
    <definedName name="SD_34x1_91x90_14_B_0" localSheetId="23" hidden="1">Prolink!$M$1277</definedName>
    <definedName name="SD_34x1_91x90_15_B_0" localSheetId="23" hidden="1">Prolink!$K$1277</definedName>
    <definedName name="SD_34x1_91x90_16_B_0" localSheetId="23" hidden="1">Prolink!$L$1277</definedName>
    <definedName name="SD_34x1_91x90_18_B_0" localSheetId="23" hidden="1">Prolink!$H$1277</definedName>
    <definedName name="SD_34x1_91x90_19_B_0" localSheetId="23" hidden="1">Prolink!$F$1277</definedName>
    <definedName name="SD_34x1_91x90_20_B_0" localSheetId="23" hidden="1">Prolink!$G$1277</definedName>
    <definedName name="SD_34x1_91x90_22_B_0" localSheetId="23" hidden="1">Prolink!$C$1277</definedName>
    <definedName name="SD_34x1_91x90_23_B_0" localSheetId="23" hidden="1">Prolink!$S$1277</definedName>
    <definedName name="SD_34x1_91x90_24_B_0" localSheetId="23" hidden="1">Prolink!$T$1277</definedName>
    <definedName name="SD_34x1_91x90_25_B_0" localSheetId="23" hidden="1">Prolink!$N$1277</definedName>
    <definedName name="SD_34x1_91x90_26_B_0" localSheetId="23" hidden="1">Prolink!$O$1277</definedName>
    <definedName name="SD_34x1_91x90_27_B_0" localSheetId="23" hidden="1">Prolink!$I$1277</definedName>
    <definedName name="SD_34x1_91x90_28_B_0" localSheetId="23" hidden="1">Prolink!$J$1277</definedName>
    <definedName name="SD_34x1_91x90_4_B_0" localSheetId="23" hidden="1">Prolink!$D$1277</definedName>
    <definedName name="SD_34x1_91x90_8_B_0" localSheetId="23" hidden="1">Prolink!$E$1277</definedName>
    <definedName name="SD_34x1_91x91_10_B_0" localSheetId="23" hidden="1">Prolink!$R$1278</definedName>
    <definedName name="SD_34x1_91x91_11_B_0" localSheetId="23" hidden="1">Prolink!$P$1278</definedName>
    <definedName name="SD_34x1_91x91_12_B_0" localSheetId="23" hidden="1">Prolink!$Q$1278</definedName>
    <definedName name="SD_34x1_91x91_14_B_0" localSheetId="23" hidden="1">Prolink!$M$1278</definedName>
    <definedName name="SD_34x1_91x91_15_B_0" localSheetId="23" hidden="1">Prolink!$K$1278</definedName>
    <definedName name="SD_34x1_91x91_16_B_0" localSheetId="23" hidden="1">Prolink!$L$1278</definedName>
    <definedName name="SD_34x1_91x91_18_B_0" localSheetId="23" hidden="1">Prolink!$H$1278</definedName>
    <definedName name="SD_34x1_91x91_19_B_0" localSheetId="23" hidden="1">Prolink!$F$1278</definedName>
    <definedName name="SD_34x1_91x91_20_B_0" localSheetId="23" hidden="1">Prolink!$G$1278</definedName>
    <definedName name="SD_34x1_91x91_22_B_0" localSheetId="23" hidden="1">Prolink!$C$1278</definedName>
    <definedName name="SD_34x1_91x91_23_B_0" localSheetId="23" hidden="1">Prolink!$S$1278</definedName>
    <definedName name="SD_34x1_91x91_24_B_0" localSheetId="23" hidden="1">Prolink!$T$1278</definedName>
    <definedName name="SD_34x1_91x91_25_B_0" localSheetId="23" hidden="1">Prolink!$N$1278</definedName>
    <definedName name="SD_34x1_91x91_26_B_0" localSheetId="23" hidden="1">Prolink!$O$1278</definedName>
    <definedName name="SD_34x1_91x91_27_B_0" localSheetId="23" hidden="1">Prolink!$I$1278</definedName>
    <definedName name="SD_34x1_91x91_28_B_0" localSheetId="23" hidden="1">Prolink!$J$1278</definedName>
    <definedName name="SD_34x1_91x91_4_B_0" localSheetId="23" hidden="1">Prolink!$D$1278</definedName>
    <definedName name="SD_34x1_91x91_8_B_0" localSheetId="23" hidden="1">Prolink!$E$1278</definedName>
    <definedName name="SD_34x1_91x92_10_B_0" localSheetId="23" hidden="1">Prolink!$R$1279</definedName>
    <definedName name="SD_34x1_91x92_11_B_0" localSheetId="23" hidden="1">Prolink!$P$1279</definedName>
    <definedName name="SD_34x1_91x92_12_B_0" localSheetId="23" hidden="1">Prolink!$Q$1279</definedName>
    <definedName name="SD_34x1_91x92_14_B_0" localSheetId="23" hidden="1">Prolink!$M$1279</definedName>
    <definedName name="SD_34x1_91x92_15_B_0" localSheetId="23" hidden="1">Prolink!$K$1279</definedName>
    <definedName name="SD_34x1_91x92_16_B_0" localSheetId="23" hidden="1">Prolink!$L$1279</definedName>
    <definedName name="SD_34x1_91x92_18_B_0" localSheetId="23" hidden="1">Prolink!$H$1279</definedName>
    <definedName name="SD_34x1_91x92_19_B_0" localSheetId="23" hidden="1">Prolink!$F$1279</definedName>
    <definedName name="SD_34x1_91x92_20_B_0" localSheetId="23" hidden="1">Prolink!$G$1279</definedName>
    <definedName name="SD_34x1_91x92_22_B_0" localSheetId="23" hidden="1">Prolink!$C$1279</definedName>
    <definedName name="SD_34x1_91x92_23_B_0" localSheetId="23" hidden="1">Prolink!$S$1279</definedName>
    <definedName name="SD_34x1_91x92_24_B_0" localSheetId="23" hidden="1">Prolink!$T$1279</definedName>
    <definedName name="SD_34x1_91x92_25_B_0" localSheetId="23" hidden="1">Prolink!$N$1279</definedName>
    <definedName name="SD_34x1_91x92_26_B_0" localSheetId="23" hidden="1">Prolink!$O$1279</definedName>
    <definedName name="SD_34x1_91x92_27_B_0" localSheetId="23" hidden="1">Prolink!$I$1279</definedName>
    <definedName name="SD_34x1_91x92_28_B_0" localSheetId="23" hidden="1">Prolink!$J$1279</definedName>
    <definedName name="SD_34x1_91x92_4_B_0" localSheetId="23" hidden="1">Prolink!$D$1279</definedName>
    <definedName name="SD_34x1_91x92_8_B_0" localSheetId="23" hidden="1">Prolink!$E$1279</definedName>
    <definedName name="SD_34x1_91x93_10_B_0" localSheetId="23" hidden="1">Prolink!$R$1280</definedName>
    <definedName name="SD_34x1_91x93_11_B_0" localSheetId="23" hidden="1">Prolink!$P$1280</definedName>
    <definedName name="SD_34x1_91x93_12_B_0" localSheetId="23" hidden="1">Prolink!$Q$1280</definedName>
    <definedName name="SD_34x1_91x93_14_B_0" localSheetId="23" hidden="1">Prolink!$M$1280</definedName>
    <definedName name="SD_34x1_91x93_15_B_0" localSheetId="23" hidden="1">Prolink!$K$1280</definedName>
    <definedName name="SD_34x1_91x93_16_B_0" localSheetId="23" hidden="1">Prolink!$L$1280</definedName>
    <definedName name="SD_34x1_91x93_18_B_0" localSheetId="23" hidden="1">Prolink!$H$1280</definedName>
    <definedName name="SD_34x1_91x93_19_B_0" localSheetId="23" hidden="1">Prolink!$F$1280</definedName>
    <definedName name="SD_34x1_91x93_20_B_0" localSheetId="23" hidden="1">Prolink!$G$1280</definedName>
    <definedName name="SD_34x1_91x93_22_B_0" localSheetId="23" hidden="1">Prolink!$C$1280</definedName>
    <definedName name="SD_34x1_91x93_23_B_0" localSheetId="23" hidden="1">Prolink!$S$1280</definedName>
    <definedName name="SD_34x1_91x93_24_B_0" localSheetId="23" hidden="1">Prolink!$T$1280</definedName>
    <definedName name="SD_34x1_91x93_25_B_0" localSheetId="23" hidden="1">Prolink!$N$1280</definedName>
    <definedName name="SD_34x1_91x93_26_B_0" localSheetId="23" hidden="1">Prolink!$O$1280</definedName>
    <definedName name="SD_34x1_91x93_27_B_0" localSheetId="23" hidden="1">Prolink!$I$1280</definedName>
    <definedName name="SD_34x1_91x93_28_B_0" localSheetId="23" hidden="1">Prolink!$J$1280</definedName>
    <definedName name="SD_34x1_91x93_4_B_0" localSheetId="23" hidden="1">Prolink!$D$1280</definedName>
    <definedName name="SD_34x1_91x93_8_B_0" localSheetId="23" hidden="1">Prolink!$E$1280</definedName>
    <definedName name="SD_34x1_91x94_10_B_0" localSheetId="23" hidden="1">Prolink!$R$1281</definedName>
    <definedName name="SD_34x1_91x94_11_B_0" localSheetId="23" hidden="1">Prolink!$P$1281</definedName>
    <definedName name="SD_34x1_91x94_12_B_0" localSheetId="23" hidden="1">Prolink!$Q$1281</definedName>
    <definedName name="SD_34x1_91x94_14_B_0" localSheetId="23" hidden="1">Prolink!$M$1281</definedName>
    <definedName name="SD_34x1_91x94_15_B_0" localSheetId="23" hidden="1">Prolink!$K$1281</definedName>
    <definedName name="SD_34x1_91x94_16_B_0" localSheetId="23" hidden="1">Prolink!$L$1281</definedName>
    <definedName name="SD_34x1_91x94_18_B_0" localSheetId="23" hidden="1">Prolink!$H$1281</definedName>
    <definedName name="SD_34x1_91x94_19_B_0" localSheetId="23" hidden="1">Prolink!$F$1281</definedName>
    <definedName name="SD_34x1_91x94_20_B_0" localSheetId="23" hidden="1">Prolink!$G$1281</definedName>
    <definedName name="SD_34x1_91x94_22_B_0" localSheetId="23" hidden="1">Prolink!$C$1281</definedName>
    <definedName name="SD_34x1_91x94_23_B_0" localSheetId="23" hidden="1">Prolink!$S$1281</definedName>
    <definedName name="SD_34x1_91x94_24_B_0" localSheetId="23" hidden="1">Prolink!$T$1281</definedName>
    <definedName name="SD_34x1_91x94_25_B_0" localSheetId="23" hidden="1">Prolink!$N$1281</definedName>
    <definedName name="SD_34x1_91x94_26_B_0" localSheetId="23" hidden="1">Prolink!$O$1281</definedName>
    <definedName name="SD_34x1_91x94_27_B_0" localSheetId="23" hidden="1">Prolink!$I$1281</definedName>
    <definedName name="SD_34x1_91x94_28_B_0" localSheetId="23" hidden="1">Prolink!$J$1281</definedName>
    <definedName name="SD_34x1_91x94_4_B_0" localSheetId="23" hidden="1">Prolink!$D$1281</definedName>
    <definedName name="SD_34x1_91x94_8_B_0" localSheetId="23" hidden="1">Prolink!$E$1281</definedName>
    <definedName name="SD_34x1_91x95_10_B_0" localSheetId="23" hidden="1">Prolink!$R$1282</definedName>
    <definedName name="SD_34x1_91x95_11_B_0" localSheetId="23" hidden="1">Prolink!$P$1282</definedName>
    <definedName name="SD_34x1_91x95_12_B_0" localSheetId="23" hidden="1">Prolink!$Q$1282</definedName>
    <definedName name="SD_34x1_91x95_14_B_0" localSheetId="23" hidden="1">Prolink!$M$1282</definedName>
    <definedName name="SD_34x1_91x95_15_B_0" localSheetId="23" hidden="1">Prolink!$K$1282</definedName>
    <definedName name="SD_34x1_91x95_16_B_0" localSheetId="23" hidden="1">Prolink!$L$1282</definedName>
    <definedName name="SD_34x1_91x95_18_B_0" localSheetId="23" hidden="1">Prolink!$H$1282</definedName>
    <definedName name="SD_34x1_91x95_19_B_0" localSheetId="23" hidden="1">Prolink!$F$1282</definedName>
    <definedName name="SD_34x1_91x95_20_B_0" localSheetId="23" hidden="1">Prolink!$G$1282</definedName>
    <definedName name="SD_34x1_91x95_22_B_0" localSheetId="23" hidden="1">Prolink!$C$1282</definedName>
    <definedName name="SD_34x1_91x95_23_B_0" localSheetId="23" hidden="1">Prolink!$S$1282</definedName>
    <definedName name="SD_34x1_91x95_24_B_0" localSheetId="23" hidden="1">Prolink!$T$1282</definedName>
    <definedName name="SD_34x1_91x95_25_B_0" localSheetId="23" hidden="1">Prolink!$N$1282</definedName>
    <definedName name="SD_34x1_91x95_26_B_0" localSheetId="23" hidden="1">Prolink!$O$1282</definedName>
    <definedName name="SD_34x1_91x95_27_B_0" localSheetId="23" hidden="1">Prolink!$I$1282</definedName>
    <definedName name="SD_34x1_91x95_28_B_0" localSheetId="23" hidden="1">Prolink!$J$1282</definedName>
    <definedName name="SD_34x1_91x95_4_B_0" localSheetId="23" hidden="1">Prolink!$D$1282</definedName>
    <definedName name="SD_34x1_91x95_8_B_0" localSheetId="23" hidden="1">Prolink!$E$1282</definedName>
    <definedName name="SD_34x1_91x96_10_B_0" localSheetId="23" hidden="1">Prolink!$R$1283</definedName>
    <definedName name="SD_34x1_91x96_11_B_0" localSheetId="23" hidden="1">Prolink!$P$1283</definedName>
    <definedName name="SD_34x1_91x96_12_B_0" localSheetId="23" hidden="1">Prolink!$Q$1283</definedName>
    <definedName name="SD_34x1_91x96_14_B_0" localSheetId="23" hidden="1">Prolink!$M$1283</definedName>
    <definedName name="SD_34x1_91x96_15_B_0" localSheetId="23" hidden="1">Prolink!$K$1283</definedName>
    <definedName name="SD_34x1_91x96_16_B_0" localSheetId="23" hidden="1">Prolink!$L$1283</definedName>
    <definedName name="SD_34x1_91x96_18_B_0" localSheetId="23" hidden="1">Prolink!$H$1283</definedName>
    <definedName name="SD_34x1_91x96_19_B_0" localSheetId="23" hidden="1">Prolink!$F$1283</definedName>
    <definedName name="SD_34x1_91x96_20_B_0" localSheetId="23" hidden="1">Prolink!$G$1283</definedName>
    <definedName name="SD_34x1_91x96_22_B_0" localSheetId="23" hidden="1">Prolink!$C$1283</definedName>
    <definedName name="SD_34x1_91x96_23_B_0" localSheetId="23" hidden="1">Prolink!$S$1283</definedName>
    <definedName name="SD_34x1_91x96_24_B_0" localSheetId="23" hidden="1">Prolink!$T$1283</definedName>
    <definedName name="SD_34x1_91x96_25_B_0" localSheetId="23" hidden="1">Prolink!$N$1283</definedName>
    <definedName name="SD_34x1_91x96_26_B_0" localSheetId="23" hidden="1">Prolink!$O$1283</definedName>
    <definedName name="SD_34x1_91x96_27_B_0" localSheetId="23" hidden="1">Prolink!$I$1283</definedName>
    <definedName name="SD_34x1_91x96_28_B_0" localSheetId="23" hidden="1">Prolink!$J$1283</definedName>
    <definedName name="SD_34x1_91x96_4_B_0" localSheetId="23" hidden="1">Prolink!$D$1283</definedName>
    <definedName name="SD_34x1_91x96_8_B_0" localSheetId="23" hidden="1">Prolink!$E$1283</definedName>
    <definedName name="SD_34x1_91x97_10_B_0" localSheetId="23" hidden="1">Prolink!$R$1284</definedName>
    <definedName name="SD_34x1_91x97_11_B_0" localSheetId="23" hidden="1">Prolink!$P$1284</definedName>
    <definedName name="SD_34x1_91x97_12_B_0" localSheetId="23" hidden="1">Prolink!$Q$1284</definedName>
    <definedName name="SD_34x1_91x97_14_B_0" localSheetId="23" hidden="1">Prolink!$M$1284</definedName>
    <definedName name="SD_34x1_91x97_15_B_0" localSheetId="23" hidden="1">Prolink!$K$1284</definedName>
    <definedName name="SD_34x1_91x97_16_B_0" localSheetId="23" hidden="1">Prolink!$L$1284</definedName>
    <definedName name="SD_34x1_91x97_18_B_0" localSheetId="23" hidden="1">Prolink!$H$1284</definedName>
    <definedName name="SD_34x1_91x97_19_B_0" localSheetId="23" hidden="1">Prolink!$F$1284</definedName>
    <definedName name="SD_34x1_91x97_20_B_0" localSheetId="23" hidden="1">Prolink!$G$1284</definedName>
    <definedName name="SD_34x1_91x97_22_B_0" localSheetId="23" hidden="1">Prolink!$C$1284</definedName>
    <definedName name="SD_34x1_91x97_23_B_0" localSheetId="23" hidden="1">Prolink!$S$1284</definedName>
    <definedName name="SD_34x1_91x97_24_B_0" localSheetId="23" hidden="1">Prolink!$T$1284</definedName>
    <definedName name="SD_34x1_91x97_25_B_0" localSheetId="23" hidden="1">Prolink!$N$1284</definedName>
    <definedName name="SD_34x1_91x97_26_B_0" localSheetId="23" hidden="1">Prolink!$O$1284</definedName>
    <definedName name="SD_34x1_91x97_27_B_0" localSheetId="23" hidden="1">Prolink!$I$1284</definedName>
    <definedName name="SD_34x1_91x97_28_B_0" localSheetId="23" hidden="1">Prolink!$J$1284</definedName>
    <definedName name="SD_34x1_91x97_4_B_0" localSheetId="23" hidden="1">Prolink!$D$1284</definedName>
    <definedName name="SD_34x1_91x97_8_B_0" localSheetId="23" hidden="1">Prolink!$E$1284</definedName>
    <definedName name="SD_34x1_91x98_10_B_0" localSheetId="23" hidden="1">Prolink!$R$1285</definedName>
    <definedName name="SD_34x1_91x98_11_B_0" localSheetId="23" hidden="1">Prolink!$P$1285</definedName>
    <definedName name="SD_34x1_91x98_12_B_0" localSheetId="23" hidden="1">Prolink!$Q$1285</definedName>
    <definedName name="SD_34x1_91x98_14_B_0" localSheetId="23" hidden="1">Prolink!$M$1285</definedName>
    <definedName name="SD_34x1_91x98_15_B_0" localSheetId="23" hidden="1">Prolink!$K$1285</definedName>
    <definedName name="SD_34x1_91x98_16_B_0" localSheetId="23" hidden="1">Prolink!$L$1285</definedName>
    <definedName name="SD_34x1_91x98_18_B_0" localSheetId="23" hidden="1">Prolink!$H$1285</definedName>
    <definedName name="SD_34x1_91x98_19_B_0" localSheetId="23" hidden="1">Prolink!$F$1285</definedName>
    <definedName name="SD_34x1_91x98_20_B_0" localSheetId="23" hidden="1">Prolink!$G$1285</definedName>
    <definedName name="SD_34x1_91x98_22_B_0" localSheetId="23" hidden="1">Prolink!$C$1285</definedName>
    <definedName name="SD_34x1_91x98_23_B_0" localSheetId="23" hidden="1">Prolink!$S$1285</definedName>
    <definedName name="SD_34x1_91x98_24_B_0" localSheetId="23" hidden="1">Prolink!$T$1285</definedName>
    <definedName name="SD_34x1_91x98_25_B_0" localSheetId="23" hidden="1">Prolink!$N$1285</definedName>
    <definedName name="SD_34x1_91x98_26_B_0" localSheetId="23" hidden="1">Prolink!$O$1285</definedName>
    <definedName name="SD_34x1_91x98_27_B_0" localSheetId="23" hidden="1">Prolink!$I$1285</definedName>
    <definedName name="SD_34x1_91x98_28_B_0" localSheetId="23" hidden="1">Prolink!$J$1285</definedName>
    <definedName name="SD_34x1_91x98_4_B_0" localSheetId="23" hidden="1">Prolink!$D$1285</definedName>
    <definedName name="SD_34x1_91x98_8_B_0" localSheetId="23" hidden="1">Prolink!$E$1285</definedName>
    <definedName name="SD_34x1_91x99_10_B_0" localSheetId="23" hidden="1">Prolink!$R$1286</definedName>
    <definedName name="SD_34x1_91x99_11_B_0" localSheetId="23" hidden="1">Prolink!$P$1286</definedName>
    <definedName name="SD_34x1_91x99_12_B_0" localSheetId="23" hidden="1">Prolink!$Q$1286</definedName>
    <definedName name="SD_34x1_91x99_14_B_0" localSheetId="23" hidden="1">Prolink!$M$1286</definedName>
    <definedName name="SD_34x1_91x99_15_B_0" localSheetId="23" hidden="1">Prolink!$K$1286</definedName>
    <definedName name="SD_34x1_91x99_16_B_0" localSheetId="23" hidden="1">Prolink!$L$1286</definedName>
    <definedName name="SD_34x1_91x99_18_B_0" localSheetId="23" hidden="1">Prolink!$H$1286</definedName>
    <definedName name="SD_34x1_91x99_19_B_0" localSheetId="23" hidden="1">Prolink!$F$1286</definedName>
    <definedName name="SD_34x1_91x99_20_B_0" localSheetId="23" hidden="1">Prolink!$G$1286</definedName>
    <definedName name="SD_34x1_91x99_22_B_0" localSheetId="23" hidden="1">Prolink!$C$1286</definedName>
    <definedName name="SD_34x1_91x99_23_B_0" localSheetId="23" hidden="1">Prolink!$S$1286</definedName>
    <definedName name="SD_34x1_91x99_24_B_0" localSheetId="23" hidden="1">Prolink!$T$1286</definedName>
    <definedName name="SD_34x1_91x99_25_B_0" localSheetId="23" hidden="1">Prolink!$N$1286</definedName>
    <definedName name="SD_34x1_91x99_26_B_0" localSheetId="23" hidden="1">Prolink!$O$1286</definedName>
    <definedName name="SD_34x1_91x99_27_B_0" localSheetId="23" hidden="1">Prolink!$I$1286</definedName>
    <definedName name="SD_34x1_91x99_28_B_0" localSheetId="23" hidden="1">Prolink!$J$1286</definedName>
    <definedName name="SD_34x1_91x99_4_B_0" localSheetId="23" hidden="1">Prolink!$D$1286</definedName>
    <definedName name="SD_34x1_91x99_8_B_0" localSheetId="23" hidden="1">Prolink!$E$1286</definedName>
    <definedName name="SD_34x1_97_B_0" localSheetId="23" hidden="1">Prolink!$C$285</definedName>
    <definedName name="SD_34x1_98_B_0" localSheetId="23" hidden="1">Prolink!$C$291</definedName>
    <definedName name="SD_66_B_0" localSheetId="23" hidden="1">Prolink!$C$216</definedName>
    <definedName name="SD_7634x1_11_B_0" localSheetId="23" hidden="1">Prolink!$G$696</definedName>
    <definedName name="SD_7634x1_13_S_1" localSheetId="23" hidden="1">Prolink!$F$696</definedName>
    <definedName name="SD_7634x1_14_B_1" localSheetId="23" hidden="1">Prolink!$K$696</definedName>
    <definedName name="SD_7634x1_15_B_0" localSheetId="23" hidden="1">Prolink!$H$696</definedName>
    <definedName name="SD_7634x1_16_B_0" localSheetId="23" hidden="1">Prolink!$C$696</definedName>
    <definedName name="SD_7634x1_21_B_0" localSheetId="23" hidden="1">Prolink!$I$696</definedName>
    <definedName name="SD_7634x1_23_B_0" localSheetId="23" hidden="1">Prolink!$E$696</definedName>
    <definedName name="SD_7634x1_25_B_0" localSheetId="23" hidden="1">Prolink!$D$696</definedName>
    <definedName name="SD_7634x1_27_B_1" localSheetId="23" hidden="1">Prolink!$J$696</definedName>
    <definedName name="SD_7634x10_11_B_0" localSheetId="23" hidden="1">Prolink!$G$705</definedName>
    <definedName name="SD_7634x10_13_S_1" localSheetId="23" hidden="1">Prolink!$F$705</definedName>
    <definedName name="SD_7634x10_14_B_1" localSheetId="23" hidden="1">Prolink!$K$705</definedName>
    <definedName name="SD_7634x10_15_B_0" localSheetId="23" hidden="1">Prolink!$H$705</definedName>
    <definedName name="SD_7634x10_16_B_0" localSheetId="23" hidden="1">Prolink!$C$705</definedName>
    <definedName name="SD_7634x10_21_B_0" localSheetId="23" hidden="1">Prolink!$I$705</definedName>
    <definedName name="SD_7634x10_23_B_0" localSheetId="23" hidden="1">Prolink!$E$705</definedName>
    <definedName name="SD_7634x10_25_B_0" localSheetId="23" hidden="1">Prolink!$D$705</definedName>
    <definedName name="SD_7634x10_27_B_1" localSheetId="23" hidden="1">Prolink!$J$705</definedName>
    <definedName name="SD_7634x11_11_B_0" localSheetId="23" hidden="1">Prolink!$G$706</definedName>
    <definedName name="SD_7634x11_13_S_1" localSheetId="23" hidden="1">Prolink!$F$706</definedName>
    <definedName name="SD_7634x11_14_B_1" localSheetId="23" hidden="1">Prolink!$K$706</definedName>
    <definedName name="SD_7634x11_15_B_0" localSheetId="23" hidden="1">Prolink!$H$706</definedName>
    <definedName name="SD_7634x11_16_B_0" localSheetId="23" hidden="1">Prolink!$C$706</definedName>
    <definedName name="SD_7634x11_21_B_0" localSheetId="23" hidden="1">Prolink!$I$706</definedName>
    <definedName name="SD_7634x11_23_B_0" localSheetId="23" hidden="1">Prolink!$E$706</definedName>
    <definedName name="SD_7634x11_25_B_0" localSheetId="23" hidden="1">Prolink!$D$706</definedName>
    <definedName name="SD_7634x11_27_B_1" localSheetId="23" hidden="1">Prolink!$J$706</definedName>
    <definedName name="SD_7634x12_11_B_0" localSheetId="23" hidden="1">Prolink!$G$707</definedName>
    <definedName name="SD_7634x12_13_S_1" localSheetId="23" hidden="1">Prolink!$F$707</definedName>
    <definedName name="SD_7634x12_14_B_1" localSheetId="23" hidden="1">Prolink!$K$707</definedName>
    <definedName name="SD_7634x12_15_B_0" localSheetId="23" hidden="1">Prolink!$H$707</definedName>
    <definedName name="SD_7634x12_16_B_0" localSheetId="23" hidden="1">Prolink!$C$707</definedName>
    <definedName name="SD_7634x12_21_B_0" localSheetId="23" hidden="1">Prolink!$I$707</definedName>
    <definedName name="SD_7634x12_23_B_0" localSheetId="23" hidden="1">Prolink!$E$707</definedName>
    <definedName name="SD_7634x12_25_B_0" localSheetId="23" hidden="1">Prolink!$D$707</definedName>
    <definedName name="SD_7634x12_27_B_1" localSheetId="23" hidden="1">Prolink!$J$707</definedName>
    <definedName name="SD_7634x13_11_B_0" localSheetId="23" hidden="1">Prolink!$G$708</definedName>
    <definedName name="SD_7634x13_13_S_1" localSheetId="23" hidden="1">Prolink!$F$708</definedName>
    <definedName name="SD_7634x13_14_B_1" localSheetId="23" hidden="1">Prolink!$K$708</definedName>
    <definedName name="SD_7634x13_15_B_0" localSheetId="23" hidden="1">Prolink!$H$708</definedName>
    <definedName name="SD_7634x13_16_B_0" localSheetId="23" hidden="1">Prolink!$C$708</definedName>
    <definedName name="SD_7634x13_21_B_0" localSheetId="23" hidden="1">Prolink!$I$708</definedName>
    <definedName name="SD_7634x13_23_B_0" localSheetId="23" hidden="1">Prolink!$E$708</definedName>
    <definedName name="SD_7634x13_25_B_0" localSheetId="23" hidden="1">Prolink!$D$708</definedName>
    <definedName name="SD_7634x13_27_B_1" localSheetId="23" hidden="1">Prolink!$J$708</definedName>
    <definedName name="SD_7634x14_11_B_0" localSheetId="23" hidden="1">Prolink!$G$709</definedName>
    <definedName name="SD_7634x14_13_S_1" localSheetId="23" hidden="1">Prolink!$F$709</definedName>
    <definedName name="SD_7634x14_14_B_1" localSheetId="23" hidden="1">Prolink!$K$709</definedName>
    <definedName name="SD_7634x14_15_B_0" localSheetId="23" hidden="1">Prolink!$H$709</definedName>
    <definedName name="SD_7634x14_16_B_0" localSheetId="23" hidden="1">Prolink!$C$709</definedName>
    <definedName name="SD_7634x14_21_B_0" localSheetId="23" hidden="1">Prolink!$I$709</definedName>
    <definedName name="SD_7634x14_23_B_0" localSheetId="23" hidden="1">Prolink!$E$709</definedName>
    <definedName name="SD_7634x14_25_B_0" localSheetId="23" hidden="1">Prolink!$D$709</definedName>
    <definedName name="SD_7634x14_27_B_1" localSheetId="23" hidden="1">Prolink!$J$709</definedName>
    <definedName name="SD_7634x15_11_B_0" localSheetId="23" hidden="1">Prolink!$G$710</definedName>
    <definedName name="SD_7634x15_13_S_1" localSheetId="23" hidden="1">Prolink!$F$710</definedName>
    <definedName name="SD_7634x15_14_B_1" localSheetId="23" hidden="1">Prolink!$K$710</definedName>
    <definedName name="SD_7634x15_15_B_0" localSheetId="23" hidden="1">Prolink!$H$710</definedName>
    <definedName name="SD_7634x15_16_B_0" localSheetId="23" hidden="1">Prolink!$C$710</definedName>
    <definedName name="SD_7634x15_21_B_0" localSheetId="23" hidden="1">Prolink!$I$710</definedName>
    <definedName name="SD_7634x15_23_B_0" localSheetId="23" hidden="1">Prolink!$E$710</definedName>
    <definedName name="SD_7634x15_25_B_0" localSheetId="23" hidden="1">Prolink!$D$710</definedName>
    <definedName name="SD_7634x15_27_B_1" localSheetId="23" hidden="1">Prolink!$J$710</definedName>
    <definedName name="SD_7634x16_11_B_0" localSheetId="23" hidden="1">Prolink!$G$711</definedName>
    <definedName name="SD_7634x16_13_S_1" localSheetId="23" hidden="1">Prolink!$F$711</definedName>
    <definedName name="SD_7634x16_14_B_1" localSheetId="23" hidden="1">Prolink!$K$711</definedName>
    <definedName name="SD_7634x16_15_B_0" localSheetId="23" hidden="1">Prolink!$H$711</definedName>
    <definedName name="SD_7634x16_16_B_0" localSheetId="23" hidden="1">Prolink!$C$711</definedName>
    <definedName name="SD_7634x16_21_B_0" localSheetId="23" hidden="1">Prolink!$I$711</definedName>
    <definedName name="SD_7634x16_23_B_0" localSheetId="23" hidden="1">Prolink!$E$711</definedName>
    <definedName name="SD_7634x16_25_B_0" localSheetId="23" hidden="1">Prolink!$D$711</definedName>
    <definedName name="SD_7634x16_27_B_1" localSheetId="23" hidden="1">Prolink!$J$711</definedName>
    <definedName name="SD_7634x2_11_B_0" localSheetId="23" hidden="1">Prolink!$G$697</definedName>
    <definedName name="SD_7634x2_13_S_1" localSheetId="23" hidden="1">Prolink!$F$697</definedName>
    <definedName name="SD_7634x2_14_B_1" localSheetId="23" hidden="1">Prolink!$K$697</definedName>
    <definedName name="SD_7634x2_15_B_0" localSheetId="23" hidden="1">Prolink!$H$697</definedName>
    <definedName name="SD_7634x2_16_B_0" localSheetId="23" hidden="1">Prolink!$C$697</definedName>
    <definedName name="SD_7634x2_21_B_0" localSheetId="23" hidden="1">Prolink!$I$697</definedName>
    <definedName name="SD_7634x2_23_B_0" localSheetId="23" hidden="1">Prolink!$E$697</definedName>
    <definedName name="SD_7634x2_25_B_0" localSheetId="23" hidden="1">Prolink!$D$697</definedName>
    <definedName name="SD_7634x2_27_B_1" localSheetId="23" hidden="1">Prolink!$J$697</definedName>
    <definedName name="SD_7634x3_11_B_0" localSheetId="23" hidden="1">Prolink!$G$698</definedName>
    <definedName name="SD_7634x3_13_S_1" localSheetId="23" hidden="1">Prolink!$F$698</definedName>
    <definedName name="SD_7634x3_14_B_1" localSheetId="23" hidden="1">Prolink!$K$698</definedName>
    <definedName name="SD_7634x3_15_B_0" localSheetId="23" hidden="1">Prolink!$H$698</definedName>
    <definedName name="SD_7634x3_16_B_0" localSheetId="23" hidden="1">Prolink!$C$698</definedName>
    <definedName name="SD_7634x3_21_B_0" localSheetId="23" hidden="1">Prolink!$I$698</definedName>
    <definedName name="SD_7634x3_23_B_0" localSheetId="23" hidden="1">Prolink!$E$698</definedName>
    <definedName name="SD_7634x3_25_B_0" localSheetId="23" hidden="1">Prolink!$D$698</definedName>
    <definedName name="SD_7634x3_27_B_1" localSheetId="23" hidden="1">Prolink!$J$698</definedName>
    <definedName name="SD_7634x4_11_B_0" localSheetId="23" hidden="1">Prolink!$G$699</definedName>
    <definedName name="SD_7634x4_13_S_1" localSheetId="23" hidden="1">Prolink!$F$699</definedName>
    <definedName name="SD_7634x4_14_B_1" localSheetId="23" hidden="1">Prolink!$K$699</definedName>
    <definedName name="SD_7634x4_15_B_0" localSheetId="23" hidden="1">Prolink!$H$699</definedName>
    <definedName name="SD_7634x4_16_B_0" localSheetId="23" hidden="1">Prolink!$C$699</definedName>
    <definedName name="SD_7634x4_21_B_0" localSheetId="23" hidden="1">Prolink!$I$699</definedName>
    <definedName name="SD_7634x4_23_B_0" localSheetId="23" hidden="1">Prolink!$E$699</definedName>
    <definedName name="SD_7634x4_25_B_0" localSheetId="23" hidden="1">Prolink!$D$699</definedName>
    <definedName name="SD_7634x4_27_B_1" localSheetId="23" hidden="1">Prolink!$J$699</definedName>
    <definedName name="SD_7634x5_11_B_0" localSheetId="23" hidden="1">Prolink!$G$700</definedName>
    <definedName name="SD_7634x5_13_S_1" localSheetId="23" hidden="1">Prolink!$F$700</definedName>
    <definedName name="SD_7634x5_14_B_1" localSheetId="23" hidden="1">Prolink!$K$700</definedName>
    <definedName name="SD_7634x5_15_B_0" localSheetId="23" hidden="1">Prolink!$H$700</definedName>
    <definedName name="SD_7634x5_16_B_0" localSheetId="23" hidden="1">Prolink!$C$700</definedName>
    <definedName name="SD_7634x5_21_B_0" localSheetId="23" hidden="1">Prolink!$I$700</definedName>
    <definedName name="SD_7634x5_23_B_0" localSheetId="23" hidden="1">Prolink!$E$700</definedName>
    <definedName name="SD_7634x5_25_B_0" localSheetId="23" hidden="1">Prolink!$D$700</definedName>
    <definedName name="SD_7634x5_27_B_1" localSheetId="23" hidden="1">Prolink!$J$700</definedName>
    <definedName name="SD_7634x6_11_B_0" localSheetId="23" hidden="1">Prolink!$G$701</definedName>
    <definedName name="SD_7634x6_13_S_1" localSheetId="23" hidden="1">Prolink!$F$701</definedName>
    <definedName name="SD_7634x6_14_B_1" localSheetId="23" hidden="1">Prolink!$K$701</definedName>
    <definedName name="SD_7634x6_15_B_0" localSheetId="23" hidden="1">Prolink!$H$701</definedName>
    <definedName name="SD_7634x6_16_B_0" localSheetId="23" hidden="1">Prolink!$C$701</definedName>
    <definedName name="SD_7634x6_21_B_0" localSheetId="23" hidden="1">Prolink!$I$701</definedName>
    <definedName name="SD_7634x6_23_B_0" localSheetId="23" hidden="1">Prolink!$E$701</definedName>
    <definedName name="SD_7634x6_25_B_0" localSheetId="23" hidden="1">Prolink!$D$701</definedName>
    <definedName name="SD_7634x6_27_B_1" localSheetId="23" hidden="1">Prolink!$J$701</definedName>
    <definedName name="SD_7634x7_11_B_0" localSheetId="23" hidden="1">Prolink!$G$702</definedName>
    <definedName name="SD_7634x7_13_S_1" localSheetId="23" hidden="1">Prolink!$F$702</definedName>
    <definedName name="SD_7634x7_14_B_1" localSheetId="23" hidden="1">Prolink!$K$702</definedName>
    <definedName name="SD_7634x7_15_B_0" localSheetId="23" hidden="1">Prolink!$H$702</definedName>
    <definedName name="SD_7634x7_16_B_0" localSheetId="23" hidden="1">Prolink!$C$702</definedName>
    <definedName name="SD_7634x7_21_B_0" localSheetId="23" hidden="1">Prolink!$I$702</definedName>
    <definedName name="SD_7634x7_23_B_0" localSheetId="23" hidden="1">Prolink!$E$702</definedName>
    <definedName name="SD_7634x7_25_B_0" localSheetId="23" hidden="1">Prolink!$D$702</definedName>
    <definedName name="SD_7634x7_27_B_1" localSheetId="23" hidden="1">Prolink!$J$702</definedName>
    <definedName name="SD_7634x8_11_B_0" localSheetId="23" hidden="1">Prolink!$G$703</definedName>
    <definedName name="SD_7634x8_13_S_1" localSheetId="23" hidden="1">Prolink!$F$703</definedName>
    <definedName name="SD_7634x8_14_B_1" localSheetId="23" hidden="1">Prolink!$K$703</definedName>
    <definedName name="SD_7634x8_15_B_0" localSheetId="23" hidden="1">Prolink!$H$703</definedName>
    <definedName name="SD_7634x8_16_B_0" localSheetId="23" hidden="1">Prolink!$C$703</definedName>
    <definedName name="SD_7634x8_21_B_0" localSheetId="23" hidden="1">Prolink!$I$703</definedName>
    <definedName name="SD_7634x8_23_B_0" localSheetId="23" hidden="1">Prolink!$E$703</definedName>
    <definedName name="SD_7634x8_25_B_0" localSheetId="23" hidden="1">Prolink!$D$703</definedName>
    <definedName name="SD_7634x8_27_B_1" localSheetId="23" hidden="1">Prolink!$J$703</definedName>
    <definedName name="SD_7634x9_11_B_0" localSheetId="23" hidden="1">Prolink!$G$704</definedName>
    <definedName name="SD_7634x9_13_S_1" localSheetId="23" hidden="1">Prolink!$F$704</definedName>
    <definedName name="SD_7634x9_14_B_1" localSheetId="23" hidden="1">Prolink!$K$704</definedName>
    <definedName name="SD_7634x9_15_B_0" localSheetId="23" hidden="1">Prolink!$H$704</definedName>
    <definedName name="SD_7634x9_16_B_0" localSheetId="23" hidden="1">Prolink!$C$704</definedName>
    <definedName name="SD_7634x9_21_B_0" localSheetId="23" hidden="1">Prolink!$I$704</definedName>
    <definedName name="SD_7634x9_23_B_0" localSheetId="23" hidden="1">Prolink!$E$704</definedName>
    <definedName name="SD_7634x9_25_B_0" localSheetId="23" hidden="1">Prolink!$D$704</definedName>
    <definedName name="SD_7634x9_27_B_1" localSheetId="23" hidden="1">Prolink!$J$704</definedName>
    <definedName name="SD_D_PL_BldgAllocType" hidden="1">SD_Dropdowns!$Q$2:$R$12</definedName>
    <definedName name="SD_D_PL_BldgAllocType_Name" localSheetId="22" hidden="1">[2]SD_Dropdowns!$HK$2:$HK$10</definedName>
    <definedName name="SD_D_PL_BldgAllocType_Name" hidden="1">SD_Dropdowns!$Q$2:$Q$12</definedName>
    <definedName name="SD_D_PL_BldgAllocType_Value" hidden="1">SD_Dropdowns!$R$2:$R$12</definedName>
    <definedName name="SD_D_PL_DealEntityRole" hidden="1">SD_Dropdowns!$BA$2:$BB$33</definedName>
    <definedName name="SD_D_PL_DealEntityRole_Name" hidden="1">SD_Dropdowns!$BA$2:$BA$33</definedName>
    <definedName name="SD_D_PL_DealEntityRole_Value" hidden="1">SD_Dropdowns!$BB$2:$BB$33</definedName>
    <definedName name="SD_D_PL_EntityCompanyOrIndividual" hidden="1">SD_Dropdowns!$AY$2:$AZ$4</definedName>
    <definedName name="SD_D_PL_EntityCompanyOrIndividual_Name" hidden="1">SD_Dropdowns!$AY$2:$AY$4</definedName>
    <definedName name="SD_D_PL_EntityCompanyOrIndividual_Value" hidden="1">SD_Dropdowns!$AZ$2:$AZ$4</definedName>
    <definedName name="SD_D_PL_ExtendedUseAgreement" hidden="1">SD_Dropdowns!$M$2:$N$7</definedName>
    <definedName name="SD_D_PL_ExtendedUseAgreement_Name" hidden="1">SD_Dropdowns!$M$2:$M$7</definedName>
    <definedName name="SD_D_PL_ExtendedUseAgreement_Value" hidden="1">SD_Dropdowns!$N$2:$N$7</definedName>
    <definedName name="SD_D_PL_ExtendedUseRestriction_Name" localSheetId="22" hidden="1">[2]SD_Dropdowns!$HG$2:$HG$7</definedName>
    <definedName name="SD_D_PL_FinancingType" hidden="1">SD_Dropdowns!$AQ$2:$AR$5</definedName>
    <definedName name="SD_D_PL_FinancingType_Name" localSheetId="22" hidden="1">[2]SD_Dropdowns!$HQ$2:$HQ$5</definedName>
    <definedName name="SD_D_PL_FinancingType_Name" hidden="1">SD_Dropdowns!$AQ$2:$AQ$5</definedName>
    <definedName name="SD_D_PL_FinancingType_Value" hidden="1">SD_Dropdowns!$AR$2:$AR$5</definedName>
    <definedName name="SD_D_PL_IncomeTarget" hidden="1">SD_Dropdowns!$AU$2:$AV$11</definedName>
    <definedName name="SD_D_PL_IncomeTarget_Name" hidden="1">SD_Dropdowns!$AU$2:$AU$11</definedName>
    <definedName name="SD_D_PL_IncomeTarget_Value" hidden="1">SD_Dropdowns!$AV$2:$AV$11</definedName>
    <definedName name="SD_D_PL_IssuingAuthority" hidden="1">SD_Dropdowns!$AS$2:$AT$4</definedName>
    <definedName name="SD_D_PL_IssuingAuthority_Name" hidden="1">SD_Dropdowns!$AS$2:$AS$4</definedName>
    <definedName name="SD_D_PL_IssuingAuthority_Value" hidden="1">SD_Dropdowns!$AT$2:$AT$4</definedName>
    <definedName name="SD_D_PL_Jurisdiction" hidden="1">SD_Dropdowns!$G$2:$H$66</definedName>
    <definedName name="SD_D_PL_Jurisdiction_Name" hidden="1">SD_Dropdowns!$G$2:$G$66</definedName>
    <definedName name="SD_D_PL_Jurisdiction_Value" hidden="1">SD_Dropdowns!$H$2:$H$66</definedName>
    <definedName name="SD_D_PL_SiteControlType" hidden="1">SD_Dropdowns!$O$2:$P$6</definedName>
    <definedName name="SD_D_PL_SiteControlType_Name" localSheetId="22" hidden="1">[2]SD_Dropdowns!$HI$2:$HI$6</definedName>
    <definedName name="SD_D_PL_SiteControlType_Name" hidden="1">SD_Dropdowns!$O$2:$O$6</definedName>
    <definedName name="SD_D_PL_SiteControlType_Value" hidden="1">SD_Dropdowns!$P$2:$P$6</definedName>
    <definedName name="SD_D_PL_State" hidden="1">SD_Dropdowns!$E$2:$F$53</definedName>
    <definedName name="SD_D_PL_State_Name" localSheetId="22" hidden="1">[2]SD_Dropdowns!$HO$2:$HO$53</definedName>
    <definedName name="SD_D_PL_State_Name" hidden="1">SD_Dropdowns!$E$2:$E$53</definedName>
    <definedName name="SD_D_PL_State_Value" hidden="1">SD_Dropdowns!$F$2:$F$53</definedName>
    <definedName name="SD_D_PL_TargetType" hidden="1">SD_Dropdowns!$K$2:$L$13</definedName>
    <definedName name="SD_D_PL_TargetType_Name" localSheetId="22" hidden="1">[2]SD_Dropdowns!$HE$2:$HE$11</definedName>
    <definedName name="SD_D_PL_TargetType_Name" hidden="1">SD_Dropdowns!$K$2:$K$13</definedName>
    <definedName name="SD_D_PL_TargetType_Value" hidden="1">SD_Dropdowns!$L$2:$L$13</definedName>
    <definedName name="SD_D_PL_TCDealFeeType" hidden="1">SD_Dropdowns!$C$2:$D$16</definedName>
    <definedName name="SD_D_PL_TCDealFeeType_Name" localSheetId="22" hidden="1">[2]SD_Dropdowns!$HA$2:$HA$9</definedName>
    <definedName name="SD_D_PL_TCDealFeeType_Name" hidden="1">SD_Dropdowns!$C$2:$C$16</definedName>
    <definedName name="SD_D_PL_TCDealFeeType_Value" hidden="1">SD_Dropdowns!$D$2:$D$16</definedName>
    <definedName name="SD_D_PL_TCUnitMixType" hidden="1">SD_Dropdowns!$AW$2:$AX$26</definedName>
    <definedName name="SD_D_PL_TCUnitMixType_Name" hidden="1">SD_Dropdowns!$AW$2:$AW$26</definedName>
    <definedName name="SD_D_PL_TCUnitMixType_Value" hidden="1">SD_Dropdowns!$AX$2:$AX$26</definedName>
    <definedName name="SD_D_PL_TCUnitType" hidden="1">SD_Dropdowns!$S$2:$T$23</definedName>
    <definedName name="SD_D_PL_TCUnitType_Name" localSheetId="22" hidden="1">[2]SD_Dropdowns!$HM$2:$HM$22</definedName>
    <definedName name="SD_D_PL_TCUnitType_Name" hidden="1">SD_Dropdowns!$S$2:$S$23</definedName>
    <definedName name="SD_D_PL_TCUnitType_Value" hidden="1">SD_Dropdowns!$T$2:$T$23</definedName>
    <definedName name="SD_D_PL_TypeofAllocationRequested" hidden="1">SD_Dropdowns!$I$2:$J$6</definedName>
    <definedName name="SD_D_PL_TypeofAllocationRequested_Name" localSheetId="22" hidden="1">[2]SD_Dropdowns!$HC$2:$HC$5</definedName>
    <definedName name="SD_D_PL_TypeofAllocationRequested_Name" hidden="1">SD_Dropdowns!$I$2:$I$6</definedName>
    <definedName name="SD_D_PL_TypeofAllocationRequested_Value" hidden="1">SD_Dropdowns!$J$2:$J$6</definedName>
    <definedName name="SD_D_PL_UDF_1161" hidden="1">SD_Dropdowns!$U$2:$V$4</definedName>
    <definedName name="SD_D_PL_UDF_1161_Name" hidden="1">SD_Dropdowns!$U$2:$U$4</definedName>
    <definedName name="SD_D_PL_UDF_1161_Value" hidden="1">SD_Dropdowns!$V$2:$V$4</definedName>
    <definedName name="SD_D_PL_UDF_651" hidden="1">SD_Dropdowns!$W$2:$X$5</definedName>
    <definedName name="SD_D_PL_UDF_651_Name" hidden="1">SD_Dropdowns!$W$2:$W$5</definedName>
    <definedName name="SD_D_PL_UDF_651_Value" hidden="1">SD_Dropdowns!$X$2:$X$5</definedName>
    <definedName name="SD_D_PL_UDF_699" hidden="1">SD_Dropdowns!$Y$2:$Z$9</definedName>
    <definedName name="SD_D_PL_UDF_699_Name" hidden="1">SD_Dropdowns!$Y$2:$Y$9</definedName>
    <definedName name="SD_D_PL_UDF_699_Value" hidden="1">SD_Dropdowns!$Z$2:$Z$9</definedName>
    <definedName name="SD_D_PL_UDF_700" hidden="1">SD_Dropdowns!$AA$2:$AB$5</definedName>
    <definedName name="SD_D_PL_UDF_700_Name" hidden="1">SD_Dropdowns!$AA$2:$AA$5</definedName>
    <definedName name="SD_D_PL_UDF_700_Value" hidden="1">SD_Dropdowns!$AB$2:$AB$5</definedName>
    <definedName name="SD_D_PL_UDF_701" hidden="1">SD_Dropdowns!$AC$2:$AD$8</definedName>
    <definedName name="SD_D_PL_UDF_701_Name" hidden="1">SD_Dropdowns!$AC$2:$AC$8</definedName>
    <definedName name="SD_D_PL_UDF_701_Value" hidden="1">SD_Dropdowns!$AD$2:$AD$8</definedName>
    <definedName name="SD_D_PL_UDF_703" hidden="1">SD_Dropdowns!$AE$2:$AF$17</definedName>
    <definedName name="SD_D_PL_UDF_703_Name" hidden="1">SD_Dropdowns!$AE$2:$AE$17</definedName>
    <definedName name="SD_D_PL_UDF_703_Value" hidden="1">SD_Dropdowns!$AF$2:$AF$17</definedName>
    <definedName name="SD_D_PL_UDF_758" hidden="1">SD_Dropdowns!$AE$2:$AF$3</definedName>
    <definedName name="SD_D_PL_UDF_758_Name" hidden="1">SD_Dropdowns!$AE$2:$AE$3</definedName>
    <definedName name="SD_D_PL_UDF_758_Value" hidden="1">SD_Dropdowns!$AF$2:$AF$3</definedName>
    <definedName name="SD_D_PL_UDF_765" hidden="1">SD_Dropdowns!$AG$2:$AH$3</definedName>
    <definedName name="SD_D_PL_UDF_765_Name" hidden="1">SD_Dropdowns!$AG$2:$AG$3</definedName>
    <definedName name="SD_D_PL_UDF_765_Value" hidden="1">SD_Dropdowns!$AH$2:$AH$3</definedName>
    <definedName name="SD_D_PL_UDF_772" hidden="1">SD_Dropdowns!$AI$2:$AJ$3</definedName>
    <definedName name="SD_D_PL_UDF_772_Name" hidden="1">SD_Dropdowns!$AI$2:$AI$3</definedName>
    <definedName name="SD_D_PL_UDF_772_Value" hidden="1">SD_Dropdowns!$AJ$2:$AJ$3</definedName>
    <definedName name="SD_D_PL_UDF_779" hidden="1">SD_Dropdowns!$AK$2:$AL$3</definedName>
    <definedName name="SD_D_PL_UDF_779_Name" hidden="1">SD_Dropdowns!$AK$2:$AK$3</definedName>
    <definedName name="SD_D_PL_UDF_779_Value" hidden="1">SD_Dropdowns!$AL$2:$AL$3</definedName>
    <definedName name="SD_D_PL_UDF_786" hidden="1">SD_Dropdowns!$AM$2:$AN$3</definedName>
    <definedName name="SD_D_PL_UDF_786_Name" hidden="1">SD_Dropdowns!$AM$2:$AM$3</definedName>
    <definedName name="SD_D_PL_UDF_786_Value" hidden="1">SD_Dropdowns!$AN$2:$AN$3</definedName>
    <definedName name="SD_D_PL_UDF_793" hidden="1">SD_Dropdowns!$AO$2:$AP$3</definedName>
    <definedName name="SD_D_PL_UDF_793_Name" hidden="1">SD_Dropdowns!$AO$2:$AO$3</definedName>
    <definedName name="SD_D_PL_UDF_793_Value" hidden="1">SD_Dropdowns!$AP$2:$AP$3</definedName>
    <definedName name="SD_D_PL_UDF_800" hidden="1">SD_Dropdowns!$BC$2:$BD$3</definedName>
    <definedName name="SD_D_PL_UDF_800_Name" hidden="1">SD_Dropdowns!$BC$2:$BC$3</definedName>
    <definedName name="SD_D_PL_UDF_800_Value" hidden="1">SD_Dropdowns!$BD$2:$BD$3</definedName>
    <definedName name="SD_D_PL_UDF_807" hidden="1">SD_Dropdowns!$BE$2:$BF$3</definedName>
    <definedName name="SD_D_PL_UDF_807_Name" hidden="1">SD_Dropdowns!$BE$2:$BE$3</definedName>
    <definedName name="SD_D_PL_UDF_807_Value" hidden="1">SD_Dropdowns!$BF$2:$BF$3</definedName>
    <definedName name="SD_D_PL_UDF_814" hidden="1">SD_Dropdowns!$BG$2:$BH$3</definedName>
    <definedName name="SD_D_PL_UDF_814_Name" hidden="1">SD_Dropdowns!$BG$2:$BG$3</definedName>
    <definedName name="SD_D_PL_UDF_814_Value" hidden="1">SD_Dropdowns!$BH$2:$BH$3</definedName>
    <definedName name="SD_D_PL_UDF_821" hidden="1">SD_Dropdowns!$BI$2:$BJ$3</definedName>
    <definedName name="SD_D_PL_UDF_821_Name" hidden="1">SD_Dropdowns!$BI$2:$BI$3</definedName>
    <definedName name="SD_D_PL_UDF_821_Value" hidden="1">SD_Dropdowns!$BJ$2:$BJ$3</definedName>
    <definedName name="SD_D_PL_UDF_849" hidden="1">SD_Dropdowns!$BK$2:$BL$3</definedName>
    <definedName name="SD_D_PL_UDF_849_Name" hidden="1">SD_Dropdowns!$BK$2:$BK$3</definedName>
    <definedName name="SD_D_PL_UDF_849_Value" hidden="1">SD_Dropdowns!$BL$2:$BL$3</definedName>
    <definedName name="SD_D_PL_UDF_860" hidden="1">SD_Dropdowns!$AQ$2:$AR$3</definedName>
    <definedName name="SD_D_PL_UDF_860_Name" hidden="1">SD_Dropdowns!$AQ$2:$AQ$3</definedName>
    <definedName name="SD_D_PL_UDF_860_Value" hidden="1">SD_Dropdowns!$AR$2:$AR$3</definedName>
    <definedName name="SD_D_PL_UDF_867" hidden="1">SD_Dropdowns!$BA$2:$BB$3</definedName>
    <definedName name="SD_D_PL_UDF_867_Name" hidden="1">SD_Dropdowns!$BA$2:$BA$3</definedName>
    <definedName name="SD_D_PL_UDF_867_Value" hidden="1">SD_Dropdowns!$BB$2:$BB$3</definedName>
    <definedName name="SD_D_PL_UDF_868" hidden="1">SD_Dropdowns!$BM$2:$BN$3</definedName>
    <definedName name="SD_D_PL_UDF_868_Name" hidden="1">SD_Dropdowns!$BM$2:$BM$3</definedName>
    <definedName name="SD_D_PL_UDF_868_Value" hidden="1">SD_Dropdowns!$BN$2:$BN$3</definedName>
    <definedName name="SD_D_PL_UDF_869" hidden="1">SD_Dropdowns!$BO$2:$BP$3</definedName>
    <definedName name="SD_D_PL_UDF_869_Name" hidden="1">SD_Dropdowns!$BO$2:$BO$3</definedName>
    <definedName name="SD_D_PL_UDF_869_Value" hidden="1">SD_Dropdowns!$BP$2:$BP$3</definedName>
    <definedName name="SD_D_PL_UDF_880" hidden="1">SD_Dropdowns!$AG$2:$AH$9</definedName>
    <definedName name="SD_D_PL_UDF_880_Name" hidden="1">SD_Dropdowns!$AG$2:$AG$9</definedName>
    <definedName name="SD_D_PL_UDF_880_Value" hidden="1">SD_Dropdowns!$AH$2:$AH$9</definedName>
    <definedName name="SD_D_PL_UDF_882" hidden="1">SD_Dropdowns!$AI$2:$AJ$5</definedName>
    <definedName name="SD_D_PL_UDF_882_Name" hidden="1">SD_Dropdowns!$AI$2:$AI$5</definedName>
    <definedName name="SD_D_PL_UDF_882_Value" hidden="1">SD_Dropdowns!$AJ$2:$AJ$5</definedName>
    <definedName name="SD_D_PL_UDF_883" hidden="1">SD_Dropdowns!$AK$2:$AL$5</definedName>
    <definedName name="SD_D_PL_UDF_883_Name" hidden="1">SD_Dropdowns!$AK$2:$AK$5</definedName>
    <definedName name="SD_D_PL_UDF_883_Value" hidden="1">SD_Dropdowns!$AL$2:$AL$5</definedName>
    <definedName name="SD_D_PL_UDF_884" hidden="1">SD_Dropdowns!$AM$2:$AN$7</definedName>
    <definedName name="SD_D_PL_UDF_884_Name" hidden="1">SD_Dropdowns!$AM$2:$AM$7</definedName>
    <definedName name="SD_D_PL_UDF_884_Value" hidden="1">SD_Dropdowns!$AN$2:$AN$7</definedName>
    <definedName name="SD_D_PL_UDF_910" hidden="1">SD_Dropdowns!$AO$2:$AP$8</definedName>
    <definedName name="SD_D_PL_UDF_910_Name" hidden="1">SD_Dropdowns!$AO$2:$AO$8</definedName>
    <definedName name="SD_D_PL_UDF_910_Value" hidden="1">SD_Dropdowns!$AP$2:$AP$8</definedName>
    <definedName name="Site_Control_List" localSheetId="17">[1]!Site_Control_Table[Site Control]</definedName>
    <definedName name="Site_Control_List">Site_Control_Table[Site Control]</definedName>
    <definedName name="State_Funds_List" localSheetId="17">[1]!State_Funds_Table[State Funds]</definedName>
    <definedName name="Tax_Credit_Type_List" localSheetId="17">[1]!Tax_Credit_Type_Table[Type Of Tax Credit]</definedName>
    <definedName name="Tax_Credit_Type_List">Tax_Credit_Type_Table[Type Of Tax Credit]</definedName>
    <definedName name="Tenant_Population_with_Special_Housing_Needs_List" localSheetId="17">[1]!Tenant_Population_with_Special_Housing_Needs_Table[Tenant Population with Special Housing Needs]</definedName>
    <definedName name="Tenant_Population_with_Special_Housing_Needs_List">Tenant_Population_with_Special_Housing_Needs_Table[Tenant Population with Special Housing Needs]</definedName>
    <definedName name="Type_of_Cooling_List">Type_of_Cooling_Table[Type of Cooling In-Unit]</definedName>
    <definedName name="Type_of_Heating_List">Type_of_Heating_Table[Type of Heating In-Unit]</definedName>
    <definedName name="Type_of_Units_Housing_List" localSheetId="17">[1]!Type_of_Units_Housing_Table[Type of Units/Housing]</definedName>
    <definedName name="Type_of_Units_Housing_List">Type_of_Units_Housing_Table[Type of Units/Housing]</definedName>
    <definedName name="Unit_Mix_Type_List" localSheetId="17">[1]!Unit_Mix_Type_Table[Unit Mix Type]</definedName>
    <definedName name="Unit_Mix_Type_List">Unit_Mix_Type_Table[Unit Mix Type]</definedName>
    <definedName name="Unit_Rent_Matrix_Income" localSheetId="17">[1]Calculations!$A$63:$A$240</definedName>
    <definedName name="Unit_Rent_Matrix_Income">Calculations!$A$76:$A$287</definedName>
    <definedName name="Unit_Rent_Matrix_NumberUnits">Calculations!$D$76:$D$287</definedName>
    <definedName name="Unit_Rent_Matrix_TotalRent" localSheetId="17">[1]Calculations!$G$63:$G$240</definedName>
    <definedName name="Unit_Rent_Matrix_TotalRent">Calculations!$G$76:$G$287</definedName>
    <definedName name="Unit_Rent_Matrix_TotalSqFt">Calculations!$F$76:$F$287</definedName>
    <definedName name="Unit_Rent_Matrix_UnitType" localSheetId="17">[1]Calculations!$B$63:$B$240</definedName>
    <definedName name="Unit_Rent_Matrix_UnitType">Calculations!$B$76:$B$287</definedName>
    <definedName name="Utilitiy_Model_List" localSheetId="17">[1]!Utilitiy_Model_Table[Utilitiy Model]</definedName>
    <definedName name="Utilitiy_Model_List">Utilitiy_Model_Table[Utilitiy Model]</definedName>
    <definedName name="Very_Very_Low_Income_Targeting_List" localSheetId="17">[1]!Very_Very_Low_Income_Targeting_Table[Very, Very Low-Income Targeting]</definedName>
    <definedName name="Very_Very_Low_Income_Targeting_List">Very_Very_Low_Income_Targeting_Table[Very, Very Low-Income Targeting]</definedName>
    <definedName name="XXXX" hidden="1">[3]SD_Dropdowns!$IS$2:$IS$10</definedName>
    <definedName name="Yes_No_List" localSheetId="17">[1]!Yes_No_Table[Yes/No]</definedName>
    <definedName name="Yes_No_List">Yes_No_Table[Yes/No]</definedName>
    <definedName name="Yes_No_NA_List" localSheetId="17">[1]!Yes_No_NA_Table[Yes/No/NA]</definedName>
    <definedName name="Yes_No_NA_List">Yes_No_NA_Table[Yes/No/NA]</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22" i="3" l="1"/>
  <c r="G74" i="25" l="1"/>
  <c r="G73" i="25"/>
  <c r="H93" i="25"/>
  <c r="B605" i="3"/>
  <c r="B24" i="19"/>
  <c r="B143" i="3" s="1"/>
  <c r="B145" i="3" s="1"/>
  <c r="B25" i="19"/>
  <c r="B144" i="3" s="1"/>
  <c r="G526" i="3"/>
  <c r="G529" i="3"/>
  <c r="B12" i="3"/>
  <c r="H98" i="25" s="1"/>
  <c r="B607" i="3"/>
  <c r="C15" i="19"/>
  <c r="B15" i="19" s="1"/>
  <c r="C14" i="19"/>
  <c r="B14" i="19" s="1"/>
  <c r="H68" i="25" l="1"/>
  <c r="H69" i="25"/>
  <c r="H71" i="25"/>
  <c r="H81" i="25"/>
  <c r="H80" i="25"/>
  <c r="H517" i="3"/>
  <c r="B564" i="3"/>
  <c r="H61" i="25"/>
  <c r="H62" i="25"/>
  <c r="H63" i="25"/>
  <c r="H95" i="25"/>
  <c r="H60" i="25"/>
  <c r="H64" i="25"/>
  <c r="H96" i="25"/>
  <c r="H66" i="25"/>
  <c r="H97" i="25"/>
  <c r="H67" i="25"/>
  <c r="H92" i="25"/>
  <c r="C761" i="5"/>
  <c r="B46" i="25" l="1"/>
  <c r="B37" i="25"/>
  <c r="C629" i="5"/>
  <c r="C628" i="5"/>
  <c r="B862" i="3"/>
  <c r="D118" i="25" s="1"/>
  <c r="C760" i="5"/>
  <c r="C312" i="3"/>
  <c r="B312" i="3" s="1"/>
  <c r="C532" i="5" s="1"/>
  <c r="B335" i="3"/>
  <c r="C319" i="3"/>
  <c r="B319" i="3" s="1"/>
  <c r="J46" i="25" s="1"/>
  <c r="H20" i="44"/>
  <c r="B20" i="44"/>
  <c r="D20" i="44" s="1"/>
  <c r="D14" i="44"/>
  <c r="C628" i="3"/>
  <c r="B583" i="3"/>
  <c r="D604" i="3"/>
  <c r="B589" i="3"/>
  <c r="H521" i="3"/>
  <c r="C227" i="3"/>
  <c r="D227" i="3"/>
  <c r="E227" i="3"/>
  <c r="G227" i="3"/>
  <c r="D226" i="3"/>
  <c r="E226" i="3"/>
  <c r="G226" i="3"/>
  <c r="B227" i="3"/>
  <c r="F29" i="7"/>
  <c r="E20" i="44"/>
  <c r="I31" i="7"/>
  <c r="D32" i="7"/>
  <c r="C29" i="7"/>
  <c r="I26" i="7"/>
  <c r="C32" i="7"/>
  <c r="D31" i="7"/>
  <c r="G30" i="7"/>
  <c r="H30" i="7"/>
  <c r="H29" i="7"/>
  <c r="C28" i="7"/>
  <c r="I32" i="7"/>
  <c r="E29" i="7"/>
  <c r="D28" i="7"/>
  <c r="D26" i="7"/>
  <c r="J30" i="7"/>
  <c r="J28" i="7"/>
  <c r="I28" i="7"/>
  <c r="G31" i="7"/>
  <c r="C26" i="7"/>
  <c r="E27" i="7"/>
  <c r="H28" i="7"/>
  <c r="H26" i="7"/>
  <c r="J29" i="7"/>
  <c r="E26" i="7"/>
  <c r="F32" i="7"/>
  <c r="I27" i="7"/>
  <c r="C30" i="7"/>
  <c r="G28" i="7"/>
  <c r="E30" i="7"/>
  <c r="C31" i="7"/>
  <c r="H27" i="7"/>
  <c r="F31" i="7"/>
  <c r="F26" i="7"/>
  <c r="J32" i="7"/>
  <c r="D30" i="7"/>
  <c r="G26" i="7"/>
  <c r="J27" i="7"/>
  <c r="G32" i="7"/>
  <c r="H32" i="7"/>
  <c r="H31" i="7"/>
  <c r="D29" i="7"/>
  <c r="G27" i="7"/>
  <c r="J31" i="7"/>
  <c r="E31" i="7"/>
  <c r="C27" i="7"/>
  <c r="G29" i="7"/>
  <c r="E28" i="7"/>
  <c r="I30" i="7"/>
  <c r="D27" i="7"/>
  <c r="I29" i="7"/>
  <c r="E14" i="44"/>
  <c r="E32" i="7"/>
  <c r="F30" i="7"/>
  <c r="F28" i="7"/>
  <c r="C14" i="44"/>
  <c r="J26" i="7"/>
  <c r="F27" i="7"/>
  <c r="E69" i="24" l="1"/>
  <c r="F59" i="32"/>
  <c r="C539" i="5"/>
  <c r="J37" i="25"/>
  <c r="D913" i="5"/>
  <c r="G52" i="24"/>
  <c r="G77" i="32"/>
  <c r="G54" i="24"/>
  <c r="G79" i="32"/>
  <c r="F14" i="44"/>
  <c r="A14" i="44" s="1"/>
  <c r="H519" i="3"/>
  <c r="F227" i="3"/>
  <c r="D499" i="3"/>
  <c r="D500" i="3"/>
  <c r="D11" i="3"/>
  <c r="F11" i="3" s="1"/>
  <c r="D14" i="3"/>
  <c r="G517" i="3"/>
  <c r="C287" i="5"/>
  <c r="C1439" i="5"/>
  <c r="C1438" i="5"/>
  <c r="C312" i="5"/>
  <c r="C311" i="5"/>
  <c r="D110" i="44"/>
  <c r="D109" i="44"/>
  <c r="C390" i="5"/>
  <c r="E110" i="44"/>
  <c r="C20" i="44"/>
  <c r="C110" i="44"/>
  <c r="C109" i="44"/>
  <c r="E109" i="44"/>
  <c r="F20" i="44" l="1"/>
  <c r="A20" i="44" s="1"/>
  <c r="G521" i="3"/>
  <c r="D501" i="3"/>
  <c r="I93" i="25" s="1"/>
  <c r="E11" i="3"/>
  <c r="B11" i="3" s="1"/>
  <c r="B11" i="2" s="1"/>
  <c r="G519" i="3"/>
  <c r="G520" i="3" s="1"/>
  <c r="F109" i="44"/>
  <c r="F110" i="44"/>
  <c r="B936" i="5"/>
  <c r="C758" i="5" l="1"/>
  <c r="D1414" i="5"/>
  <c r="D1432" i="5"/>
  <c r="F120" i="32"/>
  <c r="F148" i="24"/>
  <c r="C273" i="5"/>
  <c r="C271" i="5"/>
  <c r="C288" i="5"/>
  <c r="C289" i="5"/>
  <c r="B1430" i="5"/>
  <c r="B1405" i="5"/>
  <c r="B1403" i="5"/>
  <c r="B1388" i="5"/>
  <c r="A288" i="5"/>
  <c r="A272" i="5"/>
  <c r="F235" i="44"/>
  <c r="B87" i="44"/>
  <c r="B88" i="44"/>
  <c r="B89" i="44"/>
  <c r="A273" i="5"/>
  <c r="A271" i="5"/>
  <c r="C272" i="5"/>
  <c r="A270" i="5"/>
  <c r="C286" i="5"/>
  <c r="A289" i="5"/>
  <c r="A287" i="5"/>
  <c r="A286" i="5"/>
  <c r="D1429" i="5"/>
  <c r="C1429" i="5"/>
  <c r="B1429" i="5"/>
  <c r="C88" i="44"/>
  <c r="C20" i="7"/>
  <c r="L19" i="7"/>
  <c r="H19" i="7"/>
  <c r="I20" i="7"/>
  <c r="C89" i="44"/>
  <c r="I19" i="7"/>
  <c r="G19" i="7"/>
  <c r="H20" i="7"/>
  <c r="C87" i="44"/>
  <c r="D19" i="7"/>
  <c r="C19" i="7"/>
  <c r="E20" i="7"/>
  <c r="D20" i="7"/>
  <c r="F20" i="7"/>
  <c r="J20" i="7"/>
  <c r="F19" i="7"/>
  <c r="G20" i="7"/>
  <c r="J19" i="7"/>
  <c r="E19" i="7"/>
  <c r="C764" i="5" l="1"/>
  <c r="D89" i="44"/>
  <c r="D87" i="44"/>
  <c r="F87" i="44" s="1"/>
  <c r="D88" i="44"/>
  <c r="E89" i="44"/>
  <c r="E87" i="44"/>
  <c r="E88" i="44"/>
  <c r="A87" i="44" l="1"/>
  <c r="A89" i="44"/>
  <c r="F88" i="44"/>
  <c r="A88" i="44" s="1"/>
  <c r="F89" i="44"/>
  <c r="F3" i="3" l="1"/>
  <c r="H3" i="3" s="1"/>
  <c r="C1430" i="5"/>
  <c r="D1430" i="5" s="1"/>
  <c r="D1431" i="5"/>
  <c r="C1431" i="5"/>
  <c r="C1432" i="5"/>
  <c r="B1432" i="5"/>
  <c r="B1431" i="5"/>
  <c r="C1401" i="5"/>
  <c r="D1401" i="5" s="1"/>
  <c r="C1402" i="5"/>
  <c r="D1402" i="5" s="1"/>
  <c r="C1403" i="5"/>
  <c r="D1403" i="5" s="1"/>
  <c r="C1404" i="5"/>
  <c r="D1404" i="5" s="1"/>
  <c r="C1405" i="5"/>
  <c r="D1405" i="5" s="1"/>
  <c r="B1404" i="5"/>
  <c r="B1402" i="5"/>
  <c r="B1401" i="5"/>
  <c r="C1389" i="5"/>
  <c r="D1389" i="5" s="1"/>
  <c r="B1389" i="5"/>
  <c r="C1388" i="5"/>
  <c r="D1388" i="5" s="1"/>
  <c r="C1387" i="5"/>
  <c r="D1387" i="5" s="1"/>
  <c r="B1387" i="5"/>
  <c r="B1458" i="5"/>
  <c r="C1458" i="5"/>
  <c r="D1458" i="5" s="1"/>
  <c r="C1450" i="5"/>
  <c r="D1450" i="5" s="1"/>
  <c r="B1450" i="5"/>
  <c r="M45" i="3"/>
  <c r="B86" i="44"/>
  <c r="C270" i="5"/>
  <c r="C86" i="44"/>
  <c r="D86" i="44" l="1"/>
  <c r="E86" i="44"/>
  <c r="F86" i="44" l="1"/>
  <c r="A86" i="44" s="1"/>
  <c r="C298" i="5" l="1"/>
  <c r="C258" i="5"/>
  <c r="M43" i="3"/>
  <c r="F236" i="44"/>
  <c r="L31" i="7"/>
  <c r="L33" i="7"/>
  <c r="L32" i="7"/>
  <c r="B32" i="7" l="1"/>
  <c r="B31" i="7"/>
  <c r="C765" i="5"/>
  <c r="C755" i="5"/>
  <c r="G1098" i="44"/>
  <c r="C598" i="5" l="1"/>
  <c r="C599" i="5"/>
  <c r="C597" i="5"/>
  <c r="C590" i="5"/>
  <c r="C591" i="5"/>
  <c r="C589" i="5"/>
  <c r="C622" i="5"/>
  <c r="C621" i="5"/>
  <c r="C620" i="5"/>
  <c r="C339" i="5" l="1"/>
  <c r="C340" i="5"/>
  <c r="C341" i="5"/>
  <c r="C342" i="5"/>
  <c r="C338" i="5"/>
  <c r="C335" i="5"/>
  <c r="C336" i="5"/>
  <c r="C337" i="5"/>
  <c r="C334" i="5"/>
  <c r="C333" i="5"/>
  <c r="C330" i="5"/>
  <c r="C331" i="5"/>
  <c r="C332" i="5"/>
  <c r="C326" i="5"/>
  <c r="C327" i="5"/>
  <c r="C328" i="5"/>
  <c r="C329" i="5"/>
  <c r="C325" i="5"/>
  <c r="D1464" i="44" l="1"/>
  <c r="I236" i="44"/>
  <c r="C822" i="5" l="1"/>
  <c r="C560" i="5" l="1"/>
  <c r="C264" i="5"/>
  <c r="C263" i="5"/>
  <c r="C260" i="5"/>
  <c r="C259" i="5"/>
  <c r="C257" i="5"/>
  <c r="C256" i="5"/>
  <c r="C255" i="5"/>
  <c r="C254" i="5"/>
  <c r="B1400" i="44" l="1"/>
  <c r="B1391" i="44"/>
  <c r="J1400" i="44"/>
  <c r="B1095" i="44" l="1"/>
  <c r="D1095" i="44" s="1"/>
  <c r="E1095" i="44"/>
  <c r="C1095" i="44"/>
  <c r="A1095" i="44" l="1"/>
  <c r="F1095" i="44"/>
  <c r="C821" i="5" l="1"/>
  <c r="C820" i="5"/>
  <c r="C819" i="5"/>
  <c r="C818" i="5"/>
  <c r="C817" i="5"/>
  <c r="C816" i="5"/>
  <c r="C815" i="5"/>
  <c r="C814" i="5"/>
  <c r="C813" i="5"/>
  <c r="C812" i="5"/>
  <c r="C809" i="5" l="1"/>
  <c r="C810" i="5"/>
  <c r="C811" i="5"/>
  <c r="C808" i="5"/>
  <c r="C392" i="3" l="1"/>
  <c r="D392" i="3"/>
  <c r="E392" i="3"/>
  <c r="F392" i="3"/>
  <c r="G392" i="3"/>
  <c r="H392" i="3"/>
  <c r="I392" i="3"/>
  <c r="J392" i="3"/>
  <c r="K392" i="3"/>
  <c r="L392" i="3"/>
  <c r="M392" i="3"/>
  <c r="N392" i="3"/>
  <c r="O392" i="3"/>
  <c r="P392" i="3"/>
  <c r="B392" i="3"/>
  <c r="A7" i="12"/>
  <c r="B953" i="44"/>
  <c r="B954" i="44" s="1"/>
  <c r="B955" i="44" s="1"/>
  <c r="B956" i="44" s="1"/>
  <c r="G953" i="44"/>
  <c r="H953" i="44"/>
  <c r="G954" i="44"/>
  <c r="G955" i="44"/>
  <c r="G956" i="44"/>
  <c r="G957" i="44"/>
  <c r="G958" i="44"/>
  <c r="G959" i="44"/>
  <c r="G960" i="44"/>
  <c r="G961" i="44"/>
  <c r="G962" i="44"/>
  <c r="G963" i="44"/>
  <c r="G964" i="44"/>
  <c r="G965" i="44"/>
  <c r="G966" i="44"/>
  <c r="G967" i="44"/>
  <c r="G938" i="44"/>
  <c r="H938" i="44"/>
  <c r="H939" i="44" s="1"/>
  <c r="H940" i="44" s="1"/>
  <c r="H941" i="44" s="1"/>
  <c r="H942" i="44" s="1"/>
  <c r="H943" i="44" s="1"/>
  <c r="H944" i="44" s="1"/>
  <c r="H945" i="44" s="1"/>
  <c r="H946" i="44" s="1"/>
  <c r="H947" i="44" s="1"/>
  <c r="H948" i="44" s="1"/>
  <c r="H949" i="44" s="1"/>
  <c r="H950" i="44" s="1"/>
  <c r="H951" i="44" s="1"/>
  <c r="H952" i="44" s="1"/>
  <c r="G939" i="44"/>
  <c r="G940" i="44"/>
  <c r="G941" i="44"/>
  <c r="G942" i="44"/>
  <c r="G943" i="44"/>
  <c r="G944" i="44"/>
  <c r="G945" i="44"/>
  <c r="G946" i="44"/>
  <c r="G947" i="44"/>
  <c r="G948" i="44"/>
  <c r="G949" i="44"/>
  <c r="G950" i="44"/>
  <c r="G951" i="44"/>
  <c r="G952" i="44"/>
  <c r="C954" i="44"/>
  <c r="C953" i="44"/>
  <c r="B957" i="44" l="1"/>
  <c r="H954" i="44"/>
  <c r="C566" i="5"/>
  <c r="C565" i="5"/>
  <c r="C956" i="44"/>
  <c r="C955" i="44"/>
  <c r="B958" i="44" l="1"/>
  <c r="H955" i="44"/>
  <c r="E286" i="3"/>
  <c r="E287" i="3"/>
  <c r="E288" i="3"/>
  <c r="E289" i="3"/>
  <c r="E290" i="3"/>
  <c r="E277" i="3"/>
  <c r="E278" i="3"/>
  <c r="E279" i="3"/>
  <c r="E280" i="3"/>
  <c r="E281" i="3"/>
  <c r="E282" i="3"/>
  <c r="E269" i="3"/>
  <c r="E270" i="3"/>
  <c r="E271" i="3"/>
  <c r="E272" i="3"/>
  <c r="E273" i="3"/>
  <c r="E260" i="3"/>
  <c r="E261" i="3"/>
  <c r="E262" i="3"/>
  <c r="E263" i="3"/>
  <c r="E264" i="3"/>
  <c r="E265" i="3"/>
  <c r="E242" i="3"/>
  <c r="E243" i="3"/>
  <c r="E244" i="3"/>
  <c r="E245" i="3"/>
  <c r="E246" i="3"/>
  <c r="E225" i="3"/>
  <c r="E228" i="3"/>
  <c r="E229" i="3"/>
  <c r="E230" i="3"/>
  <c r="E206" i="3"/>
  <c r="E207" i="3"/>
  <c r="E208" i="3"/>
  <c r="E209" i="3"/>
  <c r="E210" i="3"/>
  <c r="E190" i="3"/>
  <c r="E191" i="3"/>
  <c r="E192" i="3"/>
  <c r="E193" i="3"/>
  <c r="E194" i="3"/>
  <c r="B1409" i="44"/>
  <c r="C957" i="44"/>
  <c r="F15" i="7"/>
  <c r="H15" i="7"/>
  <c r="C15" i="7"/>
  <c r="C1409" i="44"/>
  <c r="G15" i="7"/>
  <c r="D15" i="7"/>
  <c r="J15" i="7"/>
  <c r="E15" i="7"/>
  <c r="I15" i="7"/>
  <c r="C745" i="5" l="1"/>
  <c r="C744" i="5"/>
  <c r="C754" i="5"/>
  <c r="I720" i="5"/>
  <c r="H720" i="5"/>
  <c r="G720" i="5"/>
  <c r="F720" i="5"/>
  <c r="E720" i="5"/>
  <c r="D720" i="5"/>
  <c r="H956" i="44"/>
  <c r="B959" i="44"/>
  <c r="B56" i="44"/>
  <c r="B54" i="44"/>
  <c r="B45" i="44"/>
  <c r="D45" i="44" s="1"/>
  <c r="B46" i="44"/>
  <c r="B47" i="44"/>
  <c r="D47" i="44" s="1"/>
  <c r="B48" i="44"/>
  <c r="D48" i="44" s="1"/>
  <c r="B43" i="44"/>
  <c r="D43" i="44" s="1"/>
  <c r="C56" i="44"/>
  <c r="E48" i="44"/>
  <c r="C54" i="44"/>
  <c r="C958" i="44"/>
  <c r="E47" i="44"/>
  <c r="C46" i="44"/>
  <c r="E45" i="44"/>
  <c r="E43" i="44"/>
  <c r="B960" i="44" l="1"/>
  <c r="H957" i="44"/>
  <c r="D56" i="44"/>
  <c r="D54" i="44"/>
  <c r="F54" i="44" s="1"/>
  <c r="D46" i="44"/>
  <c r="C564" i="5"/>
  <c r="C691" i="5"/>
  <c r="C805" i="5"/>
  <c r="C806" i="5"/>
  <c r="C807" i="5"/>
  <c r="C110" i="5"/>
  <c r="C89" i="5"/>
  <c r="C293" i="5"/>
  <c r="I117" i="32"/>
  <c r="D390" i="3"/>
  <c r="E390" i="3"/>
  <c r="F98" i="32" s="1"/>
  <c r="F390" i="3"/>
  <c r="G98" i="32" s="1"/>
  <c r="G390" i="3"/>
  <c r="H390" i="3"/>
  <c r="I98" i="32" s="1"/>
  <c r="I390" i="3"/>
  <c r="J98" i="32" s="1"/>
  <c r="J390" i="3"/>
  <c r="K390" i="3"/>
  <c r="D115" i="32" s="1"/>
  <c r="L390" i="3"/>
  <c r="C79" i="5" s="1"/>
  <c r="M390" i="3"/>
  <c r="N390" i="3"/>
  <c r="O390" i="3"/>
  <c r="P390" i="3"/>
  <c r="B118" i="32"/>
  <c r="B101" i="32"/>
  <c r="C47" i="44"/>
  <c r="E46" i="44"/>
  <c r="E56" i="44"/>
  <c r="C959" i="44"/>
  <c r="C48" i="44"/>
  <c r="C45" i="44"/>
  <c r="C43" i="44"/>
  <c r="F45" i="44" l="1"/>
  <c r="A45" i="44" s="1"/>
  <c r="F47" i="44"/>
  <c r="A47" i="44" s="1"/>
  <c r="F48" i="44"/>
  <c r="A48" i="44" s="1"/>
  <c r="H958" i="44"/>
  <c r="B961" i="44"/>
  <c r="G115" i="32"/>
  <c r="H115" i="32"/>
  <c r="C93" i="5"/>
  <c r="F115" i="32"/>
  <c r="C86" i="5"/>
  <c r="E115" i="32"/>
  <c r="C23" i="5"/>
  <c r="C58" i="5"/>
  <c r="C107" i="5"/>
  <c r="C100" i="5"/>
  <c r="I115" i="32"/>
  <c r="C72" i="5"/>
  <c r="E98" i="32"/>
  <c r="C37" i="5"/>
  <c r="C65" i="5"/>
  <c r="C115" i="32"/>
  <c r="C30" i="5"/>
  <c r="C51" i="5"/>
  <c r="H98" i="32"/>
  <c r="C44" i="5"/>
  <c r="F56" i="44"/>
  <c r="A56" i="44" s="1"/>
  <c r="F46" i="44"/>
  <c r="A46" i="44" s="1"/>
  <c r="F43" i="44"/>
  <c r="A43" i="44" s="1"/>
  <c r="F117" i="32"/>
  <c r="C391" i="3"/>
  <c r="D391" i="3"/>
  <c r="E391" i="3"/>
  <c r="F391" i="3"/>
  <c r="G391" i="3"/>
  <c r="H391" i="3"/>
  <c r="I391" i="3"/>
  <c r="J391" i="3"/>
  <c r="K391" i="3"/>
  <c r="L391" i="3"/>
  <c r="M391" i="3"/>
  <c r="N391" i="3"/>
  <c r="O391" i="3"/>
  <c r="P391" i="3"/>
  <c r="D4" i="43"/>
  <c r="C4" i="42"/>
  <c r="C4" i="41"/>
  <c r="C389" i="3"/>
  <c r="D389" i="3"/>
  <c r="E389" i="3"/>
  <c r="F389" i="3"/>
  <c r="G389" i="3"/>
  <c r="H389" i="3"/>
  <c r="I389" i="3"/>
  <c r="J389" i="3"/>
  <c r="K389" i="3"/>
  <c r="L389" i="3"/>
  <c r="M389" i="3"/>
  <c r="N389" i="3"/>
  <c r="O389" i="3"/>
  <c r="P389" i="3"/>
  <c r="C388" i="3"/>
  <c r="D388" i="3"/>
  <c r="E388" i="3"/>
  <c r="F388" i="3"/>
  <c r="G388" i="3"/>
  <c r="H388" i="3"/>
  <c r="I388" i="3"/>
  <c r="J388" i="3"/>
  <c r="K388" i="3"/>
  <c r="L388" i="3"/>
  <c r="M388" i="3"/>
  <c r="N388" i="3"/>
  <c r="O388" i="3"/>
  <c r="P388" i="3"/>
  <c r="C390" i="3"/>
  <c r="B391" i="3"/>
  <c r="B390" i="3"/>
  <c r="B389" i="3"/>
  <c r="B388" i="3"/>
  <c r="C96" i="32" s="1"/>
  <c r="E54" i="44"/>
  <c r="C960" i="44"/>
  <c r="A54" i="44" l="1"/>
  <c r="C91" i="5"/>
  <c r="G113" i="32"/>
  <c r="G96" i="32"/>
  <c r="C35" i="5"/>
  <c r="F113" i="32"/>
  <c r="C84" i="5"/>
  <c r="C28" i="5"/>
  <c r="F96" i="32"/>
  <c r="E113" i="32"/>
  <c r="C77" i="5"/>
  <c r="C113" i="32"/>
  <c r="C63" i="5"/>
  <c r="C21" i="5"/>
  <c r="E96" i="32"/>
  <c r="C14" i="5"/>
  <c r="D96" i="32"/>
  <c r="C105" i="5"/>
  <c r="I113" i="32"/>
  <c r="I96" i="32"/>
  <c r="C49" i="5"/>
  <c r="C70" i="5"/>
  <c r="D113" i="32"/>
  <c r="C56" i="5"/>
  <c r="J96" i="32"/>
  <c r="C98" i="5"/>
  <c r="H113" i="32"/>
  <c r="C42" i="5"/>
  <c r="H96" i="32"/>
  <c r="B962" i="44"/>
  <c r="H959" i="44"/>
  <c r="G97" i="32"/>
  <c r="C36" i="5"/>
  <c r="E141" i="24"/>
  <c r="C78" i="5"/>
  <c r="E114" i="32"/>
  <c r="E97" i="32"/>
  <c r="C22" i="5"/>
  <c r="C29" i="5"/>
  <c r="F97" i="32"/>
  <c r="D141" i="24"/>
  <c r="C71" i="5"/>
  <c r="D114" i="32"/>
  <c r="C15" i="5"/>
  <c r="D97" i="32"/>
  <c r="C57" i="5"/>
  <c r="J97" i="32"/>
  <c r="G141" i="24"/>
  <c r="C92" i="5"/>
  <c r="G114" i="32"/>
  <c r="F141" i="24"/>
  <c r="C85" i="5"/>
  <c r="F114" i="32"/>
  <c r="C8" i="5"/>
  <c r="C97" i="32"/>
  <c r="C141" i="24"/>
  <c r="C114" i="32"/>
  <c r="C64" i="5"/>
  <c r="I141" i="24"/>
  <c r="I114" i="32"/>
  <c r="C106" i="5"/>
  <c r="C50" i="5"/>
  <c r="I97" i="32"/>
  <c r="H141" i="24"/>
  <c r="H114" i="32"/>
  <c r="C99" i="5"/>
  <c r="C43" i="5"/>
  <c r="H97" i="32"/>
  <c r="C17" i="5"/>
  <c r="D99" i="32"/>
  <c r="C80" i="5"/>
  <c r="E116" i="32"/>
  <c r="C116" i="32"/>
  <c r="C66" i="5"/>
  <c r="I126" i="24"/>
  <c r="I100" i="32"/>
  <c r="C54" i="5"/>
  <c r="C117" i="32"/>
  <c r="C68" i="5"/>
  <c r="D116" i="32"/>
  <c r="C73" i="5"/>
  <c r="C99" i="32"/>
  <c r="C10" i="5"/>
  <c r="H117" i="32"/>
  <c r="C103" i="5"/>
  <c r="C108" i="5"/>
  <c r="I116" i="32"/>
  <c r="C52" i="5"/>
  <c r="I99" i="32"/>
  <c r="C96" i="5"/>
  <c r="G117" i="32"/>
  <c r="C40" i="5"/>
  <c r="G100" i="32"/>
  <c r="G126" i="24"/>
  <c r="C101" i="5"/>
  <c r="H116" i="32"/>
  <c r="C45" i="5"/>
  <c r="H99" i="32"/>
  <c r="F100" i="32"/>
  <c r="C33" i="5"/>
  <c r="F126" i="24"/>
  <c r="E99" i="32"/>
  <c r="C24" i="5"/>
  <c r="C61" i="5"/>
  <c r="J100" i="32"/>
  <c r="J126" i="24"/>
  <c r="C59" i="5"/>
  <c r="J99" i="32"/>
  <c r="H126" i="24"/>
  <c r="C47" i="5"/>
  <c r="H100" i="32"/>
  <c r="C94" i="5"/>
  <c r="G116" i="32"/>
  <c r="C38" i="5"/>
  <c r="G99" i="32"/>
  <c r="C82" i="5"/>
  <c r="E117" i="32"/>
  <c r="F116" i="32"/>
  <c r="C87" i="5"/>
  <c r="F99" i="32"/>
  <c r="C31" i="5"/>
  <c r="D117" i="32"/>
  <c r="C75" i="5"/>
  <c r="E100" i="32"/>
  <c r="E126" i="24"/>
  <c r="C26" i="5"/>
  <c r="C19" i="5"/>
  <c r="D100" i="32"/>
  <c r="D126" i="24"/>
  <c r="C16" i="5"/>
  <c r="D98" i="32"/>
  <c r="C9" i="5"/>
  <c r="C98" i="32"/>
  <c r="G123" i="24"/>
  <c r="C123" i="24"/>
  <c r="D124" i="24"/>
  <c r="E124" i="24"/>
  <c r="G124" i="24"/>
  <c r="H124" i="24"/>
  <c r="I124" i="24"/>
  <c r="C125" i="24"/>
  <c r="C693" i="5"/>
  <c r="C692" i="5"/>
  <c r="C552" i="5"/>
  <c r="C551" i="5"/>
  <c r="D125" i="24"/>
  <c r="E125" i="24"/>
  <c r="F125" i="24"/>
  <c r="G125" i="24"/>
  <c r="H125" i="24"/>
  <c r="I125" i="24"/>
  <c r="J125" i="24"/>
  <c r="F124" i="24"/>
  <c r="J124" i="24"/>
  <c r="D123" i="24"/>
  <c r="E123" i="24"/>
  <c r="F123" i="24"/>
  <c r="H123" i="24"/>
  <c r="I123" i="24"/>
  <c r="A389" i="3"/>
  <c r="A390" i="3"/>
  <c r="A391" i="3"/>
  <c r="A392" i="3"/>
  <c r="A388" i="3"/>
  <c r="C124" i="24"/>
  <c r="C961" i="44"/>
  <c r="B126" i="24" l="1"/>
  <c r="B117" i="32"/>
  <c r="B100" i="32"/>
  <c r="C25" i="5"/>
  <c r="C60" i="5"/>
  <c r="C53" i="5"/>
  <c r="C74" i="5"/>
  <c r="C18" i="5"/>
  <c r="C102" i="5"/>
  <c r="C95" i="5"/>
  <c r="C39" i="5"/>
  <c r="C32" i="5"/>
  <c r="C81" i="5"/>
  <c r="C67" i="5"/>
  <c r="C11" i="5"/>
  <c r="C109" i="5"/>
  <c r="C46" i="5"/>
  <c r="C88" i="5"/>
  <c r="B98" i="32"/>
  <c r="B115" i="32"/>
  <c r="H960" i="44"/>
  <c r="B963" i="44"/>
  <c r="B123" i="24"/>
  <c r="B141" i="24"/>
  <c r="B97" i="32"/>
  <c r="B114" i="32"/>
  <c r="C126" i="24"/>
  <c r="C100" i="32"/>
  <c r="C12" i="5"/>
  <c r="B116" i="32"/>
  <c r="B99" i="32"/>
  <c r="J123" i="24"/>
  <c r="B127" i="24"/>
  <c r="B124" i="24"/>
  <c r="B125" i="24"/>
  <c r="C962" i="44"/>
  <c r="B964" i="44" l="1"/>
  <c r="H961" i="44"/>
  <c r="J48" i="42"/>
  <c r="J47" i="42"/>
  <c r="B62" i="42"/>
  <c r="E62" i="42"/>
  <c r="J22" i="42"/>
  <c r="C963" i="44"/>
  <c r="H962" i="44" l="1"/>
  <c r="B965" i="44"/>
  <c r="K14" i="7"/>
  <c r="K7" i="7"/>
  <c r="K5" i="7"/>
  <c r="C734" i="5"/>
  <c r="C735" i="5"/>
  <c r="C736" i="5"/>
  <c r="C737" i="5"/>
  <c r="C282" i="5"/>
  <c r="A282" i="5"/>
  <c r="J16" i="7"/>
  <c r="L22" i="7"/>
  <c r="H5" i="7"/>
  <c r="E33" i="7"/>
  <c r="E16" i="7"/>
  <c r="C33" i="7"/>
  <c r="I5" i="7"/>
  <c r="L20" i="7"/>
  <c r="G16" i="7"/>
  <c r="I33" i="7"/>
  <c r="L15" i="7"/>
  <c r="C16" i="7"/>
  <c r="I16" i="7"/>
  <c r="D34" i="7"/>
  <c r="D5" i="7"/>
  <c r="H34" i="7"/>
  <c r="G33" i="7"/>
  <c r="F33" i="7"/>
  <c r="C34" i="7"/>
  <c r="F5" i="7"/>
  <c r="C964" i="44"/>
  <c r="G5" i="7"/>
  <c r="H16" i="7"/>
  <c r="D33" i="7"/>
  <c r="H33" i="7"/>
  <c r="C5" i="7"/>
  <c r="I34" i="7"/>
  <c r="D16" i="7"/>
  <c r="F34" i="7"/>
  <c r="L34" i="7"/>
  <c r="L21" i="7"/>
  <c r="J34" i="7"/>
  <c r="E34" i="7"/>
  <c r="L3" i="7"/>
  <c r="F16" i="7"/>
  <c r="G34" i="7"/>
  <c r="E5" i="7"/>
  <c r="L14" i="7"/>
  <c r="L16" i="7"/>
  <c r="J5" i="7"/>
  <c r="J33" i="7"/>
  <c r="L23" i="7"/>
  <c r="H714" i="5" l="1"/>
  <c r="G714" i="5"/>
  <c r="F714" i="5"/>
  <c r="D714" i="5"/>
  <c r="I714" i="5"/>
  <c r="E714" i="5"/>
  <c r="B20" i="7"/>
  <c r="C753" i="5"/>
  <c r="C752" i="5"/>
  <c r="B966" i="44"/>
  <c r="H963" i="44"/>
  <c r="A164" i="3"/>
  <c r="B164" i="3"/>
  <c r="B1568" i="44"/>
  <c r="C277" i="5"/>
  <c r="B29" i="3"/>
  <c r="A218" i="5"/>
  <c r="C218" i="5"/>
  <c r="L24" i="7"/>
  <c r="I17" i="7"/>
  <c r="H56" i="44" a="1"/>
  <c r="E17" i="7"/>
  <c r="C17" i="7"/>
  <c r="C965" i="44"/>
  <c r="H17" i="7"/>
  <c r="F17" i="7"/>
  <c r="I56" i="44" a="1"/>
  <c r="L18" i="7"/>
  <c r="H964" i="44" l="1"/>
  <c r="B967" i="44"/>
  <c r="H56" i="44"/>
  <c r="I56" i="44"/>
  <c r="G5" i="30"/>
  <c r="L17" i="7"/>
  <c r="D17" i="7"/>
  <c r="C967" i="44"/>
  <c r="C966" i="44"/>
  <c r="J17" i="7"/>
  <c r="G17" i="7"/>
  <c r="H965" i="44" l="1"/>
  <c r="C513" i="5"/>
  <c r="C512" i="5"/>
  <c r="H966" i="44" l="1"/>
  <c r="L1479" i="44"/>
  <c r="L1478" i="44"/>
  <c r="L1477" i="44"/>
  <c r="L1476" i="44"/>
  <c r="F1479" i="44"/>
  <c r="D1479" i="44"/>
  <c r="F1477" i="44"/>
  <c r="D1477" i="44"/>
  <c r="F1476" i="44"/>
  <c r="D1476" i="44"/>
  <c r="F1475" i="44"/>
  <c r="F1474" i="44"/>
  <c r="F1473" i="44"/>
  <c r="F1471" i="44"/>
  <c r="F1470" i="44"/>
  <c r="F1469" i="44"/>
  <c r="F1468" i="44"/>
  <c r="L1474" i="44"/>
  <c r="L1473" i="44"/>
  <c r="L1475" i="44"/>
  <c r="H1471" i="44"/>
  <c r="H1470" i="44"/>
  <c r="H1469" i="44"/>
  <c r="H1468" i="44"/>
  <c r="K1476" i="44"/>
  <c r="K1479" i="44"/>
  <c r="K1478" i="44"/>
  <c r="K1477" i="44"/>
  <c r="H967" i="44" l="1"/>
  <c r="B76" i="44"/>
  <c r="B77" i="44"/>
  <c r="D77" i="44" s="1"/>
  <c r="J1477" i="44"/>
  <c r="J1479" i="44"/>
  <c r="C76" i="44"/>
  <c r="J1476" i="44"/>
  <c r="E77" i="44"/>
  <c r="E1479" i="44" l="1"/>
  <c r="A1479" i="44" s="1"/>
  <c r="E1477" i="44"/>
  <c r="A1477" i="44" s="1"/>
  <c r="E1476" i="44"/>
  <c r="A1476" i="44" s="1"/>
  <c r="A77" i="44"/>
  <c r="D76" i="44"/>
  <c r="F76" i="44" s="1"/>
  <c r="C77" i="44"/>
  <c r="F77" i="44" l="1"/>
  <c r="E76" i="44"/>
  <c r="A76" i="44" l="1"/>
  <c r="C278" i="5"/>
  <c r="D1428" i="5" l="1"/>
  <c r="C1427" i="5"/>
  <c r="D1427" i="5" s="1"/>
  <c r="C1428" i="5"/>
  <c r="H1363" i="44"/>
  <c r="B1454" i="44"/>
  <c r="B1445" i="44"/>
  <c r="B1436" i="44"/>
  <c r="B1427" i="44"/>
  <c r="B1418" i="44"/>
  <c r="B1382" i="44"/>
  <c r="B1373" i="44"/>
  <c r="B1364" i="44"/>
  <c r="B1354" i="44"/>
  <c r="B1345" i="44"/>
  <c r="B1336" i="44"/>
  <c r="B1327" i="44"/>
  <c r="B1318" i="44"/>
  <c r="B1309" i="44"/>
  <c r="B1300" i="44"/>
  <c r="B1291" i="44"/>
  <c r="B1282" i="44"/>
  <c r="B1273" i="44"/>
  <c r="B1264" i="44"/>
  <c r="B1255" i="44"/>
  <c r="B1246" i="44"/>
  <c r="B1237" i="44"/>
  <c r="B1228" i="44"/>
  <c r="B1219" i="44"/>
  <c r="B1210" i="44"/>
  <c r="B1201" i="44"/>
  <c r="B1190" i="44"/>
  <c r="B1179" i="44"/>
  <c r="B1170" i="44"/>
  <c r="B1161" i="44"/>
  <c r="B1137" i="44"/>
  <c r="B1136" i="44"/>
  <c r="B1135" i="44"/>
  <c r="B1134" i="44"/>
  <c r="B1133" i="44"/>
  <c r="B1132" i="44"/>
  <c r="B1131" i="44"/>
  <c r="B1130" i="44"/>
  <c r="B1129" i="44"/>
  <c r="B1128" i="44"/>
  <c r="B1127" i="44"/>
  <c r="B1126" i="44"/>
  <c r="B1125" i="44"/>
  <c r="B1124" i="44"/>
  <c r="B1123" i="44"/>
  <c r="B1122" i="44"/>
  <c r="B1121" i="44"/>
  <c r="B1120" i="44"/>
  <c r="B1119" i="44"/>
  <c r="B1118" i="44"/>
  <c r="B1117" i="44"/>
  <c r="B1116" i="44"/>
  <c r="B1115" i="44"/>
  <c r="B1114" i="44"/>
  <c r="B1113" i="44"/>
  <c r="B1112" i="44"/>
  <c r="B1111" i="44"/>
  <c r="B1110" i="44"/>
  <c r="B1109" i="44"/>
  <c r="B1108" i="44"/>
  <c r="B1107" i="44"/>
  <c r="B1106" i="44"/>
  <c r="B1105" i="44"/>
  <c r="B1152" i="44"/>
  <c r="B1143" i="44"/>
  <c r="B1138" i="44"/>
  <c r="B1104" i="44"/>
  <c r="B1103" i="44"/>
  <c r="I3" i="7"/>
  <c r="J3" i="7"/>
  <c r="H3" i="7"/>
  <c r="G3" i="7"/>
  <c r="E32" i="43" l="1"/>
  <c r="E24" i="43"/>
  <c r="K6" i="7"/>
  <c r="C262" i="5"/>
  <c r="C276" i="5"/>
  <c r="C275" i="5"/>
  <c r="C313" i="5"/>
  <c r="E16" i="43"/>
  <c r="E40" i="43"/>
  <c r="C5" i="42" l="1"/>
  <c r="D5" i="43"/>
  <c r="G47" i="42"/>
  <c r="G46" i="42"/>
  <c r="G45" i="42"/>
  <c r="J55" i="42" l="1"/>
  <c r="J53" i="42"/>
  <c r="J52" i="42"/>
  <c r="J51" i="42"/>
  <c r="J46" i="42"/>
  <c r="J45" i="42"/>
  <c r="J44" i="42"/>
  <c r="J43" i="42"/>
  <c r="J42" i="42"/>
  <c r="J41" i="42"/>
  <c r="J40" i="42"/>
  <c r="J39" i="42"/>
  <c r="J35" i="42"/>
  <c r="J32" i="42"/>
  <c r="J31" i="42"/>
  <c r="J30" i="42"/>
  <c r="J29" i="42"/>
  <c r="J28" i="42"/>
  <c r="J27" i="42"/>
  <c r="J26" i="42"/>
  <c r="J25" i="42"/>
  <c r="J20" i="42"/>
  <c r="J18" i="42"/>
  <c r="J17" i="42"/>
  <c r="J16" i="42"/>
  <c r="J15" i="42"/>
  <c r="J14" i="42"/>
  <c r="J13" i="42"/>
  <c r="J12" i="42"/>
  <c r="J11" i="42"/>
  <c r="B213" i="3" l="1"/>
  <c r="J49" i="42" l="1"/>
  <c r="J37" i="42"/>
  <c r="C5" i="41"/>
  <c r="C3" i="41"/>
  <c r="C567" i="5"/>
  <c r="H1236" i="44"/>
  <c r="H1235" i="44"/>
  <c r="H1234" i="44"/>
  <c r="H1233" i="44"/>
  <c r="H1232" i="44"/>
  <c r="H1231" i="44"/>
  <c r="H1230" i="44"/>
  <c r="H1229" i="44"/>
  <c r="H1228" i="44"/>
  <c r="H1227" i="44"/>
  <c r="H1226" i="44"/>
  <c r="H1225" i="44"/>
  <c r="H1224" i="44"/>
  <c r="H1223" i="44"/>
  <c r="H1222" i="44"/>
  <c r="H1221" i="44"/>
  <c r="H1220" i="44"/>
  <c r="H1219" i="44"/>
  <c r="H1218" i="44"/>
  <c r="H1217" i="44"/>
  <c r="H1216" i="44"/>
  <c r="H1215" i="44"/>
  <c r="H1214" i="44"/>
  <c r="H1213" i="44"/>
  <c r="H1212" i="44"/>
  <c r="H1211" i="44"/>
  <c r="H1210" i="44"/>
  <c r="H1254" i="44"/>
  <c r="H1253" i="44"/>
  <c r="H1252" i="44"/>
  <c r="H1251" i="44"/>
  <c r="H1250" i="44"/>
  <c r="H1249" i="44"/>
  <c r="H1248" i="44"/>
  <c r="H1247" i="44"/>
  <c r="H1246" i="44"/>
  <c r="H1326" i="44"/>
  <c r="H1325" i="44"/>
  <c r="H1324" i="44"/>
  <c r="H1323" i="44"/>
  <c r="H1322" i="44"/>
  <c r="H1321" i="44"/>
  <c r="H1320" i="44"/>
  <c r="H1319" i="44"/>
  <c r="H1318" i="44"/>
  <c r="H1317" i="44"/>
  <c r="H1316" i="44"/>
  <c r="H1315" i="44"/>
  <c r="H1314" i="44"/>
  <c r="H1313" i="44"/>
  <c r="H1312" i="44"/>
  <c r="H1311" i="44"/>
  <c r="H1310" i="44"/>
  <c r="H1309" i="44"/>
  <c r="H1308" i="44"/>
  <c r="H1307" i="44"/>
  <c r="H1306" i="44"/>
  <c r="H1305" i="44"/>
  <c r="H1304" i="44"/>
  <c r="H1303" i="44"/>
  <c r="H1302" i="44"/>
  <c r="H1301" i="44"/>
  <c r="H1300" i="44"/>
  <c r="H1299" i="44"/>
  <c r="H1298" i="44"/>
  <c r="H1297" i="44"/>
  <c r="H1296" i="44"/>
  <c r="H1295" i="44"/>
  <c r="H1294" i="44"/>
  <c r="H1293" i="44"/>
  <c r="H1292" i="44"/>
  <c r="H1291" i="44"/>
  <c r="H1290" i="44"/>
  <c r="H1289" i="44"/>
  <c r="H1288" i="44"/>
  <c r="H1287" i="44"/>
  <c r="H1286" i="44"/>
  <c r="H1285" i="44"/>
  <c r="H1284" i="44"/>
  <c r="H1283" i="44"/>
  <c r="H1282" i="44"/>
  <c r="H1281" i="44"/>
  <c r="H1280" i="44"/>
  <c r="H1279" i="44"/>
  <c r="H1278" i="44"/>
  <c r="H1277" i="44"/>
  <c r="H1276" i="44"/>
  <c r="H1275" i="44"/>
  <c r="H1274" i="44"/>
  <c r="H1273" i="44"/>
  <c r="H1372" i="44"/>
  <c r="H1371" i="44"/>
  <c r="H1370" i="44"/>
  <c r="H1369" i="44"/>
  <c r="H1368" i="44"/>
  <c r="H1367" i="44"/>
  <c r="H1366" i="44"/>
  <c r="H1365" i="44"/>
  <c r="H1364" i="44"/>
  <c r="H1362" i="44"/>
  <c r="H1361" i="44"/>
  <c r="H1360" i="44"/>
  <c r="H1359" i="44"/>
  <c r="H1358" i="44"/>
  <c r="H1357" i="44"/>
  <c r="H1356" i="44"/>
  <c r="H1355" i="44"/>
  <c r="H1354" i="44"/>
  <c r="H1426" i="44"/>
  <c r="H1425" i="44"/>
  <c r="H1424" i="44"/>
  <c r="H1423" i="44"/>
  <c r="H1422" i="44"/>
  <c r="H1421" i="44"/>
  <c r="H1420" i="44"/>
  <c r="H1419" i="44"/>
  <c r="H1418" i="44"/>
  <c r="H1200" i="44"/>
  <c r="H1199" i="44"/>
  <c r="H1198" i="44"/>
  <c r="H1197" i="44"/>
  <c r="H1196" i="44"/>
  <c r="H1195" i="44"/>
  <c r="H1194" i="44"/>
  <c r="H1193" i="44"/>
  <c r="H1192" i="44"/>
  <c r="H1191" i="44"/>
  <c r="H1190" i="44"/>
  <c r="H1189" i="44"/>
  <c r="H1188" i="44"/>
  <c r="H1187" i="44"/>
  <c r="H1186" i="44"/>
  <c r="H1185" i="44"/>
  <c r="H1184" i="44"/>
  <c r="H1183" i="44"/>
  <c r="H1182" i="44"/>
  <c r="H1181" i="44"/>
  <c r="H1180" i="44"/>
  <c r="H1179" i="44"/>
  <c r="H1178" i="44"/>
  <c r="H1177" i="44"/>
  <c r="H1176" i="44"/>
  <c r="H1175" i="44"/>
  <c r="H1174" i="44"/>
  <c r="H1173" i="44"/>
  <c r="H1172" i="44"/>
  <c r="H1171" i="44"/>
  <c r="H1170" i="44"/>
  <c r="H1169" i="44"/>
  <c r="H1168" i="44"/>
  <c r="H1167" i="44"/>
  <c r="H1166" i="44"/>
  <c r="H1165" i="44"/>
  <c r="H1164" i="44"/>
  <c r="H1163" i="44"/>
  <c r="H1162" i="44"/>
  <c r="H1161" i="44"/>
  <c r="H1160" i="44"/>
  <c r="H1159" i="44"/>
  <c r="H1158" i="44"/>
  <c r="H1157" i="44"/>
  <c r="H1156" i="44"/>
  <c r="H1155" i="44"/>
  <c r="H1154" i="44"/>
  <c r="H1153" i="44"/>
  <c r="H1152" i="44"/>
  <c r="H1151" i="44"/>
  <c r="H1150" i="44"/>
  <c r="H1149" i="44"/>
  <c r="H1148" i="44"/>
  <c r="H1147" i="44"/>
  <c r="H1146" i="44"/>
  <c r="H1145" i="44"/>
  <c r="H1144" i="44"/>
  <c r="H1143" i="44"/>
  <c r="H1142" i="44"/>
  <c r="H1141" i="44"/>
  <c r="H1140" i="44"/>
  <c r="H1139" i="44"/>
  <c r="H1138" i="44"/>
  <c r="H1133" i="44"/>
  <c r="H1128" i="44"/>
  <c r="H1127" i="44"/>
  <c r="H1123" i="44"/>
  <c r="H1122" i="44"/>
  <c r="H1121" i="44"/>
  <c r="H1120" i="44"/>
  <c r="H1119" i="44"/>
  <c r="H1118" i="44"/>
  <c r="H1115" i="44"/>
  <c r="H1113" i="44"/>
  <c r="H1112" i="44"/>
  <c r="H1111" i="44"/>
  <c r="H1109" i="44"/>
  <c r="H1108" i="44"/>
  <c r="H1107" i="44"/>
  <c r="H1106" i="44"/>
  <c r="H1105" i="44"/>
  <c r="H1104" i="44"/>
  <c r="H1103" i="44"/>
  <c r="K13" i="7"/>
  <c r="K12" i="7"/>
  <c r="K11" i="7"/>
  <c r="K10" i="7"/>
  <c r="K8" i="7"/>
  <c r="K9" i="7"/>
  <c r="F8" i="7"/>
  <c r="H39" i="7"/>
  <c r="I22" i="7"/>
  <c r="F22" i="7"/>
  <c r="F11" i="7"/>
  <c r="C4" i="7"/>
  <c r="C36" i="7"/>
  <c r="E22" i="7"/>
  <c r="D14" i="7"/>
  <c r="H22" i="7"/>
  <c r="F14" i="7"/>
  <c r="I13" i="7"/>
  <c r="C10" i="7"/>
  <c r="G39" i="7"/>
  <c r="L9" i="7"/>
  <c r="D23" i="7"/>
  <c r="G36" i="7"/>
  <c r="D4" i="7"/>
  <c r="F4" i="7"/>
  <c r="L6" i="7"/>
  <c r="D11" i="7"/>
  <c r="D6" i="7"/>
  <c r="J6" i="7"/>
  <c r="I9" i="7"/>
  <c r="E9" i="7"/>
  <c r="L36" i="7"/>
  <c r="E36" i="7"/>
  <c r="D8" i="7"/>
  <c r="G12" i="7"/>
  <c r="E23" i="7"/>
  <c r="J23" i="7"/>
  <c r="H9" i="7"/>
  <c r="L8" i="7"/>
  <c r="C6" i="7"/>
  <c r="I4" i="7"/>
  <c r="L12" i="7"/>
  <c r="H14" i="7"/>
  <c r="E12" i="7"/>
  <c r="G11" i="7"/>
  <c r="F36" i="7"/>
  <c r="C11" i="7"/>
  <c r="I12" i="7"/>
  <c r="F23" i="7"/>
  <c r="D22" i="7"/>
  <c r="I8" i="7"/>
  <c r="C22" i="7"/>
  <c r="L5" i="7"/>
  <c r="G7" i="7"/>
  <c r="G4" i="7"/>
  <c r="E4" i="7"/>
  <c r="H36" i="7"/>
  <c r="D12" i="7"/>
  <c r="G9" i="7"/>
  <c r="C8" i="7"/>
  <c r="D13" i="7"/>
  <c r="G22" i="7"/>
  <c r="F9" i="7"/>
  <c r="F12" i="7"/>
  <c r="C14" i="7"/>
  <c r="D36" i="7"/>
  <c r="J4" i="7"/>
  <c r="E8" i="7"/>
  <c r="J36" i="7"/>
  <c r="I36" i="7"/>
  <c r="C9" i="7"/>
  <c r="H4" i="7"/>
  <c r="J22" i="7"/>
  <c r="L4" i="7"/>
  <c r="E13" i="7"/>
  <c r="G8" i="7"/>
  <c r="B5" i="7" l="1"/>
  <c r="C714" i="5" s="1"/>
  <c r="A714" i="5" s="1"/>
  <c r="I725" i="5"/>
  <c r="I715" i="5"/>
  <c r="H719" i="5"/>
  <c r="H718" i="5"/>
  <c r="G718" i="5"/>
  <c r="G725" i="5"/>
  <c r="F718" i="5"/>
  <c r="F719" i="5"/>
  <c r="F725" i="5"/>
  <c r="E718" i="5"/>
  <c r="E715" i="5"/>
  <c r="E719" i="5"/>
  <c r="E725" i="5"/>
  <c r="D717" i="5"/>
  <c r="D715" i="5"/>
  <c r="C548" i="5"/>
  <c r="C547" i="5"/>
  <c r="C545" i="5"/>
  <c r="C544" i="5"/>
  <c r="C543" i="5"/>
  <c r="D3" i="43"/>
  <c r="C3" i="42"/>
  <c r="C639" i="5"/>
  <c r="C636" i="5"/>
  <c r="C631" i="5"/>
  <c r="C635" i="5"/>
  <c r="C634" i="5"/>
  <c r="C632" i="5"/>
  <c r="C633" i="5"/>
  <c r="C688" i="5"/>
  <c r="C670" i="5"/>
  <c r="C626" i="5"/>
  <c r="C616" i="5"/>
  <c r="C606" i="5"/>
  <c r="C604" i="5"/>
  <c r="C593" i="5"/>
  <c r="C588" i="5"/>
  <c r="C586" i="5"/>
  <c r="C585" i="5"/>
  <c r="C574" i="5"/>
  <c r="C563" i="5"/>
  <c r="B36" i="7"/>
  <c r="B15" i="7"/>
  <c r="C720" i="5" s="1"/>
  <c r="A720" i="5" s="1"/>
  <c r="B14" i="7"/>
  <c r="B16" i="7"/>
  <c r="B22" i="7"/>
  <c r="B12" i="7"/>
  <c r="C718" i="5" s="1"/>
  <c r="A718" i="5" s="1"/>
  <c r="B9" i="7"/>
  <c r="B8" i="7"/>
  <c r="B6" i="7"/>
  <c r="C715" i="5" s="1"/>
  <c r="A715" i="5" s="1"/>
  <c r="B4" i="7"/>
  <c r="B3" i="7"/>
  <c r="D1472" i="44"/>
  <c r="D1468" i="44"/>
  <c r="D1469" i="44"/>
  <c r="D1470" i="44"/>
  <c r="D1471" i="44"/>
  <c r="D1473" i="44"/>
  <c r="D1474" i="44"/>
  <c r="D1475" i="44"/>
  <c r="D1478" i="44"/>
  <c r="D1495" i="44"/>
  <c r="D1494" i="44"/>
  <c r="D1493" i="44"/>
  <c r="D1492" i="44"/>
  <c r="D1491" i="44"/>
  <c r="D1490" i="44"/>
  <c r="D1489" i="44"/>
  <c r="D1488" i="44"/>
  <c r="D1487" i="44"/>
  <c r="D1486" i="44"/>
  <c r="D1485" i="44"/>
  <c r="D1484" i="44"/>
  <c r="D1483" i="44"/>
  <c r="D1482" i="44"/>
  <c r="D1481" i="44"/>
  <c r="D1480" i="44"/>
  <c r="G14" i="7"/>
  <c r="E38" i="7"/>
  <c r="E7" i="7"/>
  <c r="G13" i="7"/>
  <c r="L37" i="7"/>
  <c r="J37" i="7"/>
  <c r="H37" i="7"/>
  <c r="C1491" i="44"/>
  <c r="C1485" i="44"/>
  <c r="C1488" i="44"/>
  <c r="C12" i="7"/>
  <c r="C1489" i="44"/>
  <c r="H13" i="7"/>
  <c r="D37" i="7"/>
  <c r="E1489" i="44"/>
  <c r="D39" i="7"/>
  <c r="C1495" i="44"/>
  <c r="E1495" i="44"/>
  <c r="I23" i="7"/>
  <c r="I14" i="7"/>
  <c r="F39" i="7"/>
  <c r="E1484" i="44"/>
  <c r="E37" i="7"/>
  <c r="E1485" i="44"/>
  <c r="C7" i="7"/>
  <c r="G23" i="7"/>
  <c r="L39" i="7"/>
  <c r="I6" i="7"/>
  <c r="H8" i="7"/>
  <c r="E11" i="7"/>
  <c r="E1493" i="44"/>
  <c r="C23" i="7"/>
  <c r="H12" i="7"/>
  <c r="J39" i="7"/>
  <c r="J38" i="7"/>
  <c r="H10" i="7"/>
  <c r="I11" i="7"/>
  <c r="H38" i="7"/>
  <c r="C1472" i="44"/>
  <c r="F6" i="7"/>
  <c r="D38" i="7"/>
  <c r="E1491" i="44"/>
  <c r="J8" i="7"/>
  <c r="L10" i="7"/>
  <c r="C1134" i="44"/>
  <c r="C1494" i="44"/>
  <c r="E6" i="7"/>
  <c r="F13" i="7"/>
  <c r="C38" i="7"/>
  <c r="C1135" i="44"/>
  <c r="C39" i="7"/>
  <c r="F37" i="7"/>
  <c r="J10" i="7"/>
  <c r="E1494" i="44"/>
  <c r="D7" i="7"/>
  <c r="E10" i="7"/>
  <c r="H6" i="7"/>
  <c r="D10" i="7"/>
  <c r="J12" i="7"/>
  <c r="L7" i="7"/>
  <c r="L38" i="7"/>
  <c r="J7" i="7"/>
  <c r="C1484" i="44"/>
  <c r="F7" i="7"/>
  <c r="I38" i="7"/>
  <c r="H7" i="7"/>
  <c r="C37" i="7"/>
  <c r="E14" i="7"/>
  <c r="C1492" i="44"/>
  <c r="J13" i="7"/>
  <c r="E1492" i="44"/>
  <c r="F38" i="7"/>
  <c r="J9" i="7"/>
  <c r="G10" i="7"/>
  <c r="E1472" i="44"/>
  <c r="F10" i="7"/>
  <c r="J11" i="7"/>
  <c r="E1487" i="44"/>
  <c r="I37" i="7"/>
  <c r="H11" i="7"/>
  <c r="L11" i="7"/>
  <c r="G6" i="7"/>
  <c r="G37" i="7"/>
  <c r="H23" i="7"/>
  <c r="C1493" i="44"/>
  <c r="G38" i="7"/>
  <c r="D9" i="7"/>
  <c r="E39" i="7"/>
  <c r="C1487" i="44"/>
  <c r="L13" i="7"/>
  <c r="I39" i="7"/>
  <c r="J14" i="7"/>
  <c r="I7" i="7"/>
  <c r="I10" i="7"/>
  <c r="C13" i="7"/>
  <c r="J24" i="7"/>
  <c r="C584" i="5" l="1"/>
  <c r="I719" i="5"/>
  <c r="C627" i="5"/>
  <c r="D719" i="5"/>
  <c r="C624" i="5"/>
  <c r="C570" i="5"/>
  <c r="G719" i="5"/>
  <c r="B13" i="7"/>
  <c r="C719" i="5" s="1"/>
  <c r="A719" i="5" s="1"/>
  <c r="C625" i="5"/>
  <c r="B11" i="7"/>
  <c r="C592" i="5" s="1"/>
  <c r="C594" i="5"/>
  <c r="C596" i="5"/>
  <c r="C595" i="5"/>
  <c r="I718" i="5"/>
  <c r="I717" i="5"/>
  <c r="I716" i="5"/>
  <c r="I726" i="5"/>
  <c r="H725" i="5"/>
  <c r="H717" i="5"/>
  <c r="H716" i="5"/>
  <c r="H715" i="5"/>
  <c r="G717" i="5"/>
  <c r="G715" i="5"/>
  <c r="G716" i="5"/>
  <c r="F717" i="5"/>
  <c r="F715" i="5"/>
  <c r="F716" i="5"/>
  <c r="E717" i="5"/>
  <c r="E716" i="5"/>
  <c r="D725" i="5"/>
  <c r="D718" i="5"/>
  <c r="D716" i="5"/>
  <c r="C630" i="5"/>
  <c r="C686" i="5"/>
  <c r="C615" i="5"/>
  <c r="C600" i="5"/>
  <c r="C638" i="5"/>
  <c r="C637" i="5"/>
  <c r="C690" i="5"/>
  <c r="C689" i="5"/>
  <c r="C687" i="5"/>
  <c r="C675" i="5"/>
  <c r="C669" i="5"/>
  <c r="C668" i="5"/>
  <c r="C667" i="5"/>
  <c r="C619" i="5"/>
  <c r="C618" i="5"/>
  <c r="C617" i="5"/>
  <c r="C614" i="5"/>
  <c r="C613" i="5"/>
  <c r="C612" i="5"/>
  <c r="C611" i="5"/>
  <c r="C609" i="5"/>
  <c r="C608" i="5"/>
  <c r="C607" i="5"/>
  <c r="C603" i="5"/>
  <c r="C602" i="5"/>
  <c r="C601" i="5"/>
  <c r="C587" i="5"/>
  <c r="B37" i="7"/>
  <c r="B10" i="7"/>
  <c r="C717" i="5" s="1"/>
  <c r="A717" i="5" s="1"/>
  <c r="C568" i="5"/>
  <c r="B38" i="7"/>
  <c r="B39" i="7"/>
  <c r="C581" i="5"/>
  <c r="B7" i="7"/>
  <c r="C716" i="5" s="1"/>
  <c r="A716" i="5" s="1"/>
  <c r="B23" i="7"/>
  <c r="C725" i="5" s="1"/>
  <c r="A725" i="5" s="1"/>
  <c r="F1472" i="44"/>
  <c r="A1472" i="44" s="1"/>
  <c r="F1495" i="44"/>
  <c r="A1495" i="44" s="1"/>
  <c r="F1493" i="44"/>
  <c r="A1493" i="44" s="1"/>
  <c r="F1494" i="44"/>
  <c r="A1494" i="44" s="1"/>
  <c r="A1492" i="44"/>
  <c r="F1491" i="44"/>
  <c r="A1491" i="44" s="1"/>
  <c r="F1492" i="44"/>
  <c r="F1489" i="44"/>
  <c r="A1489" i="44" s="1"/>
  <c r="F1487" i="44"/>
  <c r="A1488" i="44"/>
  <c r="A1487" i="44"/>
  <c r="F1484" i="44"/>
  <c r="A1484" i="44" s="1"/>
  <c r="F1485" i="44"/>
  <c r="A1485" i="44" s="1"/>
  <c r="L1471" i="44"/>
  <c r="L1470" i="44"/>
  <c r="L1469" i="44"/>
  <c r="L1468" i="44"/>
  <c r="D1467" i="44"/>
  <c r="D1466" i="44"/>
  <c r="D1465" i="44"/>
  <c r="B1180" i="44"/>
  <c r="B1181" i="44" s="1"/>
  <c r="B1182" i="44" s="1"/>
  <c r="D1179" i="44"/>
  <c r="D1170" i="44"/>
  <c r="D1161" i="44"/>
  <c r="D1152" i="44"/>
  <c r="D1143" i="44"/>
  <c r="D1134" i="44"/>
  <c r="D1122" i="44"/>
  <c r="D1110" i="44"/>
  <c r="D1109" i="44"/>
  <c r="D1108" i="44"/>
  <c r="D1107" i="44"/>
  <c r="D1106" i="44"/>
  <c r="D1105" i="44"/>
  <c r="D1104" i="44"/>
  <c r="D1103" i="44"/>
  <c r="L1103" i="44" s="1"/>
  <c r="C1482" i="44"/>
  <c r="H24" i="7"/>
  <c r="C1103" i="44"/>
  <c r="C1467" i="44"/>
  <c r="J25" i="7"/>
  <c r="J1182" i="44"/>
  <c r="C1104" i="44"/>
  <c r="J1170" i="44"/>
  <c r="C1111" i="44"/>
  <c r="C1480" i="44"/>
  <c r="C1123" i="44"/>
  <c r="C1108" i="44"/>
  <c r="E1466" i="44"/>
  <c r="C1105" i="44"/>
  <c r="C1107" i="44"/>
  <c r="C1483" i="44"/>
  <c r="C1124" i="44"/>
  <c r="C1465" i="44"/>
  <c r="C1464" i="44"/>
  <c r="I24" i="7"/>
  <c r="C1106" i="44"/>
  <c r="E1467" i="44"/>
  <c r="E24" i="7"/>
  <c r="C1466" i="44"/>
  <c r="C1481" i="44"/>
  <c r="D24" i="7"/>
  <c r="C24" i="7"/>
  <c r="J1143" i="44"/>
  <c r="J1161" i="44"/>
  <c r="C1109" i="44"/>
  <c r="J1152" i="44"/>
  <c r="G24" i="7"/>
  <c r="C1110" i="44"/>
  <c r="F24" i="7"/>
  <c r="J1179" i="44"/>
  <c r="C623" i="5" l="1"/>
  <c r="I727" i="5"/>
  <c r="H726" i="5"/>
  <c r="G726" i="5"/>
  <c r="F726" i="5"/>
  <c r="E726" i="5"/>
  <c r="D726" i="5"/>
  <c r="C610" i="5"/>
  <c r="C605" i="5"/>
  <c r="C641" i="5"/>
  <c r="C645" i="5"/>
  <c r="C642" i="5"/>
  <c r="C643" i="5"/>
  <c r="C644" i="5"/>
  <c r="C680" i="5"/>
  <c r="C674" i="5"/>
  <c r="C673" i="5"/>
  <c r="C672" i="5"/>
  <c r="C583" i="5"/>
  <c r="C666" i="5"/>
  <c r="B17" i="7"/>
  <c r="B24" i="7"/>
  <c r="C726" i="5" s="1"/>
  <c r="A726" i="5" s="1"/>
  <c r="D1112" i="44"/>
  <c r="F1467" i="44"/>
  <c r="A1467" i="44" s="1"/>
  <c r="F1466" i="44"/>
  <c r="A1466" i="44" s="1"/>
  <c r="D1123" i="44"/>
  <c r="D1291" i="44"/>
  <c r="D1180" i="44"/>
  <c r="B1183" i="44"/>
  <c r="D1182" i="44"/>
  <c r="D1181" i="44"/>
  <c r="D1124" i="44"/>
  <c r="D1111" i="44"/>
  <c r="F1104" i="44"/>
  <c r="F1103" i="44"/>
  <c r="C18" i="7"/>
  <c r="H18" i="7"/>
  <c r="H25" i="7"/>
  <c r="G18" i="7"/>
  <c r="J1180" i="44"/>
  <c r="D25" i="7"/>
  <c r="E18" i="7"/>
  <c r="J1291" i="44"/>
  <c r="I25" i="7"/>
  <c r="G25" i="7"/>
  <c r="F18" i="7"/>
  <c r="J18" i="7"/>
  <c r="J1181" i="44"/>
  <c r="E25" i="7"/>
  <c r="D18" i="7"/>
  <c r="F25" i="7"/>
  <c r="I18" i="7"/>
  <c r="C25" i="7"/>
  <c r="L25" i="7"/>
  <c r="I728" i="5" l="1"/>
  <c r="I721" i="5"/>
  <c r="H727" i="5"/>
  <c r="H721" i="5"/>
  <c r="G721" i="5"/>
  <c r="G727" i="5"/>
  <c r="F721" i="5"/>
  <c r="F727" i="5"/>
  <c r="E721" i="5"/>
  <c r="E727" i="5"/>
  <c r="D727" i="5"/>
  <c r="D721" i="5"/>
  <c r="C671" i="5"/>
  <c r="C685" i="5"/>
  <c r="C679" i="5"/>
  <c r="C678" i="5"/>
  <c r="C677" i="5"/>
  <c r="C650" i="5"/>
  <c r="C649" i="5"/>
  <c r="C648" i="5"/>
  <c r="C647" i="5"/>
  <c r="B25" i="7"/>
  <c r="C727" i="5" s="1"/>
  <c r="A727" i="5" s="1"/>
  <c r="B18" i="7"/>
  <c r="C721" i="5" s="1"/>
  <c r="A721" i="5" s="1"/>
  <c r="D1113" i="44"/>
  <c r="J1318" i="44"/>
  <c r="C1112" i="44"/>
  <c r="J1183" i="44"/>
  <c r="L26" i="7"/>
  <c r="C1125" i="44"/>
  <c r="B26" i="7" l="1"/>
  <c r="C728" i="5" s="1"/>
  <c r="I722" i="5"/>
  <c r="H728" i="5"/>
  <c r="H722" i="5"/>
  <c r="G728" i="5"/>
  <c r="G722" i="5"/>
  <c r="F728" i="5"/>
  <c r="F722" i="5"/>
  <c r="E728" i="5"/>
  <c r="E722" i="5"/>
  <c r="D728" i="5"/>
  <c r="D722" i="5"/>
  <c r="C676" i="5"/>
  <c r="C646" i="5"/>
  <c r="C684" i="5"/>
  <c r="C683" i="5"/>
  <c r="C682" i="5"/>
  <c r="C655" i="5"/>
  <c r="C654" i="5"/>
  <c r="C653" i="5"/>
  <c r="C652" i="5"/>
  <c r="C576" i="5"/>
  <c r="B19" i="7"/>
  <c r="C722" i="5" s="1"/>
  <c r="A722" i="5" s="1"/>
  <c r="D1318" i="44"/>
  <c r="B1184" i="44"/>
  <c r="D1183" i="44"/>
  <c r="D1125" i="44"/>
  <c r="D1114" i="44"/>
  <c r="F1106" i="44"/>
  <c r="F1105" i="44"/>
  <c r="J1327" i="44"/>
  <c r="J1184" i="44"/>
  <c r="L27" i="7"/>
  <c r="C1113" i="44"/>
  <c r="C1126" i="44"/>
  <c r="J21" i="7"/>
  <c r="B27" i="7" l="1"/>
  <c r="I723" i="5"/>
  <c r="I724" i="5"/>
  <c r="H723" i="5"/>
  <c r="G723" i="5"/>
  <c r="F723" i="5"/>
  <c r="E723" i="5"/>
  <c r="D723" i="5"/>
  <c r="C681" i="5"/>
  <c r="C651" i="5"/>
  <c r="C665" i="5"/>
  <c r="C660" i="5"/>
  <c r="C659" i="5"/>
  <c r="C658" i="5"/>
  <c r="C657" i="5"/>
  <c r="C578" i="5"/>
  <c r="C723" i="5"/>
  <c r="A723" i="5" s="1"/>
  <c r="D1327" i="44"/>
  <c r="D1184" i="44"/>
  <c r="B1185" i="44"/>
  <c r="D1126" i="44"/>
  <c r="D1115" i="44"/>
  <c r="F1107" i="44"/>
  <c r="G21" i="7"/>
  <c r="F21" i="7"/>
  <c r="J1185" i="44"/>
  <c r="I21" i="7"/>
  <c r="E21" i="7"/>
  <c r="J1336" i="44"/>
  <c r="L28" i="7"/>
  <c r="D21" i="7"/>
  <c r="C1114" i="44"/>
  <c r="H21" i="7"/>
  <c r="C1127" i="44"/>
  <c r="C21" i="7"/>
  <c r="B28" i="7" l="1"/>
  <c r="H724" i="5"/>
  <c r="G724" i="5"/>
  <c r="F724" i="5"/>
  <c r="E724" i="5"/>
  <c r="D724" i="5"/>
  <c r="C656" i="5"/>
  <c r="C221" i="5"/>
  <c r="C664" i="5"/>
  <c r="C663" i="5"/>
  <c r="C662" i="5"/>
  <c r="C225" i="5"/>
  <c r="C224" i="5"/>
  <c r="C223" i="5"/>
  <c r="C222" i="5"/>
  <c r="B21" i="7"/>
  <c r="C724" i="5" s="1"/>
  <c r="D1336" i="44"/>
  <c r="D1185" i="44"/>
  <c r="B1186" i="44"/>
  <c r="D1127" i="44"/>
  <c r="D1116" i="44"/>
  <c r="F1108" i="44"/>
  <c r="J1186" i="44"/>
  <c r="C1128" i="44"/>
  <c r="J1345" i="44"/>
  <c r="L29" i="7"/>
  <c r="C1115" i="44"/>
  <c r="B29" i="7" l="1"/>
  <c r="A724" i="5"/>
  <c r="A728" i="5" s="1"/>
  <c r="C661" i="5"/>
  <c r="D1345" i="44"/>
  <c r="D1186" i="44"/>
  <c r="B1187" i="44"/>
  <c r="D1128" i="44"/>
  <c r="D1117" i="44"/>
  <c r="F1109" i="44"/>
  <c r="C1116" i="44"/>
  <c r="L30" i="7"/>
  <c r="C1117" i="44"/>
  <c r="C1129" i="44"/>
  <c r="B30" i="7" l="1"/>
  <c r="C738" i="5" s="1"/>
  <c r="A705" i="5"/>
  <c r="H705" i="5" s="1"/>
  <c r="A696" i="5"/>
  <c r="J696" i="5" s="1"/>
  <c r="A709" i="5"/>
  <c r="C709" i="5" s="1"/>
  <c r="A707" i="5"/>
  <c r="H707" i="5" s="1"/>
  <c r="A708" i="5"/>
  <c r="I708" i="5" s="1"/>
  <c r="A704" i="5"/>
  <c r="E704" i="5" s="1"/>
  <c r="A702" i="5"/>
  <c r="F702" i="5" s="1"/>
  <c r="A699" i="5"/>
  <c r="C699" i="5" s="1"/>
  <c r="A698" i="5"/>
  <c r="E698" i="5" s="1"/>
  <c r="A701" i="5"/>
  <c r="C701" i="5" s="1"/>
  <c r="A697" i="5"/>
  <c r="D697" i="5" s="1"/>
  <c r="A710" i="5"/>
  <c r="J710" i="5" s="1"/>
  <c r="A703" i="5"/>
  <c r="G703" i="5" s="1"/>
  <c r="A706" i="5"/>
  <c r="E706" i="5" s="1"/>
  <c r="A700" i="5"/>
  <c r="H700" i="5" s="1"/>
  <c r="C740" i="5"/>
  <c r="C739" i="5"/>
  <c r="D1354" i="44"/>
  <c r="D1187" i="44"/>
  <c r="B1188" i="44"/>
  <c r="B1189" i="44" s="1"/>
  <c r="D1129" i="44"/>
  <c r="D1118" i="44"/>
  <c r="F1110" i="44"/>
  <c r="C1130" i="44"/>
  <c r="C1189" i="44"/>
  <c r="J1354" i="44"/>
  <c r="C1118" i="44"/>
  <c r="J1187" i="44"/>
  <c r="G705" i="5" l="1"/>
  <c r="E705" i="5"/>
  <c r="C705" i="5"/>
  <c r="F705" i="5"/>
  <c r="K705" i="5"/>
  <c r="J705" i="5"/>
  <c r="D705" i="5"/>
  <c r="I705" i="5"/>
  <c r="C696" i="5"/>
  <c r="K696" i="5"/>
  <c r="D696" i="5"/>
  <c r="G696" i="5"/>
  <c r="E696" i="5"/>
  <c r="F696" i="5"/>
  <c r="H696" i="5"/>
  <c r="I696" i="5"/>
  <c r="K704" i="5"/>
  <c r="G704" i="5"/>
  <c r="H704" i="5"/>
  <c r="C704" i="5"/>
  <c r="F704" i="5"/>
  <c r="I704" i="5"/>
  <c r="D704" i="5"/>
  <c r="J704" i="5"/>
  <c r="J706" i="5"/>
  <c r="F706" i="5"/>
  <c r="G702" i="5"/>
  <c r="J702" i="5"/>
  <c r="C702" i="5"/>
  <c r="D702" i="5"/>
  <c r="I706" i="5"/>
  <c r="H702" i="5"/>
  <c r="E702" i="5"/>
  <c r="J698" i="5"/>
  <c r="K706" i="5"/>
  <c r="G706" i="5"/>
  <c r="J700" i="5"/>
  <c r="I702" i="5"/>
  <c r="C706" i="5"/>
  <c r="I707" i="5"/>
  <c r="H708" i="5"/>
  <c r="F703" i="5"/>
  <c r="J708" i="5"/>
  <c r="F708" i="5"/>
  <c r="C708" i="5"/>
  <c r="D703" i="5"/>
  <c r="E708" i="5"/>
  <c r="I703" i="5"/>
  <c r="K708" i="5"/>
  <c r="H703" i="5"/>
  <c r="G708" i="5"/>
  <c r="K703" i="5"/>
  <c r="D708" i="5"/>
  <c r="C703" i="5"/>
  <c r="K710" i="5"/>
  <c r="G709" i="5"/>
  <c r="G710" i="5"/>
  <c r="F709" i="5"/>
  <c r="K702" i="5"/>
  <c r="F699" i="5"/>
  <c r="D699" i="5"/>
  <c r="E703" i="5"/>
  <c r="C707" i="5"/>
  <c r="J703" i="5"/>
  <c r="D706" i="5"/>
  <c r="H701" i="5"/>
  <c r="D700" i="5"/>
  <c r="G698" i="5"/>
  <c r="G701" i="5"/>
  <c r="F698" i="5"/>
  <c r="E701" i="5"/>
  <c r="I701" i="5"/>
  <c r="H706" i="5"/>
  <c r="C700" i="5"/>
  <c r="I700" i="5"/>
  <c r="G700" i="5"/>
  <c r="E700" i="5"/>
  <c r="K700" i="5"/>
  <c r="F700" i="5"/>
  <c r="C697" i="5"/>
  <c r="J699" i="5"/>
  <c r="E699" i="5"/>
  <c r="H709" i="5"/>
  <c r="D709" i="5"/>
  <c r="K701" i="5"/>
  <c r="I697" i="5"/>
  <c r="I699" i="5"/>
  <c r="K709" i="5"/>
  <c r="F701" i="5"/>
  <c r="H699" i="5"/>
  <c r="I709" i="5"/>
  <c r="J701" i="5"/>
  <c r="G699" i="5"/>
  <c r="J709" i="5"/>
  <c r="K699" i="5"/>
  <c r="E697" i="5"/>
  <c r="E709" i="5"/>
  <c r="D701" i="5"/>
  <c r="D710" i="5"/>
  <c r="F710" i="5"/>
  <c r="E707" i="5"/>
  <c r="D698" i="5"/>
  <c r="I710" i="5"/>
  <c r="K698" i="5"/>
  <c r="K707" i="5"/>
  <c r="C710" i="5"/>
  <c r="D707" i="5"/>
  <c r="H698" i="5"/>
  <c r="E710" i="5"/>
  <c r="F697" i="5"/>
  <c r="H710" i="5"/>
  <c r="K697" i="5"/>
  <c r="C698" i="5"/>
  <c r="J707" i="5"/>
  <c r="F707" i="5"/>
  <c r="G697" i="5"/>
  <c r="J697" i="5"/>
  <c r="I698" i="5"/>
  <c r="G707" i="5"/>
  <c r="H697" i="5"/>
  <c r="D1189" i="44"/>
  <c r="D1188" i="44"/>
  <c r="D1130" i="44"/>
  <c r="D1119" i="44"/>
  <c r="F1111" i="44"/>
  <c r="E1189" i="44"/>
  <c r="C1119" i="44"/>
  <c r="C1131" i="44"/>
  <c r="J1188" i="44"/>
  <c r="J1189" i="44"/>
  <c r="F1189" i="44" l="1"/>
  <c r="D1131" i="44"/>
  <c r="D1120" i="44"/>
  <c r="F1112" i="44"/>
  <c r="B33" i="7" l="1"/>
  <c r="D1121" i="44"/>
  <c r="F1113" i="44"/>
  <c r="C1132" i="44"/>
  <c r="C1121" i="44"/>
  <c r="C1120" i="44"/>
  <c r="C747" i="5" l="1"/>
  <c r="B34" i="7"/>
  <c r="C746" i="5" s="1"/>
  <c r="D1132" i="44"/>
  <c r="F1114" i="44"/>
  <c r="C1122" i="44"/>
  <c r="C1133" i="44"/>
  <c r="D1133" i="44" l="1"/>
  <c r="F1115" i="44"/>
  <c r="F1116" i="44" l="1"/>
  <c r="F1117" i="44" l="1"/>
  <c r="F1118" i="44" l="1"/>
  <c r="F1119" i="44" l="1"/>
  <c r="F1120" i="44" l="1"/>
  <c r="F1121" i="44" l="1"/>
  <c r="F1122" i="44" l="1"/>
  <c r="F1123" i="44" l="1"/>
  <c r="F1124" i="44" l="1"/>
  <c r="F1125" i="44" l="1"/>
  <c r="F1126" i="44" l="1"/>
  <c r="F1127" i="44" l="1"/>
  <c r="F1128" i="44" l="1"/>
  <c r="F1129" i="44" l="1"/>
  <c r="F1130" i="44" l="1"/>
  <c r="F1131" i="44" l="1"/>
  <c r="F1132" i="44" l="1"/>
  <c r="F1133" i="44" l="1"/>
  <c r="D1138" i="44" l="1"/>
  <c r="B1139" i="44"/>
  <c r="E1138" i="44"/>
  <c r="J1139" i="44"/>
  <c r="C1138" i="44"/>
  <c r="C1139" i="44"/>
  <c r="J1138" i="44"/>
  <c r="D1139" i="44" l="1"/>
  <c r="B1140" i="44"/>
  <c r="J1140" i="44"/>
  <c r="E1139" i="44"/>
  <c r="C1140" i="44"/>
  <c r="D1140" i="44" l="1"/>
  <c r="B1141" i="44"/>
  <c r="E1140" i="44"/>
  <c r="J1141" i="44"/>
  <c r="C1141" i="44"/>
  <c r="D1141" i="44" l="1"/>
  <c r="B1142" i="44"/>
  <c r="J1142" i="44"/>
  <c r="E1141" i="44"/>
  <c r="C1142" i="44"/>
  <c r="D1142" i="44" l="1"/>
  <c r="B1144" i="44"/>
  <c r="E1142" i="44"/>
  <c r="C1143" i="44"/>
  <c r="C1144" i="44"/>
  <c r="E1143" i="44"/>
  <c r="J1144" i="44"/>
  <c r="D1144" i="44" l="1"/>
  <c r="B1145" i="44"/>
  <c r="C1145" i="44"/>
  <c r="E1144" i="44"/>
  <c r="D1145" i="44" l="1"/>
  <c r="B1146" i="44"/>
  <c r="E1145" i="44"/>
  <c r="J1146" i="44"/>
  <c r="C1146" i="44"/>
  <c r="J1145" i="44"/>
  <c r="D1146" i="44" l="1"/>
  <c r="B1147" i="44"/>
  <c r="C1147" i="44"/>
  <c r="J1147" i="44"/>
  <c r="E1146" i="44"/>
  <c r="D1147" i="44" l="1"/>
  <c r="B1148" i="44"/>
  <c r="J1148" i="44"/>
  <c r="C1148" i="44"/>
  <c r="E1147" i="44"/>
  <c r="D1148" i="44" l="1"/>
  <c r="B1149" i="44"/>
  <c r="J1149" i="44"/>
  <c r="E1148" i="44"/>
  <c r="C1149" i="44"/>
  <c r="D1149" i="44" l="1"/>
  <c r="B1150" i="44"/>
  <c r="E1149" i="44"/>
  <c r="C1150" i="44"/>
  <c r="D1150" i="44" l="1"/>
  <c r="B1151" i="44"/>
  <c r="C1151" i="44"/>
  <c r="E1150" i="44"/>
  <c r="J1150" i="44"/>
  <c r="J1151" i="44"/>
  <c r="D1151" i="44" l="1"/>
  <c r="E1151" i="44"/>
  <c r="C1152" i="44"/>
  <c r="E1152" i="44"/>
  <c r="F1152" i="44" l="1"/>
  <c r="B1153" i="44"/>
  <c r="C1153" i="44"/>
  <c r="J1153" i="44"/>
  <c r="D1153" i="44" l="1"/>
  <c r="F1153" i="44" s="1"/>
  <c r="B1154" i="44"/>
  <c r="J1154" i="44"/>
  <c r="C1154" i="44"/>
  <c r="D1154" i="44" l="1"/>
  <c r="B1155" i="44"/>
  <c r="E1153" i="44"/>
  <c r="E1154" i="44"/>
  <c r="C1155" i="44"/>
  <c r="D1155" i="44" l="1"/>
  <c r="B1156" i="44"/>
  <c r="C1156" i="44"/>
  <c r="J1155" i="44"/>
  <c r="J1156" i="44"/>
  <c r="E1155" i="44"/>
  <c r="D1156" i="44" l="1"/>
  <c r="B1157" i="44"/>
  <c r="C1157" i="44"/>
  <c r="E1156" i="44"/>
  <c r="D1157" i="44" l="1"/>
  <c r="B1158" i="44"/>
  <c r="E1157" i="44"/>
  <c r="J1157" i="44"/>
  <c r="C1158" i="44"/>
  <c r="D1158" i="44" l="1"/>
  <c r="B1159" i="44"/>
  <c r="C1159" i="44"/>
  <c r="J1159" i="44"/>
  <c r="J1158" i="44"/>
  <c r="E1158" i="44"/>
  <c r="D1159" i="44" l="1"/>
  <c r="B1160" i="44"/>
  <c r="C1161" i="44"/>
  <c r="E1161" i="44"/>
  <c r="C1160" i="44"/>
  <c r="J1160" i="44"/>
  <c r="E1159" i="44"/>
  <c r="D1160" i="44" l="1"/>
  <c r="B1162" i="44"/>
  <c r="C1162" i="44"/>
  <c r="J1162" i="44"/>
  <c r="E1160" i="44"/>
  <c r="D1162" i="44" l="1"/>
  <c r="B1163" i="44"/>
  <c r="C1163" i="44"/>
  <c r="J1163" i="44"/>
  <c r="E1162" i="44"/>
  <c r="D1163" i="44" l="1"/>
  <c r="B1164" i="44"/>
  <c r="E1163" i="44"/>
  <c r="J1164" i="44"/>
  <c r="C1164" i="44"/>
  <c r="D1164" i="44" l="1"/>
  <c r="B1165" i="44"/>
  <c r="C1165" i="44"/>
  <c r="E1164" i="44"/>
  <c r="D1165" i="44" l="1"/>
  <c r="B1166" i="44"/>
  <c r="J1165" i="44"/>
  <c r="C1166" i="44"/>
  <c r="J1166" i="44"/>
  <c r="E1165" i="44"/>
  <c r="D1166" i="44" l="1"/>
  <c r="B1167" i="44"/>
  <c r="J1167" i="44"/>
  <c r="C1167" i="44"/>
  <c r="E1166" i="44"/>
  <c r="D1167" i="44" l="1"/>
  <c r="B1168" i="44"/>
  <c r="C1168" i="44"/>
  <c r="E1167" i="44"/>
  <c r="J1168" i="44"/>
  <c r="D1168" i="44" l="1"/>
  <c r="B1169" i="44"/>
  <c r="E1168" i="44"/>
  <c r="E1170" i="44"/>
  <c r="J1169" i="44"/>
  <c r="C1169" i="44"/>
  <c r="C1170" i="44"/>
  <c r="D1169" i="44" l="1"/>
  <c r="B1171" i="44"/>
  <c r="E1169" i="44"/>
  <c r="C1171" i="44"/>
  <c r="J1171" i="44"/>
  <c r="D1171" i="44" l="1"/>
  <c r="B1172" i="44"/>
  <c r="J1172" i="44"/>
  <c r="E1171" i="44"/>
  <c r="C1172" i="44"/>
  <c r="D1172" i="44" l="1"/>
  <c r="B1173" i="44"/>
  <c r="E1172" i="44"/>
  <c r="J1173" i="44"/>
  <c r="C1173" i="44"/>
  <c r="D1173" i="44" l="1"/>
  <c r="B1174" i="44"/>
  <c r="E1173" i="44"/>
  <c r="J1174" i="44"/>
  <c r="D1174" i="44" l="1"/>
  <c r="B1175" i="44"/>
  <c r="E1174" i="44"/>
  <c r="C1175" i="44"/>
  <c r="C1174" i="44"/>
  <c r="J1175" i="44"/>
  <c r="D1175" i="44" l="1"/>
  <c r="B1176" i="44"/>
  <c r="C1176" i="44"/>
  <c r="J1176" i="44"/>
  <c r="E1175" i="44"/>
  <c r="D1176" i="44" l="1"/>
  <c r="B1177" i="44"/>
  <c r="B1178" i="44" s="1"/>
  <c r="C1181" i="44"/>
  <c r="C1178" i="44"/>
  <c r="J1178" i="44"/>
  <c r="E1179" i="44"/>
  <c r="C1183" i="44"/>
  <c r="E1187" i="44"/>
  <c r="C1180" i="44"/>
  <c r="C1186" i="44"/>
  <c r="E1185" i="44"/>
  <c r="E1184" i="44"/>
  <c r="C1182" i="44"/>
  <c r="C1184" i="44"/>
  <c r="C1185" i="44"/>
  <c r="E1186" i="44"/>
  <c r="C1188" i="44"/>
  <c r="E1180" i="44"/>
  <c r="E1182" i="44"/>
  <c r="J1177" i="44"/>
  <c r="E1183" i="44"/>
  <c r="C1187" i="44"/>
  <c r="C1179" i="44"/>
  <c r="E1188" i="44"/>
  <c r="E1176" i="44"/>
  <c r="E1181" i="44"/>
  <c r="D1178" i="44" l="1"/>
  <c r="D1177" i="44"/>
  <c r="C1190" i="44"/>
  <c r="C1177" i="44"/>
  <c r="E1178" i="44"/>
  <c r="J1190" i="44"/>
  <c r="E1177" i="44"/>
  <c r="D1190" i="44" l="1"/>
  <c r="B1191" i="44"/>
  <c r="E1190" i="44"/>
  <c r="J1191" i="44"/>
  <c r="C1191" i="44"/>
  <c r="D1191" i="44" l="1"/>
  <c r="B1192" i="44"/>
  <c r="C1192" i="44"/>
  <c r="J1192" i="44"/>
  <c r="E1191" i="44"/>
  <c r="D1192" i="44" l="1"/>
  <c r="B1193" i="44"/>
  <c r="J1193" i="44"/>
  <c r="E1192" i="44"/>
  <c r="C1193" i="44"/>
  <c r="D1193" i="44" l="1"/>
  <c r="B1194" i="44"/>
  <c r="E1193" i="44"/>
  <c r="J1194" i="44"/>
  <c r="C1194" i="44"/>
  <c r="D1194" i="44" l="1"/>
  <c r="B1195" i="44"/>
  <c r="J1195" i="44"/>
  <c r="E1194" i="44"/>
  <c r="C1195" i="44"/>
  <c r="D1195" i="44" l="1"/>
  <c r="B1196" i="44"/>
  <c r="C1196" i="44"/>
  <c r="E1195" i="44"/>
  <c r="J1196" i="44"/>
  <c r="D1196" i="44" l="1"/>
  <c r="B1197" i="44"/>
  <c r="C1197" i="44"/>
  <c r="J1197" i="44"/>
  <c r="E1196" i="44"/>
  <c r="D1197" i="44" l="1"/>
  <c r="B1198" i="44"/>
  <c r="B1199" i="44" s="1"/>
  <c r="E1197" i="44"/>
  <c r="C1199" i="44"/>
  <c r="J1199" i="44"/>
  <c r="C1198" i="44"/>
  <c r="B1200" i="44" l="1"/>
  <c r="D1199" i="44"/>
  <c r="D1198" i="44"/>
  <c r="J1200" i="44"/>
  <c r="E1198" i="44"/>
  <c r="C1200" i="44"/>
  <c r="J1198" i="44"/>
  <c r="E1199" i="44"/>
  <c r="J1201" i="44"/>
  <c r="C1201" i="44"/>
  <c r="D1200" i="44" l="1"/>
  <c r="F1199" i="44"/>
  <c r="D1201" i="44"/>
  <c r="B1202" i="44"/>
  <c r="C1202" i="44"/>
  <c r="E1201" i="44"/>
  <c r="E1200" i="44"/>
  <c r="J1202" i="44"/>
  <c r="F1200" i="44" l="1"/>
  <c r="D1202" i="44"/>
  <c r="B1203" i="44"/>
  <c r="C1203" i="44"/>
  <c r="E1202" i="44"/>
  <c r="D1203" i="44" l="1"/>
  <c r="B1204" i="44"/>
  <c r="E1203" i="44"/>
  <c r="C1204" i="44"/>
  <c r="J1203" i="44"/>
  <c r="D1204" i="44" l="1"/>
  <c r="B1205" i="44"/>
  <c r="C1205" i="44"/>
  <c r="J1205" i="44"/>
  <c r="E1204" i="44"/>
  <c r="J1204" i="44"/>
  <c r="D1205" i="44" l="1"/>
  <c r="B1206" i="44"/>
  <c r="C1206" i="44"/>
  <c r="E1205" i="44"/>
  <c r="J1206" i="44"/>
  <c r="D1206" i="44" l="1"/>
  <c r="B1207" i="44"/>
  <c r="J1207" i="44"/>
  <c r="C1207" i="44"/>
  <c r="E1206" i="44"/>
  <c r="D1207" i="44" l="1"/>
  <c r="B1208" i="44"/>
  <c r="C1208" i="44"/>
  <c r="E1207" i="44"/>
  <c r="J1208" i="44"/>
  <c r="D1208" i="44" l="1"/>
  <c r="B1209" i="44"/>
  <c r="C1209" i="44"/>
  <c r="J1209" i="44"/>
  <c r="E1208" i="44"/>
  <c r="D1209" i="44" l="1"/>
  <c r="E1209" i="44"/>
  <c r="J1210" i="44"/>
  <c r="C1210" i="44"/>
  <c r="D1210" i="44" l="1"/>
  <c r="B1211" i="44"/>
  <c r="C1211" i="44"/>
  <c r="E1210" i="44"/>
  <c r="J1211" i="44"/>
  <c r="D1211" i="44" l="1"/>
  <c r="B1212" i="44"/>
  <c r="E1211" i="44"/>
  <c r="J1212" i="44"/>
  <c r="C1212" i="44"/>
  <c r="D1212" i="44" l="1"/>
  <c r="B1213" i="44"/>
  <c r="C1213" i="44"/>
  <c r="E1212" i="44"/>
  <c r="J1213" i="44"/>
  <c r="D1213" i="44" l="1"/>
  <c r="B1214" i="44"/>
  <c r="C1214" i="44"/>
  <c r="J1214" i="44"/>
  <c r="E1213" i="44"/>
  <c r="D1214" i="44" l="1"/>
  <c r="B1215" i="44"/>
  <c r="C1215" i="44"/>
  <c r="J1215" i="44"/>
  <c r="E1214" i="44"/>
  <c r="D1215" i="44" l="1"/>
  <c r="B1216" i="44"/>
  <c r="E1215" i="44"/>
  <c r="J1216" i="44"/>
  <c r="C1216" i="44"/>
  <c r="D1216" i="44" l="1"/>
  <c r="B1217" i="44"/>
  <c r="E1216" i="44"/>
  <c r="J1217" i="44"/>
  <c r="C1217" i="44"/>
  <c r="D1217" i="44" l="1"/>
  <c r="B1218" i="44"/>
  <c r="C1218" i="44"/>
  <c r="J1218" i="44"/>
  <c r="E1217" i="44"/>
  <c r="D1218" i="44" l="1"/>
  <c r="E1218" i="44"/>
  <c r="C1219" i="44"/>
  <c r="D1219" i="44" l="1"/>
  <c r="B1220" i="44"/>
  <c r="C1220" i="44"/>
  <c r="J1220" i="44"/>
  <c r="J1219" i="44"/>
  <c r="E1219" i="44"/>
  <c r="D1220" i="44" l="1"/>
  <c r="B1221" i="44"/>
  <c r="E1220" i="44"/>
  <c r="C1221" i="44"/>
  <c r="J1221" i="44"/>
  <c r="D1221" i="44" l="1"/>
  <c r="B1222" i="44"/>
  <c r="J1222" i="44"/>
  <c r="C1222" i="44"/>
  <c r="E1221" i="44"/>
  <c r="D1222" i="44" l="1"/>
  <c r="B1223" i="44"/>
  <c r="C1223" i="44"/>
  <c r="E1222" i="44"/>
  <c r="J1223" i="44"/>
  <c r="D1223" i="44" l="1"/>
  <c r="B1224" i="44"/>
  <c r="C1224" i="44"/>
  <c r="E1223" i="44"/>
  <c r="D1224" i="44" l="1"/>
  <c r="B1225" i="44"/>
  <c r="J1225" i="44"/>
  <c r="J1224" i="44"/>
  <c r="C1225" i="44"/>
  <c r="E1224" i="44"/>
  <c r="D1225" i="44" l="1"/>
  <c r="B1226" i="44"/>
  <c r="E1225" i="44"/>
  <c r="C1226" i="44"/>
  <c r="J1226" i="44"/>
  <c r="D1226" i="44" l="1"/>
  <c r="B1227" i="44"/>
  <c r="E1226" i="44"/>
  <c r="J1227" i="44"/>
  <c r="C1227" i="44"/>
  <c r="D1227" i="44" l="1"/>
  <c r="E1227" i="44"/>
  <c r="C1228" i="44"/>
  <c r="J1228" i="44"/>
  <c r="D1228" i="44" l="1"/>
  <c r="B1229" i="44"/>
  <c r="E1228" i="44"/>
  <c r="J1229" i="44"/>
  <c r="C1229" i="44"/>
  <c r="D1229" i="44" l="1"/>
  <c r="B1230" i="44"/>
  <c r="C1230" i="44"/>
  <c r="E1229" i="44"/>
  <c r="J1230" i="44"/>
  <c r="D1230" i="44" l="1"/>
  <c r="B1231" i="44"/>
  <c r="C1231" i="44"/>
  <c r="E1230" i="44"/>
  <c r="J1231" i="44"/>
  <c r="D1231" i="44" l="1"/>
  <c r="B1232" i="44"/>
  <c r="C1232" i="44"/>
  <c r="J1232" i="44"/>
  <c r="E1231" i="44"/>
  <c r="D1232" i="44" l="1"/>
  <c r="B1233" i="44"/>
  <c r="C1233" i="44"/>
  <c r="E1232" i="44"/>
  <c r="J1233" i="44"/>
  <c r="D1233" i="44" l="1"/>
  <c r="B1234" i="44"/>
  <c r="E1233" i="44"/>
  <c r="C1234" i="44"/>
  <c r="J1234" i="44"/>
  <c r="D1234" i="44" l="1"/>
  <c r="B1235" i="44"/>
  <c r="C1235" i="44"/>
  <c r="E1234" i="44"/>
  <c r="D1235" i="44" l="1"/>
  <c r="B1236" i="44"/>
  <c r="E1235" i="44"/>
  <c r="C1236" i="44"/>
  <c r="J1235" i="44"/>
  <c r="J1236" i="44"/>
  <c r="D1236" i="44" l="1"/>
  <c r="E1236" i="44"/>
  <c r="C1237" i="44"/>
  <c r="J1237" i="44"/>
  <c r="D1237" i="44" l="1"/>
  <c r="B1238" i="44"/>
  <c r="E1237" i="44"/>
  <c r="C1238" i="44"/>
  <c r="J1238" i="44"/>
  <c r="D1238" i="44" l="1"/>
  <c r="B1239" i="44"/>
  <c r="C1239" i="44"/>
  <c r="E1238" i="44"/>
  <c r="J1239" i="44"/>
  <c r="D1239" i="44" l="1"/>
  <c r="B1240" i="44"/>
  <c r="C1240" i="44"/>
  <c r="E1239" i="44"/>
  <c r="J1240" i="44"/>
  <c r="D1240" i="44" l="1"/>
  <c r="B1241" i="44"/>
  <c r="C1241" i="44"/>
  <c r="E1240" i="44"/>
  <c r="D1241" i="44" l="1"/>
  <c r="B1242" i="44"/>
  <c r="E1241" i="44"/>
  <c r="C1242" i="44"/>
  <c r="J1242" i="44"/>
  <c r="J1241" i="44"/>
  <c r="D1242" i="44" l="1"/>
  <c r="B1243" i="44"/>
  <c r="E1242" i="44"/>
  <c r="C1243" i="44"/>
  <c r="D1243" i="44" l="1"/>
  <c r="B1244" i="44"/>
  <c r="E1243" i="44"/>
  <c r="J1243" i="44"/>
  <c r="J1244" i="44"/>
  <c r="C1244" i="44"/>
  <c r="D1244" i="44" l="1"/>
  <c r="B1245" i="44"/>
  <c r="J1245" i="44"/>
  <c r="E1244" i="44"/>
  <c r="C1245" i="44"/>
  <c r="D1245" i="44" l="1"/>
  <c r="J1246" i="44"/>
  <c r="E1245" i="44"/>
  <c r="C1246" i="44"/>
  <c r="D1246" i="44" l="1"/>
  <c r="B1247" i="44"/>
  <c r="C1247" i="44"/>
  <c r="J1247" i="44"/>
  <c r="E1246" i="44"/>
  <c r="D1247" i="44" l="1"/>
  <c r="B1248" i="44"/>
  <c r="E1247" i="44"/>
  <c r="J1248" i="44"/>
  <c r="C1248" i="44"/>
  <c r="D1248" i="44" l="1"/>
  <c r="B1249" i="44"/>
  <c r="C1249" i="44"/>
  <c r="E1248" i="44"/>
  <c r="J1249" i="44"/>
  <c r="D1249" i="44" l="1"/>
  <c r="B1250" i="44"/>
  <c r="E1249" i="44"/>
  <c r="C1250" i="44"/>
  <c r="D1250" i="44" l="1"/>
  <c r="B1251" i="44"/>
  <c r="J1250" i="44"/>
  <c r="C1251" i="44"/>
  <c r="E1250" i="44"/>
  <c r="D1251" i="44" l="1"/>
  <c r="B1252" i="44"/>
  <c r="C1252" i="44"/>
  <c r="E1251" i="44"/>
  <c r="J1252" i="44"/>
  <c r="J1251" i="44"/>
  <c r="D1252" i="44" l="1"/>
  <c r="B1253" i="44"/>
  <c r="E1252" i="44"/>
  <c r="C1253" i="44"/>
  <c r="D1253" i="44" l="1"/>
  <c r="B1254" i="44"/>
  <c r="J1253" i="44"/>
  <c r="C1254" i="44"/>
  <c r="E1253" i="44"/>
  <c r="D1254" i="44" l="1"/>
  <c r="J1255" i="44"/>
  <c r="J1254" i="44"/>
  <c r="C1255" i="44"/>
  <c r="E1254" i="44"/>
  <c r="D1255" i="44" l="1"/>
  <c r="B1256" i="44"/>
  <c r="E1255" i="44"/>
  <c r="C1256" i="44"/>
  <c r="J1256" i="44"/>
  <c r="D1256" i="44" l="1"/>
  <c r="B1257" i="44"/>
  <c r="C1257" i="44"/>
  <c r="J1257" i="44"/>
  <c r="E1256" i="44"/>
  <c r="D1257" i="44" l="1"/>
  <c r="B1258" i="44"/>
  <c r="C1258" i="44"/>
  <c r="J1258" i="44"/>
  <c r="E1257" i="44"/>
  <c r="D1258" i="44" l="1"/>
  <c r="B1259" i="44"/>
  <c r="C1259" i="44"/>
  <c r="J1259" i="44"/>
  <c r="E1258" i="44"/>
  <c r="D1259" i="44" l="1"/>
  <c r="B1260" i="44"/>
  <c r="E1259" i="44"/>
  <c r="C1260" i="44"/>
  <c r="D1260" i="44" l="1"/>
  <c r="B1261" i="44"/>
  <c r="J1260" i="44"/>
  <c r="E1260" i="44"/>
  <c r="C1261" i="44"/>
  <c r="J1261" i="44"/>
  <c r="D1261" i="44" l="1"/>
  <c r="B1262" i="44"/>
  <c r="E1261" i="44"/>
  <c r="J1262" i="44"/>
  <c r="C1262" i="44"/>
  <c r="D1262" i="44" l="1"/>
  <c r="B1263" i="44"/>
  <c r="C1263" i="44"/>
  <c r="J1263" i="44"/>
  <c r="E1262" i="44"/>
  <c r="D1263" i="44" l="1"/>
  <c r="J1264" i="44"/>
  <c r="C1264" i="44"/>
  <c r="E1263" i="44"/>
  <c r="D1264" i="44" l="1"/>
  <c r="B1265" i="44"/>
  <c r="J1265" i="44"/>
  <c r="C1265" i="44"/>
  <c r="E1264" i="44"/>
  <c r="D1265" i="44" l="1"/>
  <c r="B1266" i="44"/>
  <c r="C1266" i="44"/>
  <c r="E1265" i="44"/>
  <c r="J1266" i="44"/>
  <c r="D1266" i="44" l="1"/>
  <c r="B1267" i="44"/>
  <c r="C1267" i="44"/>
  <c r="E1266" i="44"/>
  <c r="J1267" i="44"/>
  <c r="D1267" i="44" l="1"/>
  <c r="B1268" i="44"/>
  <c r="E1267" i="44"/>
  <c r="J1268" i="44"/>
  <c r="C1268" i="44"/>
  <c r="D1268" i="44" l="1"/>
  <c r="B1269" i="44"/>
  <c r="J1269" i="44"/>
  <c r="C1269" i="44"/>
  <c r="E1268" i="44"/>
  <c r="D1269" i="44" l="1"/>
  <c r="B1270" i="44"/>
  <c r="C1270" i="44"/>
  <c r="J1270" i="44"/>
  <c r="E1269" i="44"/>
  <c r="D1270" i="44" l="1"/>
  <c r="B1271" i="44"/>
  <c r="E1270" i="44"/>
  <c r="C1271" i="44"/>
  <c r="J1271" i="44"/>
  <c r="D1271" i="44" l="1"/>
  <c r="B1272" i="44"/>
  <c r="E1271" i="44"/>
  <c r="C1272" i="44"/>
  <c r="D1272" i="44" l="1"/>
  <c r="E1272" i="44"/>
  <c r="C1273" i="44"/>
  <c r="J1273" i="44"/>
  <c r="J1272" i="44"/>
  <c r="D1273" i="44" l="1"/>
  <c r="B1274" i="44"/>
  <c r="E1273" i="44"/>
  <c r="J1274" i="44"/>
  <c r="C1274" i="44"/>
  <c r="D1274" i="44" l="1"/>
  <c r="B1275" i="44"/>
  <c r="C1275" i="44"/>
  <c r="E1274" i="44"/>
  <c r="J1275" i="44"/>
  <c r="D1275" i="44" l="1"/>
  <c r="B1276" i="44"/>
  <c r="E1275" i="44"/>
  <c r="C1276" i="44"/>
  <c r="J1276" i="44"/>
  <c r="D1276" i="44" l="1"/>
  <c r="B1277" i="44"/>
  <c r="C1277" i="44"/>
  <c r="E1276" i="44"/>
  <c r="J1277" i="44"/>
  <c r="D1277" i="44" l="1"/>
  <c r="B1278" i="44"/>
  <c r="E1277" i="44"/>
  <c r="J1278" i="44"/>
  <c r="C1278" i="44"/>
  <c r="D1278" i="44" l="1"/>
  <c r="B1279" i="44"/>
  <c r="C1279" i="44"/>
  <c r="E1278" i="44"/>
  <c r="J1279" i="44"/>
  <c r="D1279" i="44" l="1"/>
  <c r="B1280" i="44"/>
  <c r="C1280" i="44"/>
  <c r="E1279" i="44"/>
  <c r="J1280" i="44"/>
  <c r="D1280" i="44" l="1"/>
  <c r="B1281" i="44"/>
  <c r="C1281" i="44"/>
  <c r="E1280" i="44"/>
  <c r="D1281" i="44" l="1"/>
  <c r="J1281" i="44"/>
  <c r="E1281" i="44"/>
  <c r="J1282" i="44"/>
  <c r="C1282" i="44"/>
  <c r="D1282" i="44" l="1"/>
  <c r="B1283" i="44"/>
  <c r="C1283" i="44"/>
  <c r="E1282" i="44"/>
  <c r="J1283" i="44"/>
  <c r="D1283" i="44" l="1"/>
  <c r="B1284" i="44"/>
  <c r="E1283" i="44"/>
  <c r="C1284" i="44"/>
  <c r="D1284" i="44" l="1"/>
  <c r="B1285" i="44"/>
  <c r="J1284" i="44"/>
  <c r="C1285" i="44"/>
  <c r="J1285" i="44"/>
  <c r="E1284" i="44"/>
  <c r="D1285" i="44" l="1"/>
  <c r="B1286" i="44"/>
  <c r="E1285" i="44"/>
  <c r="C1286" i="44"/>
  <c r="J1286" i="44"/>
  <c r="D1286" i="44" l="1"/>
  <c r="B1287" i="44"/>
  <c r="J1287" i="44"/>
  <c r="E1286" i="44"/>
  <c r="C1287" i="44"/>
  <c r="D1287" i="44" l="1"/>
  <c r="B1288" i="44"/>
  <c r="E1287" i="44"/>
  <c r="C1288" i="44"/>
  <c r="D1288" i="44" l="1"/>
  <c r="B1289" i="44"/>
  <c r="J1289" i="44"/>
  <c r="C1289" i="44"/>
  <c r="E1288" i="44"/>
  <c r="J1288" i="44"/>
  <c r="D1289" i="44" l="1"/>
  <c r="B1290" i="44"/>
  <c r="E1291" i="44"/>
  <c r="C1290" i="44"/>
  <c r="E1289" i="44"/>
  <c r="C1291" i="44"/>
  <c r="J1290" i="44"/>
  <c r="D1290" i="44" l="1"/>
  <c r="B1292" i="44"/>
  <c r="E1290" i="44"/>
  <c r="J1292" i="44"/>
  <c r="C1292" i="44"/>
  <c r="D1292" i="44" l="1"/>
  <c r="B1293" i="44"/>
  <c r="C1293" i="44"/>
  <c r="E1292" i="44"/>
  <c r="J1293" i="44"/>
  <c r="D1293" i="44" l="1"/>
  <c r="B1294" i="44"/>
  <c r="E1293" i="44"/>
  <c r="C1294" i="44"/>
  <c r="D1294" i="44" l="1"/>
  <c r="B1295" i="44"/>
  <c r="C1295" i="44"/>
  <c r="E1294" i="44"/>
  <c r="J1294" i="44"/>
  <c r="D1295" i="44" l="1"/>
  <c r="B1296" i="44"/>
  <c r="C1296" i="44"/>
  <c r="E1295" i="44"/>
  <c r="J1296" i="44"/>
  <c r="J1295" i="44"/>
  <c r="D1296" i="44" l="1"/>
  <c r="B1297" i="44"/>
  <c r="E1296" i="44"/>
  <c r="J1297" i="44"/>
  <c r="C1297" i="44"/>
  <c r="D1297" i="44" l="1"/>
  <c r="B1298" i="44"/>
  <c r="E1297" i="44"/>
  <c r="J1298" i="44"/>
  <c r="C1298" i="44"/>
  <c r="D1298" i="44" l="1"/>
  <c r="B1299" i="44"/>
  <c r="E1298" i="44"/>
  <c r="C1299" i="44"/>
  <c r="J1299" i="44"/>
  <c r="D1299" i="44" l="1"/>
  <c r="C1300" i="44"/>
  <c r="E1299" i="44"/>
  <c r="J1300" i="44"/>
  <c r="D1300" i="44" l="1"/>
  <c r="B1301" i="44"/>
  <c r="C1301" i="44"/>
  <c r="E1300" i="44"/>
  <c r="J1301" i="44"/>
  <c r="D1301" i="44" l="1"/>
  <c r="B1302" i="44"/>
  <c r="J1302" i="44"/>
  <c r="E1301" i="44"/>
  <c r="C1302" i="44"/>
  <c r="D1302" i="44" l="1"/>
  <c r="B1303" i="44"/>
  <c r="E1302" i="44"/>
  <c r="C1303" i="44"/>
  <c r="D1303" i="44" l="1"/>
  <c r="B1304" i="44"/>
  <c r="J1303" i="44"/>
  <c r="E1303" i="44"/>
  <c r="C1304" i="44"/>
  <c r="J1304" i="44"/>
  <c r="D1304" i="44" l="1"/>
  <c r="B1305" i="44"/>
  <c r="J1305" i="44"/>
  <c r="E1304" i="44"/>
  <c r="C1305" i="44"/>
  <c r="D1305" i="44" l="1"/>
  <c r="B1306" i="44"/>
  <c r="C1306" i="44"/>
  <c r="E1305" i="44"/>
  <c r="J1306" i="44"/>
  <c r="D1306" i="44" l="1"/>
  <c r="B1307" i="44"/>
  <c r="C1307" i="44"/>
  <c r="E1306" i="44"/>
  <c r="D1307" i="44" l="1"/>
  <c r="B1308" i="44"/>
  <c r="E1307" i="44"/>
  <c r="C1308" i="44"/>
  <c r="J1307" i="44"/>
  <c r="J1308" i="44"/>
  <c r="D1308" i="44" l="1"/>
  <c r="C1309" i="44"/>
  <c r="E1308" i="44"/>
  <c r="D1309" i="44" l="1"/>
  <c r="B1310" i="44"/>
  <c r="C1310" i="44"/>
  <c r="J1309" i="44"/>
  <c r="E1309" i="44"/>
  <c r="D1310" i="44" l="1"/>
  <c r="B1311" i="44"/>
  <c r="C1311" i="44"/>
  <c r="E1310" i="44"/>
  <c r="J1310" i="44"/>
  <c r="J1311" i="44"/>
  <c r="D1311" i="44" l="1"/>
  <c r="B1312" i="44"/>
  <c r="E1311" i="44"/>
  <c r="J1312" i="44"/>
  <c r="C1312" i="44"/>
  <c r="D1312" i="44" l="1"/>
  <c r="B1313" i="44"/>
  <c r="C1313" i="44"/>
  <c r="J1313" i="44"/>
  <c r="E1312" i="44"/>
  <c r="D1313" i="44" l="1"/>
  <c r="B1314" i="44"/>
  <c r="E1313" i="44"/>
  <c r="C1314" i="44"/>
  <c r="D1314" i="44" l="1"/>
  <c r="B1315" i="44"/>
  <c r="J1315" i="44"/>
  <c r="J1314" i="44"/>
  <c r="E1314" i="44"/>
  <c r="C1315" i="44"/>
  <c r="D1315" i="44" l="1"/>
  <c r="B1316" i="44"/>
  <c r="C1316" i="44"/>
  <c r="J1316" i="44"/>
  <c r="E1315" i="44"/>
  <c r="D1316" i="44" l="1"/>
  <c r="B1317" i="44"/>
  <c r="C1318" i="44"/>
  <c r="E1316" i="44"/>
  <c r="J1317" i="44"/>
  <c r="E1318" i="44"/>
  <c r="C1317" i="44"/>
  <c r="D1317" i="44" l="1"/>
  <c r="B1319" i="44"/>
  <c r="J1319" i="44"/>
  <c r="E1317" i="44"/>
  <c r="C1319" i="44"/>
  <c r="D1319" i="44" l="1"/>
  <c r="B1320" i="44"/>
  <c r="E1319" i="44"/>
  <c r="C1320" i="44"/>
  <c r="J1320" i="44"/>
  <c r="D1320" i="44" l="1"/>
  <c r="B1321" i="44"/>
  <c r="J1321" i="44"/>
  <c r="E1320" i="44"/>
  <c r="C1321" i="44"/>
  <c r="D1321" i="44" l="1"/>
  <c r="B1322" i="44"/>
  <c r="E1321" i="44"/>
  <c r="J1322" i="44"/>
  <c r="C1322" i="44"/>
  <c r="D1322" i="44" l="1"/>
  <c r="B1323" i="44"/>
  <c r="C1323" i="44"/>
  <c r="J1323" i="44"/>
  <c r="E1322" i="44"/>
  <c r="D1323" i="44" l="1"/>
  <c r="B1324" i="44"/>
  <c r="E1323" i="44"/>
  <c r="C1324" i="44"/>
  <c r="J1324" i="44"/>
  <c r="D1324" i="44" l="1"/>
  <c r="B1325" i="44"/>
  <c r="E1324" i="44"/>
  <c r="C1325" i="44"/>
  <c r="D1325" i="44" l="1"/>
  <c r="B1326" i="44"/>
  <c r="C1326" i="44"/>
  <c r="J1325" i="44"/>
  <c r="E1325" i="44"/>
  <c r="J1326" i="44"/>
  <c r="C1327" i="44"/>
  <c r="E1327" i="44"/>
  <c r="D1326" i="44" l="1"/>
  <c r="B1328" i="44"/>
  <c r="J1328" i="44"/>
  <c r="C1328" i="44"/>
  <c r="E1326" i="44"/>
  <c r="D1328" i="44" l="1"/>
  <c r="B1329" i="44"/>
  <c r="J1329" i="44"/>
  <c r="C1329" i="44"/>
  <c r="E1328" i="44"/>
  <c r="D1329" i="44" l="1"/>
  <c r="B1330" i="44"/>
  <c r="J1330" i="44"/>
  <c r="E1329" i="44"/>
  <c r="C1330" i="44"/>
  <c r="D1330" i="44" l="1"/>
  <c r="B1331" i="44"/>
  <c r="C1331" i="44"/>
  <c r="J1331" i="44"/>
  <c r="E1330" i="44"/>
  <c r="D1331" i="44" l="1"/>
  <c r="B1332" i="44"/>
  <c r="J1332" i="44"/>
  <c r="E1331" i="44"/>
  <c r="C1332" i="44"/>
  <c r="D1332" i="44" l="1"/>
  <c r="B1333" i="44"/>
  <c r="E1332" i="44"/>
  <c r="J1333" i="44"/>
  <c r="C1333" i="44"/>
  <c r="D1333" i="44" l="1"/>
  <c r="B1334" i="44"/>
  <c r="E1333" i="44"/>
  <c r="C1334" i="44"/>
  <c r="D1334" i="44" l="1"/>
  <c r="B1335" i="44"/>
  <c r="J1335" i="44"/>
  <c r="C1336" i="44"/>
  <c r="C1335" i="44"/>
  <c r="E1334" i="44"/>
  <c r="E1336" i="44"/>
  <c r="J1334" i="44"/>
  <c r="D1335" i="44" l="1"/>
  <c r="B1337" i="44"/>
  <c r="C1337" i="44"/>
  <c r="E1335" i="44"/>
  <c r="D1337" i="44" l="1"/>
  <c r="B1338" i="44"/>
  <c r="J1338" i="44"/>
  <c r="J1337" i="44"/>
  <c r="C1338" i="44"/>
  <c r="E1337" i="44"/>
  <c r="D1338" i="44" l="1"/>
  <c r="B1339" i="44"/>
  <c r="C1339" i="44"/>
  <c r="E1338" i="44"/>
  <c r="D1339" i="44" l="1"/>
  <c r="B1340" i="44"/>
  <c r="J1339" i="44"/>
  <c r="C1340" i="44"/>
  <c r="J1340" i="44"/>
  <c r="E1339" i="44"/>
  <c r="D1340" i="44" l="1"/>
  <c r="B1341" i="44"/>
  <c r="E1340" i="44"/>
  <c r="C1341" i="44"/>
  <c r="D1341" i="44" l="1"/>
  <c r="B1342" i="44"/>
  <c r="C1342" i="44"/>
  <c r="E1341" i="44"/>
  <c r="J1341" i="44"/>
  <c r="D1342" i="44" l="1"/>
  <c r="B1343" i="44"/>
  <c r="E1342" i="44"/>
  <c r="C1343" i="44"/>
  <c r="J1342" i="44"/>
  <c r="D1343" i="44" l="1"/>
  <c r="B1344" i="44"/>
  <c r="J1344" i="44"/>
  <c r="C1344" i="44"/>
  <c r="J1343" i="44"/>
  <c r="E1345" i="44"/>
  <c r="C1345" i="44"/>
  <c r="E1343" i="44"/>
  <c r="D1344" i="44" l="1"/>
  <c r="B1346" i="44"/>
  <c r="J1346" i="44"/>
  <c r="E1344" i="44"/>
  <c r="C1346" i="44"/>
  <c r="D1346" i="44" l="1"/>
  <c r="B1347" i="44"/>
  <c r="C1347" i="44"/>
  <c r="J1347" i="44"/>
  <c r="E1346" i="44"/>
  <c r="D1347" i="44" l="1"/>
  <c r="B1348" i="44"/>
  <c r="E1347" i="44"/>
  <c r="J1348" i="44"/>
  <c r="C1348" i="44"/>
  <c r="D1348" i="44" l="1"/>
  <c r="B1349" i="44"/>
  <c r="J1349" i="44"/>
  <c r="E1348" i="44"/>
  <c r="C1349" i="44"/>
  <c r="D1349" i="44" l="1"/>
  <c r="B1350" i="44"/>
  <c r="C1350" i="44"/>
  <c r="E1349" i="44"/>
  <c r="J1350" i="44"/>
  <c r="D1350" i="44" l="1"/>
  <c r="B1351" i="44"/>
  <c r="J1351" i="44"/>
  <c r="C1351" i="44"/>
  <c r="E1350" i="44"/>
  <c r="D1351" i="44" l="1"/>
  <c r="B1352" i="44"/>
  <c r="C1352" i="44"/>
  <c r="E1351" i="44"/>
  <c r="J1352" i="44"/>
  <c r="D1352" i="44" l="1"/>
  <c r="B1353" i="44"/>
  <c r="C1353" i="44"/>
  <c r="C1354" i="44"/>
  <c r="E1352" i="44"/>
  <c r="J1353" i="44"/>
  <c r="E1354" i="44"/>
  <c r="D1353" i="44" l="1"/>
  <c r="B1355" i="44"/>
  <c r="E1353" i="44"/>
  <c r="C1355" i="44"/>
  <c r="J1364" i="44"/>
  <c r="J1355" i="44"/>
  <c r="D1355" i="44" l="1"/>
  <c r="B1356" i="44"/>
  <c r="E1355" i="44"/>
  <c r="C1356" i="44"/>
  <c r="J1356" i="44"/>
  <c r="D1356" i="44" l="1"/>
  <c r="B1357" i="44"/>
  <c r="E1356" i="44"/>
  <c r="C1357" i="44"/>
  <c r="J1357" i="44"/>
  <c r="D1357" i="44" l="1"/>
  <c r="B1358" i="44"/>
  <c r="C1358" i="44"/>
  <c r="J1358" i="44"/>
  <c r="E1357" i="44"/>
  <c r="D1358" i="44" l="1"/>
  <c r="B1359" i="44"/>
  <c r="J1359" i="44"/>
  <c r="E1358" i="44"/>
  <c r="C1359" i="44"/>
  <c r="D1359" i="44" l="1"/>
  <c r="B1360" i="44"/>
  <c r="J1360" i="44"/>
  <c r="C1360" i="44"/>
  <c r="E1359" i="44"/>
  <c r="D1360" i="44" l="1"/>
  <c r="B1361" i="44"/>
  <c r="E1360" i="44"/>
  <c r="C1361" i="44"/>
  <c r="D1361" i="44" l="1"/>
  <c r="B1362" i="44"/>
  <c r="B1363" i="44" s="1"/>
  <c r="J1363" i="44"/>
  <c r="C1362" i="44"/>
  <c r="J1361" i="44"/>
  <c r="E1361" i="44"/>
  <c r="J1362" i="44"/>
  <c r="C1363" i="44"/>
  <c r="D1363" i="44" l="1"/>
  <c r="D1362" i="44"/>
  <c r="C1364" i="44"/>
  <c r="E1363" i="44"/>
  <c r="E1362" i="44"/>
  <c r="F1363" i="44" l="1"/>
  <c r="B1365" i="44"/>
  <c r="C1365" i="44"/>
  <c r="J1365" i="44"/>
  <c r="D1364" i="44" l="1"/>
  <c r="B1366" i="44"/>
  <c r="J1373" i="44"/>
  <c r="C1366" i="44"/>
  <c r="J1366" i="44"/>
  <c r="E1364" i="44"/>
  <c r="D1365" i="44" l="1"/>
  <c r="B1367" i="44"/>
  <c r="C1367" i="44"/>
  <c r="J1367" i="44"/>
  <c r="E1365" i="44"/>
  <c r="J1382" i="44"/>
  <c r="D1366" i="44" l="1"/>
  <c r="B1368" i="44"/>
  <c r="E1366" i="44"/>
  <c r="C1368" i="44"/>
  <c r="J1368" i="44"/>
  <c r="J1391" i="44"/>
  <c r="D1367" i="44" l="1"/>
  <c r="B1369" i="44"/>
  <c r="J1369" i="44"/>
  <c r="E1367" i="44"/>
  <c r="C1369" i="44"/>
  <c r="D1368" i="44" l="1"/>
  <c r="B1370" i="44"/>
  <c r="J1409" i="44"/>
  <c r="E1368" i="44"/>
  <c r="C1370" i="44"/>
  <c r="J1370" i="44"/>
  <c r="D1409" i="44" l="1"/>
  <c r="D1369" i="44"/>
  <c r="B1371" i="44"/>
  <c r="J1371" i="44"/>
  <c r="J1418" i="44"/>
  <c r="C1371" i="44"/>
  <c r="E1369" i="44"/>
  <c r="D1418" i="44" l="1"/>
  <c r="D1370" i="44"/>
  <c r="B1372" i="44"/>
  <c r="C1372" i="44"/>
  <c r="J1427" i="44"/>
  <c r="E1370" i="44"/>
  <c r="J1372" i="44"/>
  <c r="D1427" i="44" l="1"/>
  <c r="D1371" i="44"/>
  <c r="C1445" i="44"/>
  <c r="J1445" i="44"/>
  <c r="E1371" i="44"/>
  <c r="D1445" i="44" l="1"/>
  <c r="B1446" i="44"/>
  <c r="D1436" i="44"/>
  <c r="D1372" i="44"/>
  <c r="E1445" i="44"/>
  <c r="C1373" i="44"/>
  <c r="J1436" i="44"/>
  <c r="E1372" i="44"/>
  <c r="J1446" i="44"/>
  <c r="C1454" i="44"/>
  <c r="C1446" i="44"/>
  <c r="B1455" i="44" l="1"/>
  <c r="D1454" i="44"/>
  <c r="B1447" i="44"/>
  <c r="D1446" i="44"/>
  <c r="F1445" i="44"/>
  <c r="B1374" i="44"/>
  <c r="J1447" i="44"/>
  <c r="E1446" i="44"/>
  <c r="C1374" i="44"/>
  <c r="C1455" i="44"/>
  <c r="E1454" i="44"/>
  <c r="J1455" i="44"/>
  <c r="J1454" i="44"/>
  <c r="B1448" i="44" l="1"/>
  <c r="D1447" i="44"/>
  <c r="F1446" i="44"/>
  <c r="D1455" i="44"/>
  <c r="B1456" i="44"/>
  <c r="F1454" i="44"/>
  <c r="D1373" i="44"/>
  <c r="B1375" i="44"/>
  <c r="C1447" i="44"/>
  <c r="E1373" i="44"/>
  <c r="E1447" i="44"/>
  <c r="J1456" i="44"/>
  <c r="J1374" i="44"/>
  <c r="E1455" i="44"/>
  <c r="C1448" i="44"/>
  <c r="J1448" i="44"/>
  <c r="J1375" i="44"/>
  <c r="F1455" i="44" l="1"/>
  <c r="B1457" i="44"/>
  <c r="D1456" i="44"/>
  <c r="B1449" i="44"/>
  <c r="D1448" i="44"/>
  <c r="F1447" i="44"/>
  <c r="D1374" i="44"/>
  <c r="B1376" i="44"/>
  <c r="C1456" i="44"/>
  <c r="C1376" i="44"/>
  <c r="C1449" i="44"/>
  <c r="C1457" i="44"/>
  <c r="J1457" i="44"/>
  <c r="E1448" i="44"/>
  <c r="E1374" i="44"/>
  <c r="E1456" i="44"/>
  <c r="C1375" i="44"/>
  <c r="D1449" i="44" l="1"/>
  <c r="B1450" i="44"/>
  <c r="D1457" i="44"/>
  <c r="B1458" i="44"/>
  <c r="F1448" i="44"/>
  <c r="F1456" i="44"/>
  <c r="D1375" i="44"/>
  <c r="B1377" i="44"/>
  <c r="C1458" i="44"/>
  <c r="J1449" i="44"/>
  <c r="J1376" i="44"/>
  <c r="J1458" i="44"/>
  <c r="E1457" i="44"/>
  <c r="C1377" i="44"/>
  <c r="E1449" i="44"/>
  <c r="C1450" i="44"/>
  <c r="E1375" i="44"/>
  <c r="J1450" i="44"/>
  <c r="B1451" i="44" l="1"/>
  <c r="D1450" i="44"/>
  <c r="F1457" i="44"/>
  <c r="D1458" i="44"/>
  <c r="B1459" i="44"/>
  <c r="F1449" i="44"/>
  <c r="D1376" i="44"/>
  <c r="B1378" i="44"/>
  <c r="J1459" i="44"/>
  <c r="E1376" i="44"/>
  <c r="J1378" i="44"/>
  <c r="E1458" i="44"/>
  <c r="C1451" i="44"/>
  <c r="E1450" i="44"/>
  <c r="J1451" i="44"/>
  <c r="J1377" i="44"/>
  <c r="F1458" i="44" l="1"/>
  <c r="B1460" i="44"/>
  <c r="D1459" i="44"/>
  <c r="D1451" i="44"/>
  <c r="B1452" i="44"/>
  <c r="F1450" i="44"/>
  <c r="D1377" i="44"/>
  <c r="B1379" i="44"/>
  <c r="E1377" i="44"/>
  <c r="J1452" i="44"/>
  <c r="C1378" i="44"/>
  <c r="E1451" i="44"/>
  <c r="C1460" i="44"/>
  <c r="C1379" i="44"/>
  <c r="C1459" i="44"/>
  <c r="J1460" i="44"/>
  <c r="E1459" i="44"/>
  <c r="B1453" i="44" l="1"/>
  <c r="D1452" i="44"/>
  <c r="B1461" i="44"/>
  <c r="D1460" i="44"/>
  <c r="F1451" i="44"/>
  <c r="F1459" i="44"/>
  <c r="D1378" i="44"/>
  <c r="B1380" i="44"/>
  <c r="C1453" i="44"/>
  <c r="J1379" i="44"/>
  <c r="E1452" i="44"/>
  <c r="J1461" i="44"/>
  <c r="C1461" i="44"/>
  <c r="C1380" i="44"/>
  <c r="C1452" i="44"/>
  <c r="J1453" i="44"/>
  <c r="E1460" i="44"/>
  <c r="E1378" i="44"/>
  <c r="D1461" i="44" l="1"/>
  <c r="B1462" i="44"/>
  <c r="F1460" i="44"/>
  <c r="D1453" i="44"/>
  <c r="F1453" i="44" s="1"/>
  <c r="F1452" i="44"/>
  <c r="D1379" i="44"/>
  <c r="B1381" i="44"/>
  <c r="E1461" i="44"/>
  <c r="J1381" i="44"/>
  <c r="E1379" i="44"/>
  <c r="C1462" i="44"/>
  <c r="J1380" i="44"/>
  <c r="D1462" i="44" l="1"/>
  <c r="F1461" i="44"/>
  <c r="D1380" i="44"/>
  <c r="D1381" i="44"/>
  <c r="E1380" i="44"/>
  <c r="C1382" i="44"/>
  <c r="E1462" i="44"/>
  <c r="E1381" i="44"/>
  <c r="C1381" i="44"/>
  <c r="J1462" i="44"/>
  <c r="E1453" i="44"/>
  <c r="F1462" i="44" l="1"/>
  <c r="D1382" i="44"/>
  <c r="B1383" i="44"/>
  <c r="E1382" i="44"/>
  <c r="C1383" i="44"/>
  <c r="J1383" i="44"/>
  <c r="D1383" i="44" l="1"/>
  <c r="B1384" i="44"/>
  <c r="J1384" i="44"/>
  <c r="E1383" i="44"/>
  <c r="C1384" i="44"/>
  <c r="D1384" i="44" l="1"/>
  <c r="B1385" i="44"/>
  <c r="C1385" i="44"/>
  <c r="E1384" i="44"/>
  <c r="J1385" i="44"/>
  <c r="D1385" i="44" l="1"/>
  <c r="B1386" i="44"/>
  <c r="J1386" i="44"/>
  <c r="C1386" i="44"/>
  <c r="E1385" i="44"/>
  <c r="D1386" i="44" l="1"/>
  <c r="B1387" i="44"/>
  <c r="E1386" i="44"/>
  <c r="J1387" i="44"/>
  <c r="C1387" i="44"/>
  <c r="D1387" i="44" l="1"/>
  <c r="B1388" i="44"/>
  <c r="C1388" i="44"/>
  <c r="J1388" i="44"/>
  <c r="E1387" i="44"/>
  <c r="D1388" i="44" l="1"/>
  <c r="B1389" i="44"/>
  <c r="E1388" i="44"/>
  <c r="C1389" i="44"/>
  <c r="J1389" i="44"/>
  <c r="D1389" i="44" l="1"/>
  <c r="B1390" i="44"/>
  <c r="J1390" i="44"/>
  <c r="E1389" i="44"/>
  <c r="C1390" i="44"/>
  <c r="D1390" i="44" l="1"/>
  <c r="E1390" i="44"/>
  <c r="C1391" i="44"/>
  <c r="D1391" i="44" l="1"/>
  <c r="B1392" i="44"/>
  <c r="E1391" i="44"/>
  <c r="C1392" i="44"/>
  <c r="J1392" i="44"/>
  <c r="D1392" i="44" l="1"/>
  <c r="B1393" i="44"/>
  <c r="C1393" i="44"/>
  <c r="E1392" i="44"/>
  <c r="J1393" i="44"/>
  <c r="D1393" i="44" l="1"/>
  <c r="B1394" i="44"/>
  <c r="J1394" i="44"/>
  <c r="E1393" i="44"/>
  <c r="C1394" i="44"/>
  <c r="D1394" i="44" l="1"/>
  <c r="B1395" i="44"/>
  <c r="J1395" i="44"/>
  <c r="E1394" i="44"/>
  <c r="C1395" i="44"/>
  <c r="D1395" i="44" l="1"/>
  <c r="B1396" i="44"/>
  <c r="J1396" i="44"/>
  <c r="E1395" i="44"/>
  <c r="C1396" i="44"/>
  <c r="D1396" i="44" l="1"/>
  <c r="B1397" i="44"/>
  <c r="J1397" i="44"/>
  <c r="C1397" i="44"/>
  <c r="E1396" i="44"/>
  <c r="D1397" i="44" l="1"/>
  <c r="B1398" i="44"/>
  <c r="B1399" i="44" s="1"/>
  <c r="E1397" i="44"/>
  <c r="J1398" i="44"/>
  <c r="C1400" i="44"/>
  <c r="D1400" i="44" l="1"/>
  <c r="B1401" i="44"/>
  <c r="D1398" i="44"/>
  <c r="C1399" i="44"/>
  <c r="J1399" i="44"/>
  <c r="J1401" i="44"/>
  <c r="E1398" i="44"/>
  <c r="C1398" i="44"/>
  <c r="E1400" i="44"/>
  <c r="C1401" i="44"/>
  <c r="D1401" i="44" l="1"/>
  <c r="B1402" i="44"/>
  <c r="F1400" i="44"/>
  <c r="D1399" i="44"/>
  <c r="E1399" i="44"/>
  <c r="J1402" i="44"/>
  <c r="E1409" i="44"/>
  <c r="E1401" i="44"/>
  <c r="C1402" i="44"/>
  <c r="D1402" i="44" l="1"/>
  <c r="B1403" i="44"/>
  <c r="F1401" i="44"/>
  <c r="B1410" i="44"/>
  <c r="J1403" i="44"/>
  <c r="J1410" i="44"/>
  <c r="C1403" i="44"/>
  <c r="E1402" i="44"/>
  <c r="C1410" i="44"/>
  <c r="D1403" i="44" l="1"/>
  <c r="B1404" i="44"/>
  <c r="F1402" i="44"/>
  <c r="D1410" i="44"/>
  <c r="B1411" i="44"/>
  <c r="E1410" i="44"/>
  <c r="E1403" i="44"/>
  <c r="C1404" i="44"/>
  <c r="C1411" i="44"/>
  <c r="J1404" i="44"/>
  <c r="D1404" i="44" l="1"/>
  <c r="B1405" i="44"/>
  <c r="F1403" i="44"/>
  <c r="D1411" i="44"/>
  <c r="B1412" i="44"/>
  <c r="E1404" i="44"/>
  <c r="E1411" i="44"/>
  <c r="J1405" i="44"/>
  <c r="C1412" i="44"/>
  <c r="J1411" i="44"/>
  <c r="C1405" i="44"/>
  <c r="D1405" i="44" l="1"/>
  <c r="B1406" i="44"/>
  <c r="F1404" i="44"/>
  <c r="D1412" i="44"/>
  <c r="B1413" i="44"/>
  <c r="C1413" i="44"/>
  <c r="J1413" i="44"/>
  <c r="E1412" i="44"/>
  <c r="E1405" i="44"/>
  <c r="J1412" i="44"/>
  <c r="J1406" i="44"/>
  <c r="C1406" i="44"/>
  <c r="D1406" i="44" l="1"/>
  <c r="B1407" i="44"/>
  <c r="F1405" i="44"/>
  <c r="D1413" i="44"/>
  <c r="B1414" i="44"/>
  <c r="C1407" i="44"/>
  <c r="J1414" i="44"/>
  <c r="E1406" i="44"/>
  <c r="E1413" i="44"/>
  <c r="J1407" i="44"/>
  <c r="D1407" i="44" l="1"/>
  <c r="B1408" i="44"/>
  <c r="F1406" i="44"/>
  <c r="D1414" i="44"/>
  <c r="B1415" i="44"/>
  <c r="C1415" i="44"/>
  <c r="J1415" i="44"/>
  <c r="E1407" i="44"/>
  <c r="E1414" i="44"/>
  <c r="C1414" i="44"/>
  <c r="J1408" i="44"/>
  <c r="C1408" i="44"/>
  <c r="D1408" i="44" l="1"/>
  <c r="F1407" i="44"/>
  <c r="D1415" i="44"/>
  <c r="B1416" i="44"/>
  <c r="J1416" i="44"/>
  <c r="E1415" i="44"/>
  <c r="E1408" i="44"/>
  <c r="C1416" i="44"/>
  <c r="F1408" i="44" l="1"/>
  <c r="D1416" i="44"/>
  <c r="B1417" i="44"/>
  <c r="E1416" i="44"/>
  <c r="E1418" i="44"/>
  <c r="C1418" i="44"/>
  <c r="C1417" i="44"/>
  <c r="J1417" i="44"/>
  <c r="D1417" i="44" l="1"/>
  <c r="B1419" i="44"/>
  <c r="C1419" i="44"/>
  <c r="E1417" i="44"/>
  <c r="D1419" i="44" l="1"/>
  <c r="B1420" i="44"/>
  <c r="J1420" i="44"/>
  <c r="E1419" i="44"/>
  <c r="J1419" i="44"/>
  <c r="C1420" i="44"/>
  <c r="D1420" i="44" l="1"/>
  <c r="B1421" i="44"/>
  <c r="C1421" i="44"/>
  <c r="J1421" i="44"/>
  <c r="E1420" i="44"/>
  <c r="D1421" i="44" l="1"/>
  <c r="B1422" i="44"/>
  <c r="C1422" i="44"/>
  <c r="J1422" i="44"/>
  <c r="E1421" i="44"/>
  <c r="D1422" i="44" l="1"/>
  <c r="B1423" i="44"/>
  <c r="C1423" i="44"/>
  <c r="E1422" i="44"/>
  <c r="J1423" i="44"/>
  <c r="D1423" i="44" l="1"/>
  <c r="B1424" i="44"/>
  <c r="C1424" i="44"/>
  <c r="E1423" i="44"/>
  <c r="J1424" i="44"/>
  <c r="D1424" i="44" l="1"/>
  <c r="B1425" i="44"/>
  <c r="C1425" i="44"/>
  <c r="J1425" i="44"/>
  <c r="E1424" i="44"/>
  <c r="D1425" i="44" l="1"/>
  <c r="B1426" i="44"/>
  <c r="C1426" i="44"/>
  <c r="C1427" i="44"/>
  <c r="J1426" i="44"/>
  <c r="E1427" i="44"/>
  <c r="E1425" i="44"/>
  <c r="D1426" i="44" l="1"/>
  <c r="B1428" i="44"/>
  <c r="C1428" i="44"/>
  <c r="J1428" i="44"/>
  <c r="E1426" i="44"/>
  <c r="D1428" i="44" l="1"/>
  <c r="B1429" i="44"/>
  <c r="J1429" i="44"/>
  <c r="C1429" i="44"/>
  <c r="E1428" i="44"/>
  <c r="D1429" i="44" l="1"/>
  <c r="B1430" i="44"/>
  <c r="E1429" i="44"/>
  <c r="J1430" i="44"/>
  <c r="C1430" i="44"/>
  <c r="D1430" i="44" l="1"/>
  <c r="B1431" i="44"/>
  <c r="J1431" i="44"/>
  <c r="C1431" i="44"/>
  <c r="E1430" i="44"/>
  <c r="D1431" i="44" l="1"/>
  <c r="B1432" i="44"/>
  <c r="E1431" i="44"/>
  <c r="J1432" i="44"/>
  <c r="C1432" i="44"/>
  <c r="D1432" i="44" l="1"/>
  <c r="B1433" i="44"/>
  <c r="J1433" i="44"/>
  <c r="C1433" i="44"/>
  <c r="E1432" i="44"/>
  <c r="D1433" i="44" l="1"/>
  <c r="B1434" i="44"/>
  <c r="J1434" i="44"/>
  <c r="C1434" i="44"/>
  <c r="E1433" i="44"/>
  <c r="D1434" i="44" l="1"/>
  <c r="B1435" i="44"/>
  <c r="J1435" i="44"/>
  <c r="E1436" i="44"/>
  <c r="E1434" i="44"/>
  <c r="C1436" i="44"/>
  <c r="C1435" i="44"/>
  <c r="D1435" i="44" l="1"/>
  <c r="B1437" i="44"/>
  <c r="J1437" i="44"/>
  <c r="E1435" i="44"/>
  <c r="C1437" i="44"/>
  <c r="D1437" i="44" l="1"/>
  <c r="B1438" i="44"/>
  <c r="E1437" i="44"/>
  <c r="J1438" i="44"/>
  <c r="C1438" i="44"/>
  <c r="D1438" i="44" l="1"/>
  <c r="B1439" i="44"/>
  <c r="C1439" i="44"/>
  <c r="E1438" i="44"/>
  <c r="J1439" i="44"/>
  <c r="D1439" i="44" l="1"/>
  <c r="B1440" i="44"/>
  <c r="J1440" i="44"/>
  <c r="C1440" i="44"/>
  <c r="E1439" i="44"/>
  <c r="D1440" i="44" l="1"/>
  <c r="B1441" i="44"/>
  <c r="C1441" i="44"/>
  <c r="E1440" i="44"/>
  <c r="J1441" i="44"/>
  <c r="D1441" i="44" l="1"/>
  <c r="B1442" i="44"/>
  <c r="C1442" i="44"/>
  <c r="J1442" i="44"/>
  <c r="E1441" i="44"/>
  <c r="D1442" i="44" l="1"/>
  <c r="B1443" i="44"/>
  <c r="E1442" i="44"/>
  <c r="C1443" i="44"/>
  <c r="J1443" i="44"/>
  <c r="D1443" i="44" l="1"/>
  <c r="B1444" i="44"/>
  <c r="E1443" i="44"/>
  <c r="C1444" i="44"/>
  <c r="J1444" i="44"/>
  <c r="D1444" i="44" l="1"/>
  <c r="D1463" i="44"/>
  <c r="C1463" i="44"/>
  <c r="E1463" i="44"/>
  <c r="E1444" i="44"/>
  <c r="F1463" i="44" l="1"/>
  <c r="A1463" i="44" s="1"/>
  <c r="E1464" i="44"/>
  <c r="F1464" i="44" l="1"/>
  <c r="A1464" i="44" s="1"/>
  <c r="E1465" i="44"/>
  <c r="A1465" i="44" l="1"/>
  <c r="F1465" i="44"/>
  <c r="F1478" i="44" l="1"/>
  <c r="E1480" i="44"/>
  <c r="F1480" i="44" l="1"/>
  <c r="A1480" i="44" s="1"/>
  <c r="E1481" i="44"/>
  <c r="F1481" i="44" l="1"/>
  <c r="A1481" i="44" s="1"/>
  <c r="E1482" i="44"/>
  <c r="F1482" i="44" l="1"/>
  <c r="A1482" i="44" s="1"/>
  <c r="E1483" i="44"/>
  <c r="F1483" i="44" l="1"/>
  <c r="A1483" i="44" s="1"/>
  <c r="E1486" i="44"/>
  <c r="C1486" i="44"/>
  <c r="A1486" i="44" l="1"/>
  <c r="F1486" i="44"/>
  <c r="E1490" i="44"/>
  <c r="C1490" i="44"/>
  <c r="A1490" i="44" l="1"/>
  <c r="F1490" i="44"/>
  <c r="L1104" i="44" l="1"/>
  <c r="K1104" i="44"/>
  <c r="L1105" i="44" l="1"/>
  <c r="J1105" i="44"/>
  <c r="J1104" i="44"/>
  <c r="E1104" i="44" l="1"/>
  <c r="L1106" i="44"/>
  <c r="K1106" i="44"/>
  <c r="K1105" i="44"/>
  <c r="A1254" i="44" l="1"/>
  <c r="A1363" i="44"/>
  <c r="A1104" i="44"/>
  <c r="A1185" i="44"/>
  <c r="A1184" i="44"/>
  <c r="A1177" i="44"/>
  <c r="A1175" i="44"/>
  <c r="A1223" i="44"/>
  <c r="A1226" i="44"/>
  <c r="A1286" i="44"/>
  <c r="A1424" i="44"/>
  <c r="A1425" i="44"/>
  <c r="A1218" i="44"/>
  <c r="A1299" i="44"/>
  <c r="A1183" i="44"/>
  <c r="A1186" i="44"/>
  <c r="A1187" i="44"/>
  <c r="A1198" i="44"/>
  <c r="A1148" i="44"/>
  <c r="A1176" i="44"/>
  <c r="A1289" i="44"/>
  <c r="A1290" i="44"/>
  <c r="A1227" i="44"/>
  <c r="A1232" i="44"/>
  <c r="A1233" i="44"/>
  <c r="A1298" i="44"/>
  <c r="A1225" i="44"/>
  <c r="A1234" i="44"/>
  <c r="A1152" i="44"/>
  <c r="A1147" i="44"/>
  <c r="A1149" i="44"/>
  <c r="A1146" i="44"/>
  <c r="A1305" i="44"/>
  <c r="A1306" i="44"/>
  <c r="A1277" i="44"/>
  <c r="A1251" i="44"/>
  <c r="A1369" i="44"/>
  <c r="A1216" i="44"/>
  <c r="A1168" i="44"/>
  <c r="A1188" i="44"/>
  <c r="A1150" i="44"/>
  <c r="A1322" i="44"/>
  <c r="A1278" i="44"/>
  <c r="A1279" i="44"/>
  <c r="A1280" i="44"/>
  <c r="A1281" i="44"/>
  <c r="A1151" i="44"/>
  <c r="A1144" i="44"/>
  <c r="A1215" i="44"/>
  <c r="A1200" i="44"/>
  <c r="A1197" i="44"/>
  <c r="A1167" i="44"/>
  <c r="A1178" i="44"/>
  <c r="A1224" i="44"/>
  <c r="A1370" i="44"/>
  <c r="A1307" i="44"/>
  <c r="A1324" i="44"/>
  <c r="A1295" i="44"/>
  <c r="A1296" i="44"/>
  <c r="A1297" i="44"/>
  <c r="A1165" i="44"/>
  <c r="A1217" i="44"/>
  <c r="A1196" i="44"/>
  <c r="A1153" i="44"/>
  <c r="A1166" i="44"/>
  <c r="A1189" i="44"/>
  <c r="A1145" i="44"/>
  <c r="A1194" i="44"/>
  <c r="A1288" i="44"/>
  <c r="A1371" i="44"/>
  <c r="A1323" i="44"/>
  <c r="A1325" i="44"/>
  <c r="A1313" i="44"/>
  <c r="A1287" i="44"/>
  <c r="A1214" i="44"/>
  <c r="A1169" i="44"/>
  <c r="A1199" i="44"/>
  <c r="A1143" i="44"/>
  <c r="A1195" i="44"/>
  <c r="A1304" i="44"/>
  <c r="A1422" i="44"/>
  <c r="A1423" i="44"/>
  <c r="A1235" i="44"/>
  <c r="A1236" i="44"/>
  <c r="A1252" i="44"/>
  <c r="A1316" i="44"/>
  <c r="A1250" i="44"/>
  <c r="A1314" i="44"/>
  <c r="A1315" i="44"/>
  <c r="A1253" i="44"/>
  <c r="E1105" i="44"/>
  <c r="A1105" i="44" s="1"/>
  <c r="L1107" i="44"/>
  <c r="J1106" i="44"/>
  <c r="K1107" i="44"/>
  <c r="E1106" i="44" l="1"/>
  <c r="A1106" i="44" s="1"/>
  <c r="L1108" i="44"/>
  <c r="J1108" i="44"/>
  <c r="J1107" i="44"/>
  <c r="E1107" i="44" l="1"/>
  <c r="A1107" i="44" s="1"/>
  <c r="L1109" i="44"/>
  <c r="K1109" i="44"/>
  <c r="K1108" i="44"/>
  <c r="E1108" i="44" l="1"/>
  <c r="A1108" i="44" s="1"/>
  <c r="L1110" i="44"/>
  <c r="J1110" i="44"/>
  <c r="J1109" i="44"/>
  <c r="E1109" i="44" l="1"/>
  <c r="A1109" i="44" s="1"/>
  <c r="L1111" i="44"/>
  <c r="J1111" i="44"/>
  <c r="K1110" i="44"/>
  <c r="E1110" i="44" l="1"/>
  <c r="L1112" i="44"/>
  <c r="K1112" i="44"/>
  <c r="K1111" i="44"/>
  <c r="E1111" i="44" l="1"/>
  <c r="A1111" i="44" s="1"/>
  <c r="L1113" i="44"/>
  <c r="K1113" i="44"/>
  <c r="J1112" i="44"/>
  <c r="E1112" i="44" l="1"/>
  <c r="A1112" i="44" s="1"/>
  <c r="L1114" i="44"/>
  <c r="K1114" i="44"/>
  <c r="J1113" i="44"/>
  <c r="E1113" i="44" l="1"/>
  <c r="A1113" i="44" s="1"/>
  <c r="L1115" i="44"/>
  <c r="J1114" i="44"/>
  <c r="K1115" i="44"/>
  <c r="E1114" i="44" l="1"/>
  <c r="L1116" i="44"/>
  <c r="J1116" i="44"/>
  <c r="J1115" i="44"/>
  <c r="E1115" i="44" l="1"/>
  <c r="A1115" i="44" s="1"/>
  <c r="L1117" i="44"/>
  <c r="K1117" i="44"/>
  <c r="K1116" i="44"/>
  <c r="E1116" i="44" l="1"/>
  <c r="L1118" i="44"/>
  <c r="J1117" i="44"/>
  <c r="K1118" i="44"/>
  <c r="E1117" i="44" l="1"/>
  <c r="L1119" i="44"/>
  <c r="K1119" i="44"/>
  <c r="J1118" i="44"/>
  <c r="E1118" i="44" l="1"/>
  <c r="A1118" i="44" s="1"/>
  <c r="L1120" i="44"/>
  <c r="J1119" i="44"/>
  <c r="J1120" i="44"/>
  <c r="E1119" i="44" l="1"/>
  <c r="A1119" i="44" s="1"/>
  <c r="L1121" i="44"/>
  <c r="K1120" i="44"/>
  <c r="J1121" i="44"/>
  <c r="E1120" i="44" l="1"/>
  <c r="A1120" i="44" s="1"/>
  <c r="L1122" i="44"/>
  <c r="J1122" i="44"/>
  <c r="K1121" i="44"/>
  <c r="E1121" i="44" l="1"/>
  <c r="A1121" i="44" s="1"/>
  <c r="L1123" i="44"/>
  <c r="K1123" i="44"/>
  <c r="K1122" i="44"/>
  <c r="E1122" i="44" l="1"/>
  <c r="A1122" i="44" s="1"/>
  <c r="L1124" i="44"/>
  <c r="J1123" i="44"/>
  <c r="J1124" i="44"/>
  <c r="E1123" i="44" l="1"/>
  <c r="A1123" i="44" s="1"/>
  <c r="L1125" i="44"/>
  <c r="K1124" i="44"/>
  <c r="J1125" i="44"/>
  <c r="E1124" i="44" l="1"/>
  <c r="L1126" i="44"/>
  <c r="K1126" i="44"/>
  <c r="K1125" i="44"/>
  <c r="E1125" i="44" l="1"/>
  <c r="L1127" i="44"/>
  <c r="K1127" i="44"/>
  <c r="J1126" i="44"/>
  <c r="E1126" i="44" l="1"/>
  <c r="L1128" i="44"/>
  <c r="J1128" i="44"/>
  <c r="J1127" i="44"/>
  <c r="E1127" i="44" l="1"/>
  <c r="A1127" i="44" s="1"/>
  <c r="L1129" i="44"/>
  <c r="K1128" i="44"/>
  <c r="K1129" i="44"/>
  <c r="E1128" i="44" l="1"/>
  <c r="A1128" i="44" s="1"/>
  <c r="L1130" i="44"/>
  <c r="J1129" i="44"/>
  <c r="J1130" i="44"/>
  <c r="E1129" i="44" l="1"/>
  <c r="L1131" i="44"/>
  <c r="K1130" i="44"/>
  <c r="K1131" i="44"/>
  <c r="E1130" i="44" l="1"/>
  <c r="J1131" i="44"/>
  <c r="E1131" i="44" l="1"/>
  <c r="L1132" i="44"/>
  <c r="K1132" i="44"/>
  <c r="L1133" i="44" l="1"/>
  <c r="K1133" i="44"/>
  <c r="J1132" i="44"/>
  <c r="E1132" i="44" l="1"/>
  <c r="J1468" i="44"/>
  <c r="K1468" i="44"/>
  <c r="J1133" i="44"/>
  <c r="E1133" i="44" l="1"/>
  <c r="A1133" i="44" s="1"/>
  <c r="F1162" i="44"/>
  <c r="A1162" i="44" s="1"/>
  <c r="F1160" i="44"/>
  <c r="A1160" i="44" s="1"/>
  <c r="F1156" i="44"/>
  <c r="A1156" i="44" s="1"/>
  <c r="F1155" i="44"/>
  <c r="A1155" i="44" s="1"/>
  <c r="F1154" i="44"/>
  <c r="A1154" i="44" s="1"/>
  <c r="F1174" i="44"/>
  <c r="A1174" i="44" s="1"/>
  <c r="F1173" i="44"/>
  <c r="A1173" i="44" s="1"/>
  <c r="F1172" i="44"/>
  <c r="A1172" i="44" s="1"/>
  <c r="F1171" i="44"/>
  <c r="A1171" i="44" s="1"/>
  <c r="F1169" i="44"/>
  <c r="F1165" i="44"/>
  <c r="F1164" i="44"/>
  <c r="A1164" i="44" s="1"/>
  <c r="F1163" i="44"/>
  <c r="A1163" i="44" s="1"/>
  <c r="F1281" i="44"/>
  <c r="F1250" i="44"/>
  <c r="F1222" i="44"/>
  <c r="A1222" i="44" s="1"/>
  <c r="F1192" i="44"/>
  <c r="A1192" i="44" s="1"/>
  <c r="F1277" i="44"/>
  <c r="F1249" i="44"/>
  <c r="A1249" i="44" s="1"/>
  <c r="F1221" i="44"/>
  <c r="A1221" i="44" s="1"/>
  <c r="F1191" i="44"/>
  <c r="A1191" i="44" s="1"/>
  <c r="F1365" i="44"/>
  <c r="A1365" i="44" s="1"/>
  <c r="F1248" i="44"/>
  <c r="A1248" i="44" s="1"/>
  <c r="F1220" i="44"/>
  <c r="A1220" i="44" s="1"/>
  <c r="F1187" i="44"/>
  <c r="F1331" i="44"/>
  <c r="F1247" i="44"/>
  <c r="A1247" i="44" s="1"/>
  <c r="F1218" i="44"/>
  <c r="F1183" i="44"/>
  <c r="F1310" i="44"/>
  <c r="A1310" i="44" s="1"/>
  <c r="F1245" i="44"/>
  <c r="F1214" i="44"/>
  <c r="F1182" i="44"/>
  <c r="A1182" i="44" s="1"/>
  <c r="F1367" i="44"/>
  <c r="A1367" i="44" s="1"/>
  <c r="F1357" i="44"/>
  <c r="A1357" i="44" s="1"/>
  <c r="F1241" i="44"/>
  <c r="F1213" i="44"/>
  <c r="A1213" i="44" s="1"/>
  <c r="F1181" i="44"/>
  <c r="A1181" i="44" s="1"/>
  <c r="F1338" i="44"/>
  <c r="F1393" i="44"/>
  <c r="F1274" i="44"/>
  <c r="A1274" i="44" s="1"/>
  <c r="F1268" i="44"/>
  <c r="F1240" i="44"/>
  <c r="F1212" i="44"/>
  <c r="A1212" i="44" s="1"/>
  <c r="F1180" i="44"/>
  <c r="A1180" i="44" s="1"/>
  <c r="F1151" i="44"/>
  <c r="F1394" i="44"/>
  <c r="F1362" i="44"/>
  <c r="A1362" i="44" s="1"/>
  <c r="F1272" i="44"/>
  <c r="F1267" i="44"/>
  <c r="F1239" i="44"/>
  <c r="F1211" i="44"/>
  <c r="A1211" i="44" s="1"/>
  <c r="F1178" i="44"/>
  <c r="F1147" i="44"/>
  <c r="F1337" i="44"/>
  <c r="F1392" i="44"/>
  <c r="F1301" i="44"/>
  <c r="A1301" i="44" s="1"/>
  <c r="F1440" i="44"/>
  <c r="F1322" i="44"/>
  <c r="F1294" i="44"/>
  <c r="A1294" i="44" s="1"/>
  <c r="F1266" i="44"/>
  <c r="F1238" i="44"/>
  <c r="F1209" i="44"/>
  <c r="F1146" i="44"/>
  <c r="F1366" i="44"/>
  <c r="A1366" i="44" s="1"/>
  <c r="F1303" i="44"/>
  <c r="A1303" i="44" s="1"/>
  <c r="F1417" i="44"/>
  <c r="F1328" i="44"/>
  <c r="F1410" i="44"/>
  <c r="F1293" i="44"/>
  <c r="A1293" i="44" s="1"/>
  <c r="F1265" i="44"/>
  <c r="F1236" i="44"/>
  <c r="F1205" i="44"/>
  <c r="F1145" i="44"/>
  <c r="F1395" i="44"/>
  <c r="F1421" i="44"/>
  <c r="A1421" i="44" s="1"/>
  <c r="F1302" i="44"/>
  <c r="A1302" i="44" s="1"/>
  <c r="F1413" i="44"/>
  <c r="F1355" i="44"/>
  <c r="A1355" i="44" s="1"/>
  <c r="F1383" i="44"/>
  <c r="F1348" i="44"/>
  <c r="F1320" i="44"/>
  <c r="A1320" i="44" s="1"/>
  <c r="F1292" i="44"/>
  <c r="A1292" i="44" s="1"/>
  <c r="F1263" i="44"/>
  <c r="F1232" i="44"/>
  <c r="F1204" i="44"/>
  <c r="F1144" i="44"/>
  <c r="F1308" i="44"/>
  <c r="A1308" i="44" s="1"/>
  <c r="F1420" i="44"/>
  <c r="A1420" i="44" s="1"/>
  <c r="F1330" i="44"/>
  <c r="F1356" i="44"/>
  <c r="A1356" i="44" s="1"/>
  <c r="F1384" i="44"/>
  <c r="F1353" i="44"/>
  <c r="F1435" i="44"/>
  <c r="F1376" i="44"/>
  <c r="F1347" i="44"/>
  <c r="F1319" i="44"/>
  <c r="A1319" i="44" s="1"/>
  <c r="F1290" i="44"/>
  <c r="F1259" i="44"/>
  <c r="F1231" i="44"/>
  <c r="A1231" i="44" s="1"/>
  <c r="F1203" i="44"/>
  <c r="F1426" i="44"/>
  <c r="A1426" i="44" s="1"/>
  <c r="F1304" i="44"/>
  <c r="F1390" i="44"/>
  <c r="F1299" i="44"/>
  <c r="F1411" i="44"/>
  <c r="F1438" i="44"/>
  <c r="F1437" i="44"/>
  <c r="F1375" i="44"/>
  <c r="F1346" i="44"/>
  <c r="F1317" i="44"/>
  <c r="A1317" i="44" s="1"/>
  <c r="F1286" i="44"/>
  <c r="F1258" i="44"/>
  <c r="F1230" i="44"/>
  <c r="A1230" i="44" s="1"/>
  <c r="F1202" i="44"/>
  <c r="F1142" i="44"/>
  <c r="A1142" i="44" s="1"/>
  <c r="F1335" i="44"/>
  <c r="F1419" i="44"/>
  <c r="A1419" i="44" s="1"/>
  <c r="F1386" i="44"/>
  <c r="F1385" i="44"/>
  <c r="F1412" i="44"/>
  <c r="F1439" i="44"/>
  <c r="F1349" i="44"/>
  <c r="F1374" i="44"/>
  <c r="F1344" i="44"/>
  <c r="F1313" i="44"/>
  <c r="F1285" i="44"/>
  <c r="A1285" i="44" s="1"/>
  <c r="F1257" i="44"/>
  <c r="F1229" i="44"/>
  <c r="A1229" i="44" s="1"/>
  <c r="F1198" i="44"/>
  <c r="F1141" i="44"/>
  <c r="A1141" i="44" s="1"/>
  <c r="F1422" i="44"/>
  <c r="F1275" i="44"/>
  <c r="A1275" i="44" s="1"/>
  <c r="F1329" i="44"/>
  <c r="F1295" i="44"/>
  <c r="F1381" i="44"/>
  <c r="F1377" i="44"/>
  <c r="F1429" i="44"/>
  <c r="F1372" i="44"/>
  <c r="A1372" i="44" s="1"/>
  <c r="F1340" i="44"/>
  <c r="F1312" i="44"/>
  <c r="A1312" i="44" s="1"/>
  <c r="F1284" i="44"/>
  <c r="A1284" i="44" s="1"/>
  <c r="F1256" i="44"/>
  <c r="F1227" i="44"/>
  <c r="F1194" i="44"/>
  <c r="F1140" i="44"/>
  <c r="A1140" i="44" s="1"/>
  <c r="F1276" i="44"/>
  <c r="A1276" i="44" s="1"/>
  <c r="F1358" i="44"/>
  <c r="A1358" i="44" s="1"/>
  <c r="F1444" i="44"/>
  <c r="F1326" i="44"/>
  <c r="A1326" i="44" s="1"/>
  <c r="F1321" i="44"/>
  <c r="A1321" i="44" s="1"/>
  <c r="F1431" i="44"/>
  <c r="F1430" i="44"/>
  <c r="F1428" i="44"/>
  <c r="F1399" i="44"/>
  <c r="F1368" i="44"/>
  <c r="A1368" i="44" s="1"/>
  <c r="F1339" i="44"/>
  <c r="F1311" i="44"/>
  <c r="A1311" i="44" s="1"/>
  <c r="F1283" i="44"/>
  <c r="A1283" i="44" s="1"/>
  <c r="F1254" i="44"/>
  <c r="F1223" i="44"/>
  <c r="F1193" i="44"/>
  <c r="A1193" i="44" s="1"/>
  <c r="F1139" i="44"/>
  <c r="A1139" i="44" s="1"/>
  <c r="E1468" i="44"/>
  <c r="A1468" i="44" s="1"/>
  <c r="K1469" i="44"/>
  <c r="J1469" i="44"/>
  <c r="E1469" i="44" l="1"/>
  <c r="A1469" i="44" s="1"/>
  <c r="J1470" i="44"/>
  <c r="K1470" i="44"/>
  <c r="E1470" i="44" l="1"/>
  <c r="A1470" i="44" s="1"/>
  <c r="J1471" i="44"/>
  <c r="K1471" i="44"/>
  <c r="E1471" i="44" l="1"/>
  <c r="A1471" i="44" s="1"/>
  <c r="K1473" i="44"/>
  <c r="J1474" i="44"/>
  <c r="J1473" i="44"/>
  <c r="E1473" i="44" l="1"/>
  <c r="A1473" i="44" s="1"/>
  <c r="J1475" i="44"/>
  <c r="K1474" i="44"/>
  <c r="E1474" i="44" l="1"/>
  <c r="A1474" i="44" s="1"/>
  <c r="K1475" i="44"/>
  <c r="J1478" i="44"/>
  <c r="E1475" i="44" l="1"/>
  <c r="A1475" i="44" s="1"/>
  <c r="E1478" i="44" l="1"/>
  <c r="A1478" i="44" s="1"/>
  <c r="F171" i="3"/>
  <c r="B50" i="44"/>
  <c r="C50" i="44"/>
  <c r="D50" i="44" l="1"/>
  <c r="E50" i="44"/>
  <c r="K1103" i="44"/>
  <c r="J1103" i="44"/>
  <c r="F1157" i="44" l="1"/>
  <c r="A1157" i="44" s="1"/>
  <c r="F1166" i="44"/>
  <c r="F1167" i="44"/>
  <c r="F1175" i="44"/>
  <c r="F1159" i="44"/>
  <c r="A1159" i="44" s="1"/>
  <c r="F1168" i="44"/>
  <c r="F1161" i="44"/>
  <c r="A1161" i="44" s="1"/>
  <c r="F1170" i="44"/>
  <c r="A1170" i="44" s="1"/>
  <c r="F1158" i="44"/>
  <c r="A1158" i="44" s="1"/>
  <c r="E1103" i="44"/>
  <c r="F1143" i="44"/>
  <c r="F1179" i="44"/>
  <c r="A1179" i="44" s="1"/>
  <c r="F1190" i="44"/>
  <c r="A1190" i="44" s="1"/>
  <c r="F1201" i="44"/>
  <c r="F1210" i="44"/>
  <c r="A1210" i="44" s="1"/>
  <c r="F1219" i="44"/>
  <c r="A1219" i="44" s="1"/>
  <c r="F1228" i="44"/>
  <c r="A1228" i="44" s="1"/>
  <c r="F1237" i="44"/>
  <c r="F1246" i="44"/>
  <c r="A1246" i="44" s="1"/>
  <c r="F1255" i="44"/>
  <c r="F1264" i="44"/>
  <c r="F1273" i="44"/>
  <c r="A1273" i="44" s="1"/>
  <c r="F1282" i="44"/>
  <c r="A1282" i="44" s="1"/>
  <c r="F1291" i="44"/>
  <c r="A1291" i="44" s="1"/>
  <c r="F1300" i="44"/>
  <c r="A1300" i="44" s="1"/>
  <c r="F1309" i="44"/>
  <c r="A1309" i="44" s="1"/>
  <c r="F1318" i="44"/>
  <c r="A1318" i="44" s="1"/>
  <c r="F1327" i="44"/>
  <c r="F1336" i="44"/>
  <c r="F1345" i="44"/>
  <c r="F1354" i="44"/>
  <c r="A1354" i="44" s="1"/>
  <c r="F1364" i="44"/>
  <c r="A1364" i="44" s="1"/>
  <c r="F1373" i="44"/>
  <c r="F1382" i="44"/>
  <c r="F1391" i="44"/>
  <c r="F1409" i="44"/>
  <c r="F1418" i="44"/>
  <c r="A1418" i="44" s="1"/>
  <c r="F1427" i="44"/>
  <c r="F1436" i="44"/>
  <c r="F1149" i="44"/>
  <c r="F1176" i="44"/>
  <c r="F1185" i="44"/>
  <c r="F1196" i="44"/>
  <c r="F1207" i="44"/>
  <c r="F1216" i="44"/>
  <c r="F1225" i="44"/>
  <c r="F1234" i="44"/>
  <c r="F1243" i="44"/>
  <c r="F1252" i="44"/>
  <c r="F1261" i="44"/>
  <c r="F1270" i="44"/>
  <c r="F1279" i="44"/>
  <c r="F1288" i="44"/>
  <c r="F1297" i="44"/>
  <c r="F1306" i="44"/>
  <c r="F1315" i="44"/>
  <c r="F1324" i="44"/>
  <c r="F1333" i="44"/>
  <c r="F1342" i="44"/>
  <c r="F1351" i="44"/>
  <c r="F1360" i="44"/>
  <c r="A1360" i="44" s="1"/>
  <c r="F1370" i="44"/>
  <c r="F1379" i="44"/>
  <c r="F1388" i="44"/>
  <c r="F1397" i="44"/>
  <c r="F1415" i="44"/>
  <c r="F1424" i="44"/>
  <c r="F1433" i="44"/>
  <c r="F1442" i="44"/>
  <c r="F1188" i="44"/>
  <c r="F1148" i="44"/>
  <c r="F1184" i="44"/>
  <c r="F1195" i="44"/>
  <c r="F1206" i="44"/>
  <c r="F1215" i="44"/>
  <c r="F1224" i="44"/>
  <c r="F1233" i="44"/>
  <c r="F1242" i="44"/>
  <c r="F1251" i="44"/>
  <c r="F1260" i="44"/>
  <c r="F1269" i="44"/>
  <c r="F1278" i="44"/>
  <c r="F1287" i="44"/>
  <c r="F1296" i="44"/>
  <c r="F1305" i="44"/>
  <c r="F1314" i="44"/>
  <c r="F1323" i="44"/>
  <c r="F1332" i="44"/>
  <c r="F1341" i="44"/>
  <c r="F1350" i="44"/>
  <c r="F1359" i="44"/>
  <c r="A1359" i="44" s="1"/>
  <c r="F1369" i="44"/>
  <c r="F1378" i="44"/>
  <c r="F1387" i="44"/>
  <c r="F1396" i="44"/>
  <c r="F1414" i="44"/>
  <c r="F1423" i="44"/>
  <c r="F1432" i="44"/>
  <c r="F1441" i="44"/>
  <c r="F1150" i="44"/>
  <c r="F1177" i="44"/>
  <c r="F1186" i="44"/>
  <c r="F1197" i="44"/>
  <c r="F1208" i="44"/>
  <c r="F1217" i="44"/>
  <c r="F1226" i="44"/>
  <c r="F1235" i="44"/>
  <c r="F1244" i="44"/>
  <c r="F1253" i="44"/>
  <c r="F1262" i="44"/>
  <c r="F1271" i="44"/>
  <c r="F1280" i="44"/>
  <c r="F1289" i="44"/>
  <c r="F1298" i="44"/>
  <c r="F1307" i="44"/>
  <c r="F1316" i="44"/>
  <c r="F1325" i="44"/>
  <c r="F1334" i="44"/>
  <c r="F1343" i="44"/>
  <c r="F1352" i="44"/>
  <c r="F1361" i="44"/>
  <c r="A1361" i="44" s="1"/>
  <c r="F1371" i="44"/>
  <c r="F1380" i="44"/>
  <c r="F1389" i="44"/>
  <c r="F1398" i="44"/>
  <c r="F1416" i="44"/>
  <c r="F1425" i="44"/>
  <c r="F1434" i="44"/>
  <c r="F1443" i="44"/>
  <c r="F50" i="44"/>
  <c r="A50" i="44" s="1"/>
  <c r="B3428" i="44"/>
  <c r="D3428" i="44" s="1"/>
  <c r="E3428" i="44"/>
  <c r="A1103" i="44" l="1"/>
  <c r="G1103" i="44" s="1"/>
  <c r="G1104" i="44" s="1"/>
  <c r="D554" i="3"/>
  <c r="C421" i="3"/>
  <c r="B325" i="5"/>
  <c r="C3428" i="44"/>
  <c r="F3428" i="44" l="1"/>
  <c r="A3428" i="44" s="1"/>
  <c r="B342" i="5"/>
  <c r="B341" i="5"/>
  <c r="B340" i="5"/>
  <c r="B339" i="5"/>
  <c r="B338" i="5"/>
  <c r="B337" i="5"/>
  <c r="B336" i="5"/>
  <c r="B335" i="5"/>
  <c r="B334" i="5"/>
  <c r="B333" i="5"/>
  <c r="B332" i="5"/>
  <c r="B331" i="5"/>
  <c r="B330" i="5"/>
  <c r="B329" i="5"/>
  <c r="B328" i="5"/>
  <c r="B327" i="5"/>
  <c r="B326" i="5" l="1"/>
  <c r="C261" i="5" l="1"/>
  <c r="B49" i="44"/>
  <c r="D49" i="44" s="1"/>
  <c r="E49" i="44"/>
  <c r="C292" i="5" l="1"/>
  <c r="B68" i="20"/>
  <c r="B40" i="44"/>
  <c r="B36" i="44"/>
  <c r="D36" i="44" s="1"/>
  <c r="B37" i="44"/>
  <c r="D37" i="44" s="1"/>
  <c r="B38" i="44"/>
  <c r="C38" i="44"/>
  <c r="C40" i="44"/>
  <c r="C49" i="44"/>
  <c r="E37" i="44"/>
  <c r="E36" i="44"/>
  <c r="F49" i="44" l="1"/>
  <c r="A49" i="44" s="1"/>
  <c r="C219" i="5"/>
  <c r="D40" i="44"/>
  <c r="D38" i="44"/>
  <c r="E38" i="44"/>
  <c r="C37" i="44"/>
  <c r="E40" i="44"/>
  <c r="C36" i="44"/>
  <c r="F36" i="44" l="1"/>
  <c r="A36" i="44" s="1"/>
  <c r="F37" i="44"/>
  <c r="A37" i="44" s="1"/>
  <c r="F40" i="44"/>
  <c r="A40" i="44" s="1"/>
  <c r="F38" i="44"/>
  <c r="A38" i="44" s="1"/>
  <c r="F715" i="3"/>
  <c r="H127" i="3" l="1"/>
  <c r="H112" i="44" l="1"/>
  <c r="F843" i="3"/>
  <c r="B10" i="3" l="1"/>
  <c r="F125" i="32"/>
  <c r="G125" i="32"/>
  <c r="H125" i="32"/>
  <c r="I125" i="32"/>
  <c r="J125" i="32"/>
  <c r="K125" i="32"/>
  <c r="E125" i="32"/>
  <c r="F593" i="3" l="1"/>
  <c r="F595" i="3"/>
  <c r="F592" i="3"/>
  <c r="H82" i="25" s="1"/>
  <c r="F596" i="3"/>
  <c r="F598" i="3"/>
  <c r="F597" i="3"/>
  <c r="C584" i="3"/>
  <c r="F594" i="3"/>
  <c r="C573" i="3"/>
  <c r="C607" i="3"/>
  <c r="C604" i="3"/>
  <c r="C589" i="3"/>
  <c r="C554" i="3"/>
  <c r="B847" i="3"/>
  <c r="B852" i="3"/>
  <c r="G843" i="3" s="1"/>
  <c r="C117" i="25"/>
  <c r="B55" i="25"/>
  <c r="D912" i="5" l="1"/>
  <c r="D117" i="25"/>
  <c r="B52" i="25"/>
  <c r="B49" i="25"/>
  <c r="B45" i="25"/>
  <c r="B44" i="25"/>
  <c r="B43" i="25"/>
  <c r="B42" i="25"/>
  <c r="B41" i="25"/>
  <c r="B40" i="25"/>
  <c r="B36" i="25"/>
  <c r="B27" i="25"/>
  <c r="C318" i="3" l="1"/>
  <c r="B318" i="3" s="1"/>
  <c r="J45" i="25" l="1"/>
  <c r="C538" i="5"/>
  <c r="H71" i="24"/>
  <c r="A147" i="5" l="1"/>
  <c r="A148" i="5"/>
  <c r="A149" i="5"/>
  <c r="A150" i="5"/>
  <c r="A151" i="5"/>
  <c r="A152" i="5"/>
  <c r="A153" i="5"/>
  <c r="A154" i="5"/>
  <c r="A155" i="5"/>
  <c r="A156" i="5"/>
  <c r="A160" i="5"/>
  <c r="A161" i="5"/>
  <c r="A162" i="5"/>
  <c r="A163" i="5"/>
  <c r="A164" i="5"/>
  <c r="A165" i="5"/>
  <c r="A166" i="5"/>
  <c r="A167" i="5"/>
  <c r="A172" i="5"/>
  <c r="A173" i="5"/>
  <c r="A174" i="5"/>
  <c r="A175" i="5"/>
  <c r="A176" i="5"/>
  <c r="A177" i="5"/>
  <c r="A178" i="5"/>
  <c r="A179" i="5"/>
  <c r="A180" i="5"/>
  <c r="A184" i="5"/>
  <c r="A185" i="5"/>
  <c r="A186" i="5"/>
  <c r="A187" i="5"/>
  <c r="A188" i="5"/>
  <c r="A209" i="5"/>
  <c r="A252" i="5"/>
  <c r="A253" i="5"/>
  <c r="A269" i="5"/>
  <c r="A274" i="5"/>
  <c r="A279" i="5"/>
  <c r="A280" i="5"/>
  <c r="A281" i="5"/>
  <c r="A283" i="5"/>
  <c r="A284" i="5"/>
  <c r="A305" i="5"/>
  <c r="A306" i="5"/>
  <c r="A307" i="5"/>
  <c r="A308" i="5"/>
  <c r="A309" i="5"/>
  <c r="A343" i="5"/>
  <c r="A344" i="5"/>
  <c r="A345" i="5"/>
  <c r="A346" i="5"/>
  <c r="A347" i="5"/>
  <c r="A348" i="5"/>
  <c r="A349" i="5"/>
  <c r="A350" i="5"/>
  <c r="A351" i="5"/>
  <c r="A352" i="5"/>
  <c r="A353" i="5"/>
  <c r="A354" i="5"/>
  <c r="A355" i="5"/>
  <c r="A356" i="5"/>
  <c r="A357" i="5"/>
  <c r="A358" i="5"/>
  <c r="A362" i="5"/>
  <c r="A363" i="5"/>
  <c r="A364" i="5"/>
  <c r="A365" i="5"/>
  <c r="A366" i="5"/>
  <c r="A367" i="5"/>
  <c r="A368" i="5"/>
  <c r="A369" i="5"/>
  <c r="A370" i="5"/>
  <c r="A371" i="5"/>
  <c r="A372" i="5"/>
  <c r="A376" i="5"/>
  <c r="A377" i="5"/>
  <c r="A378" i="5"/>
  <c r="A379" i="5"/>
  <c r="A380" i="5"/>
  <c r="A381" i="5"/>
  <c r="A382" i="5"/>
  <c r="A383" i="5"/>
  <c r="A384" i="5"/>
  <c r="A385" i="5"/>
  <c r="A386" i="5"/>
  <c r="A387" i="5"/>
  <c r="A388" i="5"/>
  <c r="A389" i="5"/>
  <c r="A394" i="5"/>
  <c r="A395" i="5"/>
  <c r="A396" i="5"/>
  <c r="A397" i="5"/>
  <c r="A398" i="5"/>
  <c r="A399" i="5"/>
  <c r="A400" i="5"/>
  <c r="A401" i="5"/>
  <c r="A402" i="5"/>
  <c r="A403" i="5"/>
  <c r="A404" i="5"/>
  <c r="A408" i="5"/>
  <c r="A409" i="5"/>
  <c r="A410" i="5"/>
  <c r="A411" i="5"/>
  <c r="A412" i="5"/>
  <c r="A413" i="5"/>
  <c r="A414" i="5"/>
  <c r="A415" i="5"/>
  <c r="A416" i="5"/>
  <c r="A417" i="5"/>
  <c r="A418" i="5"/>
  <c r="A419" i="5"/>
  <c r="A420" i="5"/>
  <c r="A421" i="5"/>
  <c r="A425" i="5"/>
  <c r="A426" i="5"/>
  <c r="A427" i="5"/>
  <c r="A431" i="5"/>
  <c r="A432" i="5"/>
  <c r="A433" i="5"/>
  <c r="A434" i="5"/>
  <c r="A435" i="5"/>
  <c r="A436" i="5"/>
  <c r="A437" i="5"/>
  <c r="A438" i="5"/>
  <c r="A439" i="5"/>
  <c r="A440" i="5"/>
  <c r="A441" i="5"/>
  <c r="A734" i="5"/>
  <c r="A735"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8" i="5"/>
  <c r="A812" i="5"/>
  <c r="A813" i="5"/>
  <c r="A814" i="5"/>
  <c r="A815" i="5"/>
  <c r="A817" i="5"/>
  <c r="A818" i="5"/>
  <c r="A819" i="5"/>
  <c r="A820" i="5"/>
  <c r="A821" i="5"/>
  <c r="A822" i="5"/>
  <c r="F189" i="24" l="1"/>
  <c r="G189" i="24"/>
  <c r="H189" i="24"/>
  <c r="I189" i="24"/>
  <c r="J189" i="24"/>
  <c r="E189" i="24"/>
  <c r="C181" i="3"/>
  <c r="B181" i="3"/>
  <c r="D20" i="41" l="1"/>
  <c r="B79" i="19"/>
  <c r="B132" i="44" l="1"/>
  <c r="B128" i="44"/>
  <c r="D128" i="44" s="1"/>
  <c r="B129" i="44"/>
  <c r="D129" i="44" s="1"/>
  <c r="B130" i="44"/>
  <c r="D130" i="44" s="1"/>
  <c r="B131" i="44"/>
  <c r="D131" i="44" s="1"/>
  <c r="B127" i="44"/>
  <c r="D127" i="44" s="1"/>
  <c r="B124" i="44"/>
  <c r="D124" i="44" s="1"/>
  <c r="B125" i="44"/>
  <c r="D125" i="44" s="1"/>
  <c r="B126" i="44"/>
  <c r="D126" i="44" s="1"/>
  <c r="B121" i="44"/>
  <c r="E129" i="44"/>
  <c r="C132" i="44"/>
  <c r="C121" i="44"/>
  <c r="C129" i="44"/>
  <c r="E130" i="44"/>
  <c r="E131" i="44"/>
  <c r="C126" i="44"/>
  <c r="E128" i="44"/>
  <c r="D132" i="44" l="1"/>
  <c r="F129" i="44"/>
  <c r="A129" i="44" s="1"/>
  <c r="D121" i="44"/>
  <c r="B122" i="44"/>
  <c r="C131" i="44"/>
  <c r="C130" i="44"/>
  <c r="C122" i="44"/>
  <c r="C128" i="44"/>
  <c r="C124" i="44"/>
  <c r="C127" i="44"/>
  <c r="E132" i="44"/>
  <c r="C125" i="44"/>
  <c r="F131" i="44" l="1"/>
  <c r="A131" i="44" s="1"/>
  <c r="F128" i="44"/>
  <c r="A128" i="44" s="1"/>
  <c r="F130" i="44"/>
  <c r="A130" i="44" s="1"/>
  <c r="F132" i="44"/>
  <c r="A132" i="44" s="1"/>
  <c r="D122" i="44"/>
  <c r="B123" i="44"/>
  <c r="D123" i="44" s="1"/>
  <c r="E121" i="44"/>
  <c r="C514" i="5" l="1"/>
  <c r="C123" i="44"/>
  <c r="B358" i="3" l="1"/>
  <c r="D3" i="32" l="1"/>
  <c r="B418" i="3" l="1"/>
  <c r="B102" i="44" l="1"/>
  <c r="B101" i="44"/>
  <c r="D101" i="44" s="1"/>
  <c r="C102" i="44"/>
  <c r="E101" i="44"/>
  <c r="D102" i="44" l="1"/>
  <c r="E102" i="44"/>
  <c r="C101" i="44"/>
  <c r="F101" i="44" l="1"/>
  <c r="A101" i="44" s="1"/>
  <c r="H130" i="3"/>
  <c r="B95" i="44" l="1"/>
  <c r="C95" i="44"/>
  <c r="D95" i="44" l="1"/>
  <c r="E95" i="44"/>
  <c r="F95" i="44" l="1"/>
  <c r="A95" i="44" s="1"/>
  <c r="B90" i="44" l="1"/>
  <c r="D90" i="44" s="1"/>
  <c r="B91" i="44"/>
  <c r="D91" i="44" s="1"/>
  <c r="C285" i="5"/>
  <c r="C251" i="5"/>
  <c r="B329" i="3"/>
  <c r="E90" i="44"/>
  <c r="E91" i="44"/>
  <c r="C90" i="44"/>
  <c r="F90" i="44" l="1"/>
  <c r="A90" i="44" s="1"/>
  <c r="C91" i="44"/>
  <c r="F91" i="44" l="1"/>
  <c r="A91" i="44" s="1"/>
  <c r="B79" i="44" l="1"/>
  <c r="B74" i="44" l="1"/>
  <c r="D74" i="44" s="1"/>
  <c r="B75" i="44"/>
  <c r="D75" i="44" s="1"/>
  <c r="B63" i="44"/>
  <c r="C63" i="44"/>
  <c r="E74" i="44"/>
  <c r="E75" i="44"/>
  <c r="D63" i="44" l="1"/>
  <c r="C74" i="44"/>
  <c r="E63" i="44"/>
  <c r="C75" i="44"/>
  <c r="F75" i="44" l="1"/>
  <c r="F74" i="44"/>
  <c r="F63" i="44"/>
  <c r="A63" i="44" s="1"/>
  <c r="B53" i="44"/>
  <c r="D53" i="44" s="1"/>
  <c r="B55" i="44"/>
  <c r="B57" i="44"/>
  <c r="B58" i="44"/>
  <c r="B59" i="44"/>
  <c r="B60" i="44"/>
  <c r="B61" i="44"/>
  <c r="B62" i="44"/>
  <c r="B64" i="44"/>
  <c r="B65" i="44"/>
  <c r="B66" i="44"/>
  <c r="B67" i="44"/>
  <c r="B68" i="44"/>
  <c r="B69" i="44"/>
  <c r="B70" i="44"/>
  <c r="B72" i="44"/>
  <c r="B73" i="44"/>
  <c r="B71" i="44"/>
  <c r="B78" i="44"/>
  <c r="B80" i="44"/>
  <c r="B81" i="44"/>
  <c r="B82" i="44"/>
  <c r="B83" i="44"/>
  <c r="B84" i="44"/>
  <c r="B85" i="44"/>
  <c r="B92" i="44"/>
  <c r="B93" i="44"/>
  <c r="B94" i="44"/>
  <c r="B96" i="44"/>
  <c r="B97" i="44"/>
  <c r="B98" i="44"/>
  <c r="B99" i="44"/>
  <c r="B100" i="44"/>
  <c r="B103" i="44"/>
  <c r="B104" i="44"/>
  <c r="B105" i="44"/>
  <c r="B106" i="44"/>
  <c r="B107" i="44"/>
  <c r="B108" i="44"/>
  <c r="B111" i="44"/>
  <c r="B112" i="44"/>
  <c r="B113" i="44"/>
  <c r="B114" i="44"/>
  <c r="B115" i="44"/>
  <c r="B116" i="44"/>
  <c r="B117" i="44"/>
  <c r="B118" i="44"/>
  <c r="B119" i="44"/>
  <c r="B120" i="44"/>
  <c r="B874" i="3"/>
  <c r="C448" i="5" s="1"/>
  <c r="E53" i="44"/>
  <c r="C226" i="5" l="1"/>
  <c r="C227" i="5"/>
  <c r="C53" i="44"/>
  <c r="F53" i="44" l="1"/>
  <c r="A53" i="44" s="1"/>
  <c r="C231" i="5"/>
  <c r="C217" i="5" l="1"/>
  <c r="B3427" i="44"/>
  <c r="D3427" i="44" s="1"/>
  <c r="E3427" i="44"/>
  <c r="C281" i="5" l="1"/>
  <c r="C3427" i="44"/>
  <c r="F3427" i="44" l="1"/>
  <c r="A3427" i="44" s="1"/>
  <c r="C1415" i="5" l="1"/>
  <c r="D1415" i="5" s="1"/>
  <c r="B34" i="3"/>
  <c r="B35" i="3"/>
  <c r="B36" i="3"/>
  <c r="B37" i="3"/>
  <c r="B38" i="3"/>
  <c r="B39" i="3"/>
  <c r="B40" i="3"/>
  <c r="B43" i="3"/>
  <c r="E198" i="24" s="1"/>
  <c r="B44" i="3"/>
  <c r="E199" i="24" s="1"/>
  <c r="C34" i="3"/>
  <c r="C35" i="3"/>
  <c r="C36" i="3"/>
  <c r="C37" i="3"/>
  <c r="C38" i="3"/>
  <c r="C39" i="3"/>
  <c r="C40" i="3"/>
  <c r="C43" i="3"/>
  <c r="F198" i="24" s="1"/>
  <c r="C44" i="3"/>
  <c r="F199" i="24" s="1"/>
  <c r="D34" i="3"/>
  <c r="D35" i="3"/>
  <c r="D36" i="3"/>
  <c r="D37" i="3"/>
  <c r="D38" i="3"/>
  <c r="D39" i="3"/>
  <c r="D40" i="3"/>
  <c r="D43" i="3"/>
  <c r="G198" i="24" s="1"/>
  <c r="D44" i="3"/>
  <c r="G199" i="24" s="1"/>
  <c r="E34" i="3"/>
  <c r="E35" i="3"/>
  <c r="E36" i="3"/>
  <c r="E37" i="3"/>
  <c r="E38" i="3"/>
  <c r="E39" i="3"/>
  <c r="E40" i="3"/>
  <c r="E43" i="3"/>
  <c r="H198" i="24" s="1"/>
  <c r="E44" i="3"/>
  <c r="H199" i="24" s="1"/>
  <c r="F34" i="3"/>
  <c r="F35" i="3"/>
  <c r="F36" i="3"/>
  <c r="F37" i="3"/>
  <c r="F38" i="3"/>
  <c r="F39" i="3"/>
  <c r="F40" i="3"/>
  <c r="F43" i="3"/>
  <c r="I198" i="24" s="1"/>
  <c r="F44" i="3"/>
  <c r="I199" i="24" s="1"/>
  <c r="G34" i="3"/>
  <c r="G35" i="3"/>
  <c r="G36" i="3"/>
  <c r="G37" i="3"/>
  <c r="G38" i="3"/>
  <c r="G39" i="3"/>
  <c r="G40" i="3"/>
  <c r="G43" i="3"/>
  <c r="J198" i="24" s="1"/>
  <c r="G44" i="3"/>
  <c r="J199" i="24" s="1"/>
  <c r="B1506" i="44"/>
  <c r="D1506" i="44" s="1"/>
  <c r="B1507" i="44"/>
  <c r="D1507" i="44" s="1"/>
  <c r="B14" i="3"/>
  <c r="B16" i="3"/>
  <c r="C16" i="3" s="1"/>
  <c r="B17" i="3"/>
  <c r="B19" i="3" s="1"/>
  <c r="B220" i="44"/>
  <c r="D220" i="44" s="1"/>
  <c r="B221" i="44"/>
  <c r="D221" i="44" s="1"/>
  <c r="B222" i="44"/>
  <c r="D222" i="44" s="1"/>
  <c r="B223" i="44"/>
  <c r="D223" i="44" s="1"/>
  <c r="F223" i="44" s="1"/>
  <c r="B224" i="44"/>
  <c r="D224" i="44" s="1"/>
  <c r="F224" i="44" s="1"/>
  <c r="B225" i="44"/>
  <c r="D225" i="44" s="1"/>
  <c r="F225" i="44" s="1"/>
  <c r="B226" i="44"/>
  <c r="D226" i="44" s="1"/>
  <c r="F226" i="44" s="1"/>
  <c r="B227" i="44"/>
  <c r="D227" i="44" s="1"/>
  <c r="F227" i="44" s="1"/>
  <c r="B228" i="44"/>
  <c r="D228" i="44" s="1"/>
  <c r="F228" i="44" s="1"/>
  <c r="B229" i="44"/>
  <c r="D229" i="44" s="1"/>
  <c r="F229" i="44" s="1"/>
  <c r="B230" i="44"/>
  <c r="D230" i="44" s="1"/>
  <c r="F230" i="44" s="1"/>
  <c r="B231" i="44"/>
  <c r="D231" i="44" s="1"/>
  <c r="B232" i="44"/>
  <c r="D232" i="44" s="1"/>
  <c r="B6" i="3"/>
  <c r="B308" i="3"/>
  <c r="C304" i="3"/>
  <c r="D304" i="3" s="1"/>
  <c r="C305" i="3"/>
  <c r="D305" i="3" s="1"/>
  <c r="C306" i="3"/>
  <c r="B306" i="3" s="1"/>
  <c r="C311" i="3"/>
  <c r="B311" i="3" s="1"/>
  <c r="C531" i="5" s="1"/>
  <c r="C313" i="3"/>
  <c r="B313" i="3" s="1"/>
  <c r="C314" i="3"/>
  <c r="B314" i="3" s="1"/>
  <c r="C315" i="3"/>
  <c r="B315" i="3" s="1"/>
  <c r="C316" i="3"/>
  <c r="B316" i="3" s="1"/>
  <c r="C536" i="5" s="1"/>
  <c r="C317" i="3"/>
  <c r="B317" i="3" s="1"/>
  <c r="C537" i="5" s="1"/>
  <c r="C320" i="3"/>
  <c r="B320" i="3" s="1"/>
  <c r="C321" i="3"/>
  <c r="B321" i="3" s="1"/>
  <c r="C322" i="3"/>
  <c r="B322" i="3" s="1"/>
  <c r="B2" i="3"/>
  <c r="B276" i="3"/>
  <c r="B279" i="3"/>
  <c r="B172" i="3"/>
  <c r="D11" i="41" s="1"/>
  <c r="B285" i="3"/>
  <c r="D91" i="41" s="1"/>
  <c r="C403" i="3"/>
  <c r="C147" i="5"/>
  <c r="C148" i="5"/>
  <c r="C149" i="5"/>
  <c r="C150" i="5"/>
  <c r="C151" i="5"/>
  <c r="C152" i="5"/>
  <c r="C153" i="5"/>
  <c r="C154" i="5"/>
  <c r="C155" i="5"/>
  <c r="C323" i="5"/>
  <c r="C322" i="5"/>
  <c r="C321" i="5"/>
  <c r="C234" i="5"/>
  <c r="C573" i="5"/>
  <c r="C572" i="5"/>
  <c r="C299" i="5"/>
  <c r="B299" i="5"/>
  <c r="B80" i="19"/>
  <c r="C446" i="3" s="1"/>
  <c r="D446" i="3" s="1"/>
  <c r="B446" i="3"/>
  <c r="F63" i="25" s="1"/>
  <c r="B140" i="3"/>
  <c r="B395" i="3" s="1"/>
  <c r="C550" i="5"/>
  <c r="C549" i="5"/>
  <c r="C546" i="5"/>
  <c r="C542" i="5"/>
  <c r="D542" i="5" s="1"/>
  <c r="C233" i="5"/>
  <c r="G304" i="5"/>
  <c r="F304" i="5"/>
  <c r="C49" i="3"/>
  <c r="B113" i="24"/>
  <c r="B114" i="24"/>
  <c r="D67" i="32"/>
  <c r="B26" i="3"/>
  <c r="C757" i="5" s="1"/>
  <c r="B236" i="3"/>
  <c r="B34" i="9"/>
  <c r="B35" i="9"/>
  <c r="F212" i="44"/>
  <c r="F211" i="44"/>
  <c r="I212" i="44"/>
  <c r="B873" i="3"/>
  <c r="D32" i="24"/>
  <c r="C355" i="5"/>
  <c r="D79" i="44"/>
  <c r="C54" i="3"/>
  <c r="C55" i="3"/>
  <c r="C310" i="5"/>
  <c r="H274" i="24"/>
  <c r="H275" i="24"/>
  <c r="H276" i="24"/>
  <c r="H277" i="24"/>
  <c r="H278" i="24"/>
  <c r="H279" i="24"/>
  <c r="H280" i="24"/>
  <c r="H281" i="24"/>
  <c r="H282" i="24"/>
  <c r="H283" i="24"/>
  <c r="H284" i="24"/>
  <c r="H285" i="24"/>
  <c r="H286" i="24"/>
  <c r="H287" i="24"/>
  <c r="H288" i="24"/>
  <c r="H289" i="24"/>
  <c r="H290" i="24"/>
  <c r="H291" i="24"/>
  <c r="H292" i="24"/>
  <c r="H293" i="24"/>
  <c r="H294" i="24"/>
  <c r="H295" i="24"/>
  <c r="H296" i="24"/>
  <c r="H297" i="24"/>
  <c r="H298" i="24"/>
  <c r="H299" i="24"/>
  <c r="H300" i="24"/>
  <c r="H301" i="24"/>
  <c r="H302" i="24"/>
  <c r="H303" i="24"/>
  <c r="H304" i="24"/>
  <c r="H305" i="24"/>
  <c r="H306" i="24"/>
  <c r="H307" i="24"/>
  <c r="H308" i="24"/>
  <c r="H309" i="24"/>
  <c r="H310" i="24"/>
  <c r="H311" i="24"/>
  <c r="H312" i="24"/>
  <c r="H313" i="24"/>
  <c r="H314" i="24"/>
  <c r="H315" i="24"/>
  <c r="H316" i="24"/>
  <c r="H317" i="24"/>
  <c r="H318" i="24"/>
  <c r="H319" i="24"/>
  <c r="H320" i="24"/>
  <c r="H321" i="24"/>
  <c r="H322" i="24"/>
  <c r="H323" i="24"/>
  <c r="H324" i="24"/>
  <c r="H325" i="24"/>
  <c r="H326" i="24"/>
  <c r="H327" i="24"/>
  <c r="H328" i="24"/>
  <c r="H329" i="24"/>
  <c r="H330" i="24"/>
  <c r="H331" i="24"/>
  <c r="H332" i="24"/>
  <c r="H333" i="24"/>
  <c r="H334" i="24"/>
  <c r="H335" i="24"/>
  <c r="H70" i="24"/>
  <c r="H69" i="24"/>
  <c r="H68" i="24"/>
  <c r="H67" i="24"/>
  <c r="H66" i="24"/>
  <c r="H65" i="24"/>
  <c r="H64" i="24"/>
  <c r="H63" i="24"/>
  <c r="H62" i="24"/>
  <c r="B143" i="24"/>
  <c r="C434" i="5"/>
  <c r="D108" i="44"/>
  <c r="F102" i="44" s="1"/>
  <c r="C7" i="24"/>
  <c r="C8" i="24"/>
  <c r="C6" i="24"/>
  <c r="C3" i="24"/>
  <c r="C5"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2" i="24"/>
  <c r="I313" i="24"/>
  <c r="I314" i="24"/>
  <c r="I315" i="24"/>
  <c r="I316" i="24"/>
  <c r="I317" i="24"/>
  <c r="I318" i="24"/>
  <c r="I319" i="24"/>
  <c r="I320" i="24"/>
  <c r="I321" i="24"/>
  <c r="I322" i="24"/>
  <c r="I323" i="24"/>
  <c r="I324" i="24"/>
  <c r="I325" i="24"/>
  <c r="I326" i="24"/>
  <c r="I327" i="24"/>
  <c r="I328" i="24"/>
  <c r="I329" i="24"/>
  <c r="I330" i="24"/>
  <c r="I331" i="24"/>
  <c r="I332" i="24"/>
  <c r="I333" i="24"/>
  <c r="I334" i="24"/>
  <c r="I335" i="24"/>
  <c r="L69" i="3"/>
  <c r="D108" i="25" s="1"/>
  <c r="G63" i="3"/>
  <c r="F63" i="3"/>
  <c r="E63" i="3"/>
  <c r="G68" i="3"/>
  <c r="G69" i="3"/>
  <c r="F68" i="3"/>
  <c r="F69" i="3"/>
  <c r="E68" i="3"/>
  <c r="E69" i="3"/>
  <c r="D68" i="3"/>
  <c r="D69" i="3"/>
  <c r="C68" i="3"/>
  <c r="C69" i="3"/>
  <c r="C63" i="3"/>
  <c r="D63" i="3"/>
  <c r="B68" i="3"/>
  <c r="B69" i="3"/>
  <c r="B63" i="3"/>
  <c r="G54" i="3"/>
  <c r="G55" i="3"/>
  <c r="G49" i="3"/>
  <c r="G50" i="3"/>
  <c r="F54" i="3"/>
  <c r="F55" i="3"/>
  <c r="F49" i="3"/>
  <c r="E54" i="3"/>
  <c r="E55" i="3"/>
  <c r="E49" i="3"/>
  <c r="D54" i="3"/>
  <c r="D55" i="3"/>
  <c r="D49" i="3"/>
  <c r="B54" i="3"/>
  <c r="B55" i="3"/>
  <c r="B49" i="3"/>
  <c r="I112" i="30"/>
  <c r="C279" i="3"/>
  <c r="C112" i="30" s="1"/>
  <c r="D279" i="3"/>
  <c r="D112" i="30" s="1"/>
  <c r="B16" i="44"/>
  <c r="D16" i="44" s="1"/>
  <c r="B42" i="44"/>
  <c r="D42" i="44" s="1"/>
  <c r="B44" i="44"/>
  <c r="D44" i="44" s="1"/>
  <c r="B51" i="44"/>
  <c r="D51" i="44" s="1"/>
  <c r="B375" i="3"/>
  <c r="B244" i="44"/>
  <c r="D244" i="44" s="1"/>
  <c r="C1416" i="5"/>
  <c r="D1416" i="5" s="1"/>
  <c r="C1417" i="5"/>
  <c r="D1417" i="5" s="1"/>
  <c r="F124" i="10"/>
  <c r="B142" i="3"/>
  <c r="C205" i="5" s="1"/>
  <c r="C1394" i="5"/>
  <c r="D1394" i="5" s="1"/>
  <c r="C1453" i="5"/>
  <c r="D1453" i="5" s="1"/>
  <c r="C1454" i="5"/>
  <c r="D1454" i="5" s="1"/>
  <c r="C1455" i="5"/>
  <c r="D1455" i="5" s="1"/>
  <c r="C1456" i="5"/>
  <c r="D1456" i="5" s="1"/>
  <c r="C1457" i="5"/>
  <c r="D1457" i="5" s="1"/>
  <c r="C1452" i="5"/>
  <c r="D1452" i="5" s="1"/>
  <c r="C1449" i="5"/>
  <c r="D1449" i="5" s="1"/>
  <c r="C1445" i="5"/>
  <c r="D1445" i="5" s="1"/>
  <c r="C1446" i="5"/>
  <c r="D1446" i="5" s="1"/>
  <c r="C1447" i="5"/>
  <c r="D1447" i="5" s="1"/>
  <c r="C1448" i="5"/>
  <c r="D1448" i="5" s="1"/>
  <c r="C1444" i="5"/>
  <c r="D1444" i="5" s="1"/>
  <c r="C1442" i="5"/>
  <c r="D1442" i="5" s="1"/>
  <c r="C1441" i="5"/>
  <c r="D1441" i="5" s="1"/>
  <c r="C1434" i="5"/>
  <c r="D1434" i="5" s="1"/>
  <c r="C1435" i="5"/>
  <c r="D1435" i="5" s="1"/>
  <c r="C1436" i="5"/>
  <c r="D1436" i="5" s="1"/>
  <c r="C1433" i="5"/>
  <c r="D1433" i="5" s="1"/>
  <c r="C1418" i="5"/>
  <c r="D1418" i="5" s="1"/>
  <c r="C1419" i="5"/>
  <c r="D1419" i="5" s="1"/>
  <c r="C1420" i="5"/>
  <c r="D1420" i="5" s="1"/>
  <c r="C1421" i="5"/>
  <c r="D1421" i="5" s="1"/>
  <c r="C1422" i="5"/>
  <c r="D1422" i="5" s="1"/>
  <c r="C1423" i="5"/>
  <c r="D1423" i="5" s="1"/>
  <c r="C1424" i="5"/>
  <c r="D1424" i="5" s="1"/>
  <c r="C1425" i="5"/>
  <c r="D1425" i="5" s="1"/>
  <c r="C1426" i="5"/>
  <c r="D1426" i="5" s="1"/>
  <c r="C1409" i="5"/>
  <c r="D1409" i="5" s="1"/>
  <c r="C1410" i="5"/>
  <c r="D1410" i="5" s="1"/>
  <c r="C1411" i="5"/>
  <c r="D1411" i="5" s="1"/>
  <c r="C1412" i="5"/>
  <c r="D1412" i="5" s="1"/>
  <c r="C1408" i="5"/>
  <c r="D1408" i="5" s="1"/>
  <c r="D1371" i="5"/>
  <c r="C1360" i="5"/>
  <c r="D1360" i="5" s="1"/>
  <c r="C1382" i="5"/>
  <c r="D1382" i="5" s="1"/>
  <c r="C1383" i="5"/>
  <c r="D1383" i="5" s="1"/>
  <c r="C1384" i="5"/>
  <c r="D1384" i="5" s="1"/>
  <c r="C1385" i="5"/>
  <c r="D1385" i="5" s="1"/>
  <c r="C1386" i="5"/>
  <c r="D1386" i="5" s="1"/>
  <c r="C1390" i="5"/>
  <c r="D1390" i="5" s="1"/>
  <c r="C1391" i="5"/>
  <c r="D1391" i="5" s="1"/>
  <c r="C1392" i="5"/>
  <c r="D1392" i="5" s="1"/>
  <c r="C1393" i="5"/>
  <c r="D1393" i="5" s="1"/>
  <c r="C1395" i="5"/>
  <c r="D1395" i="5" s="1"/>
  <c r="C1396" i="5"/>
  <c r="D1396" i="5" s="1"/>
  <c r="C1397" i="5"/>
  <c r="D1397" i="5" s="1"/>
  <c r="C1398" i="5"/>
  <c r="D1398" i="5" s="1"/>
  <c r="C1399" i="5"/>
  <c r="D1399" i="5" s="1"/>
  <c r="C1400" i="5"/>
  <c r="D1400" i="5" s="1"/>
  <c r="C1406" i="5"/>
  <c r="D1406" i="5" s="1"/>
  <c r="C1381" i="5"/>
  <c r="D1381" i="5" s="1"/>
  <c r="C1379" i="5"/>
  <c r="D1379" i="5" s="1"/>
  <c r="C1378" i="5"/>
  <c r="D1378" i="5" s="1"/>
  <c r="C1377" i="5"/>
  <c r="D1377" i="5" s="1"/>
  <c r="C1376" i="5"/>
  <c r="D1376" i="5" s="1"/>
  <c r="C1375" i="5"/>
  <c r="D1375" i="5" s="1"/>
  <c r="C1374" i="5"/>
  <c r="D1374" i="5" s="1"/>
  <c r="C1373" i="5"/>
  <c r="D1373" i="5" s="1"/>
  <c r="C1372" i="5"/>
  <c r="D1372" i="5" s="1"/>
  <c r="C1370" i="5"/>
  <c r="D1370" i="5" s="1"/>
  <c r="C1369" i="5"/>
  <c r="D1369" i="5" s="1"/>
  <c r="C1368" i="5"/>
  <c r="D1368" i="5" s="1"/>
  <c r="C1367" i="5"/>
  <c r="D1367" i="5" s="1"/>
  <c r="C1366" i="5"/>
  <c r="D1366" i="5" s="1"/>
  <c r="C1365" i="5"/>
  <c r="D1365" i="5" s="1"/>
  <c r="C1364" i="5"/>
  <c r="D1364" i="5" s="1"/>
  <c r="C1363" i="5"/>
  <c r="D1363" i="5" s="1"/>
  <c r="C1362" i="5"/>
  <c r="D1362" i="5" s="1"/>
  <c r="C1361" i="5"/>
  <c r="D1361" i="5" s="1"/>
  <c r="B22" i="3"/>
  <c r="B637" i="3" s="1"/>
  <c r="D181" i="3"/>
  <c r="D15" i="30" s="1"/>
  <c r="B7" i="3"/>
  <c r="B457" i="3" s="1"/>
  <c r="B50" i="3"/>
  <c r="B51" i="3"/>
  <c r="B52" i="3"/>
  <c r="B53" i="3"/>
  <c r="B58" i="3"/>
  <c r="B59" i="3"/>
  <c r="C50" i="3"/>
  <c r="C51" i="3"/>
  <c r="C52" i="3"/>
  <c r="C53" i="3"/>
  <c r="C58" i="3"/>
  <c r="C59" i="3"/>
  <c r="D50" i="3"/>
  <c r="D51" i="3"/>
  <c r="D52" i="3"/>
  <c r="D53" i="3"/>
  <c r="D58" i="3"/>
  <c r="D59" i="3"/>
  <c r="E50" i="3"/>
  <c r="E51" i="3"/>
  <c r="E52" i="3"/>
  <c r="E53" i="3"/>
  <c r="E58" i="3"/>
  <c r="E59" i="3"/>
  <c r="F50" i="3"/>
  <c r="F51" i="3"/>
  <c r="F52" i="3"/>
  <c r="F53" i="3"/>
  <c r="F58" i="3"/>
  <c r="F59" i="3"/>
  <c r="G51" i="3"/>
  <c r="G52" i="3"/>
  <c r="G53" i="3"/>
  <c r="G58" i="3"/>
  <c r="G59" i="3"/>
  <c r="B665" i="3"/>
  <c r="B123" i="3"/>
  <c r="E14" i="43" s="1"/>
  <c r="B479" i="3"/>
  <c r="F77" i="25" s="1"/>
  <c r="B642" i="3"/>
  <c r="B173" i="3"/>
  <c r="B174" i="3"/>
  <c r="B177" i="3"/>
  <c r="B178" i="3"/>
  <c r="B182" i="3"/>
  <c r="B183" i="3"/>
  <c r="B17" i="30" s="1"/>
  <c r="B184" i="3"/>
  <c r="B185" i="3"/>
  <c r="B186" i="3"/>
  <c r="B187" i="3"/>
  <c r="B188" i="3"/>
  <c r="B189" i="3"/>
  <c r="B190" i="3"/>
  <c r="B191" i="3"/>
  <c r="B192" i="3"/>
  <c r="B26" i="30" s="1"/>
  <c r="B193" i="3"/>
  <c r="B27" i="30" s="1"/>
  <c r="B194" i="3"/>
  <c r="B28" i="30" s="1"/>
  <c r="B197" i="3"/>
  <c r="B198" i="3"/>
  <c r="B199" i="3"/>
  <c r="B200" i="3"/>
  <c r="B201" i="3"/>
  <c r="B202" i="3"/>
  <c r="B203" i="3"/>
  <c r="B204" i="3"/>
  <c r="B205" i="3"/>
  <c r="B206" i="3"/>
  <c r="B40" i="30" s="1"/>
  <c r="B207" i="3"/>
  <c r="B208" i="3"/>
  <c r="B209" i="3"/>
  <c r="B43" i="30" s="1"/>
  <c r="B210" i="3"/>
  <c r="B44" i="30" s="1"/>
  <c r="B47" i="30"/>
  <c r="B214" i="3"/>
  <c r="B215" i="3"/>
  <c r="B216" i="3"/>
  <c r="B217" i="3"/>
  <c r="B218" i="3"/>
  <c r="B219" i="3"/>
  <c r="B53" i="30" s="1"/>
  <c r="B220" i="3"/>
  <c r="B221" i="3"/>
  <c r="B222" i="3"/>
  <c r="B223" i="3"/>
  <c r="B224" i="3"/>
  <c r="B225" i="3"/>
  <c r="B226" i="3"/>
  <c r="F226" i="3" s="1"/>
  <c r="B228" i="3"/>
  <c r="B61" i="30" s="1"/>
  <c r="B229" i="3"/>
  <c r="B62" i="30" s="1"/>
  <c r="B230" i="3"/>
  <c r="B63" i="30" s="1"/>
  <c r="B233" i="3"/>
  <c r="B234" i="3"/>
  <c r="B235" i="3"/>
  <c r="B237" i="3"/>
  <c r="B238" i="3"/>
  <c r="B239" i="3"/>
  <c r="B240" i="3"/>
  <c r="B241" i="3"/>
  <c r="B242" i="3"/>
  <c r="B75" i="30" s="1"/>
  <c r="B243" i="3"/>
  <c r="B76" i="30" s="1"/>
  <c r="B244" i="3"/>
  <c r="B245" i="3"/>
  <c r="B78" i="30" s="1"/>
  <c r="B246" i="3"/>
  <c r="B79" i="30" s="1"/>
  <c r="B249" i="3"/>
  <c r="B250" i="3"/>
  <c r="B251" i="3"/>
  <c r="B252" i="3"/>
  <c r="B253" i="3"/>
  <c r="B254" i="3"/>
  <c r="B255" i="3"/>
  <c r="B256" i="3"/>
  <c r="B257" i="3"/>
  <c r="B258" i="3"/>
  <c r="B259" i="3"/>
  <c r="B260" i="3"/>
  <c r="B261" i="3"/>
  <c r="B262" i="3"/>
  <c r="B263" i="3"/>
  <c r="B264" i="3"/>
  <c r="B97" i="30" s="1"/>
  <c r="B265" i="3"/>
  <c r="B98" i="30" s="1"/>
  <c r="B268" i="3"/>
  <c r="B269" i="3"/>
  <c r="B270" i="3"/>
  <c r="B271" i="3"/>
  <c r="B272" i="3"/>
  <c r="B105" i="30" s="1"/>
  <c r="B273" i="3"/>
  <c r="B106" i="30" s="1"/>
  <c r="B277" i="3"/>
  <c r="B110" i="30" s="1"/>
  <c r="B278" i="3"/>
  <c r="B280" i="3"/>
  <c r="D84" i="41" s="1"/>
  <c r="B281" i="3"/>
  <c r="B282" i="3"/>
  <c r="B118" i="30"/>
  <c r="B286" i="3"/>
  <c r="B287" i="3"/>
  <c r="B288" i="3"/>
  <c r="B289" i="3"/>
  <c r="B290" i="3"/>
  <c r="D172" i="3"/>
  <c r="D6" i="30" s="1"/>
  <c r="D177" i="3"/>
  <c r="D11" i="30" s="1"/>
  <c r="D178" i="3"/>
  <c r="D12" i="30" s="1"/>
  <c r="D182" i="3"/>
  <c r="D16" i="30" s="1"/>
  <c r="D183" i="3"/>
  <c r="D17" i="30" s="1"/>
  <c r="D184" i="3"/>
  <c r="D18" i="30" s="1"/>
  <c r="D185" i="3"/>
  <c r="D19" i="30" s="1"/>
  <c r="D186" i="3"/>
  <c r="D20" i="30" s="1"/>
  <c r="D187" i="3"/>
  <c r="D21" i="30" s="1"/>
  <c r="D188" i="3"/>
  <c r="D22" i="30" s="1"/>
  <c r="D189" i="3"/>
  <c r="D23" i="30" s="1"/>
  <c r="D190" i="3"/>
  <c r="D24" i="30" s="1"/>
  <c r="D191" i="3"/>
  <c r="D25" i="30" s="1"/>
  <c r="D192" i="3"/>
  <c r="D26" i="30" s="1"/>
  <c r="D193" i="3"/>
  <c r="D27" i="30" s="1"/>
  <c r="D194" i="3"/>
  <c r="D28" i="30" s="1"/>
  <c r="D197" i="3"/>
  <c r="D31" i="30" s="1"/>
  <c r="D198" i="3"/>
  <c r="D32" i="30" s="1"/>
  <c r="D199" i="3"/>
  <c r="D33" i="30" s="1"/>
  <c r="D200" i="3"/>
  <c r="D34" i="30" s="1"/>
  <c r="D201" i="3"/>
  <c r="D35" i="30" s="1"/>
  <c r="D202" i="3"/>
  <c r="D36" i="30" s="1"/>
  <c r="D203" i="3"/>
  <c r="D37" i="30" s="1"/>
  <c r="D204" i="3"/>
  <c r="D38" i="30" s="1"/>
  <c r="D205" i="3"/>
  <c r="D39" i="30" s="1"/>
  <c r="D206" i="3"/>
  <c r="D40" i="30" s="1"/>
  <c r="D207" i="3"/>
  <c r="D41" i="30" s="1"/>
  <c r="D208" i="3"/>
  <c r="D42" i="30" s="1"/>
  <c r="D209" i="3"/>
  <c r="D43" i="30" s="1"/>
  <c r="D210" i="3"/>
  <c r="D44" i="30" s="1"/>
  <c r="D213" i="3"/>
  <c r="D47" i="30" s="1"/>
  <c r="D214" i="3"/>
  <c r="D48" i="30" s="1"/>
  <c r="D215" i="3"/>
  <c r="D49" i="30" s="1"/>
  <c r="D216" i="3"/>
  <c r="D50" i="30" s="1"/>
  <c r="D217" i="3"/>
  <c r="D51" i="30" s="1"/>
  <c r="D218" i="3"/>
  <c r="D52" i="30" s="1"/>
  <c r="D219" i="3"/>
  <c r="D53" i="30" s="1"/>
  <c r="D220" i="3"/>
  <c r="D54" i="30" s="1"/>
  <c r="D221" i="3"/>
  <c r="D55" i="30" s="1"/>
  <c r="D222" i="3"/>
  <c r="D56" i="30" s="1"/>
  <c r="D223" i="3"/>
  <c r="D57" i="30" s="1"/>
  <c r="D224" i="3"/>
  <c r="D58" i="30" s="1"/>
  <c r="D225" i="3"/>
  <c r="D59" i="30" s="1"/>
  <c r="D60" i="30"/>
  <c r="D228" i="3"/>
  <c r="D61" i="30" s="1"/>
  <c r="D229" i="3"/>
  <c r="D62" i="30" s="1"/>
  <c r="D230" i="3"/>
  <c r="D63" i="30" s="1"/>
  <c r="D250" i="3"/>
  <c r="D83" i="30" s="1"/>
  <c r="D251" i="3"/>
  <c r="D84" i="30" s="1"/>
  <c r="D252" i="3"/>
  <c r="D85" i="30" s="1"/>
  <c r="D253" i="3"/>
  <c r="D86" i="30" s="1"/>
  <c r="D254" i="3"/>
  <c r="D87" i="30" s="1"/>
  <c r="D255" i="3"/>
  <c r="D88" i="30" s="1"/>
  <c r="D258" i="3"/>
  <c r="D91" i="30" s="1"/>
  <c r="D259" i="3"/>
  <c r="D92" i="30" s="1"/>
  <c r="D260" i="3"/>
  <c r="D93" i="30" s="1"/>
  <c r="D261" i="3"/>
  <c r="D94" i="30" s="1"/>
  <c r="D262" i="3"/>
  <c r="D95" i="30" s="1"/>
  <c r="D263" i="3"/>
  <c r="D96" i="30" s="1"/>
  <c r="D264" i="3"/>
  <c r="D97" i="30" s="1"/>
  <c r="D265" i="3"/>
  <c r="D98" i="30" s="1"/>
  <c r="D276" i="3"/>
  <c r="D109" i="30" s="1"/>
  <c r="D277" i="3"/>
  <c r="D110" i="30" s="1"/>
  <c r="D278" i="3"/>
  <c r="D111" i="30" s="1"/>
  <c r="D280" i="3"/>
  <c r="D113" i="30" s="1"/>
  <c r="D281" i="3"/>
  <c r="D114" i="30" s="1"/>
  <c r="D282" i="3"/>
  <c r="D115" i="30" s="1"/>
  <c r="C173" i="3"/>
  <c r="C7" i="30" s="1"/>
  <c r="B470" i="3"/>
  <c r="B124" i="3"/>
  <c r="E22" i="43" s="1"/>
  <c r="B125" i="3"/>
  <c r="E30" i="43" s="1"/>
  <c r="B129" i="3"/>
  <c r="B130" i="3"/>
  <c r="B131" i="3"/>
  <c r="B132" i="3"/>
  <c r="B133" i="3"/>
  <c r="B134" i="3"/>
  <c r="B139" i="3"/>
  <c r="D53" i="32" s="1"/>
  <c r="B141" i="3"/>
  <c r="B485" i="3"/>
  <c r="B503" i="3"/>
  <c r="B628" i="3"/>
  <c r="M53" i="3"/>
  <c r="I10" i="41" s="1"/>
  <c r="M54" i="3"/>
  <c r="C10" i="3"/>
  <c r="C301" i="5"/>
  <c r="B3449" i="44"/>
  <c r="D3449" i="44" s="1"/>
  <c r="B3448" i="44"/>
  <c r="D3448" i="44" s="1"/>
  <c r="B3447" i="44"/>
  <c r="D3447" i="44" s="1"/>
  <c r="B3426" i="44"/>
  <c r="D3426" i="44" s="1"/>
  <c r="B3425" i="44"/>
  <c r="D3425" i="44" s="1"/>
  <c r="B3424" i="44"/>
  <c r="D3424" i="44" s="1"/>
  <c r="B3423" i="44"/>
  <c r="D3423" i="44" s="1"/>
  <c r="B3422" i="44"/>
  <c r="D3422" i="44" s="1"/>
  <c r="B3421" i="44"/>
  <c r="D3421" i="44" s="1"/>
  <c r="B3385" i="44"/>
  <c r="D3385" i="44" s="1"/>
  <c r="B3384" i="44"/>
  <c r="D3384" i="44" s="1"/>
  <c r="B3383" i="44"/>
  <c r="D3383" i="44" s="1"/>
  <c r="B113" i="32"/>
  <c r="B112" i="32"/>
  <c r="B105" i="32"/>
  <c r="B106" i="32"/>
  <c r="B107" i="32"/>
  <c r="B108" i="32"/>
  <c r="B109" i="32"/>
  <c r="B110" i="32"/>
  <c r="B111" i="32"/>
  <c r="B104" i="32"/>
  <c r="B88" i="32"/>
  <c r="B89" i="32"/>
  <c r="B90" i="32"/>
  <c r="B91" i="32"/>
  <c r="B92" i="32"/>
  <c r="B93" i="32"/>
  <c r="B94" i="32"/>
  <c r="B95" i="32"/>
  <c r="B96" i="32"/>
  <c r="B87" i="32"/>
  <c r="B142" i="24"/>
  <c r="B144" i="24"/>
  <c r="B145" i="24"/>
  <c r="B140" i="24"/>
  <c r="B139" i="24"/>
  <c r="B131" i="24"/>
  <c r="B132" i="24"/>
  <c r="B133" i="24"/>
  <c r="B134" i="24"/>
  <c r="B135" i="24"/>
  <c r="B136" i="24"/>
  <c r="B137" i="24"/>
  <c r="B130" i="24"/>
  <c r="B122" i="24"/>
  <c r="B121" i="24"/>
  <c r="B115" i="24"/>
  <c r="B116" i="24"/>
  <c r="B117" i="24"/>
  <c r="B118" i="24"/>
  <c r="B119" i="24"/>
  <c r="B112" i="24"/>
  <c r="B274" i="24"/>
  <c r="C274" i="24"/>
  <c r="D274" i="24"/>
  <c r="E274" i="24"/>
  <c r="F274" i="24"/>
  <c r="G274" i="24"/>
  <c r="B275" i="24"/>
  <c r="C275" i="24"/>
  <c r="D275" i="24"/>
  <c r="E275" i="24"/>
  <c r="F275" i="24"/>
  <c r="G275" i="24"/>
  <c r="B276" i="24"/>
  <c r="C276" i="24"/>
  <c r="D276" i="24"/>
  <c r="E276" i="24"/>
  <c r="F276" i="24"/>
  <c r="G276" i="24"/>
  <c r="B277" i="24"/>
  <c r="C277" i="24"/>
  <c r="D277" i="24"/>
  <c r="E277" i="24"/>
  <c r="F277" i="24"/>
  <c r="G277" i="24"/>
  <c r="B278" i="24"/>
  <c r="C278" i="24"/>
  <c r="D278" i="24"/>
  <c r="E278" i="24"/>
  <c r="F278" i="24"/>
  <c r="G278" i="24"/>
  <c r="B279" i="24"/>
  <c r="C279" i="24"/>
  <c r="D279" i="24"/>
  <c r="E279" i="24"/>
  <c r="F279" i="24"/>
  <c r="G279" i="24"/>
  <c r="B280" i="24"/>
  <c r="C280" i="24"/>
  <c r="D280" i="24"/>
  <c r="E280" i="24"/>
  <c r="F280" i="24"/>
  <c r="G280" i="24"/>
  <c r="B281" i="24"/>
  <c r="C281" i="24"/>
  <c r="D281" i="24"/>
  <c r="E281" i="24"/>
  <c r="F281" i="24"/>
  <c r="G281" i="24"/>
  <c r="B282" i="24"/>
  <c r="C282" i="24"/>
  <c r="D282" i="24"/>
  <c r="E282" i="24"/>
  <c r="F282" i="24"/>
  <c r="G282" i="24"/>
  <c r="B283" i="24"/>
  <c r="C283" i="24"/>
  <c r="D283" i="24"/>
  <c r="E283" i="24"/>
  <c r="F283" i="24"/>
  <c r="G283" i="24"/>
  <c r="B284" i="24"/>
  <c r="C284" i="24"/>
  <c r="D284" i="24"/>
  <c r="E284" i="24"/>
  <c r="F284" i="24"/>
  <c r="G284" i="24"/>
  <c r="B285" i="24"/>
  <c r="C285" i="24"/>
  <c r="D285" i="24"/>
  <c r="E285" i="24"/>
  <c r="F285" i="24"/>
  <c r="G285" i="24"/>
  <c r="B286" i="24"/>
  <c r="C286" i="24"/>
  <c r="D286" i="24"/>
  <c r="E286" i="24"/>
  <c r="F286" i="24"/>
  <c r="G286" i="24"/>
  <c r="B287" i="24"/>
  <c r="C287" i="24"/>
  <c r="D287" i="24"/>
  <c r="E287" i="24"/>
  <c r="F287" i="24"/>
  <c r="G287" i="24"/>
  <c r="B288" i="24"/>
  <c r="C288" i="24"/>
  <c r="D288" i="24"/>
  <c r="E288" i="24"/>
  <c r="F288" i="24"/>
  <c r="G288" i="24"/>
  <c r="B289" i="24"/>
  <c r="C289" i="24"/>
  <c r="D289" i="24"/>
  <c r="E289" i="24"/>
  <c r="F289" i="24"/>
  <c r="G289" i="24"/>
  <c r="B290" i="24"/>
  <c r="C290" i="24"/>
  <c r="D290" i="24"/>
  <c r="E290" i="24"/>
  <c r="F290" i="24"/>
  <c r="G290" i="24"/>
  <c r="B291" i="24"/>
  <c r="C291" i="24"/>
  <c r="D291" i="24"/>
  <c r="E291" i="24"/>
  <c r="F291" i="24"/>
  <c r="G291" i="24"/>
  <c r="B292" i="24"/>
  <c r="C292" i="24"/>
  <c r="D292" i="24"/>
  <c r="E292" i="24"/>
  <c r="F292" i="24"/>
  <c r="G292" i="24"/>
  <c r="B293" i="24"/>
  <c r="C293" i="24"/>
  <c r="D293" i="24"/>
  <c r="E293" i="24"/>
  <c r="F293" i="24"/>
  <c r="G293" i="24"/>
  <c r="B294" i="24"/>
  <c r="C294" i="24"/>
  <c r="D294" i="24"/>
  <c r="E294" i="24"/>
  <c r="F294" i="24"/>
  <c r="G294" i="24"/>
  <c r="B295" i="24"/>
  <c r="C295" i="24"/>
  <c r="D295" i="24"/>
  <c r="E295" i="24"/>
  <c r="F295" i="24"/>
  <c r="G295" i="24"/>
  <c r="B296" i="24"/>
  <c r="C296" i="24"/>
  <c r="D296" i="24"/>
  <c r="E296" i="24"/>
  <c r="F296" i="24"/>
  <c r="G296" i="24"/>
  <c r="B297" i="24"/>
  <c r="C297" i="24"/>
  <c r="D297" i="24"/>
  <c r="E297" i="24"/>
  <c r="F297" i="24"/>
  <c r="G297" i="24"/>
  <c r="B298" i="24"/>
  <c r="C298" i="24"/>
  <c r="D298" i="24"/>
  <c r="E298" i="24"/>
  <c r="F298" i="24"/>
  <c r="G298" i="24"/>
  <c r="B299" i="24"/>
  <c r="C299" i="24"/>
  <c r="D299" i="24"/>
  <c r="E299" i="24"/>
  <c r="F299" i="24"/>
  <c r="G299" i="24"/>
  <c r="B300" i="24"/>
  <c r="C300" i="24"/>
  <c r="D300" i="24"/>
  <c r="E300" i="24"/>
  <c r="F300" i="24"/>
  <c r="G300" i="24"/>
  <c r="B301" i="24"/>
  <c r="C301" i="24"/>
  <c r="D301" i="24"/>
  <c r="E301" i="24"/>
  <c r="F301" i="24"/>
  <c r="G301" i="24"/>
  <c r="B302" i="24"/>
  <c r="C302" i="24"/>
  <c r="D302" i="24"/>
  <c r="E302" i="24"/>
  <c r="F302" i="24"/>
  <c r="G302" i="24"/>
  <c r="B303" i="24"/>
  <c r="C303" i="24"/>
  <c r="D303" i="24"/>
  <c r="E303" i="24"/>
  <c r="F303" i="24"/>
  <c r="G303" i="24"/>
  <c r="B304" i="24"/>
  <c r="C304" i="24"/>
  <c r="D304" i="24"/>
  <c r="E304" i="24"/>
  <c r="F304" i="24"/>
  <c r="G304" i="24"/>
  <c r="B305" i="24"/>
  <c r="C305" i="24"/>
  <c r="D305" i="24"/>
  <c r="E305" i="24"/>
  <c r="F305" i="24"/>
  <c r="G305" i="24"/>
  <c r="B306" i="24"/>
  <c r="C306" i="24"/>
  <c r="D306" i="24"/>
  <c r="E306" i="24"/>
  <c r="F306" i="24"/>
  <c r="G306" i="24"/>
  <c r="B307" i="24"/>
  <c r="C307" i="24"/>
  <c r="D307" i="24"/>
  <c r="E307" i="24"/>
  <c r="F307" i="24"/>
  <c r="G307" i="24"/>
  <c r="B308" i="24"/>
  <c r="C308" i="24"/>
  <c r="D308" i="24"/>
  <c r="E308" i="24"/>
  <c r="F308" i="24"/>
  <c r="G308" i="24"/>
  <c r="B309" i="24"/>
  <c r="C309" i="24"/>
  <c r="D309" i="24"/>
  <c r="E309" i="24"/>
  <c r="F309" i="24"/>
  <c r="G309" i="24"/>
  <c r="B310" i="24"/>
  <c r="C310" i="24"/>
  <c r="D310" i="24"/>
  <c r="E310" i="24"/>
  <c r="F310" i="24"/>
  <c r="G310" i="24"/>
  <c r="B311" i="24"/>
  <c r="C311" i="24"/>
  <c r="D311" i="24"/>
  <c r="E311" i="24"/>
  <c r="F311" i="24"/>
  <c r="G311" i="24"/>
  <c r="B312" i="24"/>
  <c r="C312" i="24"/>
  <c r="D312" i="24"/>
  <c r="E312" i="24"/>
  <c r="F312" i="24"/>
  <c r="G312" i="24"/>
  <c r="B313" i="24"/>
  <c r="C313" i="24"/>
  <c r="D313" i="24"/>
  <c r="E313" i="24"/>
  <c r="F313" i="24"/>
  <c r="G313" i="24"/>
  <c r="B314" i="24"/>
  <c r="C314" i="24"/>
  <c r="D314" i="24"/>
  <c r="E314" i="24"/>
  <c r="F314" i="24"/>
  <c r="G314" i="24"/>
  <c r="B315" i="24"/>
  <c r="C315" i="24"/>
  <c r="D315" i="24"/>
  <c r="E315" i="24"/>
  <c r="F315" i="24"/>
  <c r="G315" i="24"/>
  <c r="B316" i="24"/>
  <c r="C316" i="24"/>
  <c r="D316" i="24"/>
  <c r="E316" i="24"/>
  <c r="F316" i="24"/>
  <c r="G316" i="24"/>
  <c r="B317" i="24"/>
  <c r="C317" i="24"/>
  <c r="D317" i="24"/>
  <c r="E317" i="24"/>
  <c r="F317" i="24"/>
  <c r="G317" i="24"/>
  <c r="B318" i="24"/>
  <c r="C318" i="24"/>
  <c r="D318" i="24"/>
  <c r="E318" i="24"/>
  <c r="F318" i="24"/>
  <c r="G318" i="24"/>
  <c r="B319" i="24"/>
  <c r="C319" i="24"/>
  <c r="D319" i="24"/>
  <c r="E319" i="24"/>
  <c r="F319" i="24"/>
  <c r="G319" i="24"/>
  <c r="B320" i="24"/>
  <c r="C320" i="24"/>
  <c r="D320" i="24"/>
  <c r="E320" i="24"/>
  <c r="F320" i="24"/>
  <c r="G320" i="24"/>
  <c r="B321" i="24"/>
  <c r="C321" i="24"/>
  <c r="D321" i="24"/>
  <c r="E321" i="24"/>
  <c r="F321" i="24"/>
  <c r="G321" i="24"/>
  <c r="B322" i="24"/>
  <c r="C322" i="24"/>
  <c r="D322" i="24"/>
  <c r="E322" i="24"/>
  <c r="F322" i="24"/>
  <c r="G322" i="24"/>
  <c r="B323" i="24"/>
  <c r="C323" i="24"/>
  <c r="D323" i="24"/>
  <c r="E323" i="24"/>
  <c r="F323" i="24"/>
  <c r="G323" i="24"/>
  <c r="B324" i="24"/>
  <c r="C324" i="24"/>
  <c r="D324" i="24"/>
  <c r="E324" i="24"/>
  <c r="F324" i="24"/>
  <c r="G324" i="24"/>
  <c r="B325" i="24"/>
  <c r="C325" i="24"/>
  <c r="D325" i="24"/>
  <c r="E325" i="24"/>
  <c r="F325" i="24"/>
  <c r="G325" i="24"/>
  <c r="B326" i="24"/>
  <c r="C326" i="24"/>
  <c r="D326" i="24"/>
  <c r="E326" i="24"/>
  <c r="F326" i="24"/>
  <c r="G326" i="24"/>
  <c r="B327" i="24"/>
  <c r="C327" i="24"/>
  <c r="D327" i="24"/>
  <c r="E327" i="24"/>
  <c r="F327" i="24"/>
  <c r="G327" i="24"/>
  <c r="B328" i="24"/>
  <c r="C328" i="24"/>
  <c r="D328" i="24"/>
  <c r="E328" i="24"/>
  <c r="F328" i="24"/>
  <c r="G328" i="24"/>
  <c r="B329" i="24"/>
  <c r="C329" i="24"/>
  <c r="D329" i="24"/>
  <c r="E329" i="24"/>
  <c r="F329" i="24"/>
  <c r="G329" i="24"/>
  <c r="B330" i="24"/>
  <c r="C330" i="24"/>
  <c r="D330" i="24"/>
  <c r="E330" i="24"/>
  <c r="F330" i="24"/>
  <c r="G330" i="24"/>
  <c r="B331" i="24"/>
  <c r="C331" i="24"/>
  <c r="D331" i="24"/>
  <c r="E331" i="24"/>
  <c r="F331" i="24"/>
  <c r="G331" i="24"/>
  <c r="B332" i="24"/>
  <c r="C332" i="24"/>
  <c r="D332" i="24"/>
  <c r="E332" i="24"/>
  <c r="F332" i="24"/>
  <c r="G332" i="24"/>
  <c r="B333" i="24"/>
  <c r="C333" i="24"/>
  <c r="D333" i="24"/>
  <c r="E333" i="24"/>
  <c r="F333" i="24"/>
  <c r="G333" i="24"/>
  <c r="B334" i="24"/>
  <c r="C334" i="24"/>
  <c r="D334" i="24"/>
  <c r="E334" i="24"/>
  <c r="F334" i="24"/>
  <c r="G334" i="24"/>
  <c r="B335" i="24"/>
  <c r="C335" i="24"/>
  <c r="D335" i="24"/>
  <c r="E335" i="24"/>
  <c r="F335" i="24"/>
  <c r="G335" i="24"/>
  <c r="A890" i="3"/>
  <c r="B890" i="3"/>
  <c r="A891" i="3"/>
  <c r="B891" i="3"/>
  <c r="A892" i="3"/>
  <c r="B218" i="24" s="1"/>
  <c r="B892" i="3"/>
  <c r="A893" i="3"/>
  <c r="C16" i="42" s="1"/>
  <c r="B893" i="3"/>
  <c r="C219" i="24" s="1"/>
  <c r="A894" i="3"/>
  <c r="B158" i="32" s="1"/>
  <c r="B894" i="3"/>
  <c r="A895" i="3"/>
  <c r="C18" i="42" s="1"/>
  <c r="B895" i="3"/>
  <c r="A896" i="3"/>
  <c r="C19" i="42" s="1"/>
  <c r="B896" i="3"/>
  <c r="C222" i="24" s="1"/>
  <c r="A897" i="3"/>
  <c r="C20" i="42" s="1"/>
  <c r="B897" i="3"/>
  <c r="A898" i="3"/>
  <c r="B898" i="3"/>
  <c r="A899" i="3"/>
  <c r="C22" i="42" s="1"/>
  <c r="B899" i="3"/>
  <c r="A900" i="3"/>
  <c r="C23" i="42" s="1"/>
  <c r="B900" i="3"/>
  <c r="C226" i="24" s="1"/>
  <c r="A901" i="3"/>
  <c r="C24" i="42" s="1"/>
  <c r="B901" i="3"/>
  <c r="B24" i="42" s="1"/>
  <c r="A902" i="3"/>
  <c r="C25" i="42" s="1"/>
  <c r="B902" i="3"/>
  <c r="B25" i="42" s="1"/>
  <c r="A903" i="3"/>
  <c r="C26" i="42" s="1"/>
  <c r="B903" i="3"/>
  <c r="B26" i="42" s="1"/>
  <c r="A904" i="3"/>
  <c r="C27" i="42" s="1"/>
  <c r="B904" i="3"/>
  <c r="A905" i="3"/>
  <c r="C28" i="42" s="1"/>
  <c r="B905" i="3"/>
  <c r="B28" i="42" s="1"/>
  <c r="A906" i="3"/>
  <c r="C29" i="42" s="1"/>
  <c r="B906" i="3"/>
  <c r="B29" i="42" s="1"/>
  <c r="A907" i="3"/>
  <c r="C30" i="42" s="1"/>
  <c r="B907" i="3"/>
  <c r="B30" i="42" s="1"/>
  <c r="A908" i="3"/>
  <c r="C31" i="42" s="1"/>
  <c r="B908" i="3"/>
  <c r="A909" i="3"/>
  <c r="C32" i="42" s="1"/>
  <c r="B909" i="3"/>
  <c r="B32" i="42" s="1"/>
  <c r="A910" i="3"/>
  <c r="B910" i="3"/>
  <c r="B33" i="42" s="1"/>
  <c r="A911" i="3"/>
  <c r="C34" i="42" s="1"/>
  <c r="B911" i="3"/>
  <c r="A912" i="3"/>
  <c r="B912" i="3"/>
  <c r="A913" i="3"/>
  <c r="C36" i="42" s="1"/>
  <c r="B913" i="3"/>
  <c r="A914" i="3"/>
  <c r="B914" i="3"/>
  <c r="A915" i="3"/>
  <c r="C38" i="42" s="1"/>
  <c r="B915" i="3"/>
  <c r="A916" i="3"/>
  <c r="B916" i="3"/>
  <c r="A917" i="3"/>
  <c r="C40" i="42" s="1"/>
  <c r="B917" i="3"/>
  <c r="A918" i="3"/>
  <c r="B918" i="3"/>
  <c r="A919" i="3"/>
  <c r="C42" i="42" s="1"/>
  <c r="B919" i="3"/>
  <c r="A920" i="3"/>
  <c r="B184" i="32" s="1"/>
  <c r="B920" i="3"/>
  <c r="C184" i="32" s="1"/>
  <c r="A921" i="3"/>
  <c r="B921" i="3"/>
  <c r="C185" i="32" s="1"/>
  <c r="A922" i="3"/>
  <c r="B186" i="32" s="1"/>
  <c r="B922" i="3"/>
  <c r="C186" i="32" s="1"/>
  <c r="A923" i="3"/>
  <c r="B923" i="3"/>
  <c r="C187" i="32" s="1"/>
  <c r="A924" i="3"/>
  <c r="B250" i="24" s="1"/>
  <c r="B924" i="3"/>
  <c r="C188" i="32" s="1"/>
  <c r="A925" i="3"/>
  <c r="B189" i="32" s="1"/>
  <c r="B925" i="3"/>
  <c r="C189" i="32" s="1"/>
  <c r="A926" i="3"/>
  <c r="B252" i="24" s="1"/>
  <c r="B926" i="3"/>
  <c r="C190" i="32" s="1"/>
  <c r="A927" i="3"/>
  <c r="B927" i="3"/>
  <c r="C191" i="32" s="1"/>
  <c r="A928" i="3"/>
  <c r="B254" i="24" s="1"/>
  <c r="B928" i="3"/>
  <c r="C192" i="32" s="1"/>
  <c r="A929" i="3"/>
  <c r="B193" i="32" s="1"/>
  <c r="B929" i="3"/>
  <c r="C193" i="32" s="1"/>
  <c r="A930" i="3"/>
  <c r="B194" i="32" s="1"/>
  <c r="B930" i="3"/>
  <c r="C194" i="32" s="1"/>
  <c r="A931" i="3"/>
  <c r="B931" i="3"/>
  <c r="C195" i="32" s="1"/>
  <c r="A932" i="3"/>
  <c r="B258" i="24" s="1"/>
  <c r="B932" i="3"/>
  <c r="C196" i="32" s="1"/>
  <c r="A933" i="3"/>
  <c r="B933" i="3"/>
  <c r="C197" i="32" s="1"/>
  <c r="A934" i="3"/>
  <c r="B260" i="24" s="1"/>
  <c r="B934" i="3"/>
  <c r="C198" i="32" s="1"/>
  <c r="A935" i="3"/>
  <c r="B935" i="3"/>
  <c r="C199" i="32" s="1"/>
  <c r="A936" i="3"/>
  <c r="B262" i="24" s="1"/>
  <c r="B936" i="3"/>
  <c r="C200" i="32" s="1"/>
  <c r="A937" i="3"/>
  <c r="B263" i="24" s="1"/>
  <c r="B937" i="3"/>
  <c r="C201" i="32" s="1"/>
  <c r="A938" i="3"/>
  <c r="B202" i="32" s="1"/>
  <c r="B938" i="3"/>
  <c r="C202" i="32" s="1"/>
  <c r="A939" i="3"/>
  <c r="B939" i="3"/>
  <c r="C203" i="32" s="1"/>
  <c r="A940" i="3"/>
  <c r="B204" i="32" s="1"/>
  <c r="B940" i="3"/>
  <c r="C204" i="32" s="1"/>
  <c r="A941" i="3"/>
  <c r="B941" i="3"/>
  <c r="C205" i="32" s="1"/>
  <c r="A942" i="3"/>
  <c r="B942" i="3"/>
  <c r="C206" i="32" s="1"/>
  <c r="A943" i="3"/>
  <c r="B943" i="3"/>
  <c r="C207" i="32" s="1"/>
  <c r="A944" i="3"/>
  <c r="B944" i="3"/>
  <c r="C208" i="32" s="1"/>
  <c r="A945" i="3"/>
  <c r="B945" i="3"/>
  <c r="C209" i="32" s="1"/>
  <c r="A946" i="3"/>
  <c r="B272" i="24" s="1"/>
  <c r="B946" i="3"/>
  <c r="C210" i="32" s="1"/>
  <c r="A947" i="3"/>
  <c r="B947" i="3"/>
  <c r="C211" i="32" s="1"/>
  <c r="A889" i="3"/>
  <c r="B889" i="3"/>
  <c r="B888" i="3"/>
  <c r="B11" i="42" s="1"/>
  <c r="A888" i="3"/>
  <c r="E889" i="3"/>
  <c r="E890" i="3"/>
  <c r="E891" i="3"/>
  <c r="F14" i="42" s="1"/>
  <c r="G14" i="42" s="1"/>
  <c r="E892" i="3"/>
  <c r="E893" i="3"/>
  <c r="F16" i="42" s="1"/>
  <c r="E894" i="3"/>
  <c r="E895" i="3"/>
  <c r="E896" i="3"/>
  <c r="F19" i="42" s="1"/>
  <c r="G19" i="42" s="1"/>
  <c r="E897" i="3"/>
  <c r="E898" i="3"/>
  <c r="E899" i="3"/>
  <c r="E900" i="3"/>
  <c r="E901" i="3"/>
  <c r="E902" i="3"/>
  <c r="F25" i="42" s="1"/>
  <c r="G25" i="42" s="1"/>
  <c r="E903" i="3"/>
  <c r="E904" i="3"/>
  <c r="F27" i="42" s="1"/>
  <c r="G27" i="42" s="1"/>
  <c r="E905" i="3"/>
  <c r="F28" i="42" s="1"/>
  <c r="G28" i="42" s="1"/>
  <c r="E906" i="3"/>
  <c r="F29" i="42" s="1"/>
  <c r="G29" i="42" s="1"/>
  <c r="E907" i="3"/>
  <c r="F30" i="42" s="1"/>
  <c r="G30" i="42" s="1"/>
  <c r="E908" i="3"/>
  <c r="F31" i="42" s="1"/>
  <c r="G31" i="42" s="1"/>
  <c r="E909" i="3"/>
  <c r="F32" i="42" s="1"/>
  <c r="G32" i="42" s="1"/>
  <c r="E910" i="3"/>
  <c r="E911" i="3"/>
  <c r="E912" i="3"/>
  <c r="G176" i="32" s="1"/>
  <c r="E913" i="3"/>
  <c r="F239" i="24" s="1"/>
  <c r="E914" i="3"/>
  <c r="G178" i="32" s="1"/>
  <c r="E915" i="3"/>
  <c r="G179" i="32" s="1"/>
  <c r="E916" i="3"/>
  <c r="G180" i="32" s="1"/>
  <c r="E917" i="3"/>
  <c r="G181" i="32" s="1"/>
  <c r="E918" i="3"/>
  <c r="G182" i="32" s="1"/>
  <c r="E919" i="3"/>
  <c r="F245" i="24" s="1"/>
  <c r="E920" i="3"/>
  <c r="G184" i="32" s="1"/>
  <c r="E921" i="3"/>
  <c r="G185" i="32" s="1"/>
  <c r="E922" i="3"/>
  <c r="G186" i="32" s="1"/>
  <c r="E923" i="3"/>
  <c r="G187" i="32" s="1"/>
  <c r="E924" i="3"/>
  <c r="G188" i="32" s="1"/>
  <c r="E925" i="3"/>
  <c r="F251" i="24" s="1"/>
  <c r="E926" i="3"/>
  <c r="G190" i="32" s="1"/>
  <c r="E927" i="3"/>
  <c r="E928" i="3"/>
  <c r="G192" i="32" s="1"/>
  <c r="E929" i="3"/>
  <c r="F255" i="24" s="1"/>
  <c r="E930" i="3"/>
  <c r="G194" i="32" s="1"/>
  <c r="E931" i="3"/>
  <c r="E932" i="3"/>
  <c r="G196" i="32" s="1"/>
  <c r="E933" i="3"/>
  <c r="G197" i="32" s="1"/>
  <c r="E934" i="3"/>
  <c r="G198" i="32" s="1"/>
  <c r="E935" i="3"/>
  <c r="E936" i="3"/>
  <c r="G200" i="32" s="1"/>
  <c r="E937" i="3"/>
  <c r="G201" i="32" s="1"/>
  <c r="E938" i="3"/>
  <c r="G202" i="32" s="1"/>
  <c r="E939" i="3"/>
  <c r="G203" i="32" s="1"/>
  <c r="E940" i="3"/>
  <c r="G204" i="32" s="1"/>
  <c r="E941" i="3"/>
  <c r="G205" i="32" s="1"/>
  <c r="E942" i="3"/>
  <c r="G206" i="32" s="1"/>
  <c r="E943" i="3"/>
  <c r="E944" i="3"/>
  <c r="G208" i="32" s="1"/>
  <c r="E945" i="3"/>
  <c r="F271" i="24" s="1"/>
  <c r="E946" i="3"/>
  <c r="G210" i="32" s="1"/>
  <c r="E947" i="3"/>
  <c r="G211" i="32" s="1"/>
  <c r="E888" i="3"/>
  <c r="D889" i="3"/>
  <c r="D890" i="3"/>
  <c r="E216" i="24" s="1"/>
  <c r="D891" i="3"/>
  <c r="D892" i="3"/>
  <c r="E218" i="24" s="1"/>
  <c r="D893" i="3"/>
  <c r="D894" i="3"/>
  <c r="D895" i="3"/>
  <c r="D896" i="3"/>
  <c r="D897" i="3"/>
  <c r="E223" i="24" s="1"/>
  <c r="D898" i="3"/>
  <c r="D899" i="3"/>
  <c r="D22" i="42" s="1"/>
  <c r="D900" i="3"/>
  <c r="D901" i="3"/>
  <c r="D24" i="42" s="1"/>
  <c r="D902" i="3"/>
  <c r="D25" i="42" s="1"/>
  <c r="D903" i="3"/>
  <c r="D26" i="42" s="1"/>
  <c r="D904" i="3"/>
  <c r="D27" i="42" s="1"/>
  <c r="D905" i="3"/>
  <c r="D28" i="42" s="1"/>
  <c r="D906" i="3"/>
  <c r="D29" i="42" s="1"/>
  <c r="D907" i="3"/>
  <c r="D30" i="42" s="1"/>
  <c r="D908" i="3"/>
  <c r="D31" i="42" s="1"/>
  <c r="D909" i="3"/>
  <c r="D32" i="42" s="1"/>
  <c r="D910" i="3"/>
  <c r="D33" i="42" s="1"/>
  <c r="D911" i="3"/>
  <c r="D34" i="42" s="1"/>
  <c r="D912" i="3"/>
  <c r="D35" i="42" s="1"/>
  <c r="D913" i="3"/>
  <c r="D914" i="3"/>
  <c r="D915" i="3"/>
  <c r="D38" i="42" s="1"/>
  <c r="D916" i="3"/>
  <c r="E242" i="24" s="1"/>
  <c r="D917" i="3"/>
  <c r="D918" i="3"/>
  <c r="D919" i="3"/>
  <c r="D42" i="42" s="1"/>
  <c r="D920" i="3"/>
  <c r="F184" i="32" s="1"/>
  <c r="D921" i="3"/>
  <c r="F185" i="32" s="1"/>
  <c r="D922" i="3"/>
  <c r="D923" i="3"/>
  <c r="F187" i="32" s="1"/>
  <c r="D924" i="3"/>
  <c r="F188" i="32" s="1"/>
  <c r="D925" i="3"/>
  <c r="E251" i="24" s="1"/>
  <c r="D926" i="3"/>
  <c r="F190" i="32" s="1"/>
  <c r="D927" i="3"/>
  <c r="F191" i="32" s="1"/>
  <c r="D928" i="3"/>
  <c r="E254" i="24" s="1"/>
  <c r="D929" i="3"/>
  <c r="F193" i="32" s="1"/>
  <c r="D930" i="3"/>
  <c r="D931" i="3"/>
  <c r="F195" i="32" s="1"/>
  <c r="D932" i="3"/>
  <c r="F196" i="32" s="1"/>
  <c r="D933" i="3"/>
  <c r="D934" i="3"/>
  <c r="D935" i="3"/>
  <c r="F199" i="32" s="1"/>
  <c r="D936" i="3"/>
  <c r="D937" i="3"/>
  <c r="F201" i="32" s="1"/>
  <c r="D938" i="3"/>
  <c r="D939" i="3"/>
  <c r="F203" i="32" s="1"/>
  <c r="D940" i="3"/>
  <c r="E266" i="24" s="1"/>
  <c r="D941" i="3"/>
  <c r="F205" i="32" s="1"/>
  <c r="D942" i="3"/>
  <c r="F206" i="32" s="1"/>
  <c r="D943" i="3"/>
  <c r="F207" i="32" s="1"/>
  <c r="D944" i="3"/>
  <c r="D945" i="3"/>
  <c r="F209" i="32" s="1"/>
  <c r="D946" i="3"/>
  <c r="D947" i="3"/>
  <c r="F211" i="32" s="1"/>
  <c r="D888" i="3"/>
  <c r="D11" i="42" s="1"/>
  <c r="C889" i="3"/>
  <c r="E12" i="42" s="1"/>
  <c r="C890" i="3"/>
  <c r="C891" i="3"/>
  <c r="C892" i="3"/>
  <c r="E15" i="42" s="1"/>
  <c r="C893" i="3"/>
  <c r="D219" i="24" s="1"/>
  <c r="C894" i="3"/>
  <c r="E17" i="42" s="1"/>
  <c r="C895" i="3"/>
  <c r="E18" i="42" s="1"/>
  <c r="C896" i="3"/>
  <c r="E19" i="42" s="1"/>
  <c r="C897" i="3"/>
  <c r="C898" i="3"/>
  <c r="C899" i="3"/>
  <c r="E22" i="42" s="1"/>
  <c r="C900" i="3"/>
  <c r="C901" i="3"/>
  <c r="C902" i="3"/>
  <c r="E25" i="42" s="1"/>
  <c r="C903" i="3"/>
  <c r="C904" i="3"/>
  <c r="C905" i="3"/>
  <c r="E28" i="42" s="1"/>
  <c r="C906" i="3"/>
  <c r="C907" i="3"/>
  <c r="E171" i="32" s="1"/>
  <c r="C908" i="3"/>
  <c r="E31" i="42" s="1"/>
  <c r="C909" i="3"/>
  <c r="C910" i="3"/>
  <c r="C911" i="3"/>
  <c r="C912" i="3"/>
  <c r="C913" i="3"/>
  <c r="D239" i="24" s="1"/>
  <c r="C914" i="3"/>
  <c r="D240" i="24" s="1"/>
  <c r="C915" i="3"/>
  <c r="C916" i="3"/>
  <c r="D242" i="24" s="1"/>
  <c r="C917" i="3"/>
  <c r="D243" i="24" s="1"/>
  <c r="C918" i="3"/>
  <c r="D244" i="24" s="1"/>
  <c r="C919" i="3"/>
  <c r="C920" i="3"/>
  <c r="C921" i="3"/>
  <c r="D247" i="24" s="1"/>
  <c r="C922" i="3"/>
  <c r="D248" i="24" s="1"/>
  <c r="C923" i="3"/>
  <c r="C924" i="3"/>
  <c r="C925" i="3"/>
  <c r="D251" i="24" s="1"/>
  <c r="C926" i="3"/>
  <c r="D252" i="24" s="1"/>
  <c r="C927" i="3"/>
  <c r="C928" i="3"/>
  <c r="E192" i="32" s="1"/>
  <c r="C929" i="3"/>
  <c r="D255" i="24" s="1"/>
  <c r="C930" i="3"/>
  <c r="D256" i="24" s="1"/>
  <c r="C931" i="3"/>
  <c r="C932" i="3"/>
  <c r="C933" i="3"/>
  <c r="D259" i="24" s="1"/>
  <c r="C934" i="3"/>
  <c r="D260" i="24" s="1"/>
  <c r="C935" i="3"/>
  <c r="C936" i="3"/>
  <c r="E200" i="32" s="1"/>
  <c r="C937" i="3"/>
  <c r="D263" i="24" s="1"/>
  <c r="C938" i="3"/>
  <c r="C939" i="3"/>
  <c r="C940" i="3"/>
  <c r="C941" i="3"/>
  <c r="E205" i="32" s="1"/>
  <c r="C942" i="3"/>
  <c r="D268" i="24" s="1"/>
  <c r="C943" i="3"/>
  <c r="C944" i="3"/>
  <c r="D270" i="24" s="1"/>
  <c r="C945" i="3"/>
  <c r="D271" i="24" s="1"/>
  <c r="C946" i="3"/>
  <c r="D272" i="24" s="1"/>
  <c r="C947" i="3"/>
  <c r="D273" i="24" s="1"/>
  <c r="C888" i="3"/>
  <c r="D6" i="32"/>
  <c r="D5" i="32"/>
  <c r="D4" i="32"/>
  <c r="C72" i="12"/>
  <c r="E772" i="5"/>
  <c r="C772" i="5" s="1"/>
  <c r="B12" i="44"/>
  <c r="D12" i="44" s="1"/>
  <c r="B77" i="6"/>
  <c r="B71" i="6"/>
  <c r="B41" i="6"/>
  <c r="C216" i="5"/>
  <c r="K708" i="3"/>
  <c r="K5" i="34" s="1"/>
  <c r="A763" i="3"/>
  <c r="B3321" i="44" s="1"/>
  <c r="F3321" i="44" s="1"/>
  <c r="A765" i="3"/>
  <c r="B3224" i="44" s="1"/>
  <c r="F3224" i="44" s="1"/>
  <c r="C220" i="5"/>
  <c r="G50" i="24"/>
  <c r="C562" i="5"/>
  <c r="C558" i="5"/>
  <c r="C557" i="5"/>
  <c r="C556" i="5"/>
  <c r="C555" i="5"/>
  <c r="C554" i="5"/>
  <c r="C553" i="5"/>
  <c r="C561" i="5"/>
  <c r="C559" i="5"/>
  <c r="G67" i="3"/>
  <c r="F67" i="3"/>
  <c r="C268" i="5"/>
  <c r="C266" i="5"/>
  <c r="G73" i="3"/>
  <c r="F73" i="3"/>
  <c r="E73" i="3"/>
  <c r="D73" i="3"/>
  <c r="C73" i="3"/>
  <c r="B73" i="3"/>
  <c r="G72" i="3"/>
  <c r="F72" i="3"/>
  <c r="E72" i="3"/>
  <c r="D72" i="3"/>
  <c r="C72" i="3"/>
  <c r="B72" i="3"/>
  <c r="F841" i="5"/>
  <c r="E841" i="5"/>
  <c r="D841" i="5"/>
  <c r="G841" i="5" s="1"/>
  <c r="C841" i="5"/>
  <c r="B841" i="5"/>
  <c r="A841" i="5" s="1"/>
  <c r="F840" i="5"/>
  <c r="E840" i="5"/>
  <c r="D840" i="5"/>
  <c r="C840" i="5"/>
  <c r="B840" i="5"/>
  <c r="C320" i="5"/>
  <c r="C319" i="5"/>
  <c r="C318" i="5"/>
  <c r="C582" i="5"/>
  <c r="C779" i="5"/>
  <c r="E146" i="44"/>
  <c r="B146" i="44"/>
  <c r="C246" i="5"/>
  <c r="C317" i="5"/>
  <c r="C242" i="5"/>
  <c r="C290" i="5"/>
  <c r="C280" i="5"/>
  <c r="C252" i="5"/>
  <c r="C253" i="5"/>
  <c r="D100" i="44"/>
  <c r="D99" i="44"/>
  <c r="B3446" i="44"/>
  <c r="D3446" i="44" s="1"/>
  <c r="B3445" i="44"/>
  <c r="D3445" i="44" s="1"/>
  <c r="B3444" i="44"/>
  <c r="D3444" i="44" s="1"/>
  <c r="B3443" i="44"/>
  <c r="D3443" i="44" s="1"/>
  <c r="B3442" i="44"/>
  <c r="D3442" i="44" s="1"/>
  <c r="B3441" i="44"/>
  <c r="D3441" i="44" s="1"/>
  <c r="B3440" i="44"/>
  <c r="D3440" i="44" s="1"/>
  <c r="B3439" i="44"/>
  <c r="D3439" i="44" s="1"/>
  <c r="B3438" i="44"/>
  <c r="D3438" i="44" s="1"/>
  <c r="B3437" i="44"/>
  <c r="D3437" i="44" s="1"/>
  <c r="B3436" i="44"/>
  <c r="D3436" i="44" s="1"/>
  <c r="B3435" i="44"/>
  <c r="D3435" i="44" s="1"/>
  <c r="B3434" i="44"/>
  <c r="D3434" i="44" s="1"/>
  <c r="B3432" i="44"/>
  <c r="D3432" i="44" s="1"/>
  <c r="B3431" i="44"/>
  <c r="D3431" i="44" s="1"/>
  <c r="B3430" i="44"/>
  <c r="D3430" i="44" s="1"/>
  <c r="B3429" i="44"/>
  <c r="D3429" i="44" s="1"/>
  <c r="B3420" i="44"/>
  <c r="D3420" i="44" s="1"/>
  <c r="B3419" i="44"/>
  <c r="D3419" i="44" s="1"/>
  <c r="B3418" i="44"/>
  <c r="D3418" i="44" s="1"/>
  <c r="B3417" i="44"/>
  <c r="D3417" i="44" s="1"/>
  <c r="B3416" i="44"/>
  <c r="D3416" i="44" s="1"/>
  <c r="B3415" i="44"/>
  <c r="D3415" i="44" s="1"/>
  <c r="B3414" i="44"/>
  <c r="D3414" i="44" s="1"/>
  <c r="B3413" i="44"/>
  <c r="D3413" i="44" s="1"/>
  <c r="B3412" i="44"/>
  <c r="D3412" i="44" s="1"/>
  <c r="B3411" i="44"/>
  <c r="D3411" i="44" s="1"/>
  <c r="B3410" i="44"/>
  <c r="D3410" i="44" s="1"/>
  <c r="B3409" i="44"/>
  <c r="D3409" i="44" s="1"/>
  <c r="B3408" i="44"/>
  <c r="D3408" i="44" s="1"/>
  <c r="B3407" i="44"/>
  <c r="D3407" i="44" s="1"/>
  <c r="B3406" i="44"/>
  <c r="D3406" i="44" s="1"/>
  <c r="B3405" i="44"/>
  <c r="D3405" i="44" s="1"/>
  <c r="B3404" i="44"/>
  <c r="D3404" i="44" s="1"/>
  <c r="B3403" i="44"/>
  <c r="D3403" i="44" s="1"/>
  <c r="B3402" i="44"/>
  <c r="D3402" i="44" s="1"/>
  <c r="B3401" i="44"/>
  <c r="D3401" i="44" s="1"/>
  <c r="B3400" i="44"/>
  <c r="D3400" i="44" s="1"/>
  <c r="B3399" i="44"/>
  <c r="D3399" i="44" s="1"/>
  <c r="B3398" i="44"/>
  <c r="D3398" i="44" s="1"/>
  <c r="B3397" i="44"/>
  <c r="D3397" i="44" s="1"/>
  <c r="B3396" i="44"/>
  <c r="D3396" i="44" s="1"/>
  <c r="B3395" i="44"/>
  <c r="D3395" i="44" s="1"/>
  <c r="B3394" i="44"/>
  <c r="D3394" i="44" s="1"/>
  <c r="B3393" i="44"/>
  <c r="D3393" i="44" s="1"/>
  <c r="B3392" i="44"/>
  <c r="D3392" i="44" s="1"/>
  <c r="B3391" i="44"/>
  <c r="D3391" i="44" s="1"/>
  <c r="B3390" i="44"/>
  <c r="D3390" i="44" s="1"/>
  <c r="B3389" i="44"/>
  <c r="D3389" i="44" s="1"/>
  <c r="B3388" i="44"/>
  <c r="D3388" i="44" s="1"/>
  <c r="B3387" i="44"/>
  <c r="D3387" i="44" s="1"/>
  <c r="B3386" i="44"/>
  <c r="D3386" i="44" s="1"/>
  <c r="B3382" i="44"/>
  <c r="D3382" i="44" s="1"/>
  <c r="B3381" i="44"/>
  <c r="D3381" i="44" s="1"/>
  <c r="B3380" i="44"/>
  <c r="D3380" i="44" s="1"/>
  <c r="B3379" i="44"/>
  <c r="D3379" i="44" s="1"/>
  <c r="B3378" i="44"/>
  <c r="D3378" i="44" s="1"/>
  <c r="B3377" i="44"/>
  <c r="D3377" i="44" s="1"/>
  <c r="B3376" i="44"/>
  <c r="D3376" i="44" s="1"/>
  <c r="B3375" i="44"/>
  <c r="D3375" i="44" s="1"/>
  <c r="B3151" i="44"/>
  <c r="J3151" i="44" s="1"/>
  <c r="B3135" i="44"/>
  <c r="B3136" i="44" s="1"/>
  <c r="B3137" i="44" s="1"/>
  <c r="B3119" i="44"/>
  <c r="B3120" i="44" s="1"/>
  <c r="D3120" i="44" s="1"/>
  <c r="B3103" i="44"/>
  <c r="J3103" i="44" s="1"/>
  <c r="B3087" i="44"/>
  <c r="D3087" i="44" s="1"/>
  <c r="B3071" i="44"/>
  <c r="J3071" i="44" s="1"/>
  <c r="B3055" i="44"/>
  <c r="B3039" i="44"/>
  <c r="D3039" i="44" s="1"/>
  <c r="B3023" i="44"/>
  <c r="B3024" i="44" s="1"/>
  <c r="B3007" i="44"/>
  <c r="D3007" i="44" s="1"/>
  <c r="B2991" i="44"/>
  <c r="D2991" i="44" s="1"/>
  <c r="B2975" i="44"/>
  <c r="J2975" i="44" s="1"/>
  <c r="B2959" i="44"/>
  <c r="D2959" i="44" s="1"/>
  <c r="B2943" i="44"/>
  <c r="B2944" i="44" s="1"/>
  <c r="D2944" i="44" s="1"/>
  <c r="B2927" i="44"/>
  <c r="B2911" i="44"/>
  <c r="B2912" i="44" s="1"/>
  <c r="D2912" i="44" s="1"/>
  <c r="B2895" i="44"/>
  <c r="B2879" i="44"/>
  <c r="D2879" i="44" s="1"/>
  <c r="B2863" i="44"/>
  <c r="B2847" i="44"/>
  <c r="D2847" i="44" s="1"/>
  <c r="B2831" i="44"/>
  <c r="D2831" i="44" s="1"/>
  <c r="B2815" i="44"/>
  <c r="D2815" i="44" s="1"/>
  <c r="B2799" i="44"/>
  <c r="J2799" i="44" s="1"/>
  <c r="B2783" i="44"/>
  <c r="B2784" i="44" s="1"/>
  <c r="B2785" i="44" s="1"/>
  <c r="B2786" i="44" s="1"/>
  <c r="B2787" i="44" s="1"/>
  <c r="B2767" i="44"/>
  <c r="J2767" i="44" s="1"/>
  <c r="B2751" i="44"/>
  <c r="D2751" i="44" s="1"/>
  <c r="B2735" i="44"/>
  <c r="B2736" i="44" s="1"/>
  <c r="B2737" i="44" s="1"/>
  <c r="B2719" i="44"/>
  <c r="J2719" i="44" s="1"/>
  <c r="B2703" i="44"/>
  <c r="J2703" i="44" s="1"/>
  <c r="B2687" i="44"/>
  <c r="B2688" i="44" s="1"/>
  <c r="B2689" i="44" s="1"/>
  <c r="D2689" i="44" s="1"/>
  <c r="B2671" i="44"/>
  <c r="J2671" i="44" s="1"/>
  <c r="B2655" i="44"/>
  <c r="D2655" i="44" s="1"/>
  <c r="B2639" i="44"/>
  <c r="B2623" i="44"/>
  <c r="J2623" i="44" s="1"/>
  <c r="B2607" i="44"/>
  <c r="B2591" i="44"/>
  <c r="J2591" i="44" s="1"/>
  <c r="B2575" i="44"/>
  <c r="B2576" i="44" s="1"/>
  <c r="B2577" i="44" s="1"/>
  <c r="B2559" i="44"/>
  <c r="B2560" i="44" s="1"/>
  <c r="B2561" i="44" s="1"/>
  <c r="D2561" i="44" s="1"/>
  <c r="B2543" i="44"/>
  <c r="B2544" i="44" s="1"/>
  <c r="D2544" i="44" s="1"/>
  <c r="B2527" i="44"/>
  <c r="D2527" i="44" s="1"/>
  <c r="B2511" i="44"/>
  <c r="J2511" i="44" s="1"/>
  <c r="B2495" i="44"/>
  <c r="B2496" i="44" s="1"/>
  <c r="D2496" i="44" s="1"/>
  <c r="B2479" i="44"/>
  <c r="B2463" i="44"/>
  <c r="B2464" i="44" s="1"/>
  <c r="B2465" i="44" s="1"/>
  <c r="B2466" i="44" s="1"/>
  <c r="B2447" i="44"/>
  <c r="B2431" i="44"/>
  <c r="B2432" i="44" s="1"/>
  <c r="D2432" i="44" s="1"/>
  <c r="B2415" i="44"/>
  <c r="B2416" i="44" s="1"/>
  <c r="B2417" i="44" s="1"/>
  <c r="B2399" i="44"/>
  <c r="D2399" i="44" s="1"/>
  <c r="B2383" i="44"/>
  <c r="B2384" i="44" s="1"/>
  <c r="B2367" i="44"/>
  <c r="B2368" i="44" s="1"/>
  <c r="D2368" i="44" s="1"/>
  <c r="B2351" i="44"/>
  <c r="J2351" i="44" s="1"/>
  <c r="B2335" i="44"/>
  <c r="D2335" i="44" s="1"/>
  <c r="B2319" i="44"/>
  <c r="B2303" i="44"/>
  <c r="B2304" i="44" s="1"/>
  <c r="B2305" i="44" s="1"/>
  <c r="B2287" i="44"/>
  <c r="B2271" i="44"/>
  <c r="J2271" i="44" s="1"/>
  <c r="B2255" i="44"/>
  <c r="J2255" i="44" s="1"/>
  <c r="B2239" i="44"/>
  <c r="B2240" i="44" s="1"/>
  <c r="B2241" i="44" s="1"/>
  <c r="B2223" i="44"/>
  <c r="B2207" i="44"/>
  <c r="B2208" i="44" s="1"/>
  <c r="B2191" i="44"/>
  <c r="D2191" i="44" s="1"/>
  <c r="B2175" i="44"/>
  <c r="B2159" i="44"/>
  <c r="D2159" i="44" s="1"/>
  <c r="B2143" i="44"/>
  <c r="B2127" i="44"/>
  <c r="B2128" i="44" s="1"/>
  <c r="B2111" i="44"/>
  <c r="B2095" i="44"/>
  <c r="B2096" i="44" s="1"/>
  <c r="B2079" i="44"/>
  <c r="B2063" i="44"/>
  <c r="B2064" i="44" s="1"/>
  <c r="B2065" i="44" s="1"/>
  <c r="B2047" i="44"/>
  <c r="B2031" i="44"/>
  <c r="D2031" i="44" s="1"/>
  <c r="B2015" i="44"/>
  <c r="B2016" i="44" s="1"/>
  <c r="D2016" i="44" s="1"/>
  <c r="B1999" i="44"/>
  <c r="J1999" i="44" s="1"/>
  <c r="B1983" i="44"/>
  <c r="B1967" i="44"/>
  <c r="J1967" i="44" s="1"/>
  <c r="B1951" i="44"/>
  <c r="J1951" i="44" s="1"/>
  <c r="B1935" i="44"/>
  <c r="B1919" i="44"/>
  <c r="B1920" i="44" s="1"/>
  <c r="B1903" i="44"/>
  <c r="B1904" i="44" s="1"/>
  <c r="D1904" i="44" s="1"/>
  <c r="B1887" i="44"/>
  <c r="D1887" i="44" s="1"/>
  <c r="B1871" i="44"/>
  <c r="B1872" i="44" s="1"/>
  <c r="D1872" i="44" s="1"/>
  <c r="B1855" i="44"/>
  <c r="B1856" i="44" s="1"/>
  <c r="B1857" i="44" s="1"/>
  <c r="B1858" i="44" s="1"/>
  <c r="B1859" i="44" s="1"/>
  <c r="B1860" i="44" s="1"/>
  <c r="D1860" i="44" s="1"/>
  <c r="B1839" i="44"/>
  <c r="B1840" i="44" s="1"/>
  <c r="B1823" i="44"/>
  <c r="D1823" i="44" s="1"/>
  <c r="B1807" i="44"/>
  <c r="B1791" i="44"/>
  <c r="D1791" i="44" s="1"/>
  <c r="B1775" i="44"/>
  <c r="B1776" i="44" s="1"/>
  <c r="B1777" i="44" s="1"/>
  <c r="D1777" i="44" s="1"/>
  <c r="B1759" i="44"/>
  <c r="B1760" i="44" s="1"/>
  <c r="D1760" i="44" s="1"/>
  <c r="B1743" i="44"/>
  <c r="B1744" i="44" s="1"/>
  <c r="B1745" i="44" s="1"/>
  <c r="B1746" i="44" s="1"/>
  <c r="B1747" i="44" s="1"/>
  <c r="D1747" i="44" s="1"/>
  <c r="B1727" i="44"/>
  <c r="B1728" i="44" s="1"/>
  <c r="B1711" i="44"/>
  <c r="J1711" i="44" s="1"/>
  <c r="B1695" i="44"/>
  <c r="D1695" i="44" s="1"/>
  <c r="B1679" i="44"/>
  <c r="B1663" i="44"/>
  <c r="B1664" i="44" s="1"/>
  <c r="D1664" i="44" s="1"/>
  <c r="B1647" i="44"/>
  <c r="D1647" i="44" s="1"/>
  <c r="B1631" i="44"/>
  <c r="B1615" i="44"/>
  <c r="B1599" i="44"/>
  <c r="D1599" i="44" s="1"/>
  <c r="B1583" i="44"/>
  <c r="B1582" i="44"/>
  <c r="D1582" i="44" s="1"/>
  <c r="B1581" i="44"/>
  <c r="D1581" i="44" s="1"/>
  <c r="C1580" i="44"/>
  <c r="B1580" i="44"/>
  <c r="D1580" i="44" s="1"/>
  <c r="C1579" i="44"/>
  <c r="B1579" i="44"/>
  <c r="D1579" i="44" s="1"/>
  <c r="C1578" i="44"/>
  <c r="B1578" i="44"/>
  <c r="D1578" i="44" s="1"/>
  <c r="C1577" i="44"/>
  <c r="B1577" i="44"/>
  <c r="D1577" i="44" s="1"/>
  <c r="C1576" i="44"/>
  <c r="B1576" i="44"/>
  <c r="D1576" i="44" s="1"/>
  <c r="C1575" i="44"/>
  <c r="B1575" i="44"/>
  <c r="D1575" i="44" s="1"/>
  <c r="F1574" i="44"/>
  <c r="F1573" i="44"/>
  <c r="F1572" i="44"/>
  <c r="F1571" i="44"/>
  <c r="F1570" i="44"/>
  <c r="F1569" i="44"/>
  <c r="A1567" i="44"/>
  <c r="G1567" i="44" s="1"/>
  <c r="B1556" i="44"/>
  <c r="D1556" i="44" s="1"/>
  <c r="B1555" i="44"/>
  <c r="D1555" i="44" s="1"/>
  <c r="B1554" i="44"/>
  <c r="D1554" i="44" s="1"/>
  <c r="B1553" i="44"/>
  <c r="D1553" i="44" s="1"/>
  <c r="B1552" i="44"/>
  <c r="D1552" i="44" s="1"/>
  <c r="B1551" i="44"/>
  <c r="D1551" i="44" s="1"/>
  <c r="B1549" i="44"/>
  <c r="D1549" i="44" s="1"/>
  <c r="B1548" i="44"/>
  <c r="D1548" i="44" s="1"/>
  <c r="B1547" i="44"/>
  <c r="D1547" i="44" s="1"/>
  <c r="B1546" i="44"/>
  <c r="D1546" i="44" s="1"/>
  <c r="B1545" i="44"/>
  <c r="D1545" i="44" s="1"/>
  <c r="B1543" i="44"/>
  <c r="D1543" i="44" s="1"/>
  <c r="B1541" i="44"/>
  <c r="D1541" i="44" s="1"/>
  <c r="B1539" i="44"/>
  <c r="D1540" i="44" s="1"/>
  <c r="B1538" i="44"/>
  <c r="D1538" i="44" s="1"/>
  <c r="B1536" i="44"/>
  <c r="D1536" i="44" s="1"/>
  <c r="B1534" i="44"/>
  <c r="D1535" i="44" s="1"/>
  <c r="B1533" i="44"/>
  <c r="D1533" i="44" s="1"/>
  <c r="B1532" i="44"/>
  <c r="D1532" i="44" s="1"/>
  <c r="B1531" i="44"/>
  <c r="D1531" i="44" s="1"/>
  <c r="B1530" i="44"/>
  <c r="D1530" i="44" s="1"/>
  <c r="B1529" i="44"/>
  <c r="D1529" i="44" s="1"/>
  <c r="B1528" i="44"/>
  <c r="D1528" i="44" s="1"/>
  <c r="B1527" i="44"/>
  <c r="D1527" i="44" s="1"/>
  <c r="B1526" i="44"/>
  <c r="D1526" i="44" s="1"/>
  <c r="B1525" i="44"/>
  <c r="D1525" i="44" s="1"/>
  <c r="B1524" i="44"/>
  <c r="D1524" i="44" s="1"/>
  <c r="B1523" i="44"/>
  <c r="D1523" i="44" s="1"/>
  <c r="B1522" i="44"/>
  <c r="D1522" i="44" s="1"/>
  <c r="B1521" i="44"/>
  <c r="D1521" i="44" s="1"/>
  <c r="B1520" i="44"/>
  <c r="D1520" i="44" s="1"/>
  <c r="B1519" i="44"/>
  <c r="D1519" i="44" s="1"/>
  <c r="B1518" i="44"/>
  <c r="D1518" i="44" s="1"/>
  <c r="B1517" i="44"/>
  <c r="D1517" i="44" s="1"/>
  <c r="B1516" i="44"/>
  <c r="D1516" i="44" s="1"/>
  <c r="B1515" i="44"/>
  <c r="D1515" i="44" s="1"/>
  <c r="B1514" i="44"/>
  <c r="D1514" i="44" s="1"/>
  <c r="B1513" i="44"/>
  <c r="D1513" i="44" s="1"/>
  <c r="B1512" i="44"/>
  <c r="D1512" i="44" s="1"/>
  <c r="B1511" i="44"/>
  <c r="D1511" i="44" s="1"/>
  <c r="B1510" i="44"/>
  <c r="D1510" i="44" s="1"/>
  <c r="B1509" i="44"/>
  <c r="D1509" i="44" s="1"/>
  <c r="B1508" i="44"/>
  <c r="D1508" i="44" s="1"/>
  <c r="F1508" i="44" s="1"/>
  <c r="B1094" i="44"/>
  <c r="B1091" i="44"/>
  <c r="B1088" i="44"/>
  <c r="B1089" i="44" s="1"/>
  <c r="D1090" i="44" s="1"/>
  <c r="B1086" i="44"/>
  <c r="D1086" i="44" s="1"/>
  <c r="B1084" i="44"/>
  <c r="D1085" i="44" s="1"/>
  <c r="B1082" i="44"/>
  <c r="D1082" i="44" s="1"/>
  <c r="B1080" i="44"/>
  <c r="D1080" i="44" s="1"/>
  <c r="B1078" i="44"/>
  <c r="B1079" i="44" s="1"/>
  <c r="B1075" i="44"/>
  <c r="B1072" i="44"/>
  <c r="D1072" i="44" s="1"/>
  <c r="B1069" i="44"/>
  <c r="D1069" i="44" s="1"/>
  <c r="B1067" i="44"/>
  <c r="B1068" i="44" s="1"/>
  <c r="B1065" i="44"/>
  <c r="D1066" i="44" s="1"/>
  <c r="B1063" i="44"/>
  <c r="B1061" i="44"/>
  <c r="D1061" i="44" s="1"/>
  <c r="B1059" i="44"/>
  <c r="D1059" i="44" s="1"/>
  <c r="B1057" i="44"/>
  <c r="D1057" i="44" s="1"/>
  <c r="B1055" i="44"/>
  <c r="B1056" i="44" s="1"/>
  <c r="B1053" i="44"/>
  <c r="D1054" i="44" s="1"/>
  <c r="B1051" i="44"/>
  <c r="D1051" i="44" s="1"/>
  <c r="B1048" i="44"/>
  <c r="B1045" i="44"/>
  <c r="D1046" i="44" s="1"/>
  <c r="B1042" i="44"/>
  <c r="D1042" i="44" s="1"/>
  <c r="B1039" i="44"/>
  <c r="B1040" i="44" s="1"/>
  <c r="D1041" i="44" s="1"/>
  <c r="B1037" i="44"/>
  <c r="B1038" i="44" s="1"/>
  <c r="B1035" i="44"/>
  <c r="B1033" i="44"/>
  <c r="D1033" i="44" s="1"/>
  <c r="B1031" i="44"/>
  <c r="D1031" i="44" s="1"/>
  <c r="B1029" i="44"/>
  <c r="D1029" i="44" s="1"/>
  <c r="B1027" i="44"/>
  <c r="D1027" i="44" s="1"/>
  <c r="B1025" i="44"/>
  <c r="B1026" i="44" s="1"/>
  <c r="B1023" i="44"/>
  <c r="D1023" i="44" s="1"/>
  <c r="B1020" i="44"/>
  <c r="B1021" i="44" s="1"/>
  <c r="D1022" i="44" s="1"/>
  <c r="B1017" i="44"/>
  <c r="B1014" i="44"/>
  <c r="B1012" i="44"/>
  <c r="B1013" i="44" s="1"/>
  <c r="B1010" i="44"/>
  <c r="D1010" i="44" s="1"/>
  <c r="B1008" i="44"/>
  <c r="B1009" i="44" s="1"/>
  <c r="B1006" i="44"/>
  <c r="B1004" i="44"/>
  <c r="D1004" i="44" s="1"/>
  <c r="B1002" i="44"/>
  <c r="D1003" i="44" s="1"/>
  <c r="B1000" i="44"/>
  <c r="B998" i="44"/>
  <c r="B996" i="44"/>
  <c r="B997" i="44" s="1"/>
  <c r="B994" i="44"/>
  <c r="B995" i="44" s="1"/>
  <c r="B993" i="44"/>
  <c r="D993" i="44" s="1"/>
  <c r="B990" i="44"/>
  <c r="B987" i="44"/>
  <c r="D987" i="44" s="1"/>
  <c r="B985" i="44"/>
  <c r="D986" i="44" s="1"/>
  <c r="B983" i="44"/>
  <c r="B968" i="44"/>
  <c r="B969" i="44" s="1"/>
  <c r="B970" i="44" s="1"/>
  <c r="B971" i="44" s="1"/>
  <c r="B972" i="44" s="1"/>
  <c r="B973" i="44" s="1"/>
  <c r="B974" i="44" s="1"/>
  <c r="B975" i="44" s="1"/>
  <c r="B976" i="44" s="1"/>
  <c r="B977" i="44" s="1"/>
  <c r="B978" i="44" s="1"/>
  <c r="B979" i="44" s="1"/>
  <c r="B980" i="44" s="1"/>
  <c r="B981" i="44" s="1"/>
  <c r="B982" i="44" s="1"/>
  <c r="B938" i="44"/>
  <c r="B939" i="44" s="1"/>
  <c r="B940" i="44" s="1"/>
  <c r="B941" i="44" s="1"/>
  <c r="B942" i="44" s="1"/>
  <c r="B943" i="44" s="1"/>
  <c r="B944" i="44" s="1"/>
  <c r="B945" i="44" s="1"/>
  <c r="B946" i="44" s="1"/>
  <c r="B947" i="44" s="1"/>
  <c r="B948" i="44" s="1"/>
  <c r="B949" i="44" s="1"/>
  <c r="B950" i="44" s="1"/>
  <c r="B951" i="44" s="1"/>
  <c r="B952" i="44" s="1"/>
  <c r="B923" i="44"/>
  <c r="B904" i="44"/>
  <c r="B895" i="44"/>
  <c r="D896" i="44" s="1"/>
  <c r="B881" i="44"/>
  <c r="D882" i="44" s="1"/>
  <c r="B860" i="44"/>
  <c r="D861" i="44" s="1"/>
  <c r="D859" i="44"/>
  <c r="D858" i="44"/>
  <c r="B833" i="44"/>
  <c r="D833" i="44" s="1"/>
  <c r="B800" i="44"/>
  <c r="B802" i="44" s="1"/>
  <c r="B782" i="44"/>
  <c r="B757" i="44"/>
  <c r="D758" i="44" s="1"/>
  <c r="B753" i="44"/>
  <c r="D754" i="44" s="1"/>
  <c r="B747" i="44"/>
  <c r="B746" i="44"/>
  <c r="D746" i="44" s="1"/>
  <c r="F746" i="44" s="1"/>
  <c r="Q745" i="44"/>
  <c r="P745" i="44"/>
  <c r="O745" i="44"/>
  <c r="N745" i="44"/>
  <c r="M745" i="44"/>
  <c r="L745" i="44"/>
  <c r="K745" i="44"/>
  <c r="J745" i="44"/>
  <c r="I745" i="44"/>
  <c r="H745" i="44"/>
  <c r="F745" i="44"/>
  <c r="Q744" i="44"/>
  <c r="P744" i="44"/>
  <c r="O744" i="44"/>
  <c r="N744" i="44"/>
  <c r="M744" i="44"/>
  <c r="L744" i="44"/>
  <c r="K744" i="44"/>
  <c r="J744" i="44"/>
  <c r="I744" i="44"/>
  <c r="H744" i="44"/>
  <c r="F744" i="44"/>
  <c r="A740" i="44"/>
  <c r="B723" i="44"/>
  <c r="B693" i="44"/>
  <c r="D693" i="44" s="1"/>
  <c r="B678" i="44"/>
  <c r="B597" i="44"/>
  <c r="D598" i="44" s="1"/>
  <c r="B565" i="44"/>
  <c r="D566" i="44" s="1"/>
  <c r="B472" i="44"/>
  <c r="D473" i="44" s="1"/>
  <c r="B399" i="44"/>
  <c r="D402" i="44" s="1"/>
  <c r="B394" i="44"/>
  <c r="D395" i="44" s="1"/>
  <c r="D393" i="44"/>
  <c r="D392" i="44"/>
  <c r="D391" i="44"/>
  <c r="D390" i="44"/>
  <c r="D389" i="44"/>
  <c r="B316" i="44"/>
  <c r="B309" i="44"/>
  <c r="B314" i="44" s="1"/>
  <c r="B300" i="44"/>
  <c r="B299" i="44"/>
  <c r="D299" i="44" s="1"/>
  <c r="F299" i="44" s="1"/>
  <c r="S298" i="44"/>
  <c r="R298" i="44"/>
  <c r="Q298" i="44"/>
  <c r="P298" i="44"/>
  <c r="O298" i="44"/>
  <c r="N298" i="44"/>
  <c r="M298" i="44"/>
  <c r="L298" i="44"/>
  <c r="K298" i="44"/>
  <c r="J298" i="44"/>
  <c r="F298" i="44"/>
  <c r="S297" i="44"/>
  <c r="R297" i="44"/>
  <c r="Q297" i="44"/>
  <c r="P297" i="44"/>
  <c r="O297" i="44"/>
  <c r="N297" i="44"/>
  <c r="M297" i="44"/>
  <c r="L297" i="44"/>
  <c r="K297" i="44"/>
  <c r="J297" i="44"/>
  <c r="F297" i="44"/>
  <c r="S296" i="44"/>
  <c r="R296" i="44"/>
  <c r="Q296" i="44"/>
  <c r="P296" i="44"/>
  <c r="O296" i="44"/>
  <c r="N296" i="44"/>
  <c r="M296" i="44"/>
  <c r="L296" i="44"/>
  <c r="K296" i="44"/>
  <c r="J296" i="44"/>
  <c r="F296" i="44"/>
  <c r="S295" i="44"/>
  <c r="R295" i="44"/>
  <c r="Q295" i="44"/>
  <c r="P295" i="44"/>
  <c r="O295" i="44"/>
  <c r="N295" i="44"/>
  <c r="J295" i="44"/>
  <c r="K295" i="44"/>
  <c r="L295" i="44"/>
  <c r="M295" i="44"/>
  <c r="F295" i="44"/>
  <c r="S294" i="44"/>
  <c r="R294" i="44"/>
  <c r="Q294" i="44"/>
  <c r="P294" i="44"/>
  <c r="O294" i="44"/>
  <c r="N294" i="44"/>
  <c r="M294" i="44"/>
  <c r="L294" i="44"/>
  <c r="K294" i="44"/>
  <c r="J294" i="44"/>
  <c r="F294" i="44"/>
  <c r="F284" i="44"/>
  <c r="F283" i="44"/>
  <c r="B282" i="44"/>
  <c r="D282" i="44" s="1"/>
  <c r="B281" i="44"/>
  <c r="D281" i="44" s="1"/>
  <c r="B280" i="44"/>
  <c r="B279" i="44"/>
  <c r="B278" i="44"/>
  <c r="F278" i="44" s="1"/>
  <c r="B277" i="44"/>
  <c r="D277" i="44" s="1"/>
  <c r="B276" i="44"/>
  <c r="F276" i="44" s="1"/>
  <c r="B275" i="44"/>
  <c r="D275" i="44" s="1"/>
  <c r="B274" i="44"/>
  <c r="F274" i="44" s="1"/>
  <c r="H273" i="44"/>
  <c r="B273" i="44"/>
  <c r="D273" i="44" s="1"/>
  <c r="H272" i="44"/>
  <c r="B272" i="44"/>
  <c r="H271" i="44"/>
  <c r="B271" i="44"/>
  <c r="D271" i="44" s="1"/>
  <c r="H270" i="44"/>
  <c r="B270" i="44"/>
  <c r="D270" i="44" s="1"/>
  <c r="H269" i="44"/>
  <c r="B269" i="44"/>
  <c r="H268" i="44"/>
  <c r="B268" i="44"/>
  <c r="H267" i="44"/>
  <c r="B267" i="44"/>
  <c r="D267" i="44" s="1"/>
  <c r="H266" i="44"/>
  <c r="B266" i="44"/>
  <c r="D266" i="44" s="1"/>
  <c r="H265" i="44"/>
  <c r="B265" i="44"/>
  <c r="D265" i="44" s="1"/>
  <c r="B264" i="44"/>
  <c r="D264" i="44" s="1"/>
  <c r="B263" i="44"/>
  <c r="D263" i="44" s="1"/>
  <c r="B262" i="44"/>
  <c r="D262" i="44" s="1"/>
  <c r="B261" i="44"/>
  <c r="F261" i="44" s="1"/>
  <c r="B260" i="44"/>
  <c r="D260" i="44" s="1"/>
  <c r="B259" i="44"/>
  <c r="D259" i="44" s="1"/>
  <c r="B258" i="44"/>
  <c r="B257" i="44"/>
  <c r="F257" i="44" s="1"/>
  <c r="B256" i="44"/>
  <c r="D256" i="44" s="1"/>
  <c r="B255" i="44"/>
  <c r="F255" i="44" s="1"/>
  <c r="B254" i="44"/>
  <c r="H253" i="44"/>
  <c r="B253" i="44"/>
  <c r="H252" i="44"/>
  <c r="B252" i="44"/>
  <c r="D252" i="44" s="1"/>
  <c r="H251" i="44"/>
  <c r="B251" i="44"/>
  <c r="D251" i="44" s="1"/>
  <c r="H250" i="44"/>
  <c r="B250" i="44"/>
  <c r="D250" i="44" s="1"/>
  <c r="H249" i="44"/>
  <c r="B249" i="44"/>
  <c r="D249" i="44" s="1"/>
  <c r="H248" i="44"/>
  <c r="B248" i="44"/>
  <c r="D248" i="44" s="1"/>
  <c r="H247" i="44"/>
  <c r="B247" i="44"/>
  <c r="D247" i="44" s="1"/>
  <c r="H246" i="44"/>
  <c r="B246" i="44"/>
  <c r="D246" i="44" s="1"/>
  <c r="H245" i="44"/>
  <c r="B245" i="44"/>
  <c r="B243" i="44"/>
  <c r="D243" i="44" s="1"/>
  <c r="B242" i="44"/>
  <c r="D242" i="44" s="1"/>
  <c r="E209" i="44"/>
  <c r="A209" i="44" s="1"/>
  <c r="B209" i="44"/>
  <c r="B210" i="44" s="1"/>
  <c r="D210" i="44" s="1"/>
  <c r="E207" i="44"/>
  <c r="A207" i="44" s="1"/>
  <c r="B207" i="44"/>
  <c r="B208" i="44" s="1"/>
  <c r="D208" i="44" s="1"/>
  <c r="E205" i="44"/>
  <c r="A205" i="44" s="1"/>
  <c r="B205" i="44"/>
  <c r="F207" i="44" s="1"/>
  <c r="E203" i="44"/>
  <c r="A203" i="44" s="1"/>
  <c r="B203" i="44"/>
  <c r="E201" i="44"/>
  <c r="A201" i="44" s="1"/>
  <c r="B201" i="44"/>
  <c r="E199" i="44"/>
  <c r="A199" i="44" s="1"/>
  <c r="B199" i="44"/>
  <c r="F201" i="44" s="1"/>
  <c r="E197" i="44"/>
  <c r="A197" i="44" s="1"/>
  <c r="B197" i="44"/>
  <c r="B198" i="44" s="1"/>
  <c r="D198" i="44" s="1"/>
  <c r="E195" i="44"/>
  <c r="A195" i="44" s="1"/>
  <c r="B195" i="44"/>
  <c r="F197" i="44" s="1"/>
  <c r="E193" i="44"/>
  <c r="A193" i="44" s="1"/>
  <c r="B193" i="44"/>
  <c r="E191" i="44"/>
  <c r="A191" i="44" s="1"/>
  <c r="B191" i="44"/>
  <c r="E189" i="44"/>
  <c r="A189" i="44" s="1"/>
  <c r="B189" i="44"/>
  <c r="E187" i="44"/>
  <c r="A187" i="44" s="1"/>
  <c r="B187" i="44"/>
  <c r="E185" i="44"/>
  <c r="A185" i="44" s="1"/>
  <c r="B185" i="44"/>
  <c r="E183" i="44"/>
  <c r="A183" i="44" s="1"/>
  <c r="B183" i="44"/>
  <c r="F185" i="44" s="1"/>
  <c r="E181" i="44"/>
  <c r="A181" i="44" s="1"/>
  <c r="B181" i="44"/>
  <c r="B182" i="44" s="1"/>
  <c r="D182" i="44" s="1"/>
  <c r="E179" i="44"/>
  <c r="A179" i="44" s="1"/>
  <c r="B179" i="44"/>
  <c r="E177" i="44"/>
  <c r="A177" i="44" s="1"/>
  <c r="B177" i="44"/>
  <c r="B178" i="44" s="1"/>
  <c r="D178" i="44" s="1"/>
  <c r="E175" i="44"/>
  <c r="A175" i="44" s="1"/>
  <c r="B175" i="44"/>
  <c r="E173" i="44"/>
  <c r="A173" i="44" s="1"/>
  <c r="B173" i="44"/>
  <c r="E171" i="44"/>
  <c r="A171" i="44" s="1"/>
  <c r="B171" i="44"/>
  <c r="B172" i="44" s="1"/>
  <c r="D172" i="44" s="1"/>
  <c r="E169" i="44"/>
  <c r="A169" i="44" s="1"/>
  <c r="B169" i="44"/>
  <c r="F171" i="44" s="1"/>
  <c r="E167" i="44"/>
  <c r="A167" i="44" s="1"/>
  <c r="B167" i="44"/>
  <c r="E165" i="44"/>
  <c r="A165" i="44" s="1"/>
  <c r="B165" i="44"/>
  <c r="F167" i="44" s="1"/>
  <c r="E163" i="44"/>
  <c r="A163" i="44" s="1"/>
  <c r="B163" i="44"/>
  <c r="E161" i="44"/>
  <c r="A161" i="44" s="1"/>
  <c r="B161" i="44"/>
  <c r="E159" i="44"/>
  <c r="A159" i="44" s="1"/>
  <c r="B159" i="44"/>
  <c r="B160" i="44" s="1"/>
  <c r="D160" i="44" s="1"/>
  <c r="E157" i="44"/>
  <c r="A157" i="44" s="1"/>
  <c r="B157" i="44"/>
  <c r="E155" i="44"/>
  <c r="A155" i="44" s="1"/>
  <c r="B155" i="44"/>
  <c r="B156" i="44" s="1"/>
  <c r="D156" i="44" s="1"/>
  <c r="E153" i="44"/>
  <c r="A153" i="44" s="1"/>
  <c r="B153" i="44"/>
  <c r="F155" i="44" s="1"/>
  <c r="E151" i="44"/>
  <c r="A151" i="44" s="1"/>
  <c r="B151" i="44"/>
  <c r="E149" i="44"/>
  <c r="A149" i="44" s="1"/>
  <c r="B149" i="44"/>
  <c r="B150" i="44" s="1"/>
  <c r="D150" i="44" s="1"/>
  <c r="E147" i="44"/>
  <c r="B147" i="44"/>
  <c r="F149" i="44" s="1"/>
  <c r="B145" i="44"/>
  <c r="F147" i="44" s="1"/>
  <c r="B144" i="44"/>
  <c r="F146" i="44" s="1"/>
  <c r="B143" i="44"/>
  <c r="D143" i="44" s="1"/>
  <c r="B142" i="44"/>
  <c r="D142" i="44" s="1"/>
  <c r="B141" i="44"/>
  <c r="D141" i="44" s="1"/>
  <c r="B140" i="44"/>
  <c r="D140" i="44" s="1"/>
  <c r="B139" i="44"/>
  <c r="D139" i="44" s="1"/>
  <c r="B138" i="44"/>
  <c r="D138" i="44" s="1"/>
  <c r="B137" i="44"/>
  <c r="D137" i="44" s="1"/>
  <c r="D120" i="44"/>
  <c r="D119" i="44"/>
  <c r="D118" i="44"/>
  <c r="D117" i="44"/>
  <c r="D116" i="44"/>
  <c r="D115" i="44"/>
  <c r="D114" i="44"/>
  <c r="D113" i="44"/>
  <c r="D112" i="44"/>
  <c r="D111" i="44"/>
  <c r="D107" i="44"/>
  <c r="D106" i="44"/>
  <c r="D105" i="44"/>
  <c r="D104" i="44"/>
  <c r="D103" i="44"/>
  <c r="D98" i="44"/>
  <c r="D97" i="44"/>
  <c r="D96" i="44"/>
  <c r="D94" i="44"/>
  <c r="D93" i="44"/>
  <c r="D92" i="44"/>
  <c r="D85" i="44"/>
  <c r="D84" i="44"/>
  <c r="D83" i="44"/>
  <c r="D82" i="44"/>
  <c r="D81" i="44"/>
  <c r="D80" i="44"/>
  <c r="D78" i="44"/>
  <c r="D71" i="44"/>
  <c r="D73" i="44"/>
  <c r="D72" i="44"/>
  <c r="D70" i="44"/>
  <c r="D69" i="44"/>
  <c r="D68" i="44"/>
  <c r="D67" i="44"/>
  <c r="D66" i="44"/>
  <c r="D65" i="44"/>
  <c r="D64" i="44"/>
  <c r="D62" i="44"/>
  <c r="D61" i="44"/>
  <c r="D60" i="44"/>
  <c r="D59" i="44"/>
  <c r="D58" i="44"/>
  <c r="D57" i="44"/>
  <c r="D55" i="44"/>
  <c r="B52" i="44"/>
  <c r="D52" i="44" s="1"/>
  <c r="B41" i="44"/>
  <c r="D41" i="44" s="1"/>
  <c r="B39" i="44"/>
  <c r="D39" i="44" s="1"/>
  <c r="B35" i="44"/>
  <c r="D35" i="44" s="1"/>
  <c r="B34" i="44"/>
  <c r="D34" i="44" s="1"/>
  <c r="B33" i="44"/>
  <c r="D33" i="44" s="1"/>
  <c r="B32" i="44"/>
  <c r="D32" i="44" s="1"/>
  <c r="B31" i="44"/>
  <c r="D31" i="44" s="1"/>
  <c r="B30" i="44"/>
  <c r="D30" i="44" s="1"/>
  <c r="B29" i="44"/>
  <c r="D29" i="44" s="1"/>
  <c r="B28" i="44"/>
  <c r="D28" i="44" s="1"/>
  <c r="B27" i="44"/>
  <c r="D27" i="44" s="1"/>
  <c r="B26" i="44"/>
  <c r="D26" i="44" s="1"/>
  <c r="B25" i="44"/>
  <c r="D25" i="44" s="1"/>
  <c r="B24" i="44"/>
  <c r="D24" i="44" s="1"/>
  <c r="B23" i="44"/>
  <c r="D23" i="44" s="1"/>
  <c r="B22" i="44"/>
  <c r="D22" i="44" s="1"/>
  <c r="B21" i="44"/>
  <c r="D21" i="44" s="1"/>
  <c r="B19" i="44"/>
  <c r="D19" i="44" s="1"/>
  <c r="B18" i="44"/>
  <c r="D18" i="44" s="1"/>
  <c r="B17" i="44"/>
  <c r="D17" i="44" s="1"/>
  <c r="B15" i="44"/>
  <c r="D15" i="44" s="1"/>
  <c r="B13" i="44"/>
  <c r="D13" i="44" s="1"/>
  <c r="B11" i="44"/>
  <c r="D11" i="44" s="1"/>
  <c r="F11" i="44" s="1"/>
  <c r="B10" i="44"/>
  <c r="D10" i="44" s="1"/>
  <c r="F10" i="44" s="1"/>
  <c r="B9" i="44"/>
  <c r="D9" i="44" s="1"/>
  <c r="B8" i="44"/>
  <c r="D8" i="44" s="1"/>
  <c r="B7" i="44"/>
  <c r="D7" i="44" s="1"/>
  <c r="B6" i="44"/>
  <c r="D6" i="44" s="1"/>
  <c r="B5" i="44"/>
  <c r="D5" i="44" s="1"/>
  <c r="C440" i="5"/>
  <c r="E1183" i="5"/>
  <c r="D1183" i="5"/>
  <c r="C1183" i="5"/>
  <c r="E1182" i="5"/>
  <c r="D1182" i="5"/>
  <c r="C1182" i="5"/>
  <c r="B8" i="3"/>
  <c r="E1181" i="5"/>
  <c r="D1181" i="5"/>
  <c r="C1181" i="5"/>
  <c r="E1180" i="5"/>
  <c r="D1180" i="5"/>
  <c r="C1180" i="5"/>
  <c r="E1179" i="5"/>
  <c r="D1179" i="5"/>
  <c r="C1179" i="5"/>
  <c r="E1178" i="5"/>
  <c r="D1178" i="5"/>
  <c r="C1178" i="5"/>
  <c r="E1177" i="5"/>
  <c r="D1177" i="5"/>
  <c r="C1177" i="5"/>
  <c r="E1176" i="5"/>
  <c r="D1176" i="5"/>
  <c r="C1176" i="5"/>
  <c r="E1175" i="5"/>
  <c r="D1175" i="5"/>
  <c r="C1175" i="5"/>
  <c r="E1174" i="5"/>
  <c r="D1174" i="5"/>
  <c r="C1174" i="5"/>
  <c r="E1173" i="5"/>
  <c r="D1173" i="5"/>
  <c r="C1173" i="5"/>
  <c r="E1172" i="5"/>
  <c r="D1172" i="5"/>
  <c r="C1172" i="5"/>
  <c r="E1171" i="5"/>
  <c r="D1171" i="5"/>
  <c r="C1171" i="5"/>
  <c r="E1170" i="5"/>
  <c r="D1170" i="5"/>
  <c r="C1170" i="5"/>
  <c r="E1169" i="5"/>
  <c r="D1169" i="5"/>
  <c r="C1169" i="5"/>
  <c r="E1168" i="5"/>
  <c r="D1168" i="5"/>
  <c r="C1168" i="5"/>
  <c r="E1167" i="5"/>
  <c r="D1167" i="5"/>
  <c r="C1167" i="5"/>
  <c r="E1166" i="5"/>
  <c r="D1166" i="5"/>
  <c r="C1166" i="5"/>
  <c r="E1165" i="5"/>
  <c r="D1165" i="5"/>
  <c r="C1165" i="5"/>
  <c r="E1164" i="5"/>
  <c r="D1164" i="5"/>
  <c r="C1164" i="5"/>
  <c r="E1163" i="5"/>
  <c r="D1163" i="5"/>
  <c r="C1163" i="5"/>
  <c r="E1162" i="5"/>
  <c r="D1162" i="5"/>
  <c r="C1162" i="5"/>
  <c r="B9" i="3"/>
  <c r="E1161" i="5"/>
  <c r="D1161" i="5"/>
  <c r="C1161" i="5"/>
  <c r="E1160" i="5"/>
  <c r="D1160" i="5"/>
  <c r="C1160" i="5"/>
  <c r="E1159" i="5"/>
  <c r="D1159" i="5"/>
  <c r="C1159" i="5"/>
  <c r="E1158" i="5"/>
  <c r="D1158" i="5"/>
  <c r="C1158" i="5"/>
  <c r="E1157" i="5"/>
  <c r="D1157" i="5"/>
  <c r="C1157" i="5"/>
  <c r="E1156" i="5"/>
  <c r="D1156" i="5"/>
  <c r="C1156" i="5"/>
  <c r="E1155" i="5"/>
  <c r="D1155" i="5"/>
  <c r="C1155" i="5"/>
  <c r="E1154" i="5"/>
  <c r="D1154" i="5"/>
  <c r="C1154" i="5"/>
  <c r="E1153" i="5"/>
  <c r="D1153" i="5"/>
  <c r="C1153" i="5"/>
  <c r="E1152" i="5"/>
  <c r="D1152" i="5"/>
  <c r="C1152" i="5"/>
  <c r="E1151" i="5"/>
  <c r="D1151" i="5"/>
  <c r="C1151" i="5"/>
  <c r="E1150" i="5"/>
  <c r="D1150" i="5"/>
  <c r="C1150" i="5"/>
  <c r="E1149" i="5"/>
  <c r="D1149" i="5"/>
  <c r="C1149" i="5"/>
  <c r="E1148" i="5"/>
  <c r="D1148" i="5"/>
  <c r="C1148" i="5"/>
  <c r="E1147" i="5"/>
  <c r="D1147" i="5"/>
  <c r="C1147" i="5"/>
  <c r="E1146" i="5"/>
  <c r="D1146" i="5"/>
  <c r="C1146" i="5"/>
  <c r="E1145" i="5"/>
  <c r="D1145" i="5"/>
  <c r="C1145" i="5"/>
  <c r="E1144" i="5"/>
  <c r="D1144" i="5"/>
  <c r="C1144" i="5"/>
  <c r="E1143" i="5"/>
  <c r="D1143" i="5"/>
  <c r="C1143" i="5"/>
  <c r="E1142" i="5"/>
  <c r="D1142" i="5"/>
  <c r="C1142" i="5"/>
  <c r="E1141" i="5"/>
  <c r="D1141" i="5"/>
  <c r="C1141" i="5"/>
  <c r="E1140" i="5"/>
  <c r="D1140" i="5"/>
  <c r="C1140" i="5"/>
  <c r="E1139" i="5"/>
  <c r="D1139" i="5"/>
  <c r="C1139" i="5"/>
  <c r="E1138" i="5"/>
  <c r="D1138" i="5"/>
  <c r="C1138" i="5"/>
  <c r="E1137" i="5"/>
  <c r="D1137" i="5"/>
  <c r="C1137" i="5"/>
  <c r="E1136" i="5"/>
  <c r="D1136" i="5"/>
  <c r="C1136" i="5"/>
  <c r="E1135" i="5"/>
  <c r="D1135" i="5"/>
  <c r="C1135" i="5"/>
  <c r="E1134" i="5"/>
  <c r="D1134" i="5"/>
  <c r="C1134" i="5"/>
  <c r="E1133" i="5"/>
  <c r="D1133" i="5"/>
  <c r="C1133" i="5"/>
  <c r="E1132" i="5"/>
  <c r="D1132" i="5"/>
  <c r="C1132" i="5"/>
  <c r="E1131" i="5"/>
  <c r="D1131" i="5"/>
  <c r="C1131" i="5"/>
  <c r="E1130" i="5"/>
  <c r="D1130" i="5"/>
  <c r="C1130" i="5"/>
  <c r="E1129" i="5"/>
  <c r="D1129" i="5"/>
  <c r="C1129" i="5"/>
  <c r="E1128" i="5"/>
  <c r="D1128" i="5"/>
  <c r="C1128" i="5"/>
  <c r="E1127" i="5"/>
  <c r="D1127" i="5"/>
  <c r="C1127" i="5"/>
  <c r="E1126" i="5"/>
  <c r="D1126" i="5"/>
  <c r="C1126" i="5"/>
  <c r="E1125" i="5"/>
  <c r="D1125" i="5"/>
  <c r="C1125" i="5"/>
  <c r="E1124" i="5"/>
  <c r="D1124" i="5"/>
  <c r="C1124" i="5"/>
  <c r="E1123" i="5"/>
  <c r="D1123" i="5"/>
  <c r="C1123" i="5"/>
  <c r="E1122" i="5"/>
  <c r="D1122" i="5"/>
  <c r="C1122" i="5"/>
  <c r="E1121" i="5"/>
  <c r="D1121" i="5"/>
  <c r="C1121" i="5"/>
  <c r="E1120" i="5"/>
  <c r="D1120" i="5"/>
  <c r="C1120" i="5"/>
  <c r="E1119" i="5"/>
  <c r="D1119" i="5"/>
  <c r="C1119" i="5"/>
  <c r="E1118" i="5"/>
  <c r="D1118" i="5"/>
  <c r="C1118" i="5"/>
  <c r="E1117" i="5"/>
  <c r="D1117" i="5"/>
  <c r="C1117" i="5"/>
  <c r="E1116" i="5"/>
  <c r="D1116" i="5"/>
  <c r="C1116" i="5"/>
  <c r="E1115" i="5"/>
  <c r="D1115" i="5"/>
  <c r="C1115" i="5"/>
  <c r="E1114" i="5"/>
  <c r="D1114" i="5"/>
  <c r="C1114" i="5"/>
  <c r="E1113" i="5"/>
  <c r="D1113" i="5"/>
  <c r="C1113" i="5"/>
  <c r="E1112" i="5"/>
  <c r="D1112" i="5"/>
  <c r="C1112" i="5"/>
  <c r="E1111" i="5"/>
  <c r="D1111" i="5"/>
  <c r="C1111" i="5"/>
  <c r="E1110" i="5"/>
  <c r="D1110" i="5"/>
  <c r="C1110" i="5"/>
  <c r="E1109" i="5"/>
  <c r="D1109" i="5"/>
  <c r="C1109" i="5"/>
  <c r="E1108" i="5"/>
  <c r="D1108" i="5"/>
  <c r="C1108" i="5"/>
  <c r="E1107" i="5"/>
  <c r="D1107" i="5"/>
  <c r="C1107" i="5"/>
  <c r="E1106" i="5"/>
  <c r="D1106" i="5"/>
  <c r="C1106" i="5"/>
  <c r="E1105" i="5"/>
  <c r="D1105" i="5"/>
  <c r="C1105" i="5"/>
  <c r="E1104" i="5"/>
  <c r="D1104" i="5"/>
  <c r="C1104" i="5"/>
  <c r="E1103" i="5"/>
  <c r="D1103" i="5"/>
  <c r="C1103" i="5"/>
  <c r="E1102" i="5"/>
  <c r="D1102" i="5"/>
  <c r="C1102" i="5"/>
  <c r="E1101" i="5"/>
  <c r="D1101" i="5"/>
  <c r="C1101" i="5"/>
  <c r="E1100" i="5"/>
  <c r="D1100" i="5"/>
  <c r="C1100" i="5"/>
  <c r="E1099" i="5"/>
  <c r="D1099" i="5"/>
  <c r="C1099" i="5"/>
  <c r="E1098" i="5"/>
  <c r="D1098" i="5"/>
  <c r="C1098" i="5"/>
  <c r="E1097" i="5"/>
  <c r="D1097" i="5"/>
  <c r="C1097" i="5"/>
  <c r="E1096" i="5"/>
  <c r="D1096" i="5"/>
  <c r="C1096" i="5"/>
  <c r="E1095" i="5"/>
  <c r="D1095" i="5"/>
  <c r="C1095" i="5"/>
  <c r="E1094" i="5"/>
  <c r="D1094" i="5"/>
  <c r="C1094" i="5"/>
  <c r="E1093" i="5"/>
  <c r="D1093" i="5"/>
  <c r="C1093" i="5"/>
  <c r="E1092" i="5"/>
  <c r="D1092" i="5"/>
  <c r="C1092" i="5"/>
  <c r="E1091" i="5"/>
  <c r="D1091" i="5"/>
  <c r="C1091" i="5"/>
  <c r="E1090" i="5"/>
  <c r="D1090" i="5"/>
  <c r="C1090" i="5"/>
  <c r="E1089" i="5"/>
  <c r="D1089" i="5"/>
  <c r="C1089" i="5"/>
  <c r="E1088" i="5"/>
  <c r="D1088" i="5"/>
  <c r="C1088" i="5"/>
  <c r="E1087" i="5"/>
  <c r="D1087" i="5"/>
  <c r="C1087" i="5"/>
  <c r="E1086" i="5"/>
  <c r="D1086" i="5"/>
  <c r="C1086" i="5"/>
  <c r="E1085" i="5"/>
  <c r="D1085" i="5"/>
  <c r="A1085" i="5" s="1"/>
  <c r="C1085" i="5"/>
  <c r="F995" i="5"/>
  <c r="E995" i="5"/>
  <c r="D995" i="5"/>
  <c r="C995" i="5"/>
  <c r="B995" i="5"/>
  <c r="A995" i="5" s="1"/>
  <c r="F994" i="5"/>
  <c r="E994" i="5"/>
  <c r="D994" i="5"/>
  <c r="C994" i="5"/>
  <c r="B994" i="5"/>
  <c r="A994" i="5" s="1"/>
  <c r="F993" i="5"/>
  <c r="E993" i="5"/>
  <c r="D993" i="5"/>
  <c r="C993" i="5"/>
  <c r="B993" i="5"/>
  <c r="A993" i="5" s="1"/>
  <c r="F992" i="5"/>
  <c r="E992" i="5"/>
  <c r="D992" i="5"/>
  <c r="C992" i="5"/>
  <c r="B992" i="5"/>
  <c r="A992" i="5" s="1"/>
  <c r="F991" i="5"/>
  <c r="E991" i="5"/>
  <c r="D991" i="5"/>
  <c r="C991" i="5"/>
  <c r="B991" i="5"/>
  <c r="A991" i="5" s="1"/>
  <c r="F990" i="5"/>
  <c r="E990" i="5"/>
  <c r="D990" i="5"/>
  <c r="C990" i="5"/>
  <c r="B990" i="5"/>
  <c r="A990" i="5" s="1"/>
  <c r="F989" i="5"/>
  <c r="E989" i="5"/>
  <c r="D989" i="5"/>
  <c r="C989" i="5"/>
  <c r="B989" i="5"/>
  <c r="A989" i="5" s="1"/>
  <c r="F988" i="5"/>
  <c r="E988" i="5"/>
  <c r="D988" i="5"/>
  <c r="C988" i="5"/>
  <c r="B988" i="5"/>
  <c r="A988" i="5" s="1"/>
  <c r="F987" i="5"/>
  <c r="E987" i="5"/>
  <c r="D987" i="5"/>
  <c r="C987" i="5"/>
  <c r="B987" i="5"/>
  <c r="A987" i="5" s="1"/>
  <c r="F986" i="5"/>
  <c r="E986" i="5"/>
  <c r="D986" i="5"/>
  <c r="C986" i="5"/>
  <c r="B986" i="5"/>
  <c r="A986" i="5" s="1"/>
  <c r="F985" i="5"/>
  <c r="E985" i="5"/>
  <c r="D985" i="5"/>
  <c r="C985" i="5"/>
  <c r="B985" i="5"/>
  <c r="A985" i="5" s="1"/>
  <c r="F984" i="5"/>
  <c r="E984" i="5"/>
  <c r="D984" i="5"/>
  <c r="C984" i="5"/>
  <c r="B984" i="5"/>
  <c r="A984" i="5" s="1"/>
  <c r="F983" i="5"/>
  <c r="E983" i="5"/>
  <c r="D983" i="5"/>
  <c r="C983" i="5"/>
  <c r="B983" i="5"/>
  <c r="A983" i="5" s="1"/>
  <c r="F982" i="5"/>
  <c r="E982" i="5"/>
  <c r="D982" i="5"/>
  <c r="C982" i="5"/>
  <c r="B982" i="5"/>
  <c r="A982" i="5" s="1"/>
  <c r="F981" i="5"/>
  <c r="E981" i="5"/>
  <c r="D981" i="5"/>
  <c r="C981" i="5"/>
  <c r="B981" i="5"/>
  <c r="A981" i="5" s="1"/>
  <c r="F980" i="5"/>
  <c r="E980" i="5"/>
  <c r="D980" i="5"/>
  <c r="C980" i="5"/>
  <c r="B980" i="5"/>
  <c r="A980" i="5" s="1"/>
  <c r="F979" i="5"/>
  <c r="E979" i="5"/>
  <c r="D979" i="5"/>
  <c r="C979" i="5"/>
  <c r="B979" i="5"/>
  <c r="A979" i="5" s="1"/>
  <c r="F978" i="5"/>
  <c r="E978" i="5"/>
  <c r="D978" i="5"/>
  <c r="C978" i="5"/>
  <c r="B978" i="5"/>
  <c r="A978" i="5" s="1"/>
  <c r="F977" i="5"/>
  <c r="E977" i="5"/>
  <c r="D977" i="5"/>
  <c r="C977" i="5"/>
  <c r="B977" i="5"/>
  <c r="A977" i="5" s="1"/>
  <c r="F976" i="5"/>
  <c r="E976" i="5"/>
  <c r="D976" i="5"/>
  <c r="C976" i="5"/>
  <c r="B976" i="5"/>
  <c r="A976" i="5" s="1"/>
  <c r="F975" i="5"/>
  <c r="E975" i="5"/>
  <c r="D975" i="5"/>
  <c r="C975" i="5"/>
  <c r="B975" i="5"/>
  <c r="A975" i="5" s="1"/>
  <c r="F974" i="5"/>
  <c r="E974" i="5"/>
  <c r="D974" i="5"/>
  <c r="C974" i="5"/>
  <c r="B974" i="5"/>
  <c r="A974" i="5" s="1"/>
  <c r="F973" i="5"/>
  <c r="E973" i="5"/>
  <c r="D973" i="5"/>
  <c r="C973" i="5"/>
  <c r="B973" i="5"/>
  <c r="A973" i="5" s="1"/>
  <c r="F972" i="5"/>
  <c r="E972" i="5"/>
  <c r="D972" i="5"/>
  <c r="C972" i="5"/>
  <c r="B972" i="5"/>
  <c r="A972" i="5" s="1"/>
  <c r="F971" i="5"/>
  <c r="E971" i="5"/>
  <c r="D971" i="5"/>
  <c r="C971" i="5"/>
  <c r="B971" i="5"/>
  <c r="A971" i="5" s="1"/>
  <c r="F970" i="5"/>
  <c r="E970" i="5"/>
  <c r="D970" i="5"/>
  <c r="C970" i="5"/>
  <c r="B970" i="5"/>
  <c r="A970" i="5" s="1"/>
  <c r="F969" i="5"/>
  <c r="E969" i="5"/>
  <c r="D969" i="5"/>
  <c r="C969" i="5"/>
  <c r="B969" i="5"/>
  <c r="A969" i="5" s="1"/>
  <c r="F968" i="5"/>
  <c r="E968" i="5"/>
  <c r="D968" i="5"/>
  <c r="C968" i="5"/>
  <c r="B968" i="5"/>
  <c r="A968" i="5" s="1"/>
  <c r="F967" i="5"/>
  <c r="E967" i="5"/>
  <c r="D967" i="5"/>
  <c r="C967" i="5"/>
  <c r="B967" i="5"/>
  <c r="A967" i="5" s="1"/>
  <c r="F966" i="5"/>
  <c r="E966" i="5"/>
  <c r="D966" i="5"/>
  <c r="C966" i="5"/>
  <c r="B966" i="5"/>
  <c r="A966" i="5" s="1"/>
  <c r="F965" i="5"/>
  <c r="E965" i="5"/>
  <c r="D965" i="5"/>
  <c r="C965" i="5"/>
  <c r="B965" i="5"/>
  <c r="A965" i="5" s="1"/>
  <c r="F964" i="5"/>
  <c r="E964" i="5"/>
  <c r="D964" i="5"/>
  <c r="C964" i="5"/>
  <c r="B964" i="5"/>
  <c r="A964" i="5" s="1"/>
  <c r="F963" i="5"/>
  <c r="E963" i="5"/>
  <c r="D963" i="5"/>
  <c r="C963" i="5"/>
  <c r="B963" i="5"/>
  <c r="A963" i="5" s="1"/>
  <c r="F962" i="5"/>
  <c r="E962" i="5"/>
  <c r="D962" i="5"/>
  <c r="C962" i="5"/>
  <c r="B962" i="5"/>
  <c r="A962" i="5" s="1"/>
  <c r="F961" i="5"/>
  <c r="E961" i="5"/>
  <c r="D961" i="5"/>
  <c r="C961" i="5"/>
  <c r="B961" i="5"/>
  <c r="A961" i="5" s="1"/>
  <c r="F960" i="5"/>
  <c r="E960" i="5"/>
  <c r="D960" i="5"/>
  <c r="C960" i="5"/>
  <c r="B960" i="5"/>
  <c r="A960" i="5" s="1"/>
  <c r="F959" i="5"/>
  <c r="E959" i="5"/>
  <c r="D959" i="5"/>
  <c r="C959" i="5"/>
  <c r="B959" i="5"/>
  <c r="A959" i="5" s="1"/>
  <c r="F958" i="5"/>
  <c r="E958" i="5"/>
  <c r="D958" i="5"/>
  <c r="C958" i="5"/>
  <c r="B958" i="5"/>
  <c r="A958" i="5" s="1"/>
  <c r="F957" i="5"/>
  <c r="E957" i="5"/>
  <c r="D957" i="5"/>
  <c r="C957" i="5"/>
  <c r="B957" i="5"/>
  <c r="A957" i="5" s="1"/>
  <c r="F956" i="5"/>
  <c r="E956" i="5"/>
  <c r="D956" i="5"/>
  <c r="C956" i="5"/>
  <c r="B956" i="5"/>
  <c r="A956" i="5" s="1"/>
  <c r="F955" i="5"/>
  <c r="E955" i="5"/>
  <c r="D955" i="5"/>
  <c r="C955" i="5"/>
  <c r="B955" i="5"/>
  <c r="A955" i="5" s="1"/>
  <c r="F954" i="5"/>
  <c r="E954" i="5"/>
  <c r="D954" i="5"/>
  <c r="C954" i="5"/>
  <c r="B954" i="5"/>
  <c r="A954" i="5" s="1"/>
  <c r="F953" i="5"/>
  <c r="E953" i="5"/>
  <c r="D953" i="5"/>
  <c r="C953" i="5"/>
  <c r="B953" i="5"/>
  <c r="A953" i="5" s="1"/>
  <c r="F952" i="5"/>
  <c r="E952" i="5"/>
  <c r="D952" i="5"/>
  <c r="C952" i="5"/>
  <c r="B952" i="5"/>
  <c r="A952" i="5" s="1"/>
  <c r="F951" i="5"/>
  <c r="E951" i="5"/>
  <c r="D951" i="5"/>
  <c r="C951" i="5"/>
  <c r="B951" i="5"/>
  <c r="A951" i="5" s="1"/>
  <c r="F950" i="5"/>
  <c r="E950" i="5"/>
  <c r="D950" i="5"/>
  <c r="C950" i="5"/>
  <c r="B950" i="5"/>
  <c r="A950" i="5" s="1"/>
  <c r="F949" i="5"/>
  <c r="E949" i="5"/>
  <c r="D949" i="5"/>
  <c r="C949" i="5"/>
  <c r="B949" i="5"/>
  <c r="A949" i="5" s="1"/>
  <c r="F948" i="5"/>
  <c r="E948" i="5"/>
  <c r="D948" i="5"/>
  <c r="C948" i="5"/>
  <c r="B948" i="5"/>
  <c r="A948" i="5" s="1"/>
  <c r="F947" i="5"/>
  <c r="E947" i="5"/>
  <c r="D947" i="5"/>
  <c r="C947" i="5"/>
  <c r="B947" i="5"/>
  <c r="A947" i="5" s="1"/>
  <c r="F946" i="5"/>
  <c r="E946" i="5"/>
  <c r="D946" i="5"/>
  <c r="C946" i="5"/>
  <c r="B946" i="5"/>
  <c r="A946" i="5" s="1"/>
  <c r="F945" i="5"/>
  <c r="E945" i="5"/>
  <c r="D945" i="5"/>
  <c r="C945" i="5"/>
  <c r="B945" i="5"/>
  <c r="A945" i="5" s="1"/>
  <c r="F944" i="5"/>
  <c r="E944" i="5"/>
  <c r="D944" i="5"/>
  <c r="C944" i="5"/>
  <c r="B944" i="5"/>
  <c r="F943" i="5"/>
  <c r="E943" i="5"/>
  <c r="D943" i="5"/>
  <c r="C943" i="5"/>
  <c r="B943" i="5"/>
  <c r="F942" i="5"/>
  <c r="E942" i="5"/>
  <c r="D942" i="5"/>
  <c r="C942" i="5"/>
  <c r="B942" i="5"/>
  <c r="F941" i="5"/>
  <c r="E941" i="5"/>
  <c r="D941" i="5"/>
  <c r="C941" i="5"/>
  <c r="B941" i="5"/>
  <c r="F940" i="5"/>
  <c r="E940" i="5"/>
  <c r="D940" i="5"/>
  <c r="C940" i="5"/>
  <c r="B940" i="5"/>
  <c r="F939" i="5"/>
  <c r="E939" i="5"/>
  <c r="D939" i="5"/>
  <c r="C939" i="5"/>
  <c r="B939" i="5"/>
  <c r="F938" i="5"/>
  <c r="E938" i="5"/>
  <c r="D938" i="5"/>
  <c r="C938" i="5"/>
  <c r="B938" i="5"/>
  <c r="F937" i="5"/>
  <c r="E937" i="5"/>
  <c r="D937" i="5"/>
  <c r="C937" i="5"/>
  <c r="B937" i="5"/>
  <c r="A936" i="5"/>
  <c r="F936" i="5"/>
  <c r="E936" i="5"/>
  <c r="D936" i="5"/>
  <c r="C936" i="5"/>
  <c r="C871" i="5"/>
  <c r="B871" i="5"/>
  <c r="A871" i="5" s="1"/>
  <c r="C870" i="5"/>
  <c r="B870" i="5"/>
  <c r="A870" i="5" s="1"/>
  <c r="C869" i="5"/>
  <c r="B869" i="5"/>
  <c r="C868" i="5"/>
  <c r="B868" i="5"/>
  <c r="C867" i="5"/>
  <c r="B867" i="5"/>
  <c r="A867" i="5" s="1"/>
  <c r="C866" i="5"/>
  <c r="B866" i="5"/>
  <c r="A866" i="5" s="1"/>
  <c r="C865" i="5"/>
  <c r="B865" i="5"/>
  <c r="A865" i="5" s="1"/>
  <c r="C864" i="5"/>
  <c r="B864" i="5"/>
  <c r="E847" i="5"/>
  <c r="D847" i="5"/>
  <c r="C847" i="5"/>
  <c r="B847" i="5"/>
  <c r="E846" i="5"/>
  <c r="D846" i="5"/>
  <c r="C846" i="5"/>
  <c r="B846" i="5"/>
  <c r="E845" i="5"/>
  <c r="D845" i="5"/>
  <c r="C845" i="5"/>
  <c r="B845" i="5"/>
  <c r="E844" i="5"/>
  <c r="D844" i="5"/>
  <c r="C844" i="5"/>
  <c r="B844" i="5"/>
  <c r="A844" i="5" s="1"/>
  <c r="E843" i="5"/>
  <c r="D843" i="5"/>
  <c r="C843" i="5"/>
  <c r="B843" i="5"/>
  <c r="A843" i="5" s="1"/>
  <c r="E842" i="5"/>
  <c r="D842" i="5"/>
  <c r="C842" i="5"/>
  <c r="B842" i="5"/>
  <c r="A842" i="5" s="1"/>
  <c r="F839" i="5"/>
  <c r="E839" i="5"/>
  <c r="D839" i="5"/>
  <c r="C839" i="5"/>
  <c r="B839" i="5"/>
  <c r="A839" i="5" s="1"/>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69" i="5"/>
  <c r="C763" i="5"/>
  <c r="C759" i="5"/>
  <c r="C751" i="5"/>
  <c r="C750" i="5"/>
  <c r="C749" i="5"/>
  <c r="C748" i="5"/>
  <c r="C743" i="5"/>
  <c r="C742" i="5"/>
  <c r="C741" i="5"/>
  <c r="C580" i="5"/>
  <c r="C579" i="5"/>
  <c r="C577" i="5"/>
  <c r="C575" i="5"/>
  <c r="C571" i="5"/>
  <c r="C569" i="5"/>
  <c r="C510" i="5"/>
  <c r="C504" i="5"/>
  <c r="C502" i="5"/>
  <c r="C499" i="5"/>
  <c r="C498" i="5"/>
  <c r="C497" i="5"/>
  <c r="C496" i="5"/>
  <c r="C495" i="5"/>
  <c r="C494" i="5"/>
  <c r="C493" i="5"/>
  <c r="C443" i="5"/>
  <c r="C442" i="5"/>
  <c r="C441" i="5"/>
  <c r="C439" i="5"/>
  <c r="C438" i="5"/>
  <c r="C437" i="5"/>
  <c r="C436" i="5"/>
  <c r="C435"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4" i="5"/>
  <c r="C353" i="5"/>
  <c r="C352" i="5"/>
  <c r="C351" i="5"/>
  <c r="C350" i="5"/>
  <c r="C349" i="5"/>
  <c r="C348" i="5"/>
  <c r="C347" i="5"/>
  <c r="C346" i="5"/>
  <c r="C345" i="5"/>
  <c r="C344" i="5"/>
  <c r="C343" i="5"/>
  <c r="C316" i="5"/>
  <c r="C315" i="5"/>
  <c r="C314" i="5"/>
  <c r="C309" i="5"/>
  <c r="C308" i="5"/>
  <c r="C307" i="5"/>
  <c r="C306" i="5"/>
  <c r="C305" i="5"/>
  <c r="C303" i="5"/>
  <c r="C300" i="5"/>
  <c r="C291" i="5"/>
  <c r="C284" i="5"/>
  <c r="C283" i="5"/>
  <c r="C279" i="5"/>
  <c r="C274" i="5"/>
  <c r="C269" i="5"/>
  <c r="C265" i="5"/>
  <c r="C250" i="5"/>
  <c r="C249" i="5"/>
  <c r="C248" i="5"/>
  <c r="C247" i="5"/>
  <c r="C245" i="5"/>
  <c r="C244" i="5"/>
  <c r="C241" i="5"/>
  <c r="C240" i="5"/>
  <c r="C239" i="5"/>
  <c r="C238" i="5"/>
  <c r="C237" i="5"/>
  <c r="C235" i="5"/>
  <c r="C232" i="5"/>
  <c r="C215" i="5"/>
  <c r="C214" i="5"/>
  <c r="C206" i="5"/>
  <c r="C203"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B1189" i="5"/>
  <c r="C9" i="3"/>
  <c r="C336" i="3"/>
  <c r="D352" i="3" s="1"/>
  <c r="F11" i="10"/>
  <c r="C308" i="3"/>
  <c r="B350" i="3"/>
  <c r="C194" i="5" s="1"/>
  <c r="E73" i="12"/>
  <c r="E72" i="12"/>
  <c r="E63" i="12"/>
  <c r="E49" i="12"/>
  <c r="E35" i="12"/>
  <c r="C73" i="12"/>
  <c r="B73" i="12"/>
  <c r="B846" i="3"/>
  <c r="C300" i="3"/>
  <c r="B15" i="25" s="1"/>
  <c r="A50" i="11"/>
  <c r="K218" i="3" s="1"/>
  <c r="A178" i="30" s="1"/>
  <c r="B25" i="3"/>
  <c r="B5" i="3"/>
  <c r="E398" i="3"/>
  <c r="D36" i="24" s="1"/>
  <c r="G87" i="3"/>
  <c r="F87" i="3"/>
  <c r="C69" i="42" s="1"/>
  <c r="E87" i="3"/>
  <c r="C68" i="42" s="1"/>
  <c r="D87" i="3"/>
  <c r="C67" i="42" s="1"/>
  <c r="E67" i="3"/>
  <c r="B834" i="3"/>
  <c r="D78" i="24"/>
  <c r="D6" i="25"/>
  <c r="D5" i="25"/>
  <c r="D4" i="25"/>
  <c r="D3" i="25"/>
  <c r="H77" i="3"/>
  <c r="C8" i="3"/>
  <c r="C7" i="3"/>
  <c r="C6" i="3"/>
  <c r="C5" i="3"/>
  <c r="B4" i="3"/>
  <c r="B3" i="3"/>
  <c r="H192" i="3" s="1"/>
  <c r="H26" i="30" s="1"/>
  <c r="C4" i="3"/>
  <c r="C3" i="3"/>
  <c r="C2" i="3"/>
  <c r="A22" i="11"/>
  <c r="K190" i="3" s="1"/>
  <c r="A150" i="30" s="1"/>
  <c r="A21" i="11"/>
  <c r="K189" i="3" s="1"/>
  <c r="A149" i="30" s="1"/>
  <c r="A49" i="11"/>
  <c r="K217" i="3" s="1"/>
  <c r="A177" i="30" s="1"/>
  <c r="A48" i="11"/>
  <c r="K216" i="3" s="1"/>
  <c r="A176" i="30" s="1"/>
  <c r="A61" i="11"/>
  <c r="K230" i="3" s="1"/>
  <c r="A189" i="30" s="1"/>
  <c r="A62" i="11"/>
  <c r="K231" i="3" s="1"/>
  <c r="A190" i="30" s="1"/>
  <c r="A63" i="11"/>
  <c r="K232" i="3" s="1"/>
  <c r="A191" i="30" s="1"/>
  <c r="A73" i="11"/>
  <c r="K242" i="3" s="1"/>
  <c r="A201" i="30" s="1"/>
  <c r="A74" i="11"/>
  <c r="K243" i="3" s="1"/>
  <c r="A202" i="30" s="1"/>
  <c r="A75" i="11"/>
  <c r="K244" i="3" s="1"/>
  <c r="A203" i="30" s="1"/>
  <c r="A81" i="11"/>
  <c r="K250" i="3" s="1"/>
  <c r="A209" i="30" s="1"/>
  <c r="A82" i="11"/>
  <c r="K251" i="3" s="1"/>
  <c r="A210" i="30" s="1"/>
  <c r="A96" i="11"/>
  <c r="K265" i="3" s="1"/>
  <c r="A224" i="30" s="1"/>
  <c r="A60" i="10"/>
  <c r="A391" i="5" s="1"/>
  <c r="A78" i="10"/>
  <c r="A407" i="5" s="1"/>
  <c r="A77" i="10"/>
  <c r="A406" i="5" s="1"/>
  <c r="A96" i="10"/>
  <c r="A423" i="5" s="1"/>
  <c r="A95" i="10"/>
  <c r="A422" i="5" s="1"/>
  <c r="A122" i="10"/>
  <c r="A443" i="5" s="1"/>
  <c r="E812" i="3"/>
  <c r="E811" i="3"/>
  <c r="E813" i="3"/>
  <c r="E809" i="3"/>
  <c r="E814" i="3"/>
  <c r="E810" i="3"/>
  <c r="O104" i="16"/>
  <c r="N104" i="16"/>
  <c r="A104" i="34"/>
  <c r="B4" i="34"/>
  <c r="C4" i="34"/>
  <c r="D4" i="34"/>
  <c r="E4" i="34"/>
  <c r="F4" i="34"/>
  <c r="G4" i="34"/>
  <c r="H4" i="34"/>
  <c r="I4" i="34"/>
  <c r="J4" i="34"/>
  <c r="K4" i="34"/>
  <c r="L4" i="34"/>
  <c r="M4" i="34"/>
  <c r="N4" i="34"/>
  <c r="O4" i="34"/>
  <c r="P4" i="34"/>
  <c r="Q4" i="34"/>
  <c r="R4" i="34"/>
  <c r="S4" i="34"/>
  <c r="T4" i="34"/>
  <c r="U4" i="34"/>
  <c r="V4" i="34"/>
  <c r="W4" i="34"/>
  <c r="X4" i="34"/>
  <c r="Y4" i="34"/>
  <c r="Z4" i="34"/>
  <c r="AA4" i="34"/>
  <c r="A4" i="34"/>
  <c r="K267" i="3"/>
  <c r="M265" i="3"/>
  <c r="E224" i="30" s="1"/>
  <c r="L265" i="3"/>
  <c r="B224" i="30" s="1"/>
  <c r="M264" i="3"/>
  <c r="E223" i="30" s="1"/>
  <c r="L264" i="3"/>
  <c r="B223" i="30" s="1"/>
  <c r="K264" i="3"/>
  <c r="A223" i="30" s="1"/>
  <c r="M263" i="3"/>
  <c r="E222" i="30" s="1"/>
  <c r="L263" i="3"/>
  <c r="B222" i="30" s="1"/>
  <c r="K263" i="3"/>
  <c r="A222" i="30" s="1"/>
  <c r="M262" i="3"/>
  <c r="E221" i="30" s="1"/>
  <c r="L262" i="3"/>
  <c r="B221" i="30" s="1"/>
  <c r="K262" i="3"/>
  <c r="A221" i="30" s="1"/>
  <c r="M261" i="3"/>
  <c r="E220" i="30" s="1"/>
  <c r="L261" i="3"/>
  <c r="B220" i="30" s="1"/>
  <c r="K261" i="3"/>
  <c r="A220" i="30" s="1"/>
  <c r="K260" i="3"/>
  <c r="A219" i="30" s="1"/>
  <c r="M258" i="3"/>
  <c r="E217" i="30" s="1"/>
  <c r="L258" i="3"/>
  <c r="B217" i="30" s="1"/>
  <c r="M257" i="3"/>
  <c r="E216" i="30" s="1"/>
  <c r="L257" i="3"/>
  <c r="B216" i="30" s="1"/>
  <c r="K257" i="3"/>
  <c r="A216" i="30" s="1"/>
  <c r="M256" i="3"/>
  <c r="E215" i="30" s="1"/>
  <c r="L256" i="3"/>
  <c r="B215" i="30" s="1"/>
  <c r="K256" i="3"/>
  <c r="A215" i="30" s="1"/>
  <c r="M255" i="3"/>
  <c r="E214" i="30" s="1"/>
  <c r="L255" i="3"/>
  <c r="B214" i="30" s="1"/>
  <c r="K255" i="3"/>
  <c r="A214" i="30" s="1"/>
  <c r="K254" i="3"/>
  <c r="A213" i="30" s="1"/>
  <c r="M252" i="3"/>
  <c r="L252" i="3"/>
  <c r="B211" i="30" s="1"/>
  <c r="K252" i="3"/>
  <c r="A211" i="30" s="1"/>
  <c r="M251" i="3"/>
  <c r="E210" i="30" s="1"/>
  <c r="L251" i="3"/>
  <c r="B210" i="30" s="1"/>
  <c r="M250" i="3"/>
  <c r="E209" i="30" s="1"/>
  <c r="L250" i="3"/>
  <c r="B209" i="30" s="1"/>
  <c r="M249" i="3"/>
  <c r="E208" i="30" s="1"/>
  <c r="L249" i="3"/>
  <c r="K249" i="3"/>
  <c r="A208" i="30" s="1"/>
  <c r="M248" i="3"/>
  <c r="E207" i="30" s="1"/>
  <c r="L248" i="3"/>
  <c r="B207" i="30" s="1"/>
  <c r="K248" i="3"/>
  <c r="A207" i="30" s="1"/>
  <c r="M247" i="3"/>
  <c r="E206" i="30" s="1"/>
  <c r="L247" i="3"/>
  <c r="B206" i="30" s="1"/>
  <c r="K247" i="3"/>
  <c r="A206" i="30" s="1"/>
  <c r="K246" i="3"/>
  <c r="A205" i="30" s="1"/>
  <c r="M244" i="3"/>
  <c r="E203" i="30" s="1"/>
  <c r="L244" i="3"/>
  <c r="B203" i="30" s="1"/>
  <c r="M243" i="3"/>
  <c r="E202" i="30" s="1"/>
  <c r="L243" i="3"/>
  <c r="B202" i="30" s="1"/>
  <c r="M242" i="3"/>
  <c r="E201" i="30" s="1"/>
  <c r="L242" i="3"/>
  <c r="B201" i="30" s="1"/>
  <c r="M241" i="3"/>
  <c r="E200" i="30" s="1"/>
  <c r="L241" i="3"/>
  <c r="B200" i="30" s="1"/>
  <c r="K241" i="3"/>
  <c r="A200" i="30" s="1"/>
  <c r="M240" i="3"/>
  <c r="E199" i="30" s="1"/>
  <c r="L240" i="3"/>
  <c r="B199" i="30" s="1"/>
  <c r="K240" i="3"/>
  <c r="A199" i="30" s="1"/>
  <c r="M239" i="3"/>
  <c r="E198" i="30" s="1"/>
  <c r="L239" i="3"/>
  <c r="B198" i="30" s="1"/>
  <c r="K239" i="3"/>
  <c r="A198" i="30" s="1"/>
  <c r="M238" i="3"/>
  <c r="E197" i="30" s="1"/>
  <c r="L238" i="3"/>
  <c r="B197" i="30" s="1"/>
  <c r="K238" i="3"/>
  <c r="A197" i="30" s="1"/>
  <c r="M237" i="3"/>
  <c r="E196" i="30" s="1"/>
  <c r="L237" i="3"/>
  <c r="B196" i="30" s="1"/>
  <c r="K237" i="3"/>
  <c r="A196" i="30" s="1"/>
  <c r="M236" i="3"/>
  <c r="E195" i="30" s="1"/>
  <c r="L236" i="3"/>
  <c r="B195" i="30" s="1"/>
  <c r="K236" i="3"/>
  <c r="A195" i="30" s="1"/>
  <c r="M235" i="3"/>
  <c r="E194" i="30" s="1"/>
  <c r="L235" i="3"/>
  <c r="B194" i="30" s="1"/>
  <c r="K235" i="3"/>
  <c r="A194" i="30" s="1"/>
  <c r="K234" i="3"/>
  <c r="A193" i="30" s="1"/>
  <c r="M232" i="3"/>
  <c r="E191" i="30" s="1"/>
  <c r="L232" i="3"/>
  <c r="B191" i="30" s="1"/>
  <c r="M231" i="3"/>
  <c r="E190" i="30" s="1"/>
  <c r="L231" i="3"/>
  <c r="B190" i="30" s="1"/>
  <c r="M230" i="3"/>
  <c r="E189" i="30" s="1"/>
  <c r="L230" i="3"/>
  <c r="B189" i="30" s="1"/>
  <c r="M229" i="3"/>
  <c r="E188" i="30" s="1"/>
  <c r="L229" i="3"/>
  <c r="B188" i="30" s="1"/>
  <c r="K229" i="3"/>
  <c r="A188" i="30" s="1"/>
  <c r="M228" i="3"/>
  <c r="E187" i="30" s="1"/>
  <c r="L228" i="3"/>
  <c r="B187" i="30" s="1"/>
  <c r="K228" i="3"/>
  <c r="A187" i="30" s="1"/>
  <c r="M226" i="3"/>
  <c r="E186" i="30" s="1"/>
  <c r="L226" i="3"/>
  <c r="B186" i="30" s="1"/>
  <c r="K226" i="3"/>
  <c r="A186" i="30" s="1"/>
  <c r="M225" i="3"/>
  <c r="E185" i="30" s="1"/>
  <c r="L225" i="3"/>
  <c r="B185" i="30" s="1"/>
  <c r="K225" i="3"/>
  <c r="A185" i="30" s="1"/>
  <c r="M224" i="3"/>
  <c r="E184" i="30" s="1"/>
  <c r="L224" i="3"/>
  <c r="B184" i="30" s="1"/>
  <c r="K224" i="3"/>
  <c r="A184" i="30" s="1"/>
  <c r="M223" i="3"/>
  <c r="E183" i="30" s="1"/>
  <c r="L223" i="3"/>
  <c r="B183" i="30" s="1"/>
  <c r="K223" i="3"/>
  <c r="A183" i="30" s="1"/>
  <c r="M222" i="3"/>
  <c r="E182" i="30" s="1"/>
  <c r="L222" i="3"/>
  <c r="B182" i="30" s="1"/>
  <c r="K222" i="3"/>
  <c r="A182" i="30" s="1"/>
  <c r="M221" i="3"/>
  <c r="E181" i="30" s="1"/>
  <c r="L221" i="3"/>
  <c r="B181" i="30" s="1"/>
  <c r="K221" i="3"/>
  <c r="A181" i="30" s="1"/>
  <c r="K220" i="3"/>
  <c r="A180" i="30" s="1"/>
  <c r="M218" i="3"/>
  <c r="E178" i="30" s="1"/>
  <c r="L218" i="3"/>
  <c r="B178" i="30" s="1"/>
  <c r="M217" i="3"/>
  <c r="E177" i="30" s="1"/>
  <c r="L217" i="3"/>
  <c r="B177" i="30" s="1"/>
  <c r="M216" i="3"/>
  <c r="E176" i="30" s="1"/>
  <c r="L216" i="3"/>
  <c r="B176" i="30" s="1"/>
  <c r="M215" i="3"/>
  <c r="E175" i="30" s="1"/>
  <c r="L215" i="3"/>
  <c r="B175" i="30" s="1"/>
  <c r="K215" i="3"/>
  <c r="A175" i="30" s="1"/>
  <c r="M214" i="3"/>
  <c r="E174" i="30" s="1"/>
  <c r="L214" i="3"/>
  <c r="B174" i="30" s="1"/>
  <c r="K214" i="3"/>
  <c r="A174" i="30" s="1"/>
  <c r="M213" i="3"/>
  <c r="E173" i="30" s="1"/>
  <c r="L213" i="3"/>
  <c r="B173" i="30" s="1"/>
  <c r="K213" i="3"/>
  <c r="A173" i="30" s="1"/>
  <c r="M212" i="3"/>
  <c r="E172" i="30" s="1"/>
  <c r="L212" i="3"/>
  <c r="B172" i="30" s="1"/>
  <c r="K212" i="3"/>
  <c r="A172" i="30" s="1"/>
  <c r="M211" i="3"/>
  <c r="E171" i="30" s="1"/>
  <c r="L211" i="3"/>
  <c r="B171" i="30" s="1"/>
  <c r="K211" i="3"/>
  <c r="A171" i="30" s="1"/>
  <c r="M210" i="3"/>
  <c r="E170" i="30" s="1"/>
  <c r="L210" i="3"/>
  <c r="B170" i="30" s="1"/>
  <c r="K210" i="3"/>
  <c r="A170" i="30" s="1"/>
  <c r="M209" i="3"/>
  <c r="E169" i="30" s="1"/>
  <c r="L209" i="3"/>
  <c r="B169" i="30" s="1"/>
  <c r="K209" i="3"/>
  <c r="A169" i="30" s="1"/>
  <c r="M208" i="3"/>
  <c r="E168" i="30" s="1"/>
  <c r="L208" i="3"/>
  <c r="B168" i="30" s="1"/>
  <c r="K208" i="3"/>
  <c r="A168" i="30" s="1"/>
  <c r="M207" i="3"/>
  <c r="E167" i="30" s="1"/>
  <c r="L207" i="3"/>
  <c r="B167" i="30" s="1"/>
  <c r="K207" i="3"/>
  <c r="A167" i="30" s="1"/>
  <c r="M206" i="3"/>
  <c r="E166" i="30" s="1"/>
  <c r="L206" i="3"/>
  <c r="B166" i="30" s="1"/>
  <c r="K206" i="3"/>
  <c r="A166" i="30" s="1"/>
  <c r="M205" i="3"/>
  <c r="E165" i="30" s="1"/>
  <c r="L205" i="3"/>
  <c r="B165" i="30" s="1"/>
  <c r="K205" i="3"/>
  <c r="A165" i="30" s="1"/>
  <c r="M204" i="3"/>
  <c r="E164" i="30" s="1"/>
  <c r="L204" i="3"/>
  <c r="B164" i="30" s="1"/>
  <c r="K204" i="3"/>
  <c r="A164" i="30" s="1"/>
  <c r="K203" i="3"/>
  <c r="A163" i="30" s="1"/>
  <c r="M201" i="3"/>
  <c r="E161" i="30" s="1"/>
  <c r="L201" i="3"/>
  <c r="B161" i="30" s="1"/>
  <c r="K201" i="3"/>
  <c r="A161" i="30" s="1"/>
  <c r="M200" i="3"/>
  <c r="E160" i="30" s="1"/>
  <c r="L200" i="3"/>
  <c r="B160" i="30" s="1"/>
  <c r="M199" i="3"/>
  <c r="E159" i="30" s="1"/>
  <c r="L199" i="3"/>
  <c r="B159" i="30" s="1"/>
  <c r="M198" i="3"/>
  <c r="E158" i="30" s="1"/>
  <c r="L198" i="3"/>
  <c r="B158" i="30" s="1"/>
  <c r="K198" i="3"/>
  <c r="A158" i="30" s="1"/>
  <c r="M197" i="3"/>
  <c r="E157" i="30" s="1"/>
  <c r="L197" i="3"/>
  <c r="B157" i="30" s="1"/>
  <c r="K197" i="3"/>
  <c r="A157" i="30" s="1"/>
  <c r="M196" i="3"/>
  <c r="E156" i="30" s="1"/>
  <c r="L196" i="3"/>
  <c r="B156" i="30" s="1"/>
  <c r="K196" i="3"/>
  <c r="A156" i="30" s="1"/>
  <c r="M195" i="3"/>
  <c r="E155" i="30" s="1"/>
  <c r="L195" i="3"/>
  <c r="B155" i="30" s="1"/>
  <c r="K195" i="3"/>
  <c r="A155" i="30" s="1"/>
  <c r="M194" i="3"/>
  <c r="E154" i="30" s="1"/>
  <c r="L194" i="3"/>
  <c r="B154" i="30" s="1"/>
  <c r="K194" i="3"/>
  <c r="A154" i="30" s="1"/>
  <c r="K193" i="3"/>
  <c r="A153" i="30" s="1"/>
  <c r="M191" i="3"/>
  <c r="E151" i="30" s="1"/>
  <c r="L191" i="3"/>
  <c r="B151" i="30" s="1"/>
  <c r="M190" i="3"/>
  <c r="E150" i="30" s="1"/>
  <c r="L190" i="3"/>
  <c r="B150" i="30" s="1"/>
  <c r="M189" i="3"/>
  <c r="E149" i="30" s="1"/>
  <c r="L189" i="3"/>
  <c r="B149" i="30" s="1"/>
  <c r="M188" i="3"/>
  <c r="E148" i="30" s="1"/>
  <c r="L188" i="3"/>
  <c r="B148" i="30" s="1"/>
  <c r="K188" i="3"/>
  <c r="A148" i="30" s="1"/>
  <c r="M187" i="3"/>
  <c r="E147" i="30" s="1"/>
  <c r="L187" i="3"/>
  <c r="B147" i="30" s="1"/>
  <c r="K187" i="3"/>
  <c r="A147" i="30" s="1"/>
  <c r="M186" i="3"/>
  <c r="E146" i="30" s="1"/>
  <c r="L186" i="3"/>
  <c r="B146" i="30" s="1"/>
  <c r="K186" i="3"/>
  <c r="A146" i="30" s="1"/>
  <c r="M185" i="3"/>
  <c r="E145" i="30" s="1"/>
  <c r="L185" i="3"/>
  <c r="B145" i="30" s="1"/>
  <c r="K185" i="3"/>
  <c r="A145" i="30" s="1"/>
  <c r="M184" i="3"/>
  <c r="E144" i="30" s="1"/>
  <c r="L184" i="3"/>
  <c r="B144" i="30" s="1"/>
  <c r="K184" i="3"/>
  <c r="A144" i="30" s="1"/>
  <c r="M183" i="3"/>
  <c r="E143" i="30" s="1"/>
  <c r="L183" i="3"/>
  <c r="B143" i="30" s="1"/>
  <c r="K183" i="3"/>
  <c r="A143" i="30" s="1"/>
  <c r="M182" i="3"/>
  <c r="E142" i="30" s="1"/>
  <c r="L182" i="3"/>
  <c r="B142" i="30" s="1"/>
  <c r="K182" i="3"/>
  <c r="A142" i="30" s="1"/>
  <c r="M181" i="3"/>
  <c r="E141" i="30" s="1"/>
  <c r="L181" i="3"/>
  <c r="B141" i="30" s="1"/>
  <c r="K181" i="3"/>
  <c r="A141" i="30" s="1"/>
  <c r="K180" i="3"/>
  <c r="A140" i="30" s="1"/>
  <c r="M178" i="3"/>
  <c r="E138" i="30" s="1"/>
  <c r="L178" i="3"/>
  <c r="B138" i="30" s="1"/>
  <c r="K178" i="3"/>
  <c r="A138" i="30" s="1"/>
  <c r="M177" i="3"/>
  <c r="E137" i="30" s="1"/>
  <c r="L177" i="3"/>
  <c r="B137" i="30" s="1"/>
  <c r="K177" i="3"/>
  <c r="A137" i="30" s="1"/>
  <c r="K176" i="3"/>
  <c r="A136" i="30" s="1"/>
  <c r="M174" i="3"/>
  <c r="E134" i="30" s="1"/>
  <c r="L174" i="3"/>
  <c r="B134" i="30" s="1"/>
  <c r="K174" i="3"/>
  <c r="A134" i="30" s="1"/>
  <c r="M173" i="3"/>
  <c r="E133" i="30" s="1"/>
  <c r="L173" i="3"/>
  <c r="B133" i="30" s="1"/>
  <c r="K173" i="3"/>
  <c r="A133" i="30" s="1"/>
  <c r="M172" i="3"/>
  <c r="E132" i="30" s="1"/>
  <c r="L172" i="3"/>
  <c r="B132" i="30" s="1"/>
  <c r="K172" i="3"/>
  <c r="A132" i="30" s="1"/>
  <c r="M171" i="3"/>
  <c r="E131" i="30" s="1"/>
  <c r="L171" i="3"/>
  <c r="B131" i="30" s="1"/>
  <c r="K171" i="3"/>
  <c r="A131" i="30" s="1"/>
  <c r="G131" i="30"/>
  <c r="A125" i="30"/>
  <c r="D124" i="30"/>
  <c r="C124" i="30"/>
  <c r="D123" i="30"/>
  <c r="C123" i="30"/>
  <c r="D122" i="30"/>
  <c r="C122" i="30"/>
  <c r="D121" i="30"/>
  <c r="C121" i="30"/>
  <c r="D120" i="30"/>
  <c r="C120" i="30"/>
  <c r="D119" i="30"/>
  <c r="C119" i="30"/>
  <c r="D118" i="30"/>
  <c r="C118" i="30"/>
  <c r="A117" i="30"/>
  <c r="A108" i="30"/>
  <c r="D107" i="30"/>
  <c r="C107" i="30"/>
  <c r="D106" i="30"/>
  <c r="C106" i="30"/>
  <c r="D105" i="30"/>
  <c r="C105" i="30"/>
  <c r="D104" i="30"/>
  <c r="C104" i="30"/>
  <c r="D103" i="30"/>
  <c r="C103" i="30"/>
  <c r="D102" i="30"/>
  <c r="C102" i="30"/>
  <c r="D101" i="30"/>
  <c r="C101" i="30"/>
  <c r="A100" i="30"/>
  <c r="D90" i="30"/>
  <c r="C90" i="30"/>
  <c r="D89" i="30"/>
  <c r="C89" i="30"/>
  <c r="D82" i="30"/>
  <c r="C82" i="30"/>
  <c r="A81" i="30"/>
  <c r="D80" i="30"/>
  <c r="C80" i="30"/>
  <c r="D79" i="30"/>
  <c r="C79" i="30"/>
  <c r="D78" i="30"/>
  <c r="C78" i="30"/>
  <c r="D77" i="30"/>
  <c r="C77" i="30"/>
  <c r="D76" i="30"/>
  <c r="C76" i="30"/>
  <c r="D75" i="30"/>
  <c r="C75" i="30"/>
  <c r="D74" i="30"/>
  <c r="C74" i="30"/>
  <c r="D73" i="30"/>
  <c r="C73" i="30"/>
  <c r="D72" i="30"/>
  <c r="C72" i="30"/>
  <c r="D71" i="30"/>
  <c r="C71" i="30"/>
  <c r="D70" i="30"/>
  <c r="C70" i="30"/>
  <c r="D69" i="30"/>
  <c r="C69" i="30"/>
  <c r="D68" i="30"/>
  <c r="C68" i="30"/>
  <c r="D67" i="30"/>
  <c r="C67" i="30"/>
  <c r="D66" i="30"/>
  <c r="C66" i="30"/>
  <c r="A65" i="30"/>
  <c r="A46" i="30"/>
  <c r="A30" i="30"/>
  <c r="A14" i="30"/>
  <c r="A10" i="30"/>
  <c r="D9" i="30"/>
  <c r="D8" i="30"/>
  <c r="C8" i="30"/>
  <c r="D7" i="30"/>
  <c r="C6" i="30"/>
  <c r="I5" i="30"/>
  <c r="A5" i="30"/>
  <c r="B4" i="30"/>
  <c r="B3" i="30"/>
  <c r="U806" i="3"/>
  <c r="U103" i="34" s="1"/>
  <c r="U805" i="3"/>
  <c r="U102" i="34" s="1"/>
  <c r="U804" i="3"/>
  <c r="U101" i="34" s="1"/>
  <c r="U803" i="3"/>
  <c r="U100" i="34" s="1"/>
  <c r="U802" i="3"/>
  <c r="U99" i="34" s="1"/>
  <c r="U801" i="3"/>
  <c r="U98" i="34" s="1"/>
  <c r="U800" i="3"/>
  <c r="U97" i="34" s="1"/>
  <c r="U799" i="3"/>
  <c r="U96" i="34" s="1"/>
  <c r="U798" i="3"/>
  <c r="U95" i="34" s="1"/>
  <c r="U797" i="3"/>
  <c r="U94" i="34" s="1"/>
  <c r="U796" i="3"/>
  <c r="U93" i="34" s="1"/>
  <c r="U795" i="3"/>
  <c r="U92" i="34" s="1"/>
  <c r="U794" i="3"/>
  <c r="U91" i="34" s="1"/>
  <c r="U793" i="3"/>
  <c r="U90" i="34" s="1"/>
  <c r="U792" i="3"/>
  <c r="U89" i="34" s="1"/>
  <c r="U791" i="3"/>
  <c r="U88" i="34" s="1"/>
  <c r="U790" i="3"/>
  <c r="U87" i="34" s="1"/>
  <c r="U789" i="3"/>
  <c r="U86" i="34" s="1"/>
  <c r="U788" i="3"/>
  <c r="U85" i="34" s="1"/>
  <c r="U787" i="3"/>
  <c r="U84" i="34" s="1"/>
  <c r="U786" i="3"/>
  <c r="U83" i="34" s="1"/>
  <c r="U785" i="3"/>
  <c r="U82" i="34" s="1"/>
  <c r="U784" i="3"/>
  <c r="U81" i="34" s="1"/>
  <c r="U783" i="3"/>
  <c r="U80" i="34" s="1"/>
  <c r="U782" i="3"/>
  <c r="U79" i="34" s="1"/>
  <c r="U781" i="3"/>
  <c r="U78" i="34" s="1"/>
  <c r="U780" i="3"/>
  <c r="U77" i="34" s="1"/>
  <c r="U779" i="3"/>
  <c r="U76" i="34" s="1"/>
  <c r="U778" i="3"/>
  <c r="U75" i="34" s="1"/>
  <c r="U777" i="3"/>
  <c r="U74" i="34" s="1"/>
  <c r="U776" i="3"/>
  <c r="U73" i="34" s="1"/>
  <c r="U775" i="3"/>
  <c r="U72" i="34" s="1"/>
  <c r="U774" i="3"/>
  <c r="U71" i="34" s="1"/>
  <c r="U773" i="3"/>
  <c r="U70" i="34" s="1"/>
  <c r="U772" i="3"/>
  <c r="U69" i="34" s="1"/>
  <c r="U771" i="3"/>
  <c r="U68" i="34" s="1"/>
  <c r="U770" i="3"/>
  <c r="U67" i="34" s="1"/>
  <c r="U769" i="3"/>
  <c r="U66" i="34" s="1"/>
  <c r="U768" i="3"/>
  <c r="U65" i="34" s="1"/>
  <c r="U767" i="3"/>
  <c r="U64" i="34" s="1"/>
  <c r="U766" i="3"/>
  <c r="U63" i="34" s="1"/>
  <c r="U765" i="3"/>
  <c r="U62" i="34" s="1"/>
  <c r="U764" i="3"/>
  <c r="U61" i="34" s="1"/>
  <c r="U763" i="3"/>
  <c r="U60" i="34" s="1"/>
  <c r="U762" i="3"/>
  <c r="U59" i="34" s="1"/>
  <c r="U761" i="3"/>
  <c r="U58" i="34" s="1"/>
  <c r="U760" i="3"/>
  <c r="U57" i="34" s="1"/>
  <c r="U759" i="3"/>
  <c r="U56" i="34" s="1"/>
  <c r="U758" i="3"/>
  <c r="U55" i="34" s="1"/>
  <c r="U757" i="3"/>
  <c r="U54" i="34" s="1"/>
  <c r="U756" i="3"/>
  <c r="U53" i="34" s="1"/>
  <c r="U755" i="3"/>
  <c r="U52" i="34" s="1"/>
  <c r="U754" i="3"/>
  <c r="U51" i="34" s="1"/>
  <c r="U753" i="3"/>
  <c r="U50" i="34" s="1"/>
  <c r="U752" i="3"/>
  <c r="U49" i="34" s="1"/>
  <c r="U751" i="3"/>
  <c r="U48" i="34" s="1"/>
  <c r="U750" i="3"/>
  <c r="U47" i="34" s="1"/>
  <c r="U749" i="3"/>
  <c r="U46" i="34" s="1"/>
  <c r="U748" i="3"/>
  <c r="U45" i="34" s="1"/>
  <c r="U747" i="3"/>
  <c r="U44" i="34" s="1"/>
  <c r="U746" i="3"/>
  <c r="U43" i="34" s="1"/>
  <c r="U745" i="3"/>
  <c r="U42" i="34" s="1"/>
  <c r="U744" i="3"/>
  <c r="U41" i="34" s="1"/>
  <c r="U743" i="3"/>
  <c r="U40" i="34" s="1"/>
  <c r="U742" i="3"/>
  <c r="U39" i="34" s="1"/>
  <c r="U741" i="3"/>
  <c r="U38" i="34" s="1"/>
  <c r="U740" i="3"/>
  <c r="U37" i="34" s="1"/>
  <c r="U739" i="3"/>
  <c r="U36" i="34" s="1"/>
  <c r="U738" i="3"/>
  <c r="U35" i="34" s="1"/>
  <c r="U737" i="3"/>
  <c r="U34" i="34" s="1"/>
  <c r="U736" i="3"/>
  <c r="U33" i="34" s="1"/>
  <c r="U735" i="3"/>
  <c r="U32" i="34" s="1"/>
  <c r="U734" i="3"/>
  <c r="U31" i="34" s="1"/>
  <c r="U733" i="3"/>
  <c r="U30" i="34" s="1"/>
  <c r="U732" i="3"/>
  <c r="U29" i="34" s="1"/>
  <c r="U731" i="3"/>
  <c r="U28" i="34" s="1"/>
  <c r="U730" i="3"/>
  <c r="U27" i="34" s="1"/>
  <c r="U729" i="3"/>
  <c r="U26" i="34" s="1"/>
  <c r="U728" i="3"/>
  <c r="U25" i="34" s="1"/>
  <c r="U727" i="3"/>
  <c r="U24" i="34" s="1"/>
  <c r="U726" i="3"/>
  <c r="U23" i="34" s="1"/>
  <c r="U725" i="3"/>
  <c r="U22" i="34" s="1"/>
  <c r="U724" i="3"/>
  <c r="U21" i="34" s="1"/>
  <c r="U723" i="3"/>
  <c r="U20" i="34" s="1"/>
  <c r="U722" i="3"/>
  <c r="U19" i="34" s="1"/>
  <c r="U721" i="3"/>
  <c r="U18" i="34" s="1"/>
  <c r="U720" i="3"/>
  <c r="U17" i="34" s="1"/>
  <c r="U719" i="3"/>
  <c r="U16" i="34" s="1"/>
  <c r="U718" i="3"/>
  <c r="U15" i="34" s="1"/>
  <c r="U717" i="3"/>
  <c r="U14" i="34" s="1"/>
  <c r="U716" i="3"/>
  <c r="U13" i="34" s="1"/>
  <c r="U715" i="3"/>
  <c r="U12" i="34" s="1"/>
  <c r="U714" i="3"/>
  <c r="U11" i="34" s="1"/>
  <c r="U713" i="3"/>
  <c r="U10" i="34" s="1"/>
  <c r="U712" i="3"/>
  <c r="U9" i="34" s="1"/>
  <c r="U711" i="3"/>
  <c r="U8" i="34" s="1"/>
  <c r="U710" i="3"/>
  <c r="U7" i="34" s="1"/>
  <c r="U709" i="3"/>
  <c r="U6" i="34" s="1"/>
  <c r="U708" i="3"/>
  <c r="U5" i="34" s="1"/>
  <c r="Q806" i="3"/>
  <c r="Q103" i="34" s="1"/>
  <c r="Q805" i="3"/>
  <c r="Q102" i="34" s="1"/>
  <c r="Q804" i="3"/>
  <c r="Q101" i="34" s="1"/>
  <c r="Q803" i="3"/>
  <c r="Q100" i="34" s="1"/>
  <c r="Q802" i="3"/>
  <c r="Q99" i="34" s="1"/>
  <c r="Q801" i="3"/>
  <c r="Q98" i="34" s="1"/>
  <c r="Q800" i="3"/>
  <c r="Q97" i="34" s="1"/>
  <c r="Q799" i="3"/>
  <c r="Q96" i="34" s="1"/>
  <c r="Q798" i="3"/>
  <c r="Q95" i="34" s="1"/>
  <c r="Q797" i="3"/>
  <c r="Q94" i="34" s="1"/>
  <c r="Q796" i="3"/>
  <c r="Q93" i="34" s="1"/>
  <c r="Q795" i="3"/>
  <c r="Q92" i="34" s="1"/>
  <c r="Q794" i="3"/>
  <c r="Q91" i="34" s="1"/>
  <c r="Q793" i="3"/>
  <c r="Q90" i="34" s="1"/>
  <c r="Q792" i="3"/>
  <c r="Q89" i="34" s="1"/>
  <c r="Q791" i="3"/>
  <c r="Q88" i="34" s="1"/>
  <c r="Q790" i="3"/>
  <c r="Q87" i="34" s="1"/>
  <c r="Q789" i="3"/>
  <c r="Q86" i="34" s="1"/>
  <c r="Q788" i="3"/>
  <c r="Q85" i="34" s="1"/>
  <c r="Q787" i="3"/>
  <c r="Q84" i="34" s="1"/>
  <c r="Q786" i="3"/>
  <c r="Q83" i="34" s="1"/>
  <c r="Q785" i="3"/>
  <c r="Q82" i="34" s="1"/>
  <c r="Q784" i="3"/>
  <c r="Q81" i="34" s="1"/>
  <c r="Q783" i="3"/>
  <c r="Q80" i="34" s="1"/>
  <c r="Q782" i="3"/>
  <c r="Q79" i="34" s="1"/>
  <c r="Q781" i="3"/>
  <c r="Q78" i="34" s="1"/>
  <c r="Q780" i="3"/>
  <c r="Q77" i="34" s="1"/>
  <c r="Q779" i="3"/>
  <c r="Q76" i="34" s="1"/>
  <c r="Q778" i="3"/>
  <c r="Q75" i="34" s="1"/>
  <c r="Q777" i="3"/>
  <c r="Q74" i="34" s="1"/>
  <c r="Q776" i="3"/>
  <c r="Q73" i="34" s="1"/>
  <c r="Q775" i="3"/>
  <c r="Q72" i="34" s="1"/>
  <c r="Q774" i="3"/>
  <c r="Q71" i="34" s="1"/>
  <c r="Q773" i="3"/>
  <c r="Q70" i="34" s="1"/>
  <c r="Q772" i="3"/>
  <c r="Q69" i="34" s="1"/>
  <c r="Q771" i="3"/>
  <c r="Q68" i="34" s="1"/>
  <c r="Q770" i="3"/>
  <c r="Q67" i="34" s="1"/>
  <c r="Q769" i="3"/>
  <c r="Q66" i="34" s="1"/>
  <c r="Q768" i="3"/>
  <c r="Q65" i="34" s="1"/>
  <c r="Q767" i="3"/>
  <c r="Q64" i="34" s="1"/>
  <c r="Q766" i="3"/>
  <c r="Q63" i="34" s="1"/>
  <c r="Q765" i="3"/>
  <c r="Q62" i="34" s="1"/>
  <c r="Q764" i="3"/>
  <c r="Q61" i="34" s="1"/>
  <c r="Q763" i="3"/>
  <c r="Q60" i="34" s="1"/>
  <c r="Q762" i="3"/>
  <c r="Q59" i="34" s="1"/>
  <c r="Q761" i="3"/>
  <c r="Q58" i="34" s="1"/>
  <c r="Q760" i="3"/>
  <c r="Q57" i="34" s="1"/>
  <c r="Q759" i="3"/>
  <c r="Q56" i="34" s="1"/>
  <c r="Q758" i="3"/>
  <c r="Q55" i="34" s="1"/>
  <c r="Q757" i="3"/>
  <c r="Q54" i="34" s="1"/>
  <c r="Q756" i="3"/>
  <c r="Q53" i="34" s="1"/>
  <c r="Q755" i="3"/>
  <c r="Q52" i="34" s="1"/>
  <c r="Q754" i="3"/>
  <c r="Q51" i="34" s="1"/>
  <c r="Q753" i="3"/>
  <c r="Q50" i="34" s="1"/>
  <c r="Q752" i="3"/>
  <c r="Q49" i="34" s="1"/>
  <c r="Q751" i="3"/>
  <c r="Q48" i="34" s="1"/>
  <c r="Q750" i="3"/>
  <c r="Q47" i="34" s="1"/>
  <c r="Q749" i="3"/>
  <c r="Q46" i="34" s="1"/>
  <c r="Q748" i="3"/>
  <c r="Q45" i="34" s="1"/>
  <c r="Q747" i="3"/>
  <c r="Q44" i="34" s="1"/>
  <c r="Q746" i="3"/>
  <c r="Q43" i="34" s="1"/>
  <c r="Q745" i="3"/>
  <c r="Q42" i="34" s="1"/>
  <c r="Q744" i="3"/>
  <c r="Q41" i="34" s="1"/>
  <c r="Q743" i="3"/>
  <c r="Q40" i="34" s="1"/>
  <c r="Q742" i="3"/>
  <c r="Q39" i="34" s="1"/>
  <c r="Q741" i="3"/>
  <c r="Q38" i="34" s="1"/>
  <c r="Q740" i="3"/>
  <c r="Q37" i="34" s="1"/>
  <c r="Q739" i="3"/>
  <c r="Q36" i="34" s="1"/>
  <c r="Q738" i="3"/>
  <c r="Q35" i="34" s="1"/>
  <c r="Q737" i="3"/>
  <c r="Q34" i="34" s="1"/>
  <c r="Q736" i="3"/>
  <c r="Q33" i="34" s="1"/>
  <c r="Q735" i="3"/>
  <c r="Q32" i="34" s="1"/>
  <c r="Q734" i="3"/>
  <c r="Q31" i="34" s="1"/>
  <c r="Q733" i="3"/>
  <c r="Q30" i="34" s="1"/>
  <c r="Q732" i="3"/>
  <c r="Q29" i="34" s="1"/>
  <c r="Q731" i="3"/>
  <c r="Q28" i="34" s="1"/>
  <c r="Q730" i="3"/>
  <c r="Q27" i="34" s="1"/>
  <c r="Q729" i="3"/>
  <c r="Q26" i="34" s="1"/>
  <c r="Q728" i="3"/>
  <c r="Q25" i="34" s="1"/>
  <c r="Q727" i="3"/>
  <c r="Q24" i="34" s="1"/>
  <c r="Q726" i="3"/>
  <c r="Q23" i="34" s="1"/>
  <c r="Q725" i="3"/>
  <c r="Q22" i="34" s="1"/>
  <c r="Q724" i="3"/>
  <c r="Q21" i="34" s="1"/>
  <c r="Q723" i="3"/>
  <c r="Q20" i="34" s="1"/>
  <c r="Q722" i="3"/>
  <c r="Q19" i="34" s="1"/>
  <c r="Q721" i="3"/>
  <c r="Q18" i="34" s="1"/>
  <c r="Q720" i="3"/>
  <c r="Q17" i="34" s="1"/>
  <c r="Q719" i="3"/>
  <c r="Q16" i="34" s="1"/>
  <c r="Q718" i="3"/>
  <c r="Q15" i="34" s="1"/>
  <c r="Q717" i="3"/>
  <c r="Q14" i="34" s="1"/>
  <c r="Q716" i="3"/>
  <c r="Q13" i="34" s="1"/>
  <c r="Q715" i="3"/>
  <c r="Q12" i="34" s="1"/>
  <c r="Q714" i="3"/>
  <c r="Q11" i="34" s="1"/>
  <c r="Q713" i="3"/>
  <c r="Q10" i="34" s="1"/>
  <c r="Q712" i="3"/>
  <c r="Q9" i="34" s="1"/>
  <c r="Q711" i="3"/>
  <c r="Q8" i="34" s="1"/>
  <c r="Q710" i="3"/>
  <c r="Q7" i="34" s="1"/>
  <c r="Q709" i="3"/>
  <c r="Q6" i="34" s="1"/>
  <c r="Q708" i="3"/>
  <c r="Q5" i="34" s="1"/>
  <c r="B374" i="3"/>
  <c r="B373" i="3"/>
  <c r="A288" i="3"/>
  <c r="A121" i="30" s="1"/>
  <c r="B868" i="3"/>
  <c r="B869" i="3" s="1"/>
  <c r="F361" i="3"/>
  <c r="F363" i="3" s="1"/>
  <c r="H125" i="3"/>
  <c r="H124" i="3"/>
  <c r="E119" i="25"/>
  <c r="C119" i="25"/>
  <c r="B87" i="25"/>
  <c r="B86" i="25"/>
  <c r="B85" i="25"/>
  <c r="B84" i="25"/>
  <c r="B83" i="25"/>
  <c r="B82" i="25"/>
  <c r="F20" i="25"/>
  <c r="C9" i="24"/>
  <c r="C10" i="24"/>
  <c r="C11" i="24"/>
  <c r="C4" i="24"/>
  <c r="D882" i="3"/>
  <c r="C27" i="24" s="1"/>
  <c r="D881" i="3"/>
  <c r="C26" i="24" s="1"/>
  <c r="D879" i="3"/>
  <c r="C24" i="24" s="1"/>
  <c r="D878" i="3"/>
  <c r="C22" i="24" s="1"/>
  <c r="D67" i="3"/>
  <c r="C67" i="3"/>
  <c r="B67" i="3"/>
  <c r="G66" i="3"/>
  <c r="F66" i="3"/>
  <c r="E66" i="3"/>
  <c r="D66" i="3"/>
  <c r="C66" i="3"/>
  <c r="B66" i="3"/>
  <c r="G65" i="3"/>
  <c r="F65" i="3"/>
  <c r="E65" i="3"/>
  <c r="D65" i="3"/>
  <c r="C65" i="3"/>
  <c r="B65" i="3"/>
  <c r="G64" i="3"/>
  <c r="F64" i="3"/>
  <c r="E64" i="3"/>
  <c r="D64" i="3"/>
  <c r="C64" i="3"/>
  <c r="B64" i="3"/>
  <c r="H171" i="3"/>
  <c r="H5" i="30" s="1"/>
  <c r="A287" i="3"/>
  <c r="A120" i="30" s="1"/>
  <c r="A286" i="3"/>
  <c r="A119" i="30" s="1"/>
  <c r="E285" i="3"/>
  <c r="A285" i="3"/>
  <c r="A118" i="30" s="1"/>
  <c r="C282" i="3"/>
  <c r="C115" i="30" s="1"/>
  <c r="A282" i="3"/>
  <c r="A115" i="30" s="1"/>
  <c r="C281" i="3"/>
  <c r="C114" i="30" s="1"/>
  <c r="A281" i="3"/>
  <c r="A114" i="30" s="1"/>
  <c r="C280" i="3"/>
  <c r="C113" i="30" s="1"/>
  <c r="A280" i="3"/>
  <c r="A113" i="30" s="1"/>
  <c r="C278" i="3"/>
  <c r="C111" i="30" s="1"/>
  <c r="A278" i="3"/>
  <c r="A111" i="30" s="1"/>
  <c r="C277" i="3"/>
  <c r="C110" i="30" s="1"/>
  <c r="A277" i="3"/>
  <c r="A110" i="30" s="1"/>
  <c r="E276" i="3"/>
  <c r="C276" i="3"/>
  <c r="C109" i="30" s="1"/>
  <c r="A276" i="3"/>
  <c r="A109" i="30" s="1"/>
  <c r="A270" i="3"/>
  <c r="A103" i="30" s="1"/>
  <c r="A269" i="3"/>
  <c r="A102" i="30" s="1"/>
  <c r="E268" i="3"/>
  <c r="A268" i="3"/>
  <c r="A101" i="30" s="1"/>
  <c r="C265" i="3"/>
  <c r="C98" i="30" s="1"/>
  <c r="C264" i="3"/>
  <c r="C97" i="30" s="1"/>
  <c r="C263" i="3"/>
  <c r="C96" i="30" s="1"/>
  <c r="C262" i="3"/>
  <c r="C95" i="30" s="1"/>
  <c r="A262" i="3"/>
  <c r="A95" i="30" s="1"/>
  <c r="C261" i="3"/>
  <c r="C94" i="30" s="1"/>
  <c r="A261" i="3"/>
  <c r="A94" i="30" s="1"/>
  <c r="C260" i="3"/>
  <c r="C93" i="30" s="1"/>
  <c r="A260" i="3"/>
  <c r="A93" i="30" s="1"/>
  <c r="E259" i="3"/>
  <c r="C259" i="3"/>
  <c r="C92" i="30" s="1"/>
  <c r="A259" i="3"/>
  <c r="A92" i="30" s="1"/>
  <c r="E258" i="3"/>
  <c r="C258" i="3"/>
  <c r="C91" i="30" s="1"/>
  <c r="A258" i="3"/>
  <c r="A91" i="30" s="1"/>
  <c r="E257" i="3"/>
  <c r="E90" i="30" s="1"/>
  <c r="A257" i="3"/>
  <c r="A90" i="30" s="1"/>
  <c r="E256" i="3"/>
  <c r="A256" i="3"/>
  <c r="A89" i="30" s="1"/>
  <c r="E255" i="3"/>
  <c r="C255" i="3"/>
  <c r="C88" i="30" s="1"/>
  <c r="A255" i="3"/>
  <c r="A88" i="30" s="1"/>
  <c r="E254" i="3"/>
  <c r="C254" i="3"/>
  <c r="C87" i="30" s="1"/>
  <c r="A254" i="3"/>
  <c r="A87" i="30" s="1"/>
  <c r="E253" i="3"/>
  <c r="C253" i="3"/>
  <c r="C86" i="30" s="1"/>
  <c r="A253" i="3"/>
  <c r="A86" i="30" s="1"/>
  <c r="E252" i="3"/>
  <c r="C252" i="3"/>
  <c r="C85" i="30" s="1"/>
  <c r="A252" i="3"/>
  <c r="A85" i="30" s="1"/>
  <c r="E251" i="3"/>
  <c r="C251" i="3"/>
  <c r="C84" i="30" s="1"/>
  <c r="A251" i="3"/>
  <c r="A84" i="30" s="1"/>
  <c r="E250" i="3"/>
  <c r="C250" i="3"/>
  <c r="C83" i="30" s="1"/>
  <c r="A250" i="3"/>
  <c r="A83" i="30" s="1"/>
  <c r="E249" i="3"/>
  <c r="A249" i="3"/>
  <c r="A82" i="30" s="1"/>
  <c r="A243" i="3"/>
  <c r="A76" i="30" s="1"/>
  <c r="A242" i="3"/>
  <c r="A75" i="30" s="1"/>
  <c r="E241" i="3"/>
  <c r="A241" i="3"/>
  <c r="A74" i="30" s="1"/>
  <c r="E240" i="3"/>
  <c r="A240" i="3"/>
  <c r="A73" i="30" s="1"/>
  <c r="E239" i="3"/>
  <c r="A239" i="3"/>
  <c r="A72" i="30" s="1"/>
  <c r="E238" i="3"/>
  <c r="A238" i="3"/>
  <c r="A71" i="30" s="1"/>
  <c r="E237" i="3"/>
  <c r="A237" i="3"/>
  <c r="A70" i="30" s="1"/>
  <c r="E236" i="3"/>
  <c r="A236" i="3"/>
  <c r="A69" i="30" s="1"/>
  <c r="E235" i="3"/>
  <c r="A235" i="3"/>
  <c r="A68" i="30" s="1"/>
  <c r="E234" i="3"/>
  <c r="A234" i="3"/>
  <c r="A67" i="30" s="1"/>
  <c r="E233" i="3"/>
  <c r="A233" i="3"/>
  <c r="A66" i="30" s="1"/>
  <c r="C230" i="3"/>
  <c r="C63" i="30" s="1"/>
  <c r="C229" i="3"/>
  <c r="C62" i="30" s="1"/>
  <c r="C228" i="3"/>
  <c r="C61" i="30" s="1"/>
  <c r="C226" i="3"/>
  <c r="C60" i="30" s="1"/>
  <c r="A226" i="3"/>
  <c r="A60" i="30" s="1"/>
  <c r="C225" i="3"/>
  <c r="C59" i="30" s="1"/>
  <c r="A225" i="3"/>
  <c r="A59" i="30" s="1"/>
  <c r="E224" i="3"/>
  <c r="C224" i="3"/>
  <c r="C58" i="30" s="1"/>
  <c r="A224" i="3"/>
  <c r="A58" i="30" s="1"/>
  <c r="E223" i="3"/>
  <c r="C223" i="3"/>
  <c r="C57" i="30" s="1"/>
  <c r="A223" i="3"/>
  <c r="A57" i="30" s="1"/>
  <c r="E222" i="3"/>
  <c r="C222" i="3"/>
  <c r="C56" i="30" s="1"/>
  <c r="A222" i="3"/>
  <c r="A56" i="30" s="1"/>
  <c r="E221" i="3"/>
  <c r="C221" i="3"/>
  <c r="C55" i="30" s="1"/>
  <c r="A221" i="3"/>
  <c r="A55" i="30" s="1"/>
  <c r="E220" i="3"/>
  <c r="C220" i="3"/>
  <c r="C54" i="30" s="1"/>
  <c r="A220" i="3"/>
  <c r="A54" i="30" s="1"/>
  <c r="E219" i="3"/>
  <c r="C219" i="3"/>
  <c r="C53" i="30" s="1"/>
  <c r="A219" i="3"/>
  <c r="A53" i="30" s="1"/>
  <c r="E218" i="3"/>
  <c r="C218" i="3"/>
  <c r="C52" i="30" s="1"/>
  <c r="A218" i="3"/>
  <c r="A52" i="30" s="1"/>
  <c r="E217" i="3"/>
  <c r="C217" i="3"/>
  <c r="C51" i="30" s="1"/>
  <c r="A217" i="3"/>
  <c r="A51" i="30" s="1"/>
  <c r="E216" i="3"/>
  <c r="C216" i="3"/>
  <c r="A216" i="3"/>
  <c r="A50" i="30" s="1"/>
  <c r="E215" i="3"/>
  <c r="C215" i="3"/>
  <c r="C49" i="30" s="1"/>
  <c r="A215" i="3"/>
  <c r="A49" i="30" s="1"/>
  <c r="E214" i="3"/>
  <c r="C214" i="3"/>
  <c r="C48" i="30" s="1"/>
  <c r="A214" i="3"/>
  <c r="A48" i="30" s="1"/>
  <c r="E213" i="3"/>
  <c r="G213" i="3" s="1"/>
  <c r="C213" i="3"/>
  <c r="C47" i="30" s="1"/>
  <c r="A213" i="3"/>
  <c r="A47" i="30" s="1"/>
  <c r="C210" i="3"/>
  <c r="C44" i="30" s="1"/>
  <c r="C209" i="3"/>
  <c r="C43" i="30" s="1"/>
  <c r="C208" i="3"/>
  <c r="C42" i="30" s="1"/>
  <c r="C207" i="3"/>
  <c r="C41" i="30" s="1"/>
  <c r="A207" i="3"/>
  <c r="A41" i="30" s="1"/>
  <c r="C206" i="3"/>
  <c r="C40" i="30" s="1"/>
  <c r="A206" i="3"/>
  <c r="A40" i="30" s="1"/>
  <c r="E205" i="3"/>
  <c r="C205" i="3"/>
  <c r="C39" i="30" s="1"/>
  <c r="A205" i="3"/>
  <c r="A39" i="30" s="1"/>
  <c r="E204" i="3"/>
  <c r="C204" i="3"/>
  <c r="C38" i="30" s="1"/>
  <c r="A204" i="3"/>
  <c r="A38" i="30" s="1"/>
  <c r="E203" i="3"/>
  <c r="C203" i="3"/>
  <c r="C37" i="30" s="1"/>
  <c r="A203" i="3"/>
  <c r="A37" i="30" s="1"/>
  <c r="E202" i="3"/>
  <c r="C202" i="3"/>
  <c r="C36" i="30" s="1"/>
  <c r="A202" i="3"/>
  <c r="A36" i="30" s="1"/>
  <c r="E201" i="3"/>
  <c r="C201" i="3"/>
  <c r="C35" i="30" s="1"/>
  <c r="A201" i="3"/>
  <c r="A35" i="30" s="1"/>
  <c r="E200" i="3"/>
  <c r="C200" i="3"/>
  <c r="C34" i="30" s="1"/>
  <c r="A200" i="3"/>
  <c r="A34" i="30" s="1"/>
  <c r="E199" i="3"/>
  <c r="C199" i="3"/>
  <c r="C33" i="30" s="1"/>
  <c r="A199" i="3"/>
  <c r="A33" i="30" s="1"/>
  <c r="E198" i="3"/>
  <c r="C198" i="3"/>
  <c r="C32" i="30" s="1"/>
  <c r="A198" i="3"/>
  <c r="A32" i="30" s="1"/>
  <c r="E197" i="3"/>
  <c r="C197" i="3"/>
  <c r="C31" i="30" s="1"/>
  <c r="A197" i="3"/>
  <c r="A31" i="30" s="1"/>
  <c r="C194" i="3"/>
  <c r="C28" i="30" s="1"/>
  <c r="C193" i="3"/>
  <c r="C27" i="30" s="1"/>
  <c r="C192" i="3"/>
  <c r="C26" i="30" s="1"/>
  <c r="C191" i="3"/>
  <c r="C25" i="30" s="1"/>
  <c r="A191" i="3"/>
  <c r="A25" i="30" s="1"/>
  <c r="C190" i="3"/>
  <c r="C24" i="30" s="1"/>
  <c r="A190" i="3"/>
  <c r="A24" i="30" s="1"/>
  <c r="E189" i="3"/>
  <c r="C189" i="3"/>
  <c r="C23" i="30" s="1"/>
  <c r="A189" i="3"/>
  <c r="A23" i="30" s="1"/>
  <c r="E188" i="3"/>
  <c r="C188" i="3"/>
  <c r="C22" i="30" s="1"/>
  <c r="A188" i="3"/>
  <c r="A22" i="30" s="1"/>
  <c r="E187" i="3"/>
  <c r="C187" i="3"/>
  <c r="C21" i="30" s="1"/>
  <c r="A187" i="3"/>
  <c r="A21" i="30" s="1"/>
  <c r="E186" i="3"/>
  <c r="C186" i="3"/>
  <c r="C20" i="30" s="1"/>
  <c r="A186" i="3"/>
  <c r="A20" i="30" s="1"/>
  <c r="E185" i="3"/>
  <c r="C185" i="3"/>
  <c r="C19" i="30" s="1"/>
  <c r="A185" i="3"/>
  <c r="A19" i="30" s="1"/>
  <c r="E184" i="3"/>
  <c r="C184" i="3"/>
  <c r="C18" i="30" s="1"/>
  <c r="A184" i="3"/>
  <c r="A18" i="30" s="1"/>
  <c r="E183" i="3"/>
  <c r="C183" i="3"/>
  <c r="C17" i="30" s="1"/>
  <c r="A183" i="3"/>
  <c r="A17" i="30" s="1"/>
  <c r="E182" i="3"/>
  <c r="C182" i="3"/>
  <c r="C16" i="30" s="1"/>
  <c r="A182" i="3"/>
  <c r="A16" i="30" s="1"/>
  <c r="E181" i="3"/>
  <c r="G181" i="3" s="1"/>
  <c r="C15" i="30"/>
  <c r="B15" i="30"/>
  <c r="A181" i="3"/>
  <c r="A15" i="30" s="1"/>
  <c r="E178" i="3"/>
  <c r="C178" i="3"/>
  <c r="C12" i="30" s="1"/>
  <c r="A178" i="3"/>
  <c r="A12" i="30" s="1"/>
  <c r="E177" i="3"/>
  <c r="C177" i="3"/>
  <c r="C11" i="30" s="1"/>
  <c r="A177" i="3"/>
  <c r="A11" i="30" s="1"/>
  <c r="E174" i="3"/>
  <c r="A174" i="3"/>
  <c r="A8" i="30" s="1"/>
  <c r="E173" i="3"/>
  <c r="A173" i="3"/>
  <c r="A7" i="30" s="1"/>
  <c r="E172" i="3"/>
  <c r="E6" i="30" s="1"/>
  <c r="A172" i="3"/>
  <c r="A6" i="30" s="1"/>
  <c r="E171" i="3"/>
  <c r="E5" i="30" s="1"/>
  <c r="D171" i="3"/>
  <c r="D5" i="30" s="1"/>
  <c r="C171" i="3"/>
  <c r="C5" i="30" s="1"/>
  <c r="B171" i="3"/>
  <c r="B5" i="30" s="1"/>
  <c r="M806" i="3"/>
  <c r="M103" i="34" s="1"/>
  <c r="M805" i="3"/>
  <c r="M102" i="34" s="1"/>
  <c r="M804" i="3"/>
  <c r="M101" i="34" s="1"/>
  <c r="M803" i="3"/>
  <c r="M100" i="34" s="1"/>
  <c r="M802" i="3"/>
  <c r="M99" i="34" s="1"/>
  <c r="M801" i="3"/>
  <c r="M98" i="34" s="1"/>
  <c r="M800" i="3"/>
  <c r="M97" i="34" s="1"/>
  <c r="M799" i="3"/>
  <c r="M96" i="34" s="1"/>
  <c r="M798" i="3"/>
  <c r="M95" i="34" s="1"/>
  <c r="M797" i="3"/>
  <c r="M94" i="34" s="1"/>
  <c r="M796" i="3"/>
  <c r="M93" i="34" s="1"/>
  <c r="M795" i="3"/>
  <c r="M92" i="34" s="1"/>
  <c r="M794" i="3"/>
  <c r="M91" i="34" s="1"/>
  <c r="M793" i="3"/>
  <c r="M90" i="34" s="1"/>
  <c r="M792" i="3"/>
  <c r="M89" i="34" s="1"/>
  <c r="M791" i="3"/>
  <c r="M88" i="34" s="1"/>
  <c r="M790" i="3"/>
  <c r="M87" i="34" s="1"/>
  <c r="M789" i="3"/>
  <c r="M86" i="34" s="1"/>
  <c r="M788" i="3"/>
  <c r="M85" i="34" s="1"/>
  <c r="M787" i="3"/>
  <c r="M84" i="34" s="1"/>
  <c r="M786" i="3"/>
  <c r="M83" i="34" s="1"/>
  <c r="M785" i="3"/>
  <c r="M82" i="34" s="1"/>
  <c r="M784" i="3"/>
  <c r="M81" i="34" s="1"/>
  <c r="M783" i="3"/>
  <c r="M80" i="34" s="1"/>
  <c r="M782" i="3"/>
  <c r="M79" i="34" s="1"/>
  <c r="M781" i="3"/>
  <c r="M78" i="34" s="1"/>
  <c r="M780" i="3"/>
  <c r="M77" i="34" s="1"/>
  <c r="M779" i="3"/>
  <c r="M76" i="34" s="1"/>
  <c r="M778" i="3"/>
  <c r="M75" i="34" s="1"/>
  <c r="M777" i="3"/>
  <c r="M74" i="34" s="1"/>
  <c r="M776" i="3"/>
  <c r="M73" i="34" s="1"/>
  <c r="M775" i="3"/>
  <c r="M72" i="34" s="1"/>
  <c r="M774" i="3"/>
  <c r="M71" i="34" s="1"/>
  <c r="M773" i="3"/>
  <c r="M70" i="34" s="1"/>
  <c r="M772" i="3"/>
  <c r="M69" i="34" s="1"/>
  <c r="M771" i="3"/>
  <c r="M68" i="34" s="1"/>
  <c r="M770" i="3"/>
  <c r="M67" i="34" s="1"/>
  <c r="M769" i="3"/>
  <c r="M66" i="34" s="1"/>
  <c r="M768" i="3"/>
  <c r="M65" i="34" s="1"/>
  <c r="M767" i="3"/>
  <c r="M64" i="34" s="1"/>
  <c r="M766" i="3"/>
  <c r="M63" i="34" s="1"/>
  <c r="M765" i="3"/>
  <c r="M62" i="34" s="1"/>
  <c r="M764" i="3"/>
  <c r="M61" i="34" s="1"/>
  <c r="M763" i="3"/>
  <c r="M60" i="34" s="1"/>
  <c r="M762" i="3"/>
  <c r="M59" i="34" s="1"/>
  <c r="M761" i="3"/>
  <c r="M58" i="34" s="1"/>
  <c r="M760" i="3"/>
  <c r="M57" i="34" s="1"/>
  <c r="M759" i="3"/>
  <c r="M56" i="34" s="1"/>
  <c r="M758" i="3"/>
  <c r="M55" i="34" s="1"/>
  <c r="M757" i="3"/>
  <c r="M54" i="34" s="1"/>
  <c r="M756" i="3"/>
  <c r="M53" i="34" s="1"/>
  <c r="M755" i="3"/>
  <c r="M52" i="34" s="1"/>
  <c r="M754" i="3"/>
  <c r="M51" i="34" s="1"/>
  <c r="M753" i="3"/>
  <c r="M50" i="34" s="1"/>
  <c r="M752" i="3"/>
  <c r="M49" i="34" s="1"/>
  <c r="M751" i="3"/>
  <c r="M48" i="34" s="1"/>
  <c r="M750" i="3"/>
  <c r="M47" i="34" s="1"/>
  <c r="M749" i="3"/>
  <c r="M46" i="34" s="1"/>
  <c r="M748" i="3"/>
  <c r="M45" i="34" s="1"/>
  <c r="M747" i="3"/>
  <c r="M44" i="34" s="1"/>
  <c r="M746" i="3"/>
  <c r="M43" i="34" s="1"/>
  <c r="M745" i="3"/>
  <c r="M42" i="34" s="1"/>
  <c r="M744" i="3"/>
  <c r="M41" i="34" s="1"/>
  <c r="M743" i="3"/>
  <c r="M40" i="34" s="1"/>
  <c r="M742" i="3"/>
  <c r="M39" i="34" s="1"/>
  <c r="M741" i="3"/>
  <c r="M38" i="34" s="1"/>
  <c r="M740" i="3"/>
  <c r="M37" i="34" s="1"/>
  <c r="M739" i="3"/>
  <c r="M36" i="34" s="1"/>
  <c r="M738" i="3"/>
  <c r="M35" i="34" s="1"/>
  <c r="M737" i="3"/>
  <c r="M34" i="34" s="1"/>
  <c r="M736" i="3"/>
  <c r="M33" i="34" s="1"/>
  <c r="M735" i="3"/>
  <c r="M32" i="34" s="1"/>
  <c r="M734" i="3"/>
  <c r="M31" i="34" s="1"/>
  <c r="M733" i="3"/>
  <c r="M30" i="34" s="1"/>
  <c r="M732" i="3"/>
  <c r="M29" i="34" s="1"/>
  <c r="M731" i="3"/>
  <c r="M28" i="34" s="1"/>
  <c r="M730" i="3"/>
  <c r="M27" i="34" s="1"/>
  <c r="M729" i="3"/>
  <c r="M26" i="34" s="1"/>
  <c r="M728" i="3"/>
  <c r="M25" i="34" s="1"/>
  <c r="M727" i="3"/>
  <c r="M24" i="34" s="1"/>
  <c r="M726" i="3"/>
  <c r="M23" i="34" s="1"/>
  <c r="M725" i="3"/>
  <c r="M22" i="34" s="1"/>
  <c r="M724" i="3"/>
  <c r="M21" i="34" s="1"/>
  <c r="M723" i="3"/>
  <c r="M20" i="34" s="1"/>
  <c r="M722" i="3"/>
  <c r="M19" i="34" s="1"/>
  <c r="M721" i="3"/>
  <c r="M18" i="34" s="1"/>
  <c r="M720" i="3"/>
  <c r="M17" i="34" s="1"/>
  <c r="M719" i="3"/>
  <c r="M16" i="34" s="1"/>
  <c r="M718" i="3"/>
  <c r="M15" i="34" s="1"/>
  <c r="M717" i="3"/>
  <c r="M14" i="34" s="1"/>
  <c r="M716" i="3"/>
  <c r="M13" i="34" s="1"/>
  <c r="M715" i="3"/>
  <c r="M12" i="34" s="1"/>
  <c r="M714" i="3"/>
  <c r="M11" i="34" s="1"/>
  <c r="M713" i="3"/>
  <c r="M10" i="34" s="1"/>
  <c r="M712" i="3"/>
  <c r="M9" i="34" s="1"/>
  <c r="M711" i="3"/>
  <c r="M8" i="34" s="1"/>
  <c r="M710" i="3"/>
  <c r="M7" i="34" s="1"/>
  <c r="M709" i="3"/>
  <c r="M6" i="34" s="1"/>
  <c r="S806" i="3"/>
  <c r="S103" i="34" s="1"/>
  <c r="K806" i="3"/>
  <c r="K103" i="34" s="1"/>
  <c r="G806" i="3"/>
  <c r="G103" i="34" s="1"/>
  <c r="F806" i="3"/>
  <c r="F103" i="34" s="1"/>
  <c r="E806" i="3"/>
  <c r="E103" i="34" s="1"/>
  <c r="D806" i="3"/>
  <c r="D103" i="34" s="1"/>
  <c r="C806" i="3"/>
  <c r="C103" i="34" s="1"/>
  <c r="B806" i="3"/>
  <c r="B103" i="34" s="1"/>
  <c r="A806" i="3"/>
  <c r="B3265" i="44" s="1"/>
  <c r="F3265" i="44" s="1"/>
  <c r="S805" i="3"/>
  <c r="S102" i="34" s="1"/>
  <c r="K805" i="3"/>
  <c r="K102" i="34" s="1"/>
  <c r="G805" i="3"/>
  <c r="G102" i="34" s="1"/>
  <c r="F805" i="3"/>
  <c r="F102" i="34" s="1"/>
  <c r="E805" i="3"/>
  <c r="E102" i="34" s="1"/>
  <c r="D805" i="3"/>
  <c r="D102" i="34" s="1"/>
  <c r="C805" i="3"/>
  <c r="C102" i="34" s="1"/>
  <c r="B805" i="3"/>
  <c r="B102" i="34" s="1"/>
  <c r="A805" i="3"/>
  <c r="B3264" i="44" s="1"/>
  <c r="F3264" i="44" s="1"/>
  <c r="S804" i="3"/>
  <c r="S101" i="34" s="1"/>
  <c r="K804" i="3"/>
  <c r="K101" i="34" s="1"/>
  <c r="G804" i="3"/>
  <c r="G101" i="34" s="1"/>
  <c r="F804" i="3"/>
  <c r="E804" i="3"/>
  <c r="E101" i="34" s="1"/>
  <c r="D804" i="3"/>
  <c r="D101" i="34" s="1"/>
  <c r="C804" i="3"/>
  <c r="C101" i="34" s="1"/>
  <c r="B804" i="3"/>
  <c r="B101" i="34" s="1"/>
  <c r="A804" i="3"/>
  <c r="B3362" i="44" s="1"/>
  <c r="F3362" i="44" s="1"/>
  <c r="S803" i="3"/>
  <c r="S100" i="34" s="1"/>
  <c r="K803" i="3"/>
  <c r="K100" i="34" s="1"/>
  <c r="G803" i="3"/>
  <c r="G100" i="34" s="1"/>
  <c r="F803" i="3"/>
  <c r="F100" i="34" s="1"/>
  <c r="E803" i="3"/>
  <c r="E100" i="34" s="1"/>
  <c r="D803" i="3"/>
  <c r="D100" i="34" s="1"/>
  <c r="C803" i="3"/>
  <c r="C100" i="34" s="1"/>
  <c r="B803" i="3"/>
  <c r="B100" i="34" s="1"/>
  <c r="A803" i="3"/>
  <c r="B3262" i="44" s="1"/>
  <c r="F3262" i="44" s="1"/>
  <c r="S802" i="3"/>
  <c r="S99" i="34" s="1"/>
  <c r="K802" i="3"/>
  <c r="K99" i="34" s="1"/>
  <c r="G802" i="3"/>
  <c r="G99" i="34" s="1"/>
  <c r="F802" i="3"/>
  <c r="F99" i="34" s="1"/>
  <c r="E802" i="3"/>
  <c r="E99" i="34" s="1"/>
  <c r="D802" i="3"/>
  <c r="D99" i="34" s="1"/>
  <c r="C802" i="3"/>
  <c r="C99" i="34" s="1"/>
  <c r="B802" i="3"/>
  <c r="A802" i="3"/>
  <c r="B3360" i="44" s="1"/>
  <c r="F3360" i="44" s="1"/>
  <c r="S801" i="3"/>
  <c r="S98" i="34" s="1"/>
  <c r="K801" i="3"/>
  <c r="K98" i="34" s="1"/>
  <c r="G801" i="3"/>
  <c r="G98" i="34" s="1"/>
  <c r="F801" i="3"/>
  <c r="E801" i="3"/>
  <c r="E98" i="34" s="1"/>
  <c r="D801" i="3"/>
  <c r="D98" i="34" s="1"/>
  <c r="C801" i="3"/>
  <c r="C98" i="34" s="1"/>
  <c r="B801" i="3"/>
  <c r="A801" i="3"/>
  <c r="B3359" i="44" s="1"/>
  <c r="F3359" i="44" s="1"/>
  <c r="S800" i="3"/>
  <c r="S97" i="34" s="1"/>
  <c r="K800" i="3"/>
  <c r="K97" i="34" s="1"/>
  <c r="G800" i="3"/>
  <c r="G97" i="34" s="1"/>
  <c r="F800" i="3"/>
  <c r="F97" i="34" s="1"/>
  <c r="E800" i="3"/>
  <c r="E97" i="34" s="1"/>
  <c r="D800" i="3"/>
  <c r="D97" i="34" s="1"/>
  <c r="C800" i="3"/>
  <c r="C97" i="34" s="1"/>
  <c r="B800" i="3"/>
  <c r="B97" i="34" s="1"/>
  <c r="A800" i="3"/>
  <c r="A97" i="34" s="1"/>
  <c r="S799" i="3"/>
  <c r="S96" i="34" s="1"/>
  <c r="K799" i="3"/>
  <c r="K96" i="34" s="1"/>
  <c r="G799" i="3"/>
  <c r="G96" i="34" s="1"/>
  <c r="F799" i="3"/>
  <c r="F96" i="34" s="1"/>
  <c r="E799" i="3"/>
  <c r="E96" i="34" s="1"/>
  <c r="D799" i="3"/>
  <c r="D96" i="34" s="1"/>
  <c r="C799" i="3"/>
  <c r="C96" i="34" s="1"/>
  <c r="B799" i="3"/>
  <c r="B96" i="34" s="1"/>
  <c r="A799" i="3"/>
  <c r="B3258" i="44" s="1"/>
  <c r="F3258" i="44" s="1"/>
  <c r="S798" i="3"/>
  <c r="S95" i="34" s="1"/>
  <c r="K798" i="3"/>
  <c r="K95" i="34" s="1"/>
  <c r="G798" i="3"/>
  <c r="G95" i="34" s="1"/>
  <c r="F798" i="3"/>
  <c r="E798" i="3"/>
  <c r="E95" i="34" s="1"/>
  <c r="D798" i="3"/>
  <c r="D95" i="34" s="1"/>
  <c r="C798" i="3"/>
  <c r="C95" i="34" s="1"/>
  <c r="B798" i="3"/>
  <c r="B95" i="34" s="1"/>
  <c r="A798" i="3"/>
  <c r="S797" i="3"/>
  <c r="S94" i="34" s="1"/>
  <c r="K797" i="3"/>
  <c r="K94" i="34" s="1"/>
  <c r="G797" i="3"/>
  <c r="G94" i="34" s="1"/>
  <c r="F797" i="3"/>
  <c r="F94" i="34" s="1"/>
  <c r="E797" i="3"/>
  <c r="E94" i="34" s="1"/>
  <c r="D797" i="3"/>
  <c r="D94" i="34" s="1"/>
  <c r="C797" i="3"/>
  <c r="C94" i="34" s="1"/>
  <c r="B797" i="3"/>
  <c r="A797" i="3"/>
  <c r="B3256" i="44" s="1"/>
  <c r="F3256" i="44" s="1"/>
  <c r="S796" i="3"/>
  <c r="S93" i="34" s="1"/>
  <c r="K796" i="3"/>
  <c r="K93" i="34" s="1"/>
  <c r="G796" i="3"/>
  <c r="G93" i="34" s="1"/>
  <c r="F796" i="3"/>
  <c r="F93" i="34" s="1"/>
  <c r="E796" i="3"/>
  <c r="E93" i="34" s="1"/>
  <c r="D796" i="3"/>
  <c r="D93" i="34" s="1"/>
  <c r="C796" i="3"/>
  <c r="B796" i="3"/>
  <c r="B93" i="34" s="1"/>
  <c r="A796" i="3"/>
  <c r="B3354" i="44" s="1"/>
  <c r="F3354" i="44" s="1"/>
  <c r="S795" i="3"/>
  <c r="S92" i="34" s="1"/>
  <c r="K795" i="3"/>
  <c r="K92" i="34" s="1"/>
  <c r="G795" i="3"/>
  <c r="G92" i="34" s="1"/>
  <c r="F795" i="3"/>
  <c r="F92" i="34" s="1"/>
  <c r="E795" i="3"/>
  <c r="E92" i="34" s="1"/>
  <c r="D795" i="3"/>
  <c r="D92" i="34" s="1"/>
  <c r="C795" i="3"/>
  <c r="C92" i="34" s="1"/>
  <c r="B795" i="3"/>
  <c r="B92" i="34" s="1"/>
  <c r="A795" i="3"/>
  <c r="B3353" i="44" s="1"/>
  <c r="F3353" i="44" s="1"/>
  <c r="S794" i="3"/>
  <c r="S91" i="34" s="1"/>
  <c r="K794" i="3"/>
  <c r="K91" i="34" s="1"/>
  <c r="G794" i="3"/>
  <c r="G91" i="34" s="1"/>
  <c r="F794" i="3"/>
  <c r="F91" i="34" s="1"/>
  <c r="E794" i="3"/>
  <c r="E91" i="34" s="1"/>
  <c r="D794" i="3"/>
  <c r="D91" i="34" s="1"/>
  <c r="C794" i="3"/>
  <c r="C91" i="34" s="1"/>
  <c r="B794" i="3"/>
  <c r="B91" i="34" s="1"/>
  <c r="A794" i="3"/>
  <c r="B3352" i="44" s="1"/>
  <c r="F3352" i="44" s="1"/>
  <c r="S793" i="3"/>
  <c r="S90" i="34" s="1"/>
  <c r="K793" i="3"/>
  <c r="K90" i="34" s="1"/>
  <c r="G793" i="3"/>
  <c r="G90" i="34" s="1"/>
  <c r="F793" i="3"/>
  <c r="F90" i="34" s="1"/>
  <c r="E793" i="3"/>
  <c r="E90" i="34" s="1"/>
  <c r="D793" i="3"/>
  <c r="D90" i="34" s="1"/>
  <c r="C793" i="3"/>
  <c r="C90" i="34" s="1"/>
  <c r="B793" i="3"/>
  <c r="B90" i="34" s="1"/>
  <c r="A793" i="3"/>
  <c r="A90" i="34" s="1"/>
  <c r="S792" i="3"/>
  <c r="S89" i="34" s="1"/>
  <c r="K792" i="3"/>
  <c r="K89" i="34" s="1"/>
  <c r="G792" i="3"/>
  <c r="G89" i="34" s="1"/>
  <c r="F792" i="3"/>
  <c r="F89" i="34" s="1"/>
  <c r="E792" i="3"/>
  <c r="E89" i="34" s="1"/>
  <c r="D792" i="3"/>
  <c r="D89" i="34" s="1"/>
  <c r="C792" i="3"/>
  <c r="B792" i="3"/>
  <c r="B89" i="34" s="1"/>
  <c r="A792" i="3"/>
  <c r="A89" i="34" s="1"/>
  <c r="S791" i="3"/>
  <c r="S88" i="34" s="1"/>
  <c r="K791" i="3"/>
  <c r="K88" i="34" s="1"/>
  <c r="G791" i="3"/>
  <c r="G88" i="34" s="1"/>
  <c r="F791" i="3"/>
  <c r="E791" i="3"/>
  <c r="E88" i="34" s="1"/>
  <c r="D791" i="3"/>
  <c r="D88" i="34" s="1"/>
  <c r="C791" i="3"/>
  <c r="C88" i="34" s="1"/>
  <c r="B791" i="3"/>
  <c r="B88" i="34" s="1"/>
  <c r="A791" i="3"/>
  <c r="B3349" i="44" s="1"/>
  <c r="F3349" i="44" s="1"/>
  <c r="S790" i="3"/>
  <c r="S87" i="34" s="1"/>
  <c r="K790" i="3"/>
  <c r="K87" i="34" s="1"/>
  <c r="G790" i="3"/>
  <c r="G87" i="34" s="1"/>
  <c r="F790" i="3"/>
  <c r="F87" i="34" s="1"/>
  <c r="E790" i="3"/>
  <c r="E87" i="34" s="1"/>
  <c r="D790" i="3"/>
  <c r="D87" i="34" s="1"/>
  <c r="C790" i="3"/>
  <c r="B790" i="3"/>
  <c r="B87" i="34" s="1"/>
  <c r="A790" i="3"/>
  <c r="B3348" i="44" s="1"/>
  <c r="F3348" i="44" s="1"/>
  <c r="S789" i="3"/>
  <c r="S86" i="34" s="1"/>
  <c r="K789" i="3"/>
  <c r="K86" i="34" s="1"/>
  <c r="G789" i="3"/>
  <c r="G86" i="34" s="1"/>
  <c r="F789" i="3"/>
  <c r="F86" i="34" s="1"/>
  <c r="E789" i="3"/>
  <c r="E86" i="34" s="1"/>
  <c r="D789" i="3"/>
  <c r="D86" i="34" s="1"/>
  <c r="C789" i="3"/>
  <c r="C86" i="34" s="1"/>
  <c r="B789" i="3"/>
  <c r="B86" i="34" s="1"/>
  <c r="A789" i="3"/>
  <c r="B3248" i="44" s="1"/>
  <c r="F3248" i="44" s="1"/>
  <c r="S788" i="3"/>
  <c r="S85" i="34" s="1"/>
  <c r="K788" i="3"/>
  <c r="K85" i="34" s="1"/>
  <c r="G788" i="3"/>
  <c r="G85" i="34" s="1"/>
  <c r="F788" i="3"/>
  <c r="F85" i="34" s="1"/>
  <c r="E788" i="3"/>
  <c r="E85" i="34" s="1"/>
  <c r="D788" i="3"/>
  <c r="D85" i="34" s="1"/>
  <c r="C788" i="3"/>
  <c r="B788" i="3"/>
  <c r="B85" i="34" s="1"/>
  <c r="A788" i="3"/>
  <c r="B3247" i="44" s="1"/>
  <c r="F3247" i="44" s="1"/>
  <c r="S787" i="3"/>
  <c r="S84" i="34" s="1"/>
  <c r="K787" i="3"/>
  <c r="K84" i="34" s="1"/>
  <c r="G787" i="3"/>
  <c r="G84" i="34" s="1"/>
  <c r="F787" i="3"/>
  <c r="F84" i="34" s="1"/>
  <c r="E787" i="3"/>
  <c r="E84" i="34" s="1"/>
  <c r="D787" i="3"/>
  <c r="D84" i="34" s="1"/>
  <c r="C787" i="3"/>
  <c r="B787" i="3"/>
  <c r="B84" i="34" s="1"/>
  <c r="A787" i="3"/>
  <c r="S786" i="3"/>
  <c r="S83" i="34" s="1"/>
  <c r="K786" i="3"/>
  <c r="K83" i="34" s="1"/>
  <c r="G786" i="3"/>
  <c r="G83" i="34" s="1"/>
  <c r="F786" i="3"/>
  <c r="F83" i="34" s="1"/>
  <c r="E786" i="3"/>
  <c r="E83" i="34" s="1"/>
  <c r="D786" i="3"/>
  <c r="D83" i="34" s="1"/>
  <c r="C786" i="3"/>
  <c r="C83" i="34" s="1"/>
  <c r="B786" i="3"/>
  <c r="B83" i="34" s="1"/>
  <c r="A786" i="3"/>
  <c r="B3344" i="44" s="1"/>
  <c r="F3344" i="44" s="1"/>
  <c r="S785" i="3"/>
  <c r="S82" i="34" s="1"/>
  <c r="K785" i="3"/>
  <c r="K82" i="34" s="1"/>
  <c r="G785" i="3"/>
  <c r="G82" i="34" s="1"/>
  <c r="F785" i="3"/>
  <c r="F82" i="34" s="1"/>
  <c r="E785" i="3"/>
  <c r="E82" i="34" s="1"/>
  <c r="D785" i="3"/>
  <c r="D82" i="34" s="1"/>
  <c r="C785" i="3"/>
  <c r="B785" i="3"/>
  <c r="B82" i="34" s="1"/>
  <c r="A785" i="3"/>
  <c r="B3244" i="44" s="1"/>
  <c r="F3244" i="44" s="1"/>
  <c r="S784" i="3"/>
  <c r="S81" i="34" s="1"/>
  <c r="K784" i="3"/>
  <c r="K81" i="34" s="1"/>
  <c r="G784" i="3"/>
  <c r="G81" i="34" s="1"/>
  <c r="F784" i="3"/>
  <c r="F81" i="34" s="1"/>
  <c r="E784" i="3"/>
  <c r="E81" i="34" s="1"/>
  <c r="D784" i="3"/>
  <c r="D81" i="34" s="1"/>
  <c r="C784" i="3"/>
  <c r="C81" i="34" s="1"/>
  <c r="B784" i="3"/>
  <c r="B81" i="34" s="1"/>
  <c r="A784" i="3"/>
  <c r="B3342" i="44" s="1"/>
  <c r="F3342" i="44" s="1"/>
  <c r="S783" i="3"/>
  <c r="S80" i="34" s="1"/>
  <c r="K783" i="3"/>
  <c r="K80" i="34" s="1"/>
  <c r="G783" i="3"/>
  <c r="G80" i="34" s="1"/>
  <c r="F783" i="3"/>
  <c r="F80" i="34" s="1"/>
  <c r="E783" i="3"/>
  <c r="E80" i="34" s="1"/>
  <c r="D783" i="3"/>
  <c r="D80" i="34" s="1"/>
  <c r="C783" i="3"/>
  <c r="C80" i="34" s="1"/>
  <c r="B783" i="3"/>
  <c r="B80" i="34" s="1"/>
  <c r="A783" i="3"/>
  <c r="B3242" i="44" s="1"/>
  <c r="F3242" i="44" s="1"/>
  <c r="S782" i="3"/>
  <c r="S79" i="34" s="1"/>
  <c r="K782" i="3"/>
  <c r="K79" i="34" s="1"/>
  <c r="G782" i="3"/>
  <c r="G79" i="34" s="1"/>
  <c r="F782" i="3"/>
  <c r="F79" i="34" s="1"/>
  <c r="E782" i="3"/>
  <c r="E79" i="34" s="1"/>
  <c r="D782" i="3"/>
  <c r="D79" i="34" s="1"/>
  <c r="C782" i="3"/>
  <c r="C79" i="34" s="1"/>
  <c r="B782" i="3"/>
  <c r="A782" i="3"/>
  <c r="B3241" i="44" s="1"/>
  <c r="F3241" i="44" s="1"/>
  <c r="S781" i="3"/>
  <c r="S78" i="34" s="1"/>
  <c r="K781" i="3"/>
  <c r="K78" i="34" s="1"/>
  <c r="G781" i="3"/>
  <c r="G78" i="34" s="1"/>
  <c r="F781" i="3"/>
  <c r="F78" i="34" s="1"/>
  <c r="E781" i="3"/>
  <c r="E78" i="34" s="1"/>
  <c r="D781" i="3"/>
  <c r="D78" i="34" s="1"/>
  <c r="C781" i="3"/>
  <c r="C78" i="34" s="1"/>
  <c r="B781" i="3"/>
  <c r="B78" i="34" s="1"/>
  <c r="A781" i="3"/>
  <c r="B3339" i="44" s="1"/>
  <c r="F3339" i="44" s="1"/>
  <c r="S780" i="3"/>
  <c r="S77" i="34" s="1"/>
  <c r="K780" i="3"/>
  <c r="K77" i="34" s="1"/>
  <c r="G780" i="3"/>
  <c r="G77" i="34" s="1"/>
  <c r="F780" i="3"/>
  <c r="F77" i="34" s="1"/>
  <c r="E780" i="3"/>
  <c r="E77" i="34" s="1"/>
  <c r="D780" i="3"/>
  <c r="D77" i="34" s="1"/>
  <c r="C780" i="3"/>
  <c r="C77" i="34" s="1"/>
  <c r="B780" i="3"/>
  <c r="B77" i="34" s="1"/>
  <c r="A780" i="3"/>
  <c r="B3239" i="44" s="1"/>
  <c r="F3239" i="44" s="1"/>
  <c r="S779" i="3"/>
  <c r="S76" i="34" s="1"/>
  <c r="K779" i="3"/>
  <c r="K76" i="34" s="1"/>
  <c r="G779" i="3"/>
  <c r="G76" i="34" s="1"/>
  <c r="F779" i="3"/>
  <c r="F76" i="34" s="1"/>
  <c r="E779" i="3"/>
  <c r="D779" i="3"/>
  <c r="D76" i="34" s="1"/>
  <c r="C779" i="3"/>
  <c r="B779" i="3"/>
  <c r="B76" i="34" s="1"/>
  <c r="A779" i="3"/>
  <c r="B3238" i="44" s="1"/>
  <c r="F3238" i="44" s="1"/>
  <c r="S778" i="3"/>
  <c r="S75" i="34" s="1"/>
  <c r="K778" i="3"/>
  <c r="K75" i="34" s="1"/>
  <c r="G778" i="3"/>
  <c r="G75" i="34" s="1"/>
  <c r="F778" i="3"/>
  <c r="F75" i="34" s="1"/>
  <c r="E778" i="3"/>
  <c r="E75" i="34" s="1"/>
  <c r="D778" i="3"/>
  <c r="D75" i="34" s="1"/>
  <c r="C778" i="3"/>
  <c r="C75" i="34" s="1"/>
  <c r="B778" i="3"/>
  <c r="B75" i="34" s="1"/>
  <c r="A778" i="3"/>
  <c r="B3237" i="44" s="1"/>
  <c r="F3237" i="44" s="1"/>
  <c r="S777" i="3"/>
  <c r="K777" i="3"/>
  <c r="K74" i="34" s="1"/>
  <c r="G777" i="3"/>
  <c r="G74" i="34" s="1"/>
  <c r="F777" i="3"/>
  <c r="F74" i="34" s="1"/>
  <c r="E777" i="3"/>
  <c r="E74" i="34" s="1"/>
  <c r="D777" i="3"/>
  <c r="D74" i="34" s="1"/>
  <c r="C777" i="3"/>
  <c r="C74" i="34" s="1"/>
  <c r="B777" i="3"/>
  <c r="B74" i="34" s="1"/>
  <c r="A777" i="3"/>
  <c r="B3335" i="44" s="1"/>
  <c r="F3335" i="44" s="1"/>
  <c r="S776" i="3"/>
  <c r="S73" i="34" s="1"/>
  <c r="K776" i="3"/>
  <c r="K73" i="34" s="1"/>
  <c r="G776" i="3"/>
  <c r="G73" i="34" s="1"/>
  <c r="F776" i="3"/>
  <c r="F73" i="34" s="1"/>
  <c r="E776" i="3"/>
  <c r="D776" i="3"/>
  <c r="D73" i="34" s="1"/>
  <c r="C776" i="3"/>
  <c r="B776" i="3"/>
  <c r="B73" i="34" s="1"/>
  <c r="A776" i="3"/>
  <c r="A73" i="34" s="1"/>
  <c r="S775" i="3"/>
  <c r="S72" i="34" s="1"/>
  <c r="K775" i="3"/>
  <c r="K72" i="34" s="1"/>
  <c r="G775" i="3"/>
  <c r="G72" i="34" s="1"/>
  <c r="F775" i="3"/>
  <c r="F72" i="34" s="1"/>
  <c r="E775" i="3"/>
  <c r="E72" i="34" s="1"/>
  <c r="D775" i="3"/>
  <c r="D72" i="34" s="1"/>
  <c r="C775" i="3"/>
  <c r="C72" i="34" s="1"/>
  <c r="B775" i="3"/>
  <c r="B72" i="34" s="1"/>
  <c r="A775" i="3"/>
  <c r="A72" i="34" s="1"/>
  <c r="S774" i="3"/>
  <c r="S71" i="34" s="1"/>
  <c r="K774" i="3"/>
  <c r="K71" i="34" s="1"/>
  <c r="G774" i="3"/>
  <c r="G71" i="34" s="1"/>
  <c r="F774" i="3"/>
  <c r="F71" i="34" s="1"/>
  <c r="E774" i="3"/>
  <c r="E71" i="34" s="1"/>
  <c r="D774" i="3"/>
  <c r="D71" i="34" s="1"/>
  <c r="C774" i="3"/>
  <c r="C71" i="34" s="1"/>
  <c r="B774" i="3"/>
  <c r="B71" i="34" s="1"/>
  <c r="A774" i="3"/>
  <c r="B3332" i="44" s="1"/>
  <c r="F3332" i="44" s="1"/>
  <c r="S773" i="3"/>
  <c r="S70" i="34" s="1"/>
  <c r="K773" i="3"/>
  <c r="K70" i="34" s="1"/>
  <c r="G773" i="3"/>
  <c r="G70" i="34" s="1"/>
  <c r="F773" i="3"/>
  <c r="F70" i="34" s="1"/>
  <c r="E773" i="3"/>
  <c r="E70" i="34" s="1"/>
  <c r="D773" i="3"/>
  <c r="D70" i="34" s="1"/>
  <c r="C773" i="3"/>
  <c r="C70" i="34" s="1"/>
  <c r="B773" i="3"/>
  <c r="B70" i="34" s="1"/>
  <c r="A773" i="3"/>
  <c r="B3331" i="44" s="1"/>
  <c r="F3331" i="44" s="1"/>
  <c r="S772" i="3"/>
  <c r="S69" i="34" s="1"/>
  <c r="K772" i="3"/>
  <c r="K69" i="34" s="1"/>
  <c r="G772" i="3"/>
  <c r="G69" i="34" s="1"/>
  <c r="F772" i="3"/>
  <c r="F69" i="34" s="1"/>
  <c r="E772" i="3"/>
  <c r="E69" i="34" s="1"/>
  <c r="D772" i="3"/>
  <c r="D69" i="34" s="1"/>
  <c r="C772" i="3"/>
  <c r="C69" i="34" s="1"/>
  <c r="B772" i="3"/>
  <c r="B69" i="34" s="1"/>
  <c r="A772" i="3"/>
  <c r="A69" i="34" s="1"/>
  <c r="S771" i="3"/>
  <c r="S68" i="34" s="1"/>
  <c r="K771" i="3"/>
  <c r="K68" i="34" s="1"/>
  <c r="G771" i="3"/>
  <c r="G68" i="34" s="1"/>
  <c r="F771" i="3"/>
  <c r="F68" i="34" s="1"/>
  <c r="E771" i="3"/>
  <c r="D771" i="3"/>
  <c r="D68" i="34" s="1"/>
  <c r="C771" i="3"/>
  <c r="C68" i="34" s="1"/>
  <c r="B771" i="3"/>
  <c r="B68" i="34" s="1"/>
  <c r="A771" i="3"/>
  <c r="A68" i="34" s="1"/>
  <c r="S770" i="3"/>
  <c r="S67" i="34" s="1"/>
  <c r="K770" i="3"/>
  <c r="K67" i="34" s="1"/>
  <c r="G770" i="3"/>
  <c r="G67" i="34" s="1"/>
  <c r="F770" i="3"/>
  <c r="F67" i="34" s="1"/>
  <c r="E770" i="3"/>
  <c r="E67" i="34" s="1"/>
  <c r="D770" i="3"/>
  <c r="D67" i="34" s="1"/>
  <c r="C770" i="3"/>
  <c r="C67" i="34" s="1"/>
  <c r="B770" i="3"/>
  <c r="A770" i="3"/>
  <c r="B3328" i="44" s="1"/>
  <c r="F3328" i="44" s="1"/>
  <c r="S769" i="3"/>
  <c r="K769" i="3"/>
  <c r="K66" i="34" s="1"/>
  <c r="G769" i="3"/>
  <c r="G66" i="34" s="1"/>
  <c r="F769" i="3"/>
  <c r="E769" i="3"/>
  <c r="E66" i="34" s="1"/>
  <c r="D769" i="3"/>
  <c r="D66" i="34" s="1"/>
  <c r="C769" i="3"/>
  <c r="C66" i="34" s="1"/>
  <c r="B769" i="3"/>
  <c r="B66" i="34" s="1"/>
  <c r="A769" i="3"/>
  <c r="B3228" i="44" s="1"/>
  <c r="F3228" i="44" s="1"/>
  <c r="S768" i="3"/>
  <c r="S65" i="34" s="1"/>
  <c r="K768" i="3"/>
  <c r="K65" i="34" s="1"/>
  <c r="G768" i="3"/>
  <c r="G65" i="34" s="1"/>
  <c r="F768" i="3"/>
  <c r="F65" i="34" s="1"/>
  <c r="E768" i="3"/>
  <c r="E65" i="34" s="1"/>
  <c r="D768" i="3"/>
  <c r="D65" i="34" s="1"/>
  <c r="C768" i="3"/>
  <c r="B768" i="3"/>
  <c r="B65" i="34" s="1"/>
  <c r="A768" i="3"/>
  <c r="B3326" i="44" s="1"/>
  <c r="F3326" i="44" s="1"/>
  <c r="S767" i="3"/>
  <c r="S64" i="34" s="1"/>
  <c r="K767" i="3"/>
  <c r="K64" i="34" s="1"/>
  <c r="G767" i="3"/>
  <c r="G64" i="34" s="1"/>
  <c r="F767" i="3"/>
  <c r="F64" i="34" s="1"/>
  <c r="E767" i="3"/>
  <c r="E64" i="34" s="1"/>
  <c r="D767" i="3"/>
  <c r="D64" i="34" s="1"/>
  <c r="C767" i="3"/>
  <c r="B767" i="3"/>
  <c r="B64" i="34" s="1"/>
  <c r="A767" i="3"/>
  <c r="B3226" i="44" s="1"/>
  <c r="F3226" i="44" s="1"/>
  <c r="S766" i="3"/>
  <c r="S63" i="34" s="1"/>
  <c r="K766" i="3"/>
  <c r="K63" i="34" s="1"/>
  <c r="G766" i="3"/>
  <c r="G63" i="34" s="1"/>
  <c r="F766" i="3"/>
  <c r="E766" i="3"/>
  <c r="E63" i="34" s="1"/>
  <c r="D766" i="3"/>
  <c r="D63" i="34" s="1"/>
  <c r="C766" i="3"/>
  <c r="C63" i="34" s="1"/>
  <c r="B766" i="3"/>
  <c r="B63" i="34" s="1"/>
  <c r="A766" i="3"/>
  <c r="B3324" i="44" s="1"/>
  <c r="F3324" i="44" s="1"/>
  <c r="S765" i="3"/>
  <c r="S62" i="34" s="1"/>
  <c r="K765" i="3"/>
  <c r="K62" i="34" s="1"/>
  <c r="G765" i="3"/>
  <c r="G62" i="34" s="1"/>
  <c r="F765" i="3"/>
  <c r="F62" i="34" s="1"/>
  <c r="E765" i="3"/>
  <c r="E62" i="34" s="1"/>
  <c r="D765" i="3"/>
  <c r="D62" i="34" s="1"/>
  <c r="C765" i="3"/>
  <c r="C62" i="34" s="1"/>
  <c r="B765" i="3"/>
  <c r="S764" i="3"/>
  <c r="S61" i="34" s="1"/>
  <c r="K764" i="3"/>
  <c r="K61" i="34" s="1"/>
  <c r="G764" i="3"/>
  <c r="G61" i="34" s="1"/>
  <c r="F764" i="3"/>
  <c r="F61" i="34" s="1"/>
  <c r="E764" i="3"/>
  <c r="E61" i="34" s="1"/>
  <c r="D764" i="3"/>
  <c r="D61" i="34" s="1"/>
  <c r="C764" i="3"/>
  <c r="C61" i="34" s="1"/>
  <c r="B764" i="3"/>
  <c r="B61" i="34" s="1"/>
  <c r="A764" i="3"/>
  <c r="B3223" i="44" s="1"/>
  <c r="F3223" i="44" s="1"/>
  <c r="S763" i="3"/>
  <c r="K763" i="3"/>
  <c r="K60" i="34" s="1"/>
  <c r="G763" i="3"/>
  <c r="G60" i="34" s="1"/>
  <c r="F763" i="3"/>
  <c r="F60" i="34" s="1"/>
  <c r="E763" i="3"/>
  <c r="D763" i="3"/>
  <c r="D60" i="34" s="1"/>
  <c r="C763" i="3"/>
  <c r="C60" i="34" s="1"/>
  <c r="B763" i="3"/>
  <c r="B60" i="34" s="1"/>
  <c r="S762" i="3"/>
  <c r="S59" i="34" s="1"/>
  <c r="K762" i="3"/>
  <c r="K59" i="34" s="1"/>
  <c r="G762" i="3"/>
  <c r="G59" i="34" s="1"/>
  <c r="F762" i="3"/>
  <c r="F59" i="34" s="1"/>
  <c r="E762" i="3"/>
  <c r="E59" i="34" s="1"/>
  <c r="D762" i="3"/>
  <c r="D59" i="34" s="1"/>
  <c r="C762" i="3"/>
  <c r="C59" i="34" s="1"/>
  <c r="B762" i="3"/>
  <c r="B59" i="34" s="1"/>
  <c r="A762" i="3"/>
  <c r="A59" i="34" s="1"/>
  <c r="S761" i="3"/>
  <c r="S58" i="34" s="1"/>
  <c r="K761" i="3"/>
  <c r="K58" i="34" s="1"/>
  <c r="G761" i="3"/>
  <c r="G58" i="34" s="1"/>
  <c r="F761" i="3"/>
  <c r="F58" i="34" s="1"/>
  <c r="E761" i="3"/>
  <c r="E58" i="34" s="1"/>
  <c r="D761" i="3"/>
  <c r="D58" i="34" s="1"/>
  <c r="C761" i="3"/>
  <c r="C58" i="34" s="1"/>
  <c r="B761" i="3"/>
  <c r="B58" i="34" s="1"/>
  <c r="A761" i="3"/>
  <c r="B3220" i="44" s="1"/>
  <c r="F3220" i="44" s="1"/>
  <c r="S760" i="3"/>
  <c r="S57" i="34" s="1"/>
  <c r="K760" i="3"/>
  <c r="K57" i="34" s="1"/>
  <c r="G760" i="3"/>
  <c r="G57" i="34" s="1"/>
  <c r="F760" i="3"/>
  <c r="F57" i="34" s="1"/>
  <c r="E760" i="3"/>
  <c r="E57" i="34" s="1"/>
  <c r="D760" i="3"/>
  <c r="D57" i="34" s="1"/>
  <c r="C760" i="3"/>
  <c r="C57" i="34" s="1"/>
  <c r="B760" i="3"/>
  <c r="B57" i="34" s="1"/>
  <c r="A760" i="3"/>
  <c r="B3318" i="44" s="1"/>
  <c r="F3318" i="44" s="1"/>
  <c r="S759" i="3"/>
  <c r="S56" i="34" s="1"/>
  <c r="K759" i="3"/>
  <c r="K56" i="34" s="1"/>
  <c r="G759" i="3"/>
  <c r="G56" i="34" s="1"/>
  <c r="F759" i="3"/>
  <c r="F56" i="34" s="1"/>
  <c r="E759" i="3"/>
  <c r="E56" i="34" s="1"/>
  <c r="D759" i="3"/>
  <c r="D56" i="34" s="1"/>
  <c r="C759" i="3"/>
  <c r="C56" i="34" s="1"/>
  <c r="B759" i="3"/>
  <c r="B56" i="34" s="1"/>
  <c r="A759" i="3"/>
  <c r="S758" i="3"/>
  <c r="S55" i="34" s="1"/>
  <c r="K758" i="3"/>
  <c r="K55" i="34" s="1"/>
  <c r="G758" i="3"/>
  <c r="G55" i="34" s="1"/>
  <c r="F758" i="3"/>
  <c r="E758" i="3"/>
  <c r="E55" i="34" s="1"/>
  <c r="D758" i="3"/>
  <c r="D55" i="34" s="1"/>
  <c r="C758" i="3"/>
  <c r="C55" i="34" s="1"/>
  <c r="B758" i="3"/>
  <c r="B55" i="34" s="1"/>
  <c r="A758" i="3"/>
  <c r="S757" i="3"/>
  <c r="S54" i="34" s="1"/>
  <c r="K757" i="3"/>
  <c r="K54" i="34" s="1"/>
  <c r="G757" i="3"/>
  <c r="G54" i="34" s="1"/>
  <c r="F757" i="3"/>
  <c r="F54" i="34" s="1"/>
  <c r="E757" i="3"/>
  <c r="E54" i="34" s="1"/>
  <c r="D757" i="3"/>
  <c r="D54" i="34" s="1"/>
  <c r="C757" i="3"/>
  <c r="C54" i="34" s="1"/>
  <c r="B757" i="3"/>
  <c r="B54" i="34" s="1"/>
  <c r="A757" i="3"/>
  <c r="B3315" i="44" s="1"/>
  <c r="F3315" i="44" s="1"/>
  <c r="S756" i="3"/>
  <c r="S53" i="34" s="1"/>
  <c r="K756" i="3"/>
  <c r="K53" i="34" s="1"/>
  <c r="G756" i="3"/>
  <c r="G53" i="34" s="1"/>
  <c r="F756" i="3"/>
  <c r="F53" i="34" s="1"/>
  <c r="E756" i="3"/>
  <c r="E53" i="34" s="1"/>
  <c r="D756" i="3"/>
  <c r="D53" i="34" s="1"/>
  <c r="C756" i="3"/>
  <c r="C53" i="34" s="1"/>
  <c r="B756" i="3"/>
  <c r="B53" i="34" s="1"/>
  <c r="A756" i="3"/>
  <c r="B3314" i="44" s="1"/>
  <c r="F3314" i="44" s="1"/>
  <c r="S755" i="3"/>
  <c r="S52" i="34" s="1"/>
  <c r="K755" i="3"/>
  <c r="K52" i="34" s="1"/>
  <c r="G755" i="3"/>
  <c r="G52" i="34" s="1"/>
  <c r="F755" i="3"/>
  <c r="F52" i="34" s="1"/>
  <c r="E755" i="3"/>
  <c r="E52" i="34" s="1"/>
  <c r="D755" i="3"/>
  <c r="D52" i="34" s="1"/>
  <c r="C755" i="3"/>
  <c r="C52" i="34" s="1"/>
  <c r="B755" i="3"/>
  <c r="B52" i="34" s="1"/>
  <c r="A755" i="3"/>
  <c r="S754" i="3"/>
  <c r="S51" i="34" s="1"/>
  <c r="K754" i="3"/>
  <c r="K51" i="34" s="1"/>
  <c r="G754" i="3"/>
  <c r="G51" i="34" s="1"/>
  <c r="F754" i="3"/>
  <c r="F51" i="34" s="1"/>
  <c r="E754" i="3"/>
  <c r="E51" i="34" s="1"/>
  <c r="D754" i="3"/>
  <c r="D51" i="34" s="1"/>
  <c r="C754" i="3"/>
  <c r="C51" i="34" s="1"/>
  <c r="B754" i="3"/>
  <c r="B51" i="34" s="1"/>
  <c r="A754" i="3"/>
  <c r="B3213" i="44" s="1"/>
  <c r="F3213" i="44" s="1"/>
  <c r="S753" i="3"/>
  <c r="S50" i="34" s="1"/>
  <c r="K753" i="3"/>
  <c r="K50" i="34" s="1"/>
  <c r="G753" i="3"/>
  <c r="G50" i="34" s="1"/>
  <c r="F753" i="3"/>
  <c r="E753" i="3"/>
  <c r="E50" i="34" s="1"/>
  <c r="D753" i="3"/>
  <c r="D50" i="34" s="1"/>
  <c r="C753" i="3"/>
  <c r="C50" i="34" s="1"/>
  <c r="B753" i="3"/>
  <c r="B50" i="34" s="1"/>
  <c r="A753" i="3"/>
  <c r="S752" i="3"/>
  <c r="K752" i="3"/>
  <c r="K49" i="34" s="1"/>
  <c r="G752" i="3"/>
  <c r="G49" i="34" s="1"/>
  <c r="F752" i="3"/>
  <c r="E752" i="3"/>
  <c r="E49" i="34" s="1"/>
  <c r="D752" i="3"/>
  <c r="D49" i="34" s="1"/>
  <c r="C752" i="3"/>
  <c r="C49" i="34" s="1"/>
  <c r="B752" i="3"/>
  <c r="B49" i="34" s="1"/>
  <c r="A752" i="3"/>
  <c r="B3211" i="44" s="1"/>
  <c r="F3211" i="44" s="1"/>
  <c r="S751" i="3"/>
  <c r="S48" i="34" s="1"/>
  <c r="K751" i="3"/>
  <c r="K48" i="34" s="1"/>
  <c r="G751" i="3"/>
  <c r="G48" i="34" s="1"/>
  <c r="F751" i="3"/>
  <c r="E751" i="3"/>
  <c r="E48" i="34" s="1"/>
  <c r="D751" i="3"/>
  <c r="D48" i="34" s="1"/>
  <c r="C751" i="3"/>
  <c r="C48" i="34" s="1"/>
  <c r="B751" i="3"/>
  <c r="B48" i="34" s="1"/>
  <c r="A751" i="3"/>
  <c r="A48" i="34" s="1"/>
  <c r="S750" i="3"/>
  <c r="S47" i="34" s="1"/>
  <c r="K750" i="3"/>
  <c r="K47" i="34" s="1"/>
  <c r="G750" i="3"/>
  <c r="G47" i="34" s="1"/>
  <c r="F750" i="3"/>
  <c r="F47" i="34" s="1"/>
  <c r="E750" i="3"/>
  <c r="E47" i="34" s="1"/>
  <c r="D750" i="3"/>
  <c r="D47" i="34" s="1"/>
  <c r="C750" i="3"/>
  <c r="C47" i="34" s="1"/>
  <c r="B750" i="3"/>
  <c r="B47" i="34" s="1"/>
  <c r="A750" i="3"/>
  <c r="B3308" i="44" s="1"/>
  <c r="F3308" i="44" s="1"/>
  <c r="S749" i="3"/>
  <c r="S46" i="34" s="1"/>
  <c r="K749" i="3"/>
  <c r="K46" i="34" s="1"/>
  <c r="G749" i="3"/>
  <c r="G46" i="34" s="1"/>
  <c r="F749" i="3"/>
  <c r="F46" i="34" s="1"/>
  <c r="E749" i="3"/>
  <c r="E46" i="34" s="1"/>
  <c r="D749" i="3"/>
  <c r="D46" i="34" s="1"/>
  <c r="C749" i="3"/>
  <c r="B749" i="3"/>
  <c r="B46" i="34" s="1"/>
  <c r="A749" i="3"/>
  <c r="B3208" i="44" s="1"/>
  <c r="F3208" i="44" s="1"/>
  <c r="S748" i="3"/>
  <c r="S45" i="34" s="1"/>
  <c r="K748" i="3"/>
  <c r="K45" i="34" s="1"/>
  <c r="G748" i="3"/>
  <c r="G45" i="34" s="1"/>
  <c r="F748" i="3"/>
  <c r="E748" i="3"/>
  <c r="E45" i="34" s="1"/>
  <c r="D748" i="3"/>
  <c r="D45" i="34" s="1"/>
  <c r="C748" i="3"/>
  <c r="C45" i="34" s="1"/>
  <c r="B748" i="3"/>
  <c r="B45" i="34" s="1"/>
  <c r="A748" i="3"/>
  <c r="S747" i="3"/>
  <c r="S44" i="34" s="1"/>
  <c r="K747" i="3"/>
  <c r="K44" i="34" s="1"/>
  <c r="G747" i="3"/>
  <c r="G44" i="34" s="1"/>
  <c r="F747" i="3"/>
  <c r="F44" i="34" s="1"/>
  <c r="E747" i="3"/>
  <c r="E44" i="34" s="1"/>
  <c r="D747" i="3"/>
  <c r="D44" i="34" s="1"/>
  <c r="C747" i="3"/>
  <c r="C44" i="34" s="1"/>
  <c r="B747" i="3"/>
  <c r="A747" i="3"/>
  <c r="B3206" i="44" s="1"/>
  <c r="F3206" i="44" s="1"/>
  <c r="S746" i="3"/>
  <c r="S43" i="34" s="1"/>
  <c r="K746" i="3"/>
  <c r="K43" i="34" s="1"/>
  <c r="G746" i="3"/>
  <c r="G43" i="34" s="1"/>
  <c r="F746" i="3"/>
  <c r="F43" i="34" s="1"/>
  <c r="E746" i="3"/>
  <c r="D746" i="3"/>
  <c r="D43" i="34" s="1"/>
  <c r="C746" i="3"/>
  <c r="C43" i="34" s="1"/>
  <c r="B746" i="3"/>
  <c r="B43" i="34" s="1"/>
  <c r="A746" i="3"/>
  <c r="B3304" i="44" s="1"/>
  <c r="F3304" i="44" s="1"/>
  <c r="S745" i="3"/>
  <c r="S42" i="34" s="1"/>
  <c r="K745" i="3"/>
  <c r="K42" i="34" s="1"/>
  <c r="G745" i="3"/>
  <c r="G42" i="34" s="1"/>
  <c r="F745" i="3"/>
  <c r="F42" i="34" s="1"/>
  <c r="E745" i="3"/>
  <c r="E42" i="34" s="1"/>
  <c r="D745" i="3"/>
  <c r="D42" i="34" s="1"/>
  <c r="C745" i="3"/>
  <c r="C42" i="34" s="1"/>
  <c r="B745" i="3"/>
  <c r="B42" i="34" s="1"/>
  <c r="A745" i="3"/>
  <c r="B3303" i="44" s="1"/>
  <c r="F3303" i="44" s="1"/>
  <c r="S744" i="3"/>
  <c r="S41" i="34" s="1"/>
  <c r="K744" i="3"/>
  <c r="K41" i="34" s="1"/>
  <c r="G744" i="3"/>
  <c r="G41" i="34" s="1"/>
  <c r="F744" i="3"/>
  <c r="F41" i="34" s="1"/>
  <c r="E744" i="3"/>
  <c r="E41" i="34" s="1"/>
  <c r="D744" i="3"/>
  <c r="D41" i="34" s="1"/>
  <c r="C744" i="3"/>
  <c r="C41" i="34" s="1"/>
  <c r="B744" i="3"/>
  <c r="B41" i="34" s="1"/>
  <c r="A744" i="3"/>
  <c r="S743" i="3"/>
  <c r="K743" i="3"/>
  <c r="K40" i="34" s="1"/>
  <c r="G743" i="3"/>
  <c r="G40" i="34" s="1"/>
  <c r="F743" i="3"/>
  <c r="E743" i="3"/>
  <c r="E40" i="34" s="1"/>
  <c r="D743" i="3"/>
  <c r="D40" i="34" s="1"/>
  <c r="C743" i="3"/>
  <c r="C40" i="34" s="1"/>
  <c r="B743" i="3"/>
  <c r="B40" i="34" s="1"/>
  <c r="A743" i="3"/>
  <c r="A40" i="34" s="1"/>
  <c r="S742" i="3"/>
  <c r="S39" i="34" s="1"/>
  <c r="K742" i="3"/>
  <c r="K39" i="34" s="1"/>
  <c r="G742" i="3"/>
  <c r="G39" i="34" s="1"/>
  <c r="F742" i="3"/>
  <c r="E742" i="3"/>
  <c r="E39" i="34" s="1"/>
  <c r="D742" i="3"/>
  <c r="D39" i="34" s="1"/>
  <c r="C742" i="3"/>
  <c r="C39" i="34" s="1"/>
  <c r="B742" i="3"/>
  <c r="B39" i="34" s="1"/>
  <c r="A742" i="3"/>
  <c r="B3201" i="44" s="1"/>
  <c r="F3201" i="44" s="1"/>
  <c r="S741" i="3"/>
  <c r="S38" i="34" s="1"/>
  <c r="K741" i="3"/>
  <c r="K38" i="34" s="1"/>
  <c r="G741" i="3"/>
  <c r="G38" i="34" s="1"/>
  <c r="F741" i="3"/>
  <c r="F38" i="34" s="1"/>
  <c r="E741" i="3"/>
  <c r="E38" i="34" s="1"/>
  <c r="D741" i="3"/>
  <c r="D38" i="34" s="1"/>
  <c r="C741" i="3"/>
  <c r="C38" i="34" s="1"/>
  <c r="B741" i="3"/>
  <c r="A741" i="3"/>
  <c r="S740" i="3"/>
  <c r="S37" i="34" s="1"/>
  <c r="K740" i="3"/>
  <c r="K37" i="34" s="1"/>
  <c r="G740" i="3"/>
  <c r="G37" i="34" s="1"/>
  <c r="F740" i="3"/>
  <c r="F37" i="34" s="1"/>
  <c r="E740" i="3"/>
  <c r="D740" i="3"/>
  <c r="D37" i="34" s="1"/>
  <c r="C740" i="3"/>
  <c r="C37" i="34" s="1"/>
  <c r="B740" i="3"/>
  <c r="B37" i="34" s="1"/>
  <c r="A740" i="3"/>
  <c r="B3199" i="44" s="1"/>
  <c r="F3199" i="44" s="1"/>
  <c r="S739" i="3"/>
  <c r="K739" i="3"/>
  <c r="K36" i="34" s="1"/>
  <c r="G739" i="3"/>
  <c r="G36" i="34" s="1"/>
  <c r="F739" i="3"/>
  <c r="F36" i="34" s="1"/>
  <c r="E739" i="3"/>
  <c r="E36" i="34" s="1"/>
  <c r="D739" i="3"/>
  <c r="D36" i="34" s="1"/>
  <c r="C739" i="3"/>
  <c r="C36" i="34" s="1"/>
  <c r="B739" i="3"/>
  <c r="B36" i="34" s="1"/>
  <c r="A739" i="3"/>
  <c r="A36" i="34" s="1"/>
  <c r="S738" i="3"/>
  <c r="S35" i="34" s="1"/>
  <c r="K738" i="3"/>
  <c r="K35" i="34" s="1"/>
  <c r="G738" i="3"/>
  <c r="G35" i="34" s="1"/>
  <c r="F738" i="3"/>
  <c r="F35" i="34" s="1"/>
  <c r="E738" i="3"/>
  <c r="E35" i="34" s="1"/>
  <c r="D738" i="3"/>
  <c r="D35" i="34" s="1"/>
  <c r="C738" i="3"/>
  <c r="C35" i="34" s="1"/>
  <c r="B738" i="3"/>
  <c r="B35" i="34" s="1"/>
  <c r="A738" i="3"/>
  <c r="A35" i="34" s="1"/>
  <c r="S737" i="3"/>
  <c r="S34" i="34" s="1"/>
  <c r="K737" i="3"/>
  <c r="K34" i="34" s="1"/>
  <c r="G737" i="3"/>
  <c r="G34" i="34" s="1"/>
  <c r="F737" i="3"/>
  <c r="F34" i="34" s="1"/>
  <c r="E737" i="3"/>
  <c r="E34" i="34" s="1"/>
  <c r="D737" i="3"/>
  <c r="D34" i="34" s="1"/>
  <c r="C737" i="3"/>
  <c r="C34" i="34" s="1"/>
  <c r="B737" i="3"/>
  <c r="A737" i="3"/>
  <c r="A34" i="34" s="1"/>
  <c r="S736" i="3"/>
  <c r="K736" i="3"/>
  <c r="K33" i="34" s="1"/>
  <c r="G736" i="3"/>
  <c r="G33" i="34" s="1"/>
  <c r="F736" i="3"/>
  <c r="F33" i="34" s="1"/>
  <c r="E736" i="3"/>
  <c r="E33" i="34" s="1"/>
  <c r="D736" i="3"/>
  <c r="D33" i="34" s="1"/>
  <c r="C736" i="3"/>
  <c r="C33" i="34" s="1"/>
  <c r="B736" i="3"/>
  <c r="B33" i="34" s="1"/>
  <c r="A736" i="3"/>
  <c r="B3294" i="44" s="1"/>
  <c r="F3294" i="44" s="1"/>
  <c r="S735" i="3"/>
  <c r="S32" i="34" s="1"/>
  <c r="K735" i="3"/>
  <c r="K32" i="34" s="1"/>
  <c r="G735" i="3"/>
  <c r="G32" i="34" s="1"/>
  <c r="F735" i="3"/>
  <c r="E735" i="3"/>
  <c r="E32" i="34" s="1"/>
  <c r="D735" i="3"/>
  <c r="D32" i="34" s="1"/>
  <c r="C735" i="3"/>
  <c r="B735" i="3"/>
  <c r="B32" i="34" s="1"/>
  <c r="A735" i="3"/>
  <c r="B3293" i="44" s="1"/>
  <c r="F3293" i="44" s="1"/>
  <c r="S734" i="3"/>
  <c r="K734" i="3"/>
  <c r="K31" i="34" s="1"/>
  <c r="G734" i="3"/>
  <c r="G31" i="34" s="1"/>
  <c r="F734" i="3"/>
  <c r="F31" i="34" s="1"/>
  <c r="E734" i="3"/>
  <c r="D734" i="3"/>
  <c r="D31" i="34" s="1"/>
  <c r="C734" i="3"/>
  <c r="B734" i="3"/>
  <c r="B31" i="34" s="1"/>
  <c r="A734" i="3"/>
  <c r="S733" i="3"/>
  <c r="S30" i="34" s="1"/>
  <c r="K733" i="3"/>
  <c r="K30" i="34" s="1"/>
  <c r="G733" i="3"/>
  <c r="G30" i="34" s="1"/>
  <c r="F733" i="3"/>
  <c r="E733" i="3"/>
  <c r="E30" i="34" s="1"/>
  <c r="D733" i="3"/>
  <c r="D30" i="34" s="1"/>
  <c r="C733" i="3"/>
  <c r="C30" i="34" s="1"/>
  <c r="B733" i="3"/>
  <c r="B30" i="34" s="1"/>
  <c r="A733" i="3"/>
  <c r="B3192" i="44" s="1"/>
  <c r="F3192" i="44" s="1"/>
  <c r="S732" i="3"/>
  <c r="S29" i="34" s="1"/>
  <c r="K732" i="3"/>
  <c r="K29" i="34" s="1"/>
  <c r="G732" i="3"/>
  <c r="G29" i="34" s="1"/>
  <c r="F732" i="3"/>
  <c r="F29" i="34" s="1"/>
  <c r="E732" i="3"/>
  <c r="E29" i="34" s="1"/>
  <c r="D732" i="3"/>
  <c r="D29" i="34" s="1"/>
  <c r="C732" i="3"/>
  <c r="C29" i="34" s="1"/>
  <c r="B732" i="3"/>
  <c r="A732" i="3"/>
  <c r="B3191" i="44" s="1"/>
  <c r="F3191" i="44" s="1"/>
  <c r="S731" i="3"/>
  <c r="S28" i="34" s="1"/>
  <c r="K731" i="3"/>
  <c r="K28" i="34" s="1"/>
  <c r="G731" i="3"/>
  <c r="G28" i="34" s="1"/>
  <c r="F731" i="3"/>
  <c r="F28" i="34" s="1"/>
  <c r="E731" i="3"/>
  <c r="E28" i="34" s="1"/>
  <c r="D731" i="3"/>
  <c r="D28" i="34" s="1"/>
  <c r="C731" i="3"/>
  <c r="C28" i="34" s="1"/>
  <c r="B731" i="3"/>
  <c r="B28" i="34" s="1"/>
  <c r="A731" i="3"/>
  <c r="A28" i="34" s="1"/>
  <c r="S730" i="3"/>
  <c r="S27" i="34" s="1"/>
  <c r="K730" i="3"/>
  <c r="K27" i="34" s="1"/>
  <c r="G730" i="3"/>
  <c r="G27" i="34" s="1"/>
  <c r="F730" i="3"/>
  <c r="F27" i="34" s="1"/>
  <c r="E730" i="3"/>
  <c r="E27" i="34" s="1"/>
  <c r="D730" i="3"/>
  <c r="D27" i="34" s="1"/>
  <c r="C730" i="3"/>
  <c r="C27" i="34" s="1"/>
  <c r="B730" i="3"/>
  <c r="B27" i="34" s="1"/>
  <c r="A730" i="3"/>
  <c r="S729" i="3"/>
  <c r="S26" i="34" s="1"/>
  <c r="K729" i="3"/>
  <c r="K26" i="34" s="1"/>
  <c r="G729" i="3"/>
  <c r="G26" i="34" s="1"/>
  <c r="F729" i="3"/>
  <c r="F26" i="34" s="1"/>
  <c r="E729" i="3"/>
  <c r="E26" i="34" s="1"/>
  <c r="D729" i="3"/>
  <c r="D26" i="34" s="1"/>
  <c r="C729" i="3"/>
  <c r="C26" i="34" s="1"/>
  <c r="B729" i="3"/>
  <c r="A729" i="3"/>
  <c r="B3287" i="44" s="1"/>
  <c r="F3287" i="44" s="1"/>
  <c r="S728" i="3"/>
  <c r="S25" i="34" s="1"/>
  <c r="K728" i="3"/>
  <c r="K25" i="34" s="1"/>
  <c r="G728" i="3"/>
  <c r="G25" i="34" s="1"/>
  <c r="F728" i="3"/>
  <c r="F25" i="34" s="1"/>
  <c r="E728" i="3"/>
  <c r="E25" i="34" s="1"/>
  <c r="D728" i="3"/>
  <c r="D25" i="34" s="1"/>
  <c r="C728" i="3"/>
  <c r="C25" i="34" s="1"/>
  <c r="B728" i="3"/>
  <c r="B25" i="34" s="1"/>
  <c r="A728" i="3"/>
  <c r="S727" i="3"/>
  <c r="S24" i="34" s="1"/>
  <c r="K727" i="3"/>
  <c r="K24" i="34" s="1"/>
  <c r="G727" i="3"/>
  <c r="G24" i="34" s="1"/>
  <c r="F727" i="3"/>
  <c r="F24" i="34" s="1"/>
  <c r="E727" i="3"/>
  <c r="E24" i="34" s="1"/>
  <c r="D727" i="3"/>
  <c r="D24" i="34" s="1"/>
  <c r="C727" i="3"/>
  <c r="C24" i="34" s="1"/>
  <c r="B727" i="3"/>
  <c r="B24" i="34" s="1"/>
  <c r="A727" i="3"/>
  <c r="B3285" i="44" s="1"/>
  <c r="F3285" i="44" s="1"/>
  <c r="S726" i="3"/>
  <c r="S23" i="34" s="1"/>
  <c r="K726" i="3"/>
  <c r="K23" i="34" s="1"/>
  <c r="G726" i="3"/>
  <c r="G23" i="34" s="1"/>
  <c r="F726" i="3"/>
  <c r="F23" i="34" s="1"/>
  <c r="E726" i="3"/>
  <c r="E23" i="34" s="1"/>
  <c r="D726" i="3"/>
  <c r="D23" i="34" s="1"/>
  <c r="C726" i="3"/>
  <c r="C23" i="34" s="1"/>
  <c r="B726" i="3"/>
  <c r="B23" i="34" s="1"/>
  <c r="A726" i="3"/>
  <c r="A23" i="34" s="1"/>
  <c r="S725" i="3"/>
  <c r="S22" i="34" s="1"/>
  <c r="K725" i="3"/>
  <c r="K22" i="34" s="1"/>
  <c r="G725" i="3"/>
  <c r="G22" i="34" s="1"/>
  <c r="F725" i="3"/>
  <c r="F22" i="34" s="1"/>
  <c r="E725" i="3"/>
  <c r="E22" i="34" s="1"/>
  <c r="D725" i="3"/>
  <c r="D22" i="34" s="1"/>
  <c r="C725" i="3"/>
  <c r="C22" i="34" s="1"/>
  <c r="B725" i="3"/>
  <c r="B22" i="34" s="1"/>
  <c r="A725" i="3"/>
  <c r="B3283" i="44" s="1"/>
  <c r="F3283" i="44" s="1"/>
  <c r="S724" i="3"/>
  <c r="K724" i="3"/>
  <c r="K21" i="34" s="1"/>
  <c r="G724" i="3"/>
  <c r="G21" i="34" s="1"/>
  <c r="F724" i="3"/>
  <c r="F21" i="34" s="1"/>
  <c r="E724" i="3"/>
  <c r="E21" i="34" s="1"/>
  <c r="D724" i="3"/>
  <c r="D21" i="34" s="1"/>
  <c r="C724" i="3"/>
  <c r="C21" i="34" s="1"/>
  <c r="B724" i="3"/>
  <c r="A724" i="3"/>
  <c r="S723" i="3"/>
  <c r="S20" i="34" s="1"/>
  <c r="K723" i="3"/>
  <c r="K20" i="34" s="1"/>
  <c r="G723" i="3"/>
  <c r="G20" i="34" s="1"/>
  <c r="F723" i="3"/>
  <c r="E723" i="3"/>
  <c r="E20" i="34" s="1"/>
  <c r="D723" i="3"/>
  <c r="D20" i="34" s="1"/>
  <c r="C723" i="3"/>
  <c r="C20" i="34" s="1"/>
  <c r="B723" i="3"/>
  <c r="B20" i="34" s="1"/>
  <c r="A723" i="3"/>
  <c r="B3182" i="44" s="1"/>
  <c r="F3182" i="44" s="1"/>
  <c r="S722" i="3"/>
  <c r="S19" i="34" s="1"/>
  <c r="K722" i="3"/>
  <c r="K19" i="34" s="1"/>
  <c r="G722" i="3"/>
  <c r="G19" i="34" s="1"/>
  <c r="F722" i="3"/>
  <c r="F19" i="34" s="1"/>
  <c r="E722" i="3"/>
  <c r="E19" i="34" s="1"/>
  <c r="D722" i="3"/>
  <c r="D19" i="34" s="1"/>
  <c r="C722" i="3"/>
  <c r="C19" i="34" s="1"/>
  <c r="B722" i="3"/>
  <c r="B19" i="34" s="1"/>
  <c r="A722" i="3"/>
  <c r="A19" i="34" s="1"/>
  <c r="S721" i="3"/>
  <c r="K721" i="3"/>
  <c r="K18" i="34" s="1"/>
  <c r="G721" i="3"/>
  <c r="G18" i="34" s="1"/>
  <c r="F721" i="3"/>
  <c r="F18" i="34" s="1"/>
  <c r="E721" i="3"/>
  <c r="E18" i="34" s="1"/>
  <c r="D721" i="3"/>
  <c r="D18" i="34" s="1"/>
  <c r="C721" i="3"/>
  <c r="C18" i="34" s="1"/>
  <c r="B721" i="3"/>
  <c r="B18" i="34" s="1"/>
  <c r="A721" i="3"/>
  <c r="A18" i="34" s="1"/>
  <c r="S720" i="3"/>
  <c r="S17" i="34" s="1"/>
  <c r="K720" i="3"/>
  <c r="K17" i="34" s="1"/>
  <c r="G720" i="3"/>
  <c r="G17" i="34" s="1"/>
  <c r="F720" i="3"/>
  <c r="F17" i="34" s="1"/>
  <c r="E720" i="3"/>
  <c r="E17" i="34" s="1"/>
  <c r="D720" i="3"/>
  <c r="D17" i="34" s="1"/>
  <c r="C720" i="3"/>
  <c r="B720" i="3"/>
  <c r="B17" i="34" s="1"/>
  <c r="A720" i="3"/>
  <c r="B3278" i="44" s="1"/>
  <c r="F3278" i="44" s="1"/>
  <c r="S719" i="3"/>
  <c r="S16" i="34" s="1"/>
  <c r="K719" i="3"/>
  <c r="K16" i="34" s="1"/>
  <c r="G719" i="3"/>
  <c r="G16" i="34" s="1"/>
  <c r="F719" i="3"/>
  <c r="F16" i="34" s="1"/>
  <c r="E719" i="3"/>
  <c r="E16" i="34" s="1"/>
  <c r="D719" i="3"/>
  <c r="D16" i="34" s="1"/>
  <c r="C719" i="3"/>
  <c r="B719" i="3"/>
  <c r="B16" i="34" s="1"/>
  <c r="A719" i="3"/>
  <c r="B3178" i="44" s="1"/>
  <c r="F3178" i="44" s="1"/>
  <c r="S718" i="3"/>
  <c r="S15" i="34" s="1"/>
  <c r="K718" i="3"/>
  <c r="K15" i="34" s="1"/>
  <c r="G718" i="3"/>
  <c r="G15" i="34" s="1"/>
  <c r="F718" i="3"/>
  <c r="F15" i="34" s="1"/>
  <c r="E718" i="3"/>
  <c r="E15" i="34" s="1"/>
  <c r="D718" i="3"/>
  <c r="D15" i="34" s="1"/>
  <c r="C718" i="3"/>
  <c r="C15" i="34" s="1"/>
  <c r="B718" i="3"/>
  <c r="B15" i="34" s="1"/>
  <c r="A718" i="3"/>
  <c r="B3276" i="44" s="1"/>
  <c r="F3276" i="44" s="1"/>
  <c r="S717" i="3"/>
  <c r="K717" i="3"/>
  <c r="K14" i="34" s="1"/>
  <c r="G717" i="3"/>
  <c r="G14" i="34" s="1"/>
  <c r="F717" i="3"/>
  <c r="F14" i="34" s="1"/>
  <c r="E717" i="3"/>
  <c r="E14" i="34" s="1"/>
  <c r="D717" i="3"/>
  <c r="D14" i="34" s="1"/>
  <c r="C717" i="3"/>
  <c r="B717" i="3"/>
  <c r="B14" i="34" s="1"/>
  <c r="A717" i="3"/>
  <c r="B3275" i="44" s="1"/>
  <c r="F3275" i="44" s="1"/>
  <c r="S716" i="3"/>
  <c r="S13" i="34" s="1"/>
  <c r="K716" i="3"/>
  <c r="K13" i="34" s="1"/>
  <c r="G716" i="3"/>
  <c r="G13" i="34" s="1"/>
  <c r="F716" i="3"/>
  <c r="F13" i="34" s="1"/>
  <c r="E716" i="3"/>
  <c r="E13" i="34" s="1"/>
  <c r="D716" i="3"/>
  <c r="D13" i="34" s="1"/>
  <c r="C716" i="3"/>
  <c r="C13" i="34" s="1"/>
  <c r="B716" i="3"/>
  <c r="B13" i="34" s="1"/>
  <c r="A716" i="3"/>
  <c r="B3175" i="44" s="1"/>
  <c r="F3175" i="44" s="1"/>
  <c r="S715" i="3"/>
  <c r="S12" i="34" s="1"/>
  <c r="K715" i="3"/>
  <c r="K12" i="34" s="1"/>
  <c r="G715" i="3"/>
  <c r="G12" i="34" s="1"/>
  <c r="E715" i="3"/>
  <c r="E12" i="34" s="1"/>
  <c r="D715" i="3"/>
  <c r="D12" i="34" s="1"/>
  <c r="C715" i="3"/>
  <c r="C12" i="34" s="1"/>
  <c r="B715" i="3"/>
  <c r="B12" i="34" s="1"/>
  <c r="A715" i="3"/>
  <c r="B3174" i="44" s="1"/>
  <c r="F3174" i="44" s="1"/>
  <c r="S714" i="3"/>
  <c r="S11" i="34" s="1"/>
  <c r="K714" i="3"/>
  <c r="K11" i="34" s="1"/>
  <c r="G714" i="3"/>
  <c r="G11" i="34" s="1"/>
  <c r="F714" i="3"/>
  <c r="F11" i="34" s="1"/>
  <c r="E714" i="3"/>
  <c r="E11" i="34" s="1"/>
  <c r="D714" i="3"/>
  <c r="D11" i="34" s="1"/>
  <c r="C714" i="3"/>
  <c r="C11" i="34" s="1"/>
  <c r="B714" i="3"/>
  <c r="A714" i="3"/>
  <c r="B3272" i="44" s="1"/>
  <c r="F3272" i="44" s="1"/>
  <c r="S713" i="3"/>
  <c r="S10" i="34" s="1"/>
  <c r="K713" i="3"/>
  <c r="K10" i="34" s="1"/>
  <c r="G713" i="3"/>
  <c r="G10" i="34" s="1"/>
  <c r="F713" i="3"/>
  <c r="F10" i="34" s="1"/>
  <c r="E713" i="3"/>
  <c r="D713" i="3"/>
  <c r="D10" i="34" s="1"/>
  <c r="C713" i="3"/>
  <c r="C10" i="34" s="1"/>
  <c r="B713" i="3"/>
  <c r="B10" i="34" s="1"/>
  <c r="A713" i="3"/>
  <c r="S712" i="3"/>
  <c r="S9" i="34" s="1"/>
  <c r="K712" i="3"/>
  <c r="K9" i="34" s="1"/>
  <c r="G712" i="3"/>
  <c r="G9" i="34" s="1"/>
  <c r="F712" i="3"/>
  <c r="F9" i="34" s="1"/>
  <c r="E712" i="3"/>
  <c r="E9" i="34" s="1"/>
  <c r="D712" i="3"/>
  <c r="D9" i="34" s="1"/>
  <c r="C712" i="3"/>
  <c r="C9" i="34" s="1"/>
  <c r="B712" i="3"/>
  <c r="B9" i="34" s="1"/>
  <c r="A712" i="3"/>
  <c r="A9" i="34" s="1"/>
  <c r="S711" i="3"/>
  <c r="S8" i="34" s="1"/>
  <c r="K711" i="3"/>
  <c r="K8" i="34" s="1"/>
  <c r="G711" i="3"/>
  <c r="G8" i="34" s="1"/>
  <c r="F711" i="3"/>
  <c r="E711" i="3"/>
  <c r="E8" i="34" s="1"/>
  <c r="D711" i="3"/>
  <c r="D8" i="34" s="1"/>
  <c r="C711" i="3"/>
  <c r="C8" i="34" s="1"/>
  <c r="B711" i="3"/>
  <c r="A711" i="3"/>
  <c r="B3269" i="44" s="1"/>
  <c r="F3269" i="44" s="1"/>
  <c r="S710" i="3"/>
  <c r="S7" i="34" s="1"/>
  <c r="K710" i="3"/>
  <c r="K7" i="34" s="1"/>
  <c r="G710" i="3"/>
  <c r="G7" i="34" s="1"/>
  <c r="F710" i="3"/>
  <c r="F7" i="34" s="1"/>
  <c r="E710" i="3"/>
  <c r="E7" i="34" s="1"/>
  <c r="D710" i="3"/>
  <c r="D7" i="34" s="1"/>
  <c r="C710" i="3"/>
  <c r="C7" i="34" s="1"/>
  <c r="B710" i="3"/>
  <c r="A710" i="3"/>
  <c r="B3169" i="44" s="1"/>
  <c r="F3169" i="44" s="1"/>
  <c r="A709" i="3"/>
  <c r="B3168" i="44" s="1"/>
  <c r="F3168" i="44" s="1"/>
  <c r="A708" i="3"/>
  <c r="A5" i="34" s="1"/>
  <c r="S709" i="3"/>
  <c r="S6" i="34" s="1"/>
  <c r="K709" i="3"/>
  <c r="K6" i="34" s="1"/>
  <c r="G709" i="3"/>
  <c r="G6" i="34" s="1"/>
  <c r="F709" i="3"/>
  <c r="E709" i="3"/>
  <c r="E6" i="34" s="1"/>
  <c r="D709" i="3"/>
  <c r="D6" i="34" s="1"/>
  <c r="C709" i="3"/>
  <c r="B709" i="3"/>
  <c r="B6" i="34" s="1"/>
  <c r="S708" i="3"/>
  <c r="S5" i="34" s="1"/>
  <c r="M708" i="3"/>
  <c r="M5" i="34" s="1"/>
  <c r="G708" i="3"/>
  <c r="G5" i="34" s="1"/>
  <c r="F708" i="3"/>
  <c r="F5" i="34" s="1"/>
  <c r="E708" i="3"/>
  <c r="E5" i="34" s="1"/>
  <c r="D708" i="3"/>
  <c r="D5" i="34" s="1"/>
  <c r="C708" i="3"/>
  <c r="C5" i="34" s="1"/>
  <c r="B708" i="3"/>
  <c r="B5" i="34" s="1"/>
  <c r="B866" i="3"/>
  <c r="B865" i="3"/>
  <c r="B557" i="3"/>
  <c r="C557" i="3" s="1"/>
  <c r="B617" i="3"/>
  <c r="E70" i="24" s="1"/>
  <c r="B654" i="3"/>
  <c r="L64" i="3"/>
  <c r="D103" i="25" s="1"/>
  <c r="L65" i="3"/>
  <c r="D104" i="25" s="1"/>
  <c r="L66" i="3"/>
  <c r="D105" i="25" s="1"/>
  <c r="L67" i="3"/>
  <c r="D106" i="25" s="1"/>
  <c r="L68" i="3"/>
  <c r="D107" i="25" s="1"/>
  <c r="B539" i="3"/>
  <c r="C539" i="3" s="1"/>
  <c r="B533" i="3"/>
  <c r="B359" i="3"/>
  <c r="D49" i="42" s="1"/>
  <c r="B110" i="3" a="1"/>
  <c r="B110" i="3" s="1"/>
  <c r="B341" i="3"/>
  <c r="B165" i="3"/>
  <c r="B163" i="3"/>
  <c r="A165" i="3"/>
  <c r="B160" i="3"/>
  <c r="A160" i="3"/>
  <c r="B159" i="3"/>
  <c r="A159" i="3"/>
  <c r="B158" i="3"/>
  <c r="A158" i="3"/>
  <c r="B157" i="3"/>
  <c r="A157" i="3"/>
  <c r="B156" i="3"/>
  <c r="A156" i="3"/>
  <c r="B155" i="3"/>
  <c r="A155" i="3"/>
  <c r="A154" i="3"/>
  <c r="D151" i="3"/>
  <c r="E151" i="3" s="1"/>
  <c r="C151" i="3"/>
  <c r="B151" i="3"/>
  <c r="A151" i="3"/>
  <c r="D150" i="3"/>
  <c r="E150" i="3" s="1"/>
  <c r="C150" i="3"/>
  <c r="B150" i="3"/>
  <c r="A150" i="3"/>
  <c r="D149" i="3"/>
  <c r="C149" i="3"/>
  <c r="B149" i="3"/>
  <c r="A149" i="3"/>
  <c r="A148" i="3"/>
  <c r="A128" i="3"/>
  <c r="A134" i="3"/>
  <c r="A133" i="3"/>
  <c r="A132" i="3"/>
  <c r="A131" i="3"/>
  <c r="A130" i="3"/>
  <c r="A129" i="3"/>
  <c r="A122" i="3"/>
  <c r="C330" i="3"/>
  <c r="B59" i="6"/>
  <c r="B49" i="6"/>
  <c r="B34" i="6"/>
  <c r="C267" i="5" s="1"/>
  <c r="B22" i="6"/>
  <c r="B12" i="6"/>
  <c r="C329" i="3"/>
  <c r="B354" i="3"/>
  <c r="D106" i="24" s="1"/>
  <c r="B346" i="3"/>
  <c r="B367" i="3" s="1"/>
  <c r="C7" i="5"/>
  <c r="B361" i="3"/>
  <c r="D88" i="24" s="1"/>
  <c r="B351" i="3"/>
  <c r="D125" i="3"/>
  <c r="C125" i="3"/>
  <c r="A125" i="3"/>
  <c r="E28" i="43" s="1"/>
  <c r="D124" i="3"/>
  <c r="E25" i="43" s="1"/>
  <c r="C124" i="3"/>
  <c r="A124" i="3"/>
  <c r="E20" i="43" s="1"/>
  <c r="D123" i="3"/>
  <c r="E17" i="43" s="1"/>
  <c r="C123" i="3"/>
  <c r="E15" i="43" s="1"/>
  <c r="A123" i="3"/>
  <c r="E12" i="43" s="1"/>
  <c r="D302" i="3"/>
  <c r="F18" i="25" s="1"/>
  <c r="D301" i="3"/>
  <c r="D300" i="3"/>
  <c r="F16" i="25" s="1"/>
  <c r="B99" i="3" a="1"/>
  <c r="B99" i="3" s="1"/>
  <c r="A71" i="12"/>
  <c r="A190" i="5" s="1"/>
  <c r="A70" i="12"/>
  <c r="A189" i="5" s="1"/>
  <c r="A62" i="12"/>
  <c r="A61" i="12"/>
  <c r="A182" i="5" s="1"/>
  <c r="A60" i="12"/>
  <c r="A181" i="5" s="1"/>
  <c r="A48" i="12"/>
  <c r="A171" i="5" s="1"/>
  <c r="A47" i="12"/>
  <c r="A170" i="5" s="1"/>
  <c r="A46" i="12"/>
  <c r="A169" i="5" s="1"/>
  <c r="A45" i="12"/>
  <c r="A168" i="5" s="1"/>
  <c r="A15" i="12"/>
  <c r="A14" i="12"/>
  <c r="A34" i="12"/>
  <c r="A33" i="12"/>
  <c r="A158" i="5" s="1"/>
  <c r="A32" i="12"/>
  <c r="A157" i="5" s="1"/>
  <c r="B48" i="9"/>
  <c r="B41" i="9"/>
  <c r="C827" i="5" s="1"/>
  <c r="B40" i="9"/>
  <c r="C826" i="5" s="1"/>
  <c r="B39" i="9"/>
  <c r="C825" i="5" s="1"/>
  <c r="K99" i="3"/>
  <c r="J99" i="3"/>
  <c r="I99" i="3"/>
  <c r="H99" i="3"/>
  <c r="G99" i="3"/>
  <c r="C87" i="3"/>
  <c r="C66" i="42" s="1"/>
  <c r="B87" i="3"/>
  <c r="C65" i="42" s="1"/>
  <c r="M104" i="16"/>
  <c r="L104" i="16"/>
  <c r="I104" i="16"/>
  <c r="H104" i="16"/>
  <c r="G104" i="16"/>
  <c r="F104" i="16"/>
  <c r="E104" i="16"/>
  <c r="D104" i="16"/>
  <c r="A23" i="11"/>
  <c r="K191" i="3" s="1"/>
  <c r="A151" i="30" s="1"/>
  <c r="A32" i="11"/>
  <c r="K200" i="3" s="1"/>
  <c r="A160" i="30" s="1"/>
  <c r="A31" i="11"/>
  <c r="K199" i="3" s="1"/>
  <c r="A159" i="30" s="1"/>
  <c r="A89" i="11"/>
  <c r="K258" i="3" s="1"/>
  <c r="A217" i="30" s="1"/>
  <c r="A121" i="10"/>
  <c r="A442" i="5" s="1"/>
  <c r="A105" i="10"/>
  <c r="A430" i="5" s="1"/>
  <c r="A104" i="10"/>
  <c r="A103" i="10"/>
  <c r="A97" i="10"/>
  <c r="A424" i="5" s="1"/>
  <c r="A76" i="10"/>
  <c r="A62" i="10"/>
  <c r="A61" i="10"/>
  <c r="A42" i="10"/>
  <c r="A41" i="10"/>
  <c r="A40" i="10"/>
  <c r="A373" i="5" s="1"/>
  <c r="A26" i="10"/>
  <c r="A361" i="5" s="1"/>
  <c r="A25" i="10"/>
  <c r="A24" i="10"/>
  <c r="A359" i="5" s="1"/>
  <c r="C57" i="9"/>
  <c r="C58" i="9"/>
  <c r="C49" i="9"/>
  <c r="C42" i="9"/>
  <c r="C36" i="9"/>
  <c r="B72" i="12"/>
  <c r="B63" i="12"/>
  <c r="B49" i="12"/>
  <c r="C35" i="12"/>
  <c r="C49" i="12"/>
  <c r="C63" i="12"/>
  <c r="B35" i="12"/>
  <c r="C34" i="11"/>
  <c r="M202" i="3" s="1"/>
  <c r="E162" i="30" s="1"/>
  <c r="B34" i="11"/>
  <c r="L202" i="3" s="1"/>
  <c r="B162" i="30" s="1"/>
  <c r="C64" i="11"/>
  <c r="M233" i="3" s="1"/>
  <c r="E192" i="30" s="1"/>
  <c r="B64" i="11"/>
  <c r="L233" i="3" s="1"/>
  <c r="B192" i="30" s="1"/>
  <c r="B686" i="3"/>
  <c r="B685" i="3"/>
  <c r="B684" i="3"/>
  <c r="B682" i="3"/>
  <c r="B683" i="3"/>
  <c r="B681" i="3"/>
  <c r="B680" i="3"/>
  <c r="B679" i="3"/>
  <c r="B677" i="3"/>
  <c r="C97" i="11"/>
  <c r="M266" i="3" s="1"/>
  <c r="E225" i="30" s="1"/>
  <c r="C98" i="11"/>
  <c r="M267" i="3" s="1"/>
  <c r="E226" i="30" s="1"/>
  <c r="B98" i="11"/>
  <c r="L267" i="3" s="1"/>
  <c r="C756" i="5" s="1"/>
  <c r="B97" i="11"/>
  <c r="L266" i="3" s="1"/>
  <c r="B225" i="30" s="1"/>
  <c r="C90" i="11"/>
  <c r="M259" i="3" s="1"/>
  <c r="E218" i="30" s="1"/>
  <c r="B90" i="11"/>
  <c r="L259" i="3" s="1"/>
  <c r="B218" i="30" s="1"/>
  <c r="C84" i="11"/>
  <c r="M253" i="3" s="1"/>
  <c r="E212" i="30" s="1"/>
  <c r="B84" i="11"/>
  <c r="L253" i="3" s="1"/>
  <c r="B212" i="30" s="1"/>
  <c r="C76" i="11"/>
  <c r="M245" i="3" s="1"/>
  <c r="E204" i="30" s="1"/>
  <c r="B76" i="11"/>
  <c r="L245" i="3" s="1"/>
  <c r="B204" i="30" s="1"/>
  <c r="C51" i="11"/>
  <c r="M219" i="3" s="1"/>
  <c r="E179" i="30" s="1"/>
  <c r="B51" i="11"/>
  <c r="L219" i="3" s="1"/>
  <c r="B179" i="30" s="1"/>
  <c r="C24" i="11"/>
  <c r="M192" i="3" s="1"/>
  <c r="E152" i="30" s="1"/>
  <c r="B24" i="11"/>
  <c r="L192" i="3" s="1"/>
  <c r="B152" i="30" s="1"/>
  <c r="C11" i="11"/>
  <c r="M179" i="3" s="1"/>
  <c r="E139" i="30" s="1"/>
  <c r="B11" i="11"/>
  <c r="L179" i="3" s="1"/>
  <c r="B139" i="30" s="1"/>
  <c r="C7" i="11"/>
  <c r="M175" i="3" s="1"/>
  <c r="E135" i="30" s="1"/>
  <c r="B7" i="11"/>
  <c r="L175" i="3" s="1"/>
  <c r="B135" i="30" s="1"/>
  <c r="E124" i="10"/>
  <c r="D124" i="10"/>
  <c r="C124" i="10"/>
  <c r="B124" i="10"/>
  <c r="F27" i="10"/>
  <c r="E27" i="10"/>
  <c r="D27" i="10"/>
  <c r="C27" i="10"/>
  <c r="B27" i="10"/>
  <c r="F43" i="10"/>
  <c r="E43" i="10"/>
  <c r="D43" i="10"/>
  <c r="C43" i="10"/>
  <c r="B43" i="10"/>
  <c r="F63" i="10"/>
  <c r="E63" i="10"/>
  <c r="D63" i="10"/>
  <c r="C63" i="10"/>
  <c r="B63" i="10"/>
  <c r="E79" i="10"/>
  <c r="B79" i="10"/>
  <c r="F98" i="10"/>
  <c r="E98" i="10"/>
  <c r="D98" i="10"/>
  <c r="C98" i="10"/>
  <c r="B98" i="10"/>
  <c r="E106" i="10"/>
  <c r="B106" i="10"/>
  <c r="F115" i="10"/>
  <c r="E115" i="10"/>
  <c r="D115" i="10"/>
  <c r="C115" i="10"/>
  <c r="B115" i="10"/>
  <c r="E123" i="10"/>
  <c r="E291" i="3" s="1"/>
  <c r="B123" i="10"/>
  <c r="E11" i="10"/>
  <c r="E179" i="3" s="1"/>
  <c r="E13" i="30" s="1"/>
  <c r="D11" i="10"/>
  <c r="D346" i="5" s="1"/>
  <c r="C11" i="10"/>
  <c r="B11" i="10"/>
  <c r="D7" i="10"/>
  <c r="F7" i="10"/>
  <c r="E7" i="10"/>
  <c r="E175" i="3" s="1"/>
  <c r="E9" i="30" s="1"/>
  <c r="C7" i="10"/>
  <c r="B7" i="10"/>
  <c r="B694" i="3"/>
  <c r="B693" i="3"/>
  <c r="B692" i="3"/>
  <c r="B691" i="3"/>
  <c r="B678" i="3"/>
  <c r="B27" i="3"/>
  <c r="B119" i="30"/>
  <c r="C255" i="24"/>
  <c r="C248" i="24"/>
  <c r="C244" i="24"/>
  <c r="C242" i="24"/>
  <c r="C240" i="24"/>
  <c r="C236" i="24"/>
  <c r="C232" i="24"/>
  <c r="C228" i="24"/>
  <c r="C224" i="24"/>
  <c r="E211" i="32"/>
  <c r="D269" i="24"/>
  <c r="E207" i="32"/>
  <c r="D267" i="24"/>
  <c r="D265" i="24"/>
  <c r="E203" i="32"/>
  <c r="D261" i="24"/>
  <c r="E199" i="32"/>
  <c r="D257" i="24"/>
  <c r="E195" i="32"/>
  <c r="D253" i="24"/>
  <c r="E191" i="32"/>
  <c r="D249" i="24"/>
  <c r="E187" i="32"/>
  <c r="D245" i="24"/>
  <c r="E183" i="32"/>
  <c r="D241" i="24"/>
  <c r="E179" i="32"/>
  <c r="D237" i="24"/>
  <c r="E175" i="32"/>
  <c r="D235" i="24"/>
  <c r="D233" i="24"/>
  <c r="D229" i="24"/>
  <c r="E167" i="32"/>
  <c r="D225" i="24"/>
  <c r="E163" i="32"/>
  <c r="D221" i="24"/>
  <c r="E159" i="32"/>
  <c r="G173" i="32"/>
  <c r="B205" i="32"/>
  <c r="B200" i="32"/>
  <c r="B251" i="24"/>
  <c r="B188" i="32"/>
  <c r="B185" i="32"/>
  <c r="B181" i="32"/>
  <c r="B227" i="24"/>
  <c r="B164" i="32"/>
  <c r="B225" i="24"/>
  <c r="B223" i="24"/>
  <c r="F264" i="24"/>
  <c r="F227" i="24"/>
  <c r="F249" i="24"/>
  <c r="E247" i="24"/>
  <c r="E234" i="24"/>
  <c r="E273" i="24"/>
  <c r="E265" i="24"/>
  <c r="E261" i="24"/>
  <c r="E257" i="24"/>
  <c r="E249" i="24"/>
  <c r="G911" i="3"/>
  <c r="H237" i="24" s="1"/>
  <c r="C220" i="24"/>
  <c r="D217" i="24"/>
  <c r="B219" i="24"/>
  <c r="E236" i="24"/>
  <c r="B208" i="30"/>
  <c r="E211" i="30"/>
  <c r="B32" i="30"/>
  <c r="C175" i="3"/>
  <c r="C9" i="30" s="1"/>
  <c r="B109" i="30"/>
  <c r="B409" i="3"/>
  <c r="D162" i="24" s="1"/>
  <c r="E64" i="44"/>
  <c r="F624" i="3" l="1"/>
  <c r="E68" i="24"/>
  <c r="F39" i="43"/>
  <c r="B22" i="19"/>
  <c r="B298" i="3"/>
  <c r="E269" i="24"/>
  <c r="F270" i="24"/>
  <c r="F362" i="3"/>
  <c r="D95" i="24" s="1"/>
  <c r="C490" i="3"/>
  <c r="C595" i="3"/>
  <c r="C596" i="3"/>
  <c r="C594" i="3"/>
  <c r="C593" i="3"/>
  <c r="C592" i="3"/>
  <c r="C597" i="3"/>
  <c r="B24" i="25"/>
  <c r="E253" i="24"/>
  <c r="G939" i="3"/>
  <c r="H265" i="24" s="1"/>
  <c r="B183" i="32"/>
  <c r="H110" i="44"/>
  <c r="A110" i="44" s="1"/>
  <c r="H109" i="44"/>
  <c r="A109" i="44" s="1"/>
  <c r="D96" i="24"/>
  <c r="A245" i="3"/>
  <c r="A78" i="30" s="1"/>
  <c r="J1823" i="44"/>
  <c r="H236" i="44"/>
  <c r="F181" i="32"/>
  <c r="D40" i="42"/>
  <c r="B182" i="32"/>
  <c r="C41" i="42"/>
  <c r="B240" i="24"/>
  <c r="C37" i="42"/>
  <c r="B236" i="24"/>
  <c r="C33" i="42"/>
  <c r="A807" i="5"/>
  <c r="C824" i="5"/>
  <c r="H1400" i="44"/>
  <c r="A1400" i="44" s="1"/>
  <c r="H1408" i="44"/>
  <c r="A1408" i="44" s="1"/>
  <c r="H1407" i="44"/>
  <c r="A1407" i="44" s="1"/>
  <c r="H1401" i="44"/>
  <c r="A1401" i="44" s="1"/>
  <c r="H1403" i="44"/>
  <c r="A1403" i="44" s="1"/>
  <c r="H1402" i="44"/>
  <c r="A1402" i="44" s="1"/>
  <c r="H1404" i="44"/>
  <c r="A1404" i="44" s="1"/>
  <c r="H1405" i="44"/>
  <c r="A1405" i="44" s="1"/>
  <c r="H1406" i="44"/>
  <c r="A1406" i="44" s="1"/>
  <c r="F180" i="32"/>
  <c r="D39" i="42"/>
  <c r="C181" i="32"/>
  <c r="B40" i="42"/>
  <c r="C177" i="32"/>
  <c r="B36" i="42"/>
  <c r="A806" i="5"/>
  <c r="C823" i="5"/>
  <c r="A816" i="5"/>
  <c r="C828" i="5"/>
  <c r="F178" i="32"/>
  <c r="D37" i="42"/>
  <c r="C180" i="32"/>
  <c r="B39" i="42"/>
  <c r="C176" i="32"/>
  <c r="B35" i="42"/>
  <c r="C234" i="24"/>
  <c r="B31" i="42"/>
  <c r="C230" i="24"/>
  <c r="B27" i="42"/>
  <c r="F177" i="32"/>
  <c r="D36" i="42"/>
  <c r="B242" i="24"/>
  <c r="C39" i="42"/>
  <c r="B176" i="32"/>
  <c r="C35" i="42"/>
  <c r="C183" i="32"/>
  <c r="B42" i="42"/>
  <c r="C179" i="32"/>
  <c r="B38" i="42"/>
  <c r="C175" i="32"/>
  <c r="B34" i="42"/>
  <c r="F182" i="32"/>
  <c r="D41" i="42"/>
  <c r="C182" i="32"/>
  <c r="B41" i="42"/>
  <c r="C178" i="32"/>
  <c r="B37" i="42"/>
  <c r="J21" i="42" s="1"/>
  <c r="J23" i="42" s="1"/>
  <c r="D953" i="44"/>
  <c r="D957" i="44"/>
  <c r="D961" i="44"/>
  <c r="D965" i="44"/>
  <c r="D958" i="44"/>
  <c r="D967" i="44"/>
  <c r="D960" i="44"/>
  <c r="D954" i="44"/>
  <c r="D962" i="44"/>
  <c r="D966" i="44"/>
  <c r="D963" i="44"/>
  <c r="D956" i="44"/>
  <c r="D955" i="44"/>
  <c r="D959" i="44"/>
  <c r="D964" i="44"/>
  <c r="D977" i="44"/>
  <c r="A147" i="44"/>
  <c r="E54" i="43"/>
  <c r="C142" i="5"/>
  <c r="R396" i="3"/>
  <c r="B210" i="32"/>
  <c r="B244" i="24"/>
  <c r="G896" i="3"/>
  <c r="H222" i="24" s="1"/>
  <c r="F189" i="32"/>
  <c r="D1083" i="44"/>
  <c r="D945" i="44"/>
  <c r="A937" i="5"/>
  <c r="F268" i="24"/>
  <c r="E144" i="24"/>
  <c r="F143" i="24"/>
  <c r="D144" i="24"/>
  <c r="F144" i="24"/>
  <c r="B152" i="3"/>
  <c r="D63" i="24"/>
  <c r="A93" i="34"/>
  <c r="C144" i="24"/>
  <c r="H143" i="24"/>
  <c r="E39" i="42"/>
  <c r="E30" i="42"/>
  <c r="E38" i="42"/>
  <c r="E29" i="42"/>
  <c r="E36" i="42"/>
  <c r="E27" i="42"/>
  <c r="E172" i="32"/>
  <c r="E35" i="42"/>
  <c r="E26" i="42"/>
  <c r="F35" i="42"/>
  <c r="G35" i="42" s="1"/>
  <c r="F26" i="42"/>
  <c r="G26" i="42" s="1"/>
  <c r="B123" i="30"/>
  <c r="B291" i="3"/>
  <c r="I71" i="24" s="1"/>
  <c r="D93" i="41"/>
  <c r="D7" i="43"/>
  <c r="C7" i="42"/>
  <c r="C7" i="41"/>
  <c r="E41" i="42"/>
  <c r="E32" i="42"/>
  <c r="E33" i="42"/>
  <c r="E24" i="42"/>
  <c r="F33" i="42"/>
  <c r="G33" i="42" s="1"/>
  <c r="F24" i="42"/>
  <c r="G24" i="42" s="1"/>
  <c r="A159" i="5"/>
  <c r="I22" i="42"/>
  <c r="A183" i="5"/>
  <c r="I48" i="42"/>
  <c r="C246" i="24"/>
  <c r="G919" i="3"/>
  <c r="H245" i="24" s="1"/>
  <c r="F257" i="3"/>
  <c r="F90" i="30" s="1"/>
  <c r="C238" i="24"/>
  <c r="G914" i="3"/>
  <c r="H240" i="24" s="1"/>
  <c r="F260" i="24"/>
  <c r="G254" i="3"/>
  <c r="G87" i="30" s="1"/>
  <c r="G235" i="3"/>
  <c r="G68" i="30" s="1"/>
  <c r="G224" i="3"/>
  <c r="G58" i="30" s="1"/>
  <c r="G216" i="3"/>
  <c r="G50" i="30" s="1"/>
  <c r="D36" i="41"/>
  <c r="G198" i="3"/>
  <c r="G32" i="30" s="1"/>
  <c r="G188" i="3"/>
  <c r="G22" i="30" s="1"/>
  <c r="G177" i="3"/>
  <c r="G11" i="30" s="1"/>
  <c r="G253" i="3"/>
  <c r="G86" i="30" s="1"/>
  <c r="G223" i="3"/>
  <c r="G57" i="30" s="1"/>
  <c r="G215" i="3"/>
  <c r="G49" i="30" s="1"/>
  <c r="G205" i="3"/>
  <c r="G39" i="30" s="1"/>
  <c r="G197" i="3"/>
  <c r="G31" i="30" s="1"/>
  <c r="B405" i="3"/>
  <c r="D157" i="24" s="1"/>
  <c r="G187" i="3"/>
  <c r="G21" i="30" s="1"/>
  <c r="G174" i="3"/>
  <c r="G8" i="30" s="1"/>
  <c r="B69" i="30"/>
  <c r="G236" i="3"/>
  <c r="G69" i="30" s="1"/>
  <c r="G260" i="3"/>
  <c r="G93" i="30" s="1"/>
  <c r="G233" i="3"/>
  <c r="G66" i="30" s="1"/>
  <c r="G222" i="3"/>
  <c r="G56" i="30" s="1"/>
  <c r="G214" i="3"/>
  <c r="G48" i="30" s="1"/>
  <c r="G204" i="3"/>
  <c r="G38" i="30" s="1"/>
  <c r="G186" i="3"/>
  <c r="G20" i="30" s="1"/>
  <c r="A13" i="34"/>
  <c r="G259" i="3"/>
  <c r="G92" i="30" s="1"/>
  <c r="G251" i="3"/>
  <c r="G84" i="30" s="1"/>
  <c r="B74" i="30"/>
  <c r="G241" i="3"/>
  <c r="G74" i="30" s="1"/>
  <c r="G221" i="3"/>
  <c r="G55" i="30" s="1"/>
  <c r="G203" i="3"/>
  <c r="G37" i="30" s="1"/>
  <c r="G185" i="3"/>
  <c r="G19" i="30" s="1"/>
  <c r="E18" i="43"/>
  <c r="G53" i="42" s="1"/>
  <c r="G812" i="3"/>
  <c r="A1568" i="44"/>
  <c r="G268" i="3"/>
  <c r="G101" i="30" s="1"/>
  <c r="G258" i="3"/>
  <c r="G91" i="30" s="1"/>
  <c r="G250" i="3"/>
  <c r="G83" i="30" s="1"/>
  <c r="G240" i="3"/>
  <c r="G73" i="30" s="1"/>
  <c r="G220" i="3"/>
  <c r="G54" i="30" s="1"/>
  <c r="B36" i="30"/>
  <c r="G202" i="3"/>
  <c r="G36" i="30" s="1"/>
  <c r="B18" i="30"/>
  <c r="G184" i="3"/>
  <c r="G18" i="30" s="1"/>
  <c r="G285" i="3"/>
  <c r="G118" i="30" s="1"/>
  <c r="B90" i="30"/>
  <c r="G257" i="3"/>
  <c r="G90" i="30" s="1"/>
  <c r="G249" i="3"/>
  <c r="G82" i="30" s="1"/>
  <c r="G239" i="3"/>
  <c r="G72" i="30" s="1"/>
  <c r="D64" i="41"/>
  <c r="G219" i="3"/>
  <c r="G53" i="30" s="1"/>
  <c r="B35" i="30"/>
  <c r="G201" i="3"/>
  <c r="G35" i="30" s="1"/>
  <c r="G183" i="3"/>
  <c r="G17" i="30" s="1"/>
  <c r="G256" i="3"/>
  <c r="G89" i="30" s="1"/>
  <c r="B71" i="30"/>
  <c r="G238" i="3"/>
  <c r="G71" i="30" s="1"/>
  <c r="G218" i="3"/>
  <c r="G52" i="30" s="1"/>
  <c r="G255" i="3"/>
  <c r="G88" i="30" s="1"/>
  <c r="B70" i="30"/>
  <c r="G237" i="3"/>
  <c r="G70" i="30" s="1"/>
  <c r="G217" i="3"/>
  <c r="G51" i="30" s="1"/>
  <c r="B33" i="30"/>
  <c r="G199" i="3"/>
  <c r="G33" i="30" s="1"/>
  <c r="G189" i="3"/>
  <c r="G23" i="30" s="1"/>
  <c r="G178" i="3"/>
  <c r="G276" i="3"/>
  <c r="G109" i="30" s="1"/>
  <c r="D315" i="44"/>
  <c r="D12" i="41"/>
  <c r="G173" i="3"/>
  <c r="G7" i="30" s="1"/>
  <c r="D89" i="41"/>
  <c r="B111" i="30"/>
  <c r="B104" i="30"/>
  <c r="G252" i="3"/>
  <c r="G85" i="30" s="1"/>
  <c r="B67" i="30"/>
  <c r="G234" i="3"/>
  <c r="G67" i="30" s="1"/>
  <c r="G200" i="3"/>
  <c r="G34" i="30" s="1"/>
  <c r="G182" i="3"/>
  <c r="G16" i="30" s="1"/>
  <c r="G172" i="3"/>
  <c r="G6" i="30" s="1"/>
  <c r="B102" i="30"/>
  <c r="D58" i="41"/>
  <c r="B92" i="30"/>
  <c r="D77" i="41"/>
  <c r="B84" i="30"/>
  <c r="D69" i="41"/>
  <c r="B66" i="30"/>
  <c r="D53" i="41"/>
  <c r="B56" i="30"/>
  <c r="D48" i="41"/>
  <c r="B48" i="30"/>
  <c r="D41" i="41"/>
  <c r="B38" i="30"/>
  <c r="D33" i="41"/>
  <c r="B20" i="30"/>
  <c r="D23" i="41"/>
  <c r="B121" i="30"/>
  <c r="D90" i="41"/>
  <c r="B89" i="30"/>
  <c r="D74" i="41"/>
  <c r="B25" i="30"/>
  <c r="D27" i="41"/>
  <c r="B411" i="3"/>
  <c r="D164" i="24" s="1"/>
  <c r="D28" i="41"/>
  <c r="C267" i="24"/>
  <c r="E16" i="30"/>
  <c r="F182" i="3"/>
  <c r="F16" i="30" s="1"/>
  <c r="E34" i="30"/>
  <c r="F200" i="3"/>
  <c r="F34" i="30" s="1"/>
  <c r="E52" i="30"/>
  <c r="F218" i="3"/>
  <c r="F52" i="30" s="1"/>
  <c r="E85" i="30"/>
  <c r="F252" i="3"/>
  <c r="F85" i="30" s="1"/>
  <c r="E91" i="30"/>
  <c r="F258" i="3"/>
  <c r="F91" i="30" s="1"/>
  <c r="E118" i="30"/>
  <c r="F285" i="3"/>
  <c r="F118" i="30" s="1"/>
  <c r="B120" i="30"/>
  <c r="D92" i="41"/>
  <c r="B96" i="30"/>
  <c r="D79" i="41"/>
  <c r="B88" i="30"/>
  <c r="D68" i="41"/>
  <c r="B60" i="30"/>
  <c r="D50" i="41"/>
  <c r="B52" i="30"/>
  <c r="D63" i="41"/>
  <c r="B42" i="30"/>
  <c r="D38" i="41"/>
  <c r="B34" i="30"/>
  <c r="D32" i="41"/>
  <c r="B24" i="30"/>
  <c r="D26" i="41"/>
  <c r="B16" i="30"/>
  <c r="D21" i="41"/>
  <c r="E38" i="30"/>
  <c r="F204" i="3"/>
  <c r="F38" i="30" s="1"/>
  <c r="E48" i="30"/>
  <c r="F214" i="3"/>
  <c r="F48" i="30" s="1"/>
  <c r="B114" i="30"/>
  <c r="D85" i="41"/>
  <c r="E21" i="30"/>
  <c r="F187" i="3"/>
  <c r="F21" i="30" s="1"/>
  <c r="E31" i="30"/>
  <c r="F197" i="3"/>
  <c r="F31" i="30" s="1"/>
  <c r="E39" i="30"/>
  <c r="F205" i="3"/>
  <c r="F39" i="30" s="1"/>
  <c r="E49" i="30"/>
  <c r="F215" i="3"/>
  <c r="F49" i="30" s="1"/>
  <c r="E57" i="30"/>
  <c r="F223" i="3"/>
  <c r="F57" i="30" s="1"/>
  <c r="E68" i="30"/>
  <c r="F235" i="3"/>
  <c r="F68" i="30" s="1"/>
  <c r="E72" i="30"/>
  <c r="F239" i="3"/>
  <c r="F72" i="30" s="1"/>
  <c r="E82" i="30"/>
  <c r="F249" i="3"/>
  <c r="F82" i="30" s="1"/>
  <c r="E101" i="30"/>
  <c r="F268" i="3"/>
  <c r="F101" i="30" s="1"/>
  <c r="B3364" i="44"/>
  <c r="F3364" i="44" s="1"/>
  <c r="C271" i="24"/>
  <c r="E125" i="3"/>
  <c r="B383" i="3" s="1"/>
  <c r="C383" i="3" s="1"/>
  <c r="E33" i="43"/>
  <c r="B3270" i="44"/>
  <c r="F3270" i="44" s="1"/>
  <c r="F222" i="24"/>
  <c r="G160" i="32"/>
  <c r="C12" i="32"/>
  <c r="D12" i="32" s="1"/>
  <c r="E12" i="32" s="1"/>
  <c r="F12" i="32" s="1"/>
  <c r="G12" i="32" s="1"/>
  <c r="H12" i="32" s="1"/>
  <c r="I12" i="32" s="1"/>
  <c r="J12" i="32" s="1"/>
  <c r="K12" i="32" s="1"/>
  <c r="L12" i="32" s="1"/>
  <c r="C21" i="32" s="1"/>
  <c r="D21" i="32" s="1"/>
  <c r="E21" i="32" s="1"/>
  <c r="F21" i="32" s="1"/>
  <c r="G21" i="32" s="1"/>
  <c r="E7" i="30"/>
  <c r="F173" i="3"/>
  <c r="F7" i="30" s="1"/>
  <c r="E12" i="30"/>
  <c r="F178" i="3"/>
  <c r="F12" i="30" s="1"/>
  <c r="E19" i="30"/>
  <c r="F185" i="3"/>
  <c r="F19" i="30" s="1"/>
  <c r="E37" i="30"/>
  <c r="F203" i="3"/>
  <c r="F37" i="30" s="1"/>
  <c r="E47" i="30"/>
  <c r="F213" i="3"/>
  <c r="F47" i="30" s="1"/>
  <c r="E55" i="30"/>
  <c r="F221" i="3"/>
  <c r="F55" i="30" s="1"/>
  <c r="E69" i="30"/>
  <c r="F236" i="3"/>
  <c r="F69" i="30" s="1"/>
  <c r="E73" i="30"/>
  <c r="F240" i="3"/>
  <c r="F73" i="30" s="1"/>
  <c r="E88" i="30"/>
  <c r="F255" i="3"/>
  <c r="F88" i="30" s="1"/>
  <c r="B95" i="30"/>
  <c r="D78" i="41"/>
  <c r="B87" i="30"/>
  <c r="D67" i="41"/>
  <c r="B77" i="30"/>
  <c r="D60" i="41"/>
  <c r="B59" i="30"/>
  <c r="D47" i="41"/>
  <c r="B51" i="30"/>
  <c r="D43" i="41"/>
  <c r="B41" i="30"/>
  <c r="D37" i="41"/>
  <c r="B23" i="30"/>
  <c r="D25" i="41"/>
  <c r="B12" i="30"/>
  <c r="D16" i="41"/>
  <c r="C263" i="24"/>
  <c r="F238" i="24"/>
  <c r="E22" i="30"/>
  <c r="F188" i="3"/>
  <c r="F22" i="30" s="1"/>
  <c r="E32" i="30"/>
  <c r="F198" i="3"/>
  <c r="F32" i="30" s="1"/>
  <c r="E50" i="30"/>
  <c r="F216" i="3"/>
  <c r="F50" i="30" s="1"/>
  <c r="E58" i="30"/>
  <c r="F224" i="3"/>
  <c r="F58" i="30" s="1"/>
  <c r="E83" i="30"/>
  <c r="F250" i="3"/>
  <c r="F83" i="30" s="1"/>
  <c r="B94" i="30"/>
  <c r="D73" i="41"/>
  <c r="B86" i="30"/>
  <c r="D66" i="41"/>
  <c r="B68" i="30"/>
  <c r="D56" i="41"/>
  <c r="B58" i="30"/>
  <c r="D45" i="41"/>
  <c r="B50" i="30"/>
  <c r="D44" i="41"/>
  <c r="B410" i="3"/>
  <c r="D163" i="24" s="1"/>
  <c r="D24" i="41"/>
  <c r="B11" i="30"/>
  <c r="D15" i="41"/>
  <c r="E56" i="30"/>
  <c r="F222" i="3"/>
  <c r="F56" i="30" s="1"/>
  <c r="E109" i="30"/>
  <c r="F276" i="3"/>
  <c r="F109" i="30" s="1"/>
  <c r="F254" i="24"/>
  <c r="C251" i="24"/>
  <c r="E8" i="30"/>
  <c r="F174" i="3"/>
  <c r="F8" i="30" s="1"/>
  <c r="E17" i="30"/>
  <c r="F183" i="3"/>
  <c r="F17" i="30" s="1"/>
  <c r="E35" i="30"/>
  <c r="F201" i="3"/>
  <c r="F35" i="30" s="1"/>
  <c r="E53" i="30"/>
  <c r="F219" i="3"/>
  <c r="F53" i="30" s="1"/>
  <c r="E66" i="30"/>
  <c r="F233" i="3"/>
  <c r="F66" i="30" s="1"/>
  <c r="E70" i="30"/>
  <c r="F237" i="3"/>
  <c r="F70" i="30" s="1"/>
  <c r="E74" i="30"/>
  <c r="F241" i="3"/>
  <c r="F74" i="30" s="1"/>
  <c r="E86" i="30"/>
  <c r="F253" i="3"/>
  <c r="F86" i="30" s="1"/>
  <c r="E89" i="30"/>
  <c r="F256" i="3"/>
  <c r="F89" i="30" s="1"/>
  <c r="E92" i="30"/>
  <c r="F259" i="3"/>
  <c r="F92" i="30" s="1"/>
  <c r="B115" i="30"/>
  <c r="D86" i="41"/>
  <c r="B103" i="30"/>
  <c r="D59" i="41"/>
  <c r="B93" i="30"/>
  <c r="D72" i="41"/>
  <c r="B85" i="30"/>
  <c r="D65" i="41"/>
  <c r="B57" i="30"/>
  <c r="D46" i="41"/>
  <c r="B49" i="30"/>
  <c r="D42" i="41"/>
  <c r="B39" i="30"/>
  <c r="D35" i="41"/>
  <c r="B31" i="30"/>
  <c r="D31" i="41"/>
  <c r="B8" i="30"/>
  <c r="D17" i="41"/>
  <c r="E20" i="30"/>
  <c r="F186" i="3"/>
  <c r="F20" i="30" s="1"/>
  <c r="C259" i="24"/>
  <c r="E15" i="30"/>
  <c r="F181" i="3"/>
  <c r="F15" i="30" s="1"/>
  <c r="E23" i="30"/>
  <c r="F189" i="3"/>
  <c r="F23" i="30" s="1"/>
  <c r="E33" i="30"/>
  <c r="F199" i="3"/>
  <c r="F33" i="30" s="1"/>
  <c r="E51" i="30"/>
  <c r="F217" i="3"/>
  <c r="F51" i="30" s="1"/>
  <c r="E67" i="30"/>
  <c r="F234" i="3"/>
  <c r="F67" i="30" s="1"/>
  <c r="E71" i="30"/>
  <c r="F238" i="3"/>
  <c r="F71" i="30" s="1"/>
  <c r="E84" i="30"/>
  <c r="F251" i="3"/>
  <c r="F84" i="30" s="1"/>
  <c r="D55" i="32"/>
  <c r="E55" i="43"/>
  <c r="B101" i="30"/>
  <c r="D57" i="41"/>
  <c r="B91" i="30"/>
  <c r="D76" i="41"/>
  <c r="B83" i="30"/>
  <c r="D71" i="41"/>
  <c r="B73" i="30"/>
  <c r="D54" i="41"/>
  <c r="B55" i="30"/>
  <c r="D49" i="41"/>
  <c r="B37" i="30"/>
  <c r="D34" i="41"/>
  <c r="B19" i="30"/>
  <c r="D22" i="41"/>
  <c r="B428" i="3"/>
  <c r="D83" i="41"/>
  <c r="E11" i="30"/>
  <c r="F177" i="3"/>
  <c r="F11" i="30" s="1"/>
  <c r="E18" i="30"/>
  <c r="F184" i="3"/>
  <c r="F18" i="30" s="1"/>
  <c r="E36" i="30"/>
  <c r="F202" i="3"/>
  <c r="F36" i="30" s="1"/>
  <c r="E54" i="30"/>
  <c r="F220" i="3"/>
  <c r="F54" i="30" s="1"/>
  <c r="E87" i="30"/>
  <c r="F254" i="3"/>
  <c r="F87" i="30" s="1"/>
  <c r="E93" i="30"/>
  <c r="F260" i="3"/>
  <c r="F93" i="30" s="1"/>
  <c r="B122" i="30"/>
  <c r="B82" i="30"/>
  <c r="D75" i="41"/>
  <c r="B72" i="30"/>
  <c r="D55" i="41"/>
  <c r="B54" i="30"/>
  <c r="D70" i="41"/>
  <c r="D82" i="41"/>
  <c r="D396" i="44"/>
  <c r="D397" i="44"/>
  <c r="D398" i="44"/>
  <c r="B862" i="44"/>
  <c r="D863" i="44" s="1"/>
  <c r="D394" i="44"/>
  <c r="D860" i="44"/>
  <c r="D1073" i="44"/>
  <c r="G15" i="30"/>
  <c r="G47" i="30"/>
  <c r="F172" i="3"/>
  <c r="F6" i="30" s="1"/>
  <c r="E31" i="43"/>
  <c r="E23" i="43"/>
  <c r="E255" i="24"/>
  <c r="F243" i="24"/>
  <c r="B226" i="24"/>
  <c r="B238" i="24"/>
  <c r="G189" i="32"/>
  <c r="E165" i="32"/>
  <c r="E197" i="32"/>
  <c r="E152" i="32"/>
  <c r="E11" i="42"/>
  <c r="D234" i="24"/>
  <c r="E40" i="42"/>
  <c r="E164" i="32"/>
  <c r="E23" i="42"/>
  <c r="F168" i="32"/>
  <c r="F160" i="32"/>
  <c r="D19" i="42"/>
  <c r="G152" i="32"/>
  <c r="F11" i="42"/>
  <c r="G11" i="42" s="1"/>
  <c r="G172" i="32"/>
  <c r="F40" i="42"/>
  <c r="G40" i="42" s="1"/>
  <c r="G164" i="32"/>
  <c r="F23" i="42"/>
  <c r="G23" i="42" s="1"/>
  <c r="G156" i="32"/>
  <c r="F15" i="42"/>
  <c r="G15" i="42" s="1"/>
  <c r="C171" i="32"/>
  <c r="C167" i="32"/>
  <c r="C163" i="32"/>
  <c r="B22" i="42"/>
  <c r="C159" i="32"/>
  <c r="B18" i="42"/>
  <c r="C155" i="32"/>
  <c r="B14" i="42"/>
  <c r="E263" i="24"/>
  <c r="F259" i="24"/>
  <c r="B180" i="32"/>
  <c r="B266" i="24"/>
  <c r="D227" i="24"/>
  <c r="E155" i="32"/>
  <c r="E14" i="42"/>
  <c r="G903" i="3"/>
  <c r="H229" i="24" s="1"/>
  <c r="G895" i="3"/>
  <c r="H221" i="24" s="1"/>
  <c r="D18" i="42"/>
  <c r="G171" i="32"/>
  <c r="F39" i="42"/>
  <c r="G39" i="42" s="1"/>
  <c r="G163" i="32"/>
  <c r="F22" i="42"/>
  <c r="G22" i="42" s="1"/>
  <c r="B155" i="32"/>
  <c r="C14" i="42"/>
  <c r="F169" i="32"/>
  <c r="F153" i="32"/>
  <c r="D12" i="42"/>
  <c r="B153" i="32"/>
  <c r="C12" i="42"/>
  <c r="B234" i="24"/>
  <c r="B156" i="32"/>
  <c r="C15" i="42"/>
  <c r="E215" i="24"/>
  <c r="F219" i="24"/>
  <c r="E271" i="24"/>
  <c r="B168" i="32"/>
  <c r="B192" i="32"/>
  <c r="E189" i="32"/>
  <c r="D224" i="24"/>
  <c r="E21" i="42"/>
  <c r="E154" i="32"/>
  <c r="E13" i="42"/>
  <c r="F174" i="32"/>
  <c r="F166" i="32"/>
  <c r="F158" i="32"/>
  <c r="D17" i="42"/>
  <c r="G170" i="32"/>
  <c r="F38" i="42"/>
  <c r="G38" i="42" s="1"/>
  <c r="G162" i="32"/>
  <c r="F21" i="42"/>
  <c r="G21" i="42" s="1"/>
  <c r="G154" i="32"/>
  <c r="F13" i="42"/>
  <c r="G13" i="42" s="1"/>
  <c r="C174" i="32"/>
  <c r="C170" i="32"/>
  <c r="C166" i="32"/>
  <c r="C162" i="32"/>
  <c r="B21" i="42"/>
  <c r="C158" i="32"/>
  <c r="B17" i="42"/>
  <c r="C154" i="32"/>
  <c r="B13" i="42"/>
  <c r="G893" i="3"/>
  <c r="I157" i="32" s="1"/>
  <c r="B160" i="32"/>
  <c r="D231" i="24"/>
  <c r="E37" i="42"/>
  <c r="D223" i="24"/>
  <c r="E20" i="42"/>
  <c r="E153" i="32"/>
  <c r="F173" i="32"/>
  <c r="E227" i="24"/>
  <c r="F157" i="32"/>
  <c r="D16" i="42"/>
  <c r="G16" i="42" s="1"/>
  <c r="G169" i="32"/>
  <c r="F37" i="42"/>
  <c r="G37" i="42" s="1"/>
  <c r="G161" i="32"/>
  <c r="F20" i="42"/>
  <c r="G20" i="42" s="1"/>
  <c r="F215" i="24"/>
  <c r="F12" i="42"/>
  <c r="G12" i="42" s="1"/>
  <c r="B174" i="32"/>
  <c r="B232" i="24"/>
  <c r="B166" i="32"/>
  <c r="B224" i="24"/>
  <c r="C21" i="42"/>
  <c r="B220" i="24"/>
  <c r="C17" i="42"/>
  <c r="B154" i="32"/>
  <c r="C13" i="42"/>
  <c r="B230" i="24"/>
  <c r="F172" i="32"/>
  <c r="F164" i="32"/>
  <c r="D23" i="42"/>
  <c r="F156" i="32"/>
  <c r="D15" i="42"/>
  <c r="G168" i="32"/>
  <c r="F36" i="42"/>
  <c r="G36" i="42" s="1"/>
  <c r="B214" i="24"/>
  <c r="C11" i="42"/>
  <c r="C173" i="32"/>
  <c r="C169" i="32"/>
  <c r="C165" i="32"/>
  <c r="C161" i="32"/>
  <c r="B20" i="42"/>
  <c r="C157" i="32"/>
  <c r="B16" i="42"/>
  <c r="E239" i="24"/>
  <c r="B222" i="24"/>
  <c r="B196" i="32"/>
  <c r="E181" i="32"/>
  <c r="E231" i="24"/>
  <c r="B172" i="32"/>
  <c r="B246" i="24"/>
  <c r="G157" i="32"/>
  <c r="F171" i="32"/>
  <c r="F155" i="32"/>
  <c r="D14" i="42"/>
  <c r="F221" i="24"/>
  <c r="F18" i="42"/>
  <c r="G18" i="42" s="1"/>
  <c r="C214" i="24"/>
  <c r="B235" i="24"/>
  <c r="E157" i="32"/>
  <c r="E16" i="42"/>
  <c r="F161" i="32"/>
  <c r="D20" i="42"/>
  <c r="F235" i="24"/>
  <c r="F41" i="42"/>
  <c r="G41" i="42" s="1"/>
  <c r="G165" i="32"/>
  <c r="E173" i="32"/>
  <c r="D236" i="24"/>
  <c r="E42" i="42"/>
  <c r="D228" i="24"/>
  <c r="E34" i="42"/>
  <c r="F170" i="32"/>
  <c r="F162" i="32"/>
  <c r="D21" i="42"/>
  <c r="F154" i="32"/>
  <c r="D13" i="42"/>
  <c r="G174" i="32"/>
  <c r="F42" i="42"/>
  <c r="G42" i="42" s="1"/>
  <c r="G166" i="32"/>
  <c r="F34" i="42"/>
  <c r="G34" i="42" s="1"/>
  <c r="G158" i="32"/>
  <c r="F17" i="42"/>
  <c r="G17" i="42" s="1"/>
  <c r="C153" i="32"/>
  <c r="B12" i="42"/>
  <c r="C172" i="32"/>
  <c r="C168" i="32"/>
  <c r="C164" i="32"/>
  <c r="B23" i="42"/>
  <c r="C160" i="32"/>
  <c r="B19" i="42"/>
  <c r="C156" i="32"/>
  <c r="B15" i="42"/>
  <c r="F38" i="43"/>
  <c r="F37" i="43"/>
  <c r="B3363" i="44"/>
  <c r="F3363" i="44" s="1"/>
  <c r="B161" i="3"/>
  <c r="H1459" i="44"/>
  <c r="A1459" i="44" s="1"/>
  <c r="H1451" i="44"/>
  <c r="A1451" i="44" s="1"/>
  <c r="H1443" i="44"/>
  <c r="A1443" i="44" s="1"/>
  <c r="H1435" i="44"/>
  <c r="A1435" i="44" s="1"/>
  <c r="H1427" i="44"/>
  <c r="A1427" i="44" s="1"/>
  <c r="H1410" i="44"/>
  <c r="A1410" i="44" s="1"/>
  <c r="H1394" i="44"/>
  <c r="A1394" i="44" s="1"/>
  <c r="H1386" i="44"/>
  <c r="A1386" i="44" s="1"/>
  <c r="H1378" i="44"/>
  <c r="A1378" i="44" s="1"/>
  <c r="H1351" i="44"/>
  <c r="A1351" i="44" s="1"/>
  <c r="H1343" i="44"/>
  <c r="A1343" i="44" s="1"/>
  <c r="H1335" i="44"/>
  <c r="A1335" i="44" s="1"/>
  <c r="H1327" i="44"/>
  <c r="A1327" i="44" s="1"/>
  <c r="H1265" i="44"/>
  <c r="A1265" i="44" s="1"/>
  <c r="H1257" i="44"/>
  <c r="A1257" i="44" s="1"/>
  <c r="H1240" i="44"/>
  <c r="A1240" i="44" s="1"/>
  <c r="H1205" i="44"/>
  <c r="A1205" i="44" s="1"/>
  <c r="H1137" i="44"/>
  <c r="H1129" i="44"/>
  <c r="A1129" i="44" s="1"/>
  <c r="H1457" i="44"/>
  <c r="A1457" i="44" s="1"/>
  <c r="H1416" i="44"/>
  <c r="A1416" i="44" s="1"/>
  <c r="H1392" i="44"/>
  <c r="A1392" i="44" s="1"/>
  <c r="H1341" i="44"/>
  <c r="A1341" i="44" s="1"/>
  <c r="H1255" i="44"/>
  <c r="A1255" i="44" s="1"/>
  <c r="H1432" i="44"/>
  <c r="A1432" i="44" s="1"/>
  <c r="H1348" i="44"/>
  <c r="A1348" i="44" s="1"/>
  <c r="H1262" i="44"/>
  <c r="A1262" i="44" s="1"/>
  <c r="H1134" i="44"/>
  <c r="H1458" i="44"/>
  <c r="A1458" i="44" s="1"/>
  <c r="H1450" i="44"/>
  <c r="A1450" i="44" s="1"/>
  <c r="H1442" i="44"/>
  <c r="A1442" i="44" s="1"/>
  <c r="H1434" i="44"/>
  <c r="A1434" i="44" s="1"/>
  <c r="H1417" i="44"/>
  <c r="A1417" i="44" s="1"/>
  <c r="H1409" i="44"/>
  <c r="A1409" i="44" s="1"/>
  <c r="H1393" i="44"/>
  <c r="A1393" i="44" s="1"/>
  <c r="H1385" i="44"/>
  <c r="A1385" i="44" s="1"/>
  <c r="H1377" i="44"/>
  <c r="A1377" i="44" s="1"/>
  <c r="H1350" i="44"/>
  <c r="A1350" i="44" s="1"/>
  <c r="H1342" i="44"/>
  <c r="A1342" i="44" s="1"/>
  <c r="H1334" i="44"/>
  <c r="A1334" i="44" s="1"/>
  <c r="H1272" i="44"/>
  <c r="A1272" i="44" s="1"/>
  <c r="H1264" i="44"/>
  <c r="A1264" i="44" s="1"/>
  <c r="H1256" i="44"/>
  <c r="A1256" i="44" s="1"/>
  <c r="H1239" i="44"/>
  <c r="A1239" i="44" s="1"/>
  <c r="H1204" i="44"/>
  <c r="A1204" i="44" s="1"/>
  <c r="H1136" i="44"/>
  <c r="H1126" i="44"/>
  <c r="A1126" i="44" s="1"/>
  <c r="H1449" i="44"/>
  <c r="A1449" i="44" s="1"/>
  <c r="H1433" i="44"/>
  <c r="A1433" i="44" s="1"/>
  <c r="H1376" i="44"/>
  <c r="A1376" i="44" s="1"/>
  <c r="H1333" i="44"/>
  <c r="A1333" i="44" s="1"/>
  <c r="H1263" i="44"/>
  <c r="A1263" i="44" s="1"/>
  <c r="H1203" i="44"/>
  <c r="A1203" i="44" s="1"/>
  <c r="H1135" i="44"/>
  <c r="H1448" i="44"/>
  <c r="A1448" i="44" s="1"/>
  <c r="H1415" i="44"/>
  <c r="A1415" i="44" s="1"/>
  <c r="H1383" i="44"/>
  <c r="A1383" i="44" s="1"/>
  <c r="H1340" i="44"/>
  <c r="A1340" i="44" s="1"/>
  <c r="H1245" i="44"/>
  <c r="A1245" i="44" s="1"/>
  <c r="H1455" i="44"/>
  <c r="A1455" i="44" s="1"/>
  <c r="H1447" i="44"/>
  <c r="A1447" i="44" s="1"/>
  <c r="H1439" i="44"/>
  <c r="A1439" i="44" s="1"/>
  <c r="H1431" i="44"/>
  <c r="A1431" i="44" s="1"/>
  <c r="H1414" i="44"/>
  <c r="A1414" i="44" s="1"/>
  <c r="H1398" i="44"/>
  <c r="A1398" i="44" s="1"/>
  <c r="H1390" i="44"/>
  <c r="A1390" i="44" s="1"/>
  <c r="H1382" i="44"/>
  <c r="A1382" i="44" s="1"/>
  <c r="H1374" i="44"/>
  <c r="A1374" i="44" s="1"/>
  <c r="H1347" i="44"/>
  <c r="A1347" i="44" s="1"/>
  <c r="H1339" i="44"/>
  <c r="A1339" i="44" s="1"/>
  <c r="H1331" i="44"/>
  <c r="A1331" i="44" s="1"/>
  <c r="H1269" i="44"/>
  <c r="A1269" i="44" s="1"/>
  <c r="H1261" i="44"/>
  <c r="A1261" i="44" s="1"/>
  <c r="H1244" i="44"/>
  <c r="A1244" i="44" s="1"/>
  <c r="H1209" i="44"/>
  <c r="A1209" i="44" s="1"/>
  <c r="H1201" i="44"/>
  <c r="A1201" i="44" s="1"/>
  <c r="H1132" i="44"/>
  <c r="A1132" i="44" s="1"/>
  <c r="H1117" i="44"/>
  <c r="A1117" i="44" s="1"/>
  <c r="H1237" i="44"/>
  <c r="A1237" i="44" s="1"/>
  <c r="H1462" i="44"/>
  <c r="A1462" i="44" s="1"/>
  <c r="H1454" i="44"/>
  <c r="A1454" i="44" s="1"/>
  <c r="H1446" i="44"/>
  <c r="A1446" i="44" s="1"/>
  <c r="H1438" i="44"/>
  <c r="A1438" i="44" s="1"/>
  <c r="H1430" i="44"/>
  <c r="A1430" i="44" s="1"/>
  <c r="H1413" i="44"/>
  <c r="A1413" i="44" s="1"/>
  <c r="H1397" i="44"/>
  <c r="A1397" i="44" s="1"/>
  <c r="H1389" i="44"/>
  <c r="A1389" i="44" s="1"/>
  <c r="H1381" i="44"/>
  <c r="A1381" i="44" s="1"/>
  <c r="H1373" i="44"/>
  <c r="A1373" i="44" s="1"/>
  <c r="H1346" i="44"/>
  <c r="A1346" i="44" s="1"/>
  <c r="H1338" i="44"/>
  <c r="A1338" i="44" s="1"/>
  <c r="H1330" i="44"/>
  <c r="A1330" i="44" s="1"/>
  <c r="H1268" i="44"/>
  <c r="A1268" i="44" s="1"/>
  <c r="H1260" i="44"/>
  <c r="A1260" i="44" s="1"/>
  <c r="H1243" i="44"/>
  <c r="A1243" i="44" s="1"/>
  <c r="H1208" i="44"/>
  <c r="A1208" i="44" s="1"/>
  <c r="H1116" i="44"/>
  <c r="A1116" i="44" s="1"/>
  <c r="H1399" i="44"/>
  <c r="A1399" i="44" s="1"/>
  <c r="H1461" i="44"/>
  <c r="A1461" i="44" s="1"/>
  <c r="H1453" i="44"/>
  <c r="A1453" i="44" s="1"/>
  <c r="H1445" i="44"/>
  <c r="A1445" i="44" s="1"/>
  <c r="H1437" i="44"/>
  <c r="A1437" i="44" s="1"/>
  <c r="H1429" i="44"/>
  <c r="A1429" i="44" s="1"/>
  <c r="H1412" i="44"/>
  <c r="A1412" i="44" s="1"/>
  <c r="H1396" i="44"/>
  <c r="A1396" i="44" s="1"/>
  <c r="H1388" i="44"/>
  <c r="A1388" i="44" s="1"/>
  <c r="H1380" i="44"/>
  <c r="A1380" i="44" s="1"/>
  <c r="H1353" i="44"/>
  <c r="A1353" i="44" s="1"/>
  <c r="H1345" i="44"/>
  <c r="A1345" i="44" s="1"/>
  <c r="H1337" i="44"/>
  <c r="A1337" i="44" s="1"/>
  <c r="H1329" i="44"/>
  <c r="A1329" i="44" s="1"/>
  <c r="H1267" i="44"/>
  <c r="A1267" i="44" s="1"/>
  <c r="H1259" i="44"/>
  <c r="A1259" i="44" s="1"/>
  <c r="H1242" i="44"/>
  <c r="A1242" i="44" s="1"/>
  <c r="H1207" i="44"/>
  <c r="A1207" i="44" s="1"/>
  <c r="H1131" i="44"/>
  <c r="A1131" i="44" s="1"/>
  <c r="H1114" i="44"/>
  <c r="A1114" i="44" s="1"/>
  <c r="H1349" i="44"/>
  <c r="A1349" i="44" s="1"/>
  <c r="H1456" i="44"/>
  <c r="A1456" i="44" s="1"/>
  <c r="H1391" i="44"/>
  <c r="A1391" i="44" s="1"/>
  <c r="H1332" i="44"/>
  <c r="A1332" i="44" s="1"/>
  <c r="H1202" i="44"/>
  <c r="A1202" i="44" s="1"/>
  <c r="H1460" i="44"/>
  <c r="A1460" i="44" s="1"/>
  <c r="H1452" i="44"/>
  <c r="A1452" i="44" s="1"/>
  <c r="H1444" i="44"/>
  <c r="A1444" i="44" s="1"/>
  <c r="H1436" i="44"/>
  <c r="A1436" i="44" s="1"/>
  <c r="H1428" i="44"/>
  <c r="A1428" i="44" s="1"/>
  <c r="H1411" i="44"/>
  <c r="A1411" i="44" s="1"/>
  <c r="H1395" i="44"/>
  <c r="A1395" i="44" s="1"/>
  <c r="H1387" i="44"/>
  <c r="A1387" i="44" s="1"/>
  <c r="H1379" i="44"/>
  <c r="A1379" i="44" s="1"/>
  <c r="H1352" i="44"/>
  <c r="A1352" i="44" s="1"/>
  <c r="H1344" i="44"/>
  <c r="A1344" i="44" s="1"/>
  <c r="H1336" i="44"/>
  <c r="A1336" i="44" s="1"/>
  <c r="H1328" i="44"/>
  <c r="A1328" i="44" s="1"/>
  <c r="H1266" i="44"/>
  <c r="A1266" i="44" s="1"/>
  <c r="H1258" i="44"/>
  <c r="A1258" i="44" s="1"/>
  <c r="H1241" i="44"/>
  <c r="A1241" i="44" s="1"/>
  <c r="H1206" i="44"/>
  <c r="A1206" i="44" s="1"/>
  <c r="H1130" i="44"/>
  <c r="A1130" i="44" s="1"/>
  <c r="H1110" i="44"/>
  <c r="A1110" i="44" s="1"/>
  <c r="H1441" i="44"/>
  <c r="A1441" i="44" s="1"/>
  <c r="H1384" i="44"/>
  <c r="A1384" i="44" s="1"/>
  <c r="H1271" i="44"/>
  <c r="A1271" i="44" s="1"/>
  <c r="H1238" i="44"/>
  <c r="A1238" i="44" s="1"/>
  <c r="H1125" i="44"/>
  <c r="A1125" i="44" s="1"/>
  <c r="H1440" i="44"/>
  <c r="A1440" i="44" s="1"/>
  <c r="H1375" i="44"/>
  <c r="A1375" i="44" s="1"/>
  <c r="H1270" i="44"/>
  <c r="A1270" i="44" s="1"/>
  <c r="H1124" i="44"/>
  <c r="A1124" i="44" s="1"/>
  <c r="C352" i="3"/>
  <c r="F352" i="3" s="1"/>
  <c r="E124" i="3"/>
  <c r="B382" i="3" s="1"/>
  <c r="P382" i="3" s="1"/>
  <c r="I134" i="24" s="1"/>
  <c r="G933" i="3"/>
  <c r="H259" i="24" s="1"/>
  <c r="G925" i="3"/>
  <c r="H251" i="24" s="1"/>
  <c r="G940" i="3"/>
  <c r="H266" i="24" s="1"/>
  <c r="G946" i="3"/>
  <c r="H272" i="24" s="1"/>
  <c r="G938" i="3"/>
  <c r="H264" i="24" s="1"/>
  <c r="G930" i="3"/>
  <c r="H256" i="24" s="1"/>
  <c r="G922" i="3"/>
  <c r="H248" i="24" s="1"/>
  <c r="F842" i="3"/>
  <c r="C116" i="25" s="1"/>
  <c r="S1128" i="44"/>
  <c r="G840" i="5"/>
  <c r="B216" i="24"/>
  <c r="G897" i="3"/>
  <c r="H223" i="24" s="1"/>
  <c r="E219" i="24"/>
  <c r="B248" i="24"/>
  <c r="F231" i="24"/>
  <c r="G177" i="32"/>
  <c r="G913" i="3"/>
  <c r="H239" i="24" s="1"/>
  <c r="E161" i="32"/>
  <c r="E169" i="32"/>
  <c r="E177" i="32"/>
  <c r="E185" i="32"/>
  <c r="E193" i="32"/>
  <c r="E201" i="32"/>
  <c r="E209" i="32"/>
  <c r="B178" i="32"/>
  <c r="G909" i="3"/>
  <c r="H235" i="24" s="1"/>
  <c r="H758" i="3"/>
  <c r="E3217" i="44" s="1"/>
  <c r="A3217" i="44" s="1"/>
  <c r="E235" i="24"/>
  <c r="G889" i="3"/>
  <c r="I153" i="32" s="1"/>
  <c r="G921" i="3"/>
  <c r="H247" i="24" s="1"/>
  <c r="G917" i="3"/>
  <c r="H243" i="24" s="1"/>
  <c r="F247" i="24"/>
  <c r="B228" i="24"/>
  <c r="B421" i="3"/>
  <c r="D175" i="24" s="1"/>
  <c r="B3351" i="44"/>
  <c r="F3351" i="44" s="1"/>
  <c r="E243" i="24"/>
  <c r="D215" i="24"/>
  <c r="B190" i="32"/>
  <c r="B198" i="32"/>
  <c r="E259" i="24"/>
  <c r="B21" i="30"/>
  <c r="G937" i="3"/>
  <c r="H263" i="24" s="1"/>
  <c r="G153" i="32"/>
  <c r="G209" i="32"/>
  <c r="F197" i="32"/>
  <c r="A60" i="34"/>
  <c r="E267" i="24"/>
  <c r="F223" i="24"/>
  <c r="F263" i="24"/>
  <c r="B162" i="32"/>
  <c r="B264" i="24"/>
  <c r="G905" i="3"/>
  <c r="H231" i="24" s="1"/>
  <c r="B3222" i="44"/>
  <c r="F3222" i="44" s="1"/>
  <c r="G945" i="3"/>
  <c r="H271" i="24" s="1"/>
  <c r="B170" i="32"/>
  <c r="B256" i="24"/>
  <c r="G944" i="3"/>
  <c r="H270" i="24" s="1"/>
  <c r="D946" i="44"/>
  <c r="D978" i="44"/>
  <c r="D924" i="44"/>
  <c r="D927" i="44"/>
  <c r="D1009" i="44"/>
  <c r="D980" i="44"/>
  <c r="B1032" i="44"/>
  <c r="D939" i="44"/>
  <c r="D973" i="44"/>
  <c r="F142" i="24"/>
  <c r="E272" i="24"/>
  <c r="J1919" i="44"/>
  <c r="H142" i="24"/>
  <c r="B22" i="30"/>
  <c r="B3327" i="44"/>
  <c r="F3327" i="44" s="1"/>
  <c r="E228" i="24"/>
  <c r="E256" i="24"/>
  <c r="E244" i="24"/>
  <c r="G894" i="3"/>
  <c r="F214" i="24"/>
  <c r="C215" i="24"/>
  <c r="F220" i="24"/>
  <c r="E250" i="24"/>
  <c r="F230" i="24"/>
  <c r="F246" i="24"/>
  <c r="F262" i="24"/>
  <c r="F240" i="24"/>
  <c r="F236" i="24"/>
  <c r="F228" i="24"/>
  <c r="E226" i="24"/>
  <c r="C221" i="24"/>
  <c r="C223" i="24"/>
  <c r="C225" i="24"/>
  <c r="C227" i="24"/>
  <c r="C229" i="24"/>
  <c r="C231" i="24"/>
  <c r="C233" i="24"/>
  <c r="C235" i="24"/>
  <c r="C237" i="24"/>
  <c r="C239" i="24"/>
  <c r="C241" i="24"/>
  <c r="C243" i="24"/>
  <c r="C245" i="24"/>
  <c r="C247" i="24"/>
  <c r="C249" i="24"/>
  <c r="C253" i="24"/>
  <c r="C257" i="24"/>
  <c r="C261" i="24"/>
  <c r="C265" i="24"/>
  <c r="C269" i="24"/>
  <c r="C273" i="24"/>
  <c r="G904" i="3"/>
  <c r="H230" i="24" s="1"/>
  <c r="D262" i="24"/>
  <c r="B3185" i="44"/>
  <c r="F3185" i="44" s="1"/>
  <c r="H712" i="3"/>
  <c r="A17" i="34"/>
  <c r="A29" i="34"/>
  <c r="D2591" i="44"/>
  <c r="D947" i="44"/>
  <c r="B924" i="44"/>
  <c r="B925" i="44" s="1"/>
  <c r="B926" i="44" s="1"/>
  <c r="B927" i="44" s="1"/>
  <c r="B928" i="44" s="1"/>
  <c r="B929" i="44" s="1"/>
  <c r="B930" i="44" s="1"/>
  <c r="B931" i="44" s="1"/>
  <c r="B932" i="44" s="1"/>
  <c r="B933" i="44" s="1"/>
  <c r="B934" i="44" s="1"/>
  <c r="B935" i="44" s="1"/>
  <c r="B936" i="44" s="1"/>
  <c r="B937" i="44" s="1"/>
  <c r="D968" i="44"/>
  <c r="D976" i="44"/>
  <c r="B1028" i="44"/>
  <c r="D981" i="44"/>
  <c r="D952" i="44"/>
  <c r="D926" i="44"/>
  <c r="B1696" i="44"/>
  <c r="D1696" i="44" s="1"/>
  <c r="D2463" i="44"/>
  <c r="D3103" i="44"/>
  <c r="B1083" i="44"/>
  <c r="D969" i="44"/>
  <c r="D979" i="44"/>
  <c r="D950" i="44"/>
  <c r="D2785" i="44"/>
  <c r="D1759" i="44"/>
  <c r="D997" i="44"/>
  <c r="D474" i="44"/>
  <c r="B111" i="3" a="1"/>
  <c r="B111" i="3" s="1"/>
  <c r="B113" i="3" s="1"/>
  <c r="B116" i="3" s="1"/>
  <c r="B100" i="3" a="1"/>
  <c r="B100" i="3" s="1"/>
  <c r="B15" i="3"/>
  <c r="B587" i="3" s="1"/>
  <c r="B3274" i="44"/>
  <c r="F3274" i="44" s="1"/>
  <c r="A53" i="34"/>
  <c r="J2847" i="44"/>
  <c r="B3179" i="44"/>
  <c r="F3179" i="44" s="1"/>
  <c r="D1727" i="44"/>
  <c r="B3104" i="44"/>
  <c r="B3105" i="44" s="1"/>
  <c r="B3106" i="44" s="1"/>
  <c r="B3107" i="44" s="1"/>
  <c r="J3039" i="44"/>
  <c r="B2528" i="44"/>
  <c r="D2528" i="44" s="1"/>
  <c r="B1761" i="44"/>
  <c r="B1762" i="44" s="1"/>
  <c r="B1763" i="44" s="1"/>
  <c r="A15" i="34"/>
  <c r="A103" i="34"/>
  <c r="B3290" i="44"/>
  <c r="F3290" i="44" s="1"/>
  <c r="B3227" i="44"/>
  <c r="F3227" i="44" s="1"/>
  <c r="B1600" i="44"/>
  <c r="D1600" i="44" s="1"/>
  <c r="D2784" i="44"/>
  <c r="B2656" i="44"/>
  <c r="B2657" i="44" s="1"/>
  <c r="D2657" i="44" s="1"/>
  <c r="J2463" i="44"/>
  <c r="J1887" i="44"/>
  <c r="G900" i="3"/>
  <c r="G910" i="3"/>
  <c r="H236" i="24" s="1"/>
  <c r="G918" i="3"/>
  <c r="E186" i="32"/>
  <c r="B7" i="30"/>
  <c r="A11" i="34"/>
  <c r="A46" i="34"/>
  <c r="B3167" i="44"/>
  <c r="F3167" i="44" s="1"/>
  <c r="B3171" i="44"/>
  <c r="F3171" i="44" s="1"/>
  <c r="B3266" i="44"/>
  <c r="F3266" i="44" s="1"/>
  <c r="C195" i="5"/>
  <c r="B78" i="6"/>
  <c r="F41" i="3"/>
  <c r="E196" i="32"/>
  <c r="D258" i="24"/>
  <c r="D246" i="24"/>
  <c r="E184" i="32"/>
  <c r="E168" i="32"/>
  <c r="D230" i="24"/>
  <c r="G936" i="3"/>
  <c r="H262" i="24" s="1"/>
  <c r="F200" i="32"/>
  <c r="D266" i="24"/>
  <c r="E204" i="32"/>
  <c r="E188" i="32"/>
  <c r="D250" i="24"/>
  <c r="D238" i="24"/>
  <c r="E176" i="32"/>
  <c r="E160" i="32"/>
  <c r="D222" i="24"/>
  <c r="G928" i="3"/>
  <c r="H254" i="24" s="1"/>
  <c r="F192" i="32"/>
  <c r="E238" i="24"/>
  <c r="F176" i="32"/>
  <c r="B404" i="3"/>
  <c r="D156" i="24" s="1"/>
  <c r="J1695" i="44"/>
  <c r="D231" i="3"/>
  <c r="D64" i="30" s="1"/>
  <c r="B467" i="3"/>
  <c r="F812" i="3" s="1"/>
  <c r="B2976" i="44"/>
  <c r="D2976" i="44" s="1"/>
  <c r="D2911" i="44"/>
  <c r="B2816" i="44"/>
  <c r="D2816" i="44" s="1"/>
  <c r="B3040" i="44"/>
  <c r="D3040" i="44" s="1"/>
  <c r="B2913" i="44"/>
  <c r="D2913" i="44" s="1"/>
  <c r="B2336" i="44"/>
  <c r="D2336" i="44" s="1"/>
  <c r="B2720" i="44"/>
  <c r="B2721" i="44" s="1"/>
  <c r="D2721" i="44" s="1"/>
  <c r="J2527" i="44"/>
  <c r="D266" i="3"/>
  <c r="D99" i="30" s="1"/>
  <c r="B3355" i="44"/>
  <c r="F3355" i="44" s="1"/>
  <c r="E220" i="24"/>
  <c r="E232" i="24"/>
  <c r="E240" i="24"/>
  <c r="E264" i="24"/>
  <c r="E224" i="24"/>
  <c r="D179" i="3"/>
  <c r="D13" i="30" s="1"/>
  <c r="F216" i="24"/>
  <c r="C217" i="24"/>
  <c r="F218" i="24"/>
  <c r="G892" i="3"/>
  <c r="C216" i="24"/>
  <c r="G890" i="3"/>
  <c r="I154" i="32" s="1"/>
  <c r="C218" i="24"/>
  <c r="G908" i="3"/>
  <c r="H234" i="24" s="1"/>
  <c r="G924" i="3"/>
  <c r="H250" i="24" s="1"/>
  <c r="J1663" i="44"/>
  <c r="B2433" i="44"/>
  <c r="B2434" i="44" s="1"/>
  <c r="D2434" i="44" s="1"/>
  <c r="D2719" i="44"/>
  <c r="F252" i="24"/>
  <c r="F226" i="24"/>
  <c r="F234" i="24"/>
  <c r="F242" i="24"/>
  <c r="F250" i="24"/>
  <c r="F258" i="24"/>
  <c r="F266" i="24"/>
  <c r="F232" i="24"/>
  <c r="F256" i="24"/>
  <c r="F224" i="24"/>
  <c r="F244" i="24"/>
  <c r="F272" i="24"/>
  <c r="F248" i="24"/>
  <c r="A290" i="3"/>
  <c r="A123" i="30" s="1"/>
  <c r="J2783" i="44"/>
  <c r="E246" i="24"/>
  <c r="E262" i="24"/>
  <c r="E222" i="24"/>
  <c r="E230" i="24"/>
  <c r="B1952" i="44"/>
  <c r="D1952" i="44" s="1"/>
  <c r="C250" i="24"/>
  <c r="C252" i="24"/>
  <c r="C254" i="24"/>
  <c r="C256" i="24"/>
  <c r="C258" i="24"/>
  <c r="C260" i="24"/>
  <c r="C262" i="24"/>
  <c r="C264" i="24"/>
  <c r="C266" i="24"/>
  <c r="C268" i="24"/>
  <c r="C270" i="24"/>
  <c r="C272" i="24"/>
  <c r="G898" i="3"/>
  <c r="H224" i="24" s="1"/>
  <c r="G902" i="3"/>
  <c r="H228" i="24" s="1"/>
  <c r="G906" i="3"/>
  <c r="H232" i="24" s="1"/>
  <c r="G912" i="3"/>
  <c r="H238" i="24" s="1"/>
  <c r="G916" i="3"/>
  <c r="H242" i="24" s="1"/>
  <c r="G920" i="3"/>
  <c r="F204" i="32"/>
  <c r="D226" i="24"/>
  <c r="E180" i="32"/>
  <c r="D254" i="24"/>
  <c r="E208" i="32"/>
  <c r="A246" i="3"/>
  <c r="A79" i="30" s="1"/>
  <c r="A264" i="3"/>
  <c r="A97" i="30" s="1"/>
  <c r="H842" i="3"/>
  <c r="E116" i="25" s="1"/>
  <c r="J195" i="24"/>
  <c r="J131" i="32"/>
  <c r="J193" i="24"/>
  <c r="J129" i="32"/>
  <c r="J191" i="24"/>
  <c r="J127" i="32"/>
  <c r="I196" i="24"/>
  <c r="I132" i="32"/>
  <c r="I194" i="24"/>
  <c r="I130" i="32"/>
  <c r="I192" i="24"/>
  <c r="I128" i="32"/>
  <c r="I190" i="24"/>
  <c r="I126" i="32"/>
  <c r="H195" i="24"/>
  <c r="H131" i="32"/>
  <c r="H193" i="24"/>
  <c r="H129" i="32"/>
  <c r="H191" i="24"/>
  <c r="H127" i="32"/>
  <c r="G196" i="24"/>
  <c r="G132" i="32"/>
  <c r="G194" i="24"/>
  <c r="G130" i="32"/>
  <c r="G192" i="24"/>
  <c r="G128" i="32"/>
  <c r="G190" i="24"/>
  <c r="G126" i="32"/>
  <c r="F195" i="24"/>
  <c r="F131" i="32"/>
  <c r="F193" i="24"/>
  <c r="F129" i="32"/>
  <c r="F191" i="24"/>
  <c r="F127" i="32"/>
  <c r="E196" i="24"/>
  <c r="E132" i="32"/>
  <c r="E194" i="24"/>
  <c r="E130" i="32"/>
  <c r="E192" i="24"/>
  <c r="E128" i="32"/>
  <c r="E190" i="24"/>
  <c r="E126" i="32"/>
  <c r="J196" i="24"/>
  <c r="J132" i="32"/>
  <c r="J194" i="24"/>
  <c r="J130" i="32"/>
  <c r="J192" i="24"/>
  <c r="J128" i="32"/>
  <c r="J190" i="24"/>
  <c r="J126" i="32"/>
  <c r="I195" i="24"/>
  <c r="I131" i="32"/>
  <c r="I193" i="24"/>
  <c r="I129" i="32"/>
  <c r="I191" i="24"/>
  <c r="I127" i="32"/>
  <c r="H196" i="24"/>
  <c r="H132" i="32"/>
  <c r="H194" i="24"/>
  <c r="H130" i="32"/>
  <c r="H192" i="24"/>
  <c r="H128" i="32"/>
  <c r="H190" i="24"/>
  <c r="H126" i="32"/>
  <c r="G195" i="24"/>
  <c r="G131" i="32"/>
  <c r="G193" i="24"/>
  <c r="G129" i="32"/>
  <c r="G191" i="24"/>
  <c r="G127" i="32"/>
  <c r="F196" i="24"/>
  <c r="F132" i="32"/>
  <c r="F194" i="24"/>
  <c r="F130" i="32"/>
  <c r="F192" i="24"/>
  <c r="F128" i="32"/>
  <c r="F190" i="24"/>
  <c r="F126" i="32"/>
  <c r="E195" i="24"/>
  <c r="E131" i="32"/>
  <c r="E193" i="24"/>
  <c r="E129" i="32"/>
  <c r="E191" i="24"/>
  <c r="E127" i="32"/>
  <c r="J122" i="24"/>
  <c r="F302" i="3"/>
  <c r="I18" i="25" s="1"/>
  <c r="H709" i="3"/>
  <c r="H6" i="34" s="1"/>
  <c r="B3198" i="44"/>
  <c r="F3198" i="44" s="1"/>
  <c r="B3307" i="44"/>
  <c r="F3307" i="44" s="1"/>
  <c r="B3301" i="44"/>
  <c r="F3301" i="44" s="1"/>
  <c r="H735" i="3"/>
  <c r="E3194" i="44" s="1"/>
  <c r="A3194" i="44" s="1"/>
  <c r="D122" i="24"/>
  <c r="A44" i="34"/>
  <c r="B135" i="3"/>
  <c r="B881" i="3"/>
  <c r="B884" i="3" s="1"/>
  <c r="D82" i="24" s="1"/>
  <c r="A194" i="3"/>
  <c r="A28" i="30" s="1"/>
  <c r="H742" i="3"/>
  <c r="H39" i="34" s="1"/>
  <c r="B3188" i="44"/>
  <c r="F3188" i="44" s="1"/>
  <c r="I786" i="3"/>
  <c r="E3344" i="44" s="1"/>
  <c r="A3344" i="44" s="1"/>
  <c r="B3297" i="44"/>
  <c r="F3297" i="44" s="1"/>
  <c r="B3221" i="44"/>
  <c r="F3221" i="44" s="1"/>
  <c r="H723" i="3"/>
  <c r="H20" i="34" s="1"/>
  <c r="B3251" i="44"/>
  <c r="F3251" i="44" s="1"/>
  <c r="D94" i="24"/>
  <c r="B3197" i="44"/>
  <c r="F3197" i="44" s="1"/>
  <c r="G142" i="24"/>
  <c r="A33" i="34"/>
  <c r="B3195" i="44"/>
  <c r="F3195" i="44" s="1"/>
  <c r="B3305" i="44"/>
  <c r="F3305" i="44" s="1"/>
  <c r="B3202" i="44"/>
  <c r="F3202" i="44" s="1"/>
  <c r="A65" i="34"/>
  <c r="A228" i="3"/>
  <c r="A61" i="30" s="1"/>
  <c r="A263" i="3"/>
  <c r="A96" i="30" s="1"/>
  <c r="H738" i="3"/>
  <c r="H35" i="34" s="1"/>
  <c r="H741" i="3"/>
  <c r="H38" i="34" s="1"/>
  <c r="I784" i="3"/>
  <c r="E3342" i="44" s="1"/>
  <c r="A3342" i="44" s="1"/>
  <c r="H795" i="3"/>
  <c r="H92" i="34" s="1"/>
  <c r="H126" i="3"/>
  <c r="H129" i="3" s="1"/>
  <c r="F179" i="32"/>
  <c r="G915" i="3"/>
  <c r="F163" i="32"/>
  <c r="E225" i="24"/>
  <c r="F269" i="24"/>
  <c r="G207" i="32"/>
  <c r="G943" i="3"/>
  <c r="H269" i="24" s="1"/>
  <c r="G199" i="32"/>
  <c r="G935" i="3"/>
  <c r="H261" i="24" s="1"/>
  <c r="G195" i="32"/>
  <c r="F257" i="24"/>
  <c r="F253" i="24"/>
  <c r="G927" i="3"/>
  <c r="H253" i="24" s="1"/>
  <c r="B249" i="24"/>
  <c r="B247" i="24"/>
  <c r="B179" i="32"/>
  <c r="B177" i="32"/>
  <c r="B239" i="24"/>
  <c r="B231" i="24"/>
  <c r="B169" i="32"/>
  <c r="B229" i="24"/>
  <c r="I773" i="3"/>
  <c r="I70" i="34" s="1"/>
  <c r="A102" i="34"/>
  <c r="A61" i="34"/>
  <c r="A78" i="34"/>
  <c r="B247" i="3"/>
  <c r="D283" i="3"/>
  <c r="D116" i="30" s="1"/>
  <c r="H791" i="3"/>
  <c r="I793" i="3"/>
  <c r="I90" i="34" s="1"/>
  <c r="B3347" i="44"/>
  <c r="F3347" i="44" s="1"/>
  <c r="A70" i="34"/>
  <c r="E241" i="24"/>
  <c r="F261" i="24"/>
  <c r="B173" i="32"/>
  <c r="B241" i="24"/>
  <c r="B243" i="24"/>
  <c r="B245" i="24"/>
  <c r="B201" i="32"/>
  <c r="A10" i="34"/>
  <c r="B3172" i="44"/>
  <c r="F3172" i="44" s="1"/>
  <c r="D264" i="24"/>
  <c r="E202" i="32"/>
  <c r="D232" i="24"/>
  <c r="E170" i="32"/>
  <c r="G934" i="3"/>
  <c r="H260" i="24" s="1"/>
  <c r="E260" i="24"/>
  <c r="D120" i="32"/>
  <c r="D64" i="24"/>
  <c r="B422" i="3"/>
  <c r="D177" i="24" s="1"/>
  <c r="B175" i="3"/>
  <c r="B6" i="30"/>
  <c r="F237" i="24"/>
  <c r="G175" i="32"/>
  <c r="G167" i="32"/>
  <c r="F229" i="24"/>
  <c r="G155" i="32"/>
  <c r="F217" i="24"/>
  <c r="B211" i="32"/>
  <c r="B209" i="32"/>
  <c r="B271" i="24"/>
  <c r="B197" i="32"/>
  <c r="B257" i="24"/>
  <c r="B161" i="32"/>
  <c r="B159" i="32"/>
  <c r="B266" i="3"/>
  <c r="A66" i="34"/>
  <c r="A94" i="34"/>
  <c r="B3236" i="44"/>
  <c r="F3236" i="44" s="1"/>
  <c r="G891" i="3"/>
  <c r="G931" i="3"/>
  <c r="H257" i="24" s="1"/>
  <c r="B199" i="32"/>
  <c r="B265" i="24"/>
  <c r="B267" i="24"/>
  <c r="G183" i="32"/>
  <c r="B231" i="3"/>
  <c r="A12" i="34"/>
  <c r="B3322" i="44"/>
  <c r="F3322" i="44" s="1"/>
  <c r="F122" i="24"/>
  <c r="B3240" i="44"/>
  <c r="F3240" i="44" s="1"/>
  <c r="D195" i="3"/>
  <c r="D29" i="30" s="1"/>
  <c r="B195" i="3"/>
  <c r="I64" i="24" s="1"/>
  <c r="B274" i="3"/>
  <c r="D292" i="3"/>
  <c r="K289" i="3" s="1"/>
  <c r="H127" i="30" s="1"/>
  <c r="B423" i="3"/>
  <c r="D178" i="24" s="1"/>
  <c r="D211" i="3"/>
  <c r="D45" i="30" s="1"/>
  <c r="I780" i="3"/>
  <c r="E3338" i="44" s="1"/>
  <c r="A3338" i="44" s="1"/>
  <c r="B211" i="3"/>
  <c r="B3252" i="44"/>
  <c r="F3252" i="44" s="1"/>
  <c r="A8" i="34"/>
  <c r="C193" i="5"/>
  <c r="A86" i="34"/>
  <c r="A74" i="34"/>
  <c r="B3232" i="44"/>
  <c r="F3232" i="44" s="1"/>
  <c r="D65" i="24"/>
  <c r="A98" i="34"/>
  <c r="G923" i="3"/>
  <c r="H249" i="24" s="1"/>
  <c r="F233" i="24"/>
  <c r="F273" i="24"/>
  <c r="B233" i="24"/>
  <c r="B175" i="32"/>
  <c r="B195" i="32"/>
  <c r="B259" i="24"/>
  <c r="B261" i="24"/>
  <c r="B3306" i="44"/>
  <c r="F3306" i="44" s="1"/>
  <c r="A45" i="34"/>
  <c r="B3337" i="44"/>
  <c r="F3337" i="44" s="1"/>
  <c r="A76" i="34"/>
  <c r="F165" i="32"/>
  <c r="G901" i="3"/>
  <c r="F267" i="24"/>
  <c r="G941" i="3"/>
  <c r="H267" i="24" s="1"/>
  <c r="G193" i="32"/>
  <c r="G929" i="3"/>
  <c r="B270" i="24"/>
  <c r="B208" i="32"/>
  <c r="B268" i="24"/>
  <c r="B206" i="32"/>
  <c r="B179" i="3"/>
  <c r="B283" i="3"/>
  <c r="A43" i="34"/>
  <c r="H806" i="3"/>
  <c r="H103" i="34" s="1"/>
  <c r="B3260" i="44"/>
  <c r="F3260" i="44" s="1"/>
  <c r="G907" i="3"/>
  <c r="G947" i="3"/>
  <c r="H273" i="24" s="1"/>
  <c r="F241" i="24"/>
  <c r="B163" i="32"/>
  <c r="B165" i="32"/>
  <c r="B167" i="32"/>
  <c r="B191" i="32"/>
  <c r="B255" i="24"/>
  <c r="B207" i="32"/>
  <c r="E156" i="32"/>
  <c r="D218" i="24"/>
  <c r="F208" i="32"/>
  <c r="E270" i="24"/>
  <c r="E258" i="24"/>
  <c r="G932" i="3"/>
  <c r="I748" i="3"/>
  <c r="I45" i="34" s="1"/>
  <c r="H753" i="3"/>
  <c r="H50" i="34" s="1"/>
  <c r="I759" i="3"/>
  <c r="E3317" i="44" s="1"/>
  <c r="A3317" i="44" s="1"/>
  <c r="H788" i="3"/>
  <c r="H85" i="34" s="1"/>
  <c r="H122" i="24"/>
  <c r="B3177" i="44"/>
  <c r="F3177" i="44" s="1"/>
  <c r="B3296" i="44"/>
  <c r="F3296" i="44" s="1"/>
  <c r="A96" i="34"/>
  <c r="B3323" i="44"/>
  <c r="F3323" i="44" s="1"/>
  <c r="B273" i="24"/>
  <c r="F202" i="32"/>
  <c r="E166" i="32"/>
  <c r="A62" i="34"/>
  <c r="H710" i="3"/>
  <c r="B7" i="34"/>
  <c r="D104" i="24"/>
  <c r="B339" i="3"/>
  <c r="B370" i="3"/>
  <c r="B3268" i="44"/>
  <c r="F3268" i="44" s="1"/>
  <c r="A7" i="34"/>
  <c r="B3212" i="44"/>
  <c r="F3212" i="44" s="1"/>
  <c r="B3311" i="44"/>
  <c r="F3311" i="44" s="1"/>
  <c r="B79" i="34"/>
  <c r="H782" i="3"/>
  <c r="E3241" i="44" s="1"/>
  <c r="A3241" i="44" s="1"/>
  <c r="H766" i="3"/>
  <c r="E3225" i="44" s="1"/>
  <c r="A3225" i="44" s="1"/>
  <c r="I757" i="3"/>
  <c r="I54" i="34" s="1"/>
  <c r="I783" i="3"/>
  <c r="A58" i="34"/>
  <c r="H713" i="3"/>
  <c r="H10" i="34" s="1"/>
  <c r="A80" i="34"/>
  <c r="G159" i="32"/>
  <c r="E182" i="32"/>
  <c r="E198" i="32"/>
  <c r="B3216" i="44"/>
  <c r="F3216" i="44" s="1"/>
  <c r="B3181" i="44"/>
  <c r="F3181" i="44" s="1"/>
  <c r="I761" i="3"/>
  <c r="E3319" i="44" s="1"/>
  <c r="A3319" i="44" s="1"/>
  <c r="B3329" i="44"/>
  <c r="F3329" i="44" s="1"/>
  <c r="B3319" i="44"/>
  <c r="F3319" i="44" s="1"/>
  <c r="B3250" i="44"/>
  <c r="F3250" i="44" s="1"/>
  <c r="H733" i="3"/>
  <c r="E3192" i="44" s="1"/>
  <c r="A3192" i="44" s="1"/>
  <c r="H748" i="3"/>
  <c r="E3207" i="44" s="1"/>
  <c r="A3207" i="44" s="1"/>
  <c r="B3234" i="44"/>
  <c r="F3234" i="44" s="1"/>
  <c r="A42" i="34"/>
  <c r="E248" i="24"/>
  <c r="I794" i="3"/>
  <c r="I91" i="34" s="1"/>
  <c r="B3341" i="44"/>
  <c r="F3341" i="44" s="1"/>
  <c r="A50" i="34"/>
  <c r="E217" i="24"/>
  <c r="D216" i="24"/>
  <c r="G899" i="3"/>
  <c r="H225" i="24" s="1"/>
  <c r="E233" i="24"/>
  <c r="F225" i="24"/>
  <c r="F265" i="24"/>
  <c r="B3357" i="44"/>
  <c r="F3357" i="44" s="1"/>
  <c r="B157" i="32"/>
  <c r="B221" i="24"/>
  <c r="B171" i="32"/>
  <c r="B237" i="24"/>
  <c r="B187" i="32"/>
  <c r="B253" i="24"/>
  <c r="B203" i="32"/>
  <c r="B269" i="24"/>
  <c r="G191" i="32"/>
  <c r="F186" i="32"/>
  <c r="F198" i="32"/>
  <c r="E162" i="32"/>
  <c r="E178" i="32"/>
  <c r="E194" i="32"/>
  <c r="E210" i="32"/>
  <c r="E68" i="34"/>
  <c r="I771" i="3"/>
  <c r="E3329" i="44" s="1"/>
  <c r="A3329" i="44" s="1"/>
  <c r="B3345" i="44"/>
  <c r="F3345" i="44" s="1"/>
  <c r="A84" i="34"/>
  <c r="A54" i="34"/>
  <c r="B3280" i="44"/>
  <c r="F3280" i="44" s="1"/>
  <c r="I749" i="3"/>
  <c r="B3284" i="44"/>
  <c r="F3284" i="44" s="1"/>
  <c r="B3230" i="44"/>
  <c r="F3230" i="44" s="1"/>
  <c r="A88" i="34"/>
  <c r="D140" i="24"/>
  <c r="B3173" i="44"/>
  <c r="F3173" i="44" s="1"/>
  <c r="B3333" i="44"/>
  <c r="F3333" i="44" s="1"/>
  <c r="B3204" i="44"/>
  <c r="F3204" i="44" s="1"/>
  <c r="B3246" i="44"/>
  <c r="F3246" i="44" s="1"/>
  <c r="F194" i="32"/>
  <c r="F210" i="32"/>
  <c r="E174" i="32"/>
  <c r="E190" i="32"/>
  <c r="E206" i="32"/>
  <c r="C16" i="34"/>
  <c r="H719" i="3"/>
  <c r="E3178" i="44" s="1"/>
  <c r="A3178" i="44" s="1"/>
  <c r="H724" i="3"/>
  <c r="E3183" i="44" s="1"/>
  <c r="A3183" i="44" s="1"/>
  <c r="C32" i="34"/>
  <c r="F45" i="34"/>
  <c r="B3325" i="44"/>
  <c r="F3325" i="44" s="1"/>
  <c r="A64" i="34"/>
  <c r="B3361" i="44"/>
  <c r="F3361" i="44" s="1"/>
  <c r="A100" i="34"/>
  <c r="E158" i="32"/>
  <c r="D220" i="24"/>
  <c r="G942" i="3"/>
  <c r="E268" i="24"/>
  <c r="G926" i="3"/>
  <c r="H252" i="24" s="1"/>
  <c r="E252" i="24"/>
  <c r="F183" i="32"/>
  <c r="E245" i="24"/>
  <c r="F175" i="32"/>
  <c r="E237" i="24"/>
  <c r="F167" i="32"/>
  <c r="E229" i="24"/>
  <c r="F159" i="32"/>
  <c r="E221" i="24"/>
  <c r="B217" i="24"/>
  <c r="B424" i="3"/>
  <c r="D179" i="24" s="1"/>
  <c r="B113" i="30"/>
  <c r="B427" i="3"/>
  <c r="D183" i="24" s="1"/>
  <c r="H744" i="3"/>
  <c r="E3203" i="44" s="1"/>
  <c r="A3203" i="44" s="1"/>
  <c r="H790" i="3"/>
  <c r="I803" i="3"/>
  <c r="I100" i="34" s="1"/>
  <c r="C143" i="24"/>
  <c r="I802" i="3"/>
  <c r="I99" i="34" s="1"/>
  <c r="B126" i="3"/>
  <c r="E123" i="3"/>
  <c r="B381" i="3" s="1"/>
  <c r="C283" i="3"/>
  <c r="C116" i="30" s="1"/>
  <c r="I795" i="3"/>
  <c r="E3353" i="44" s="1"/>
  <c r="A3353" i="44" s="1"/>
  <c r="A57" i="34"/>
  <c r="B3215" i="44"/>
  <c r="F3215" i="44" s="1"/>
  <c r="B3267" i="44"/>
  <c r="F3267" i="44" s="1"/>
  <c r="I770" i="3"/>
  <c r="B3291" i="44"/>
  <c r="F3291" i="44" s="1"/>
  <c r="H783" i="3"/>
  <c r="H80" i="34" s="1"/>
  <c r="A81" i="34"/>
  <c r="A77" i="34"/>
  <c r="H769" i="3"/>
  <c r="E3228" i="44" s="1"/>
  <c r="A3228" i="44" s="1"/>
  <c r="H763" i="3"/>
  <c r="I797" i="3"/>
  <c r="I768" i="3"/>
  <c r="E3326" i="44" s="1"/>
  <c r="A3326" i="44" s="1"/>
  <c r="B3330" i="44"/>
  <c r="F3330" i="44" s="1"/>
  <c r="I765" i="3"/>
  <c r="I62" i="34" s="1"/>
  <c r="H761" i="3"/>
  <c r="H58" i="34" s="1"/>
  <c r="I739" i="3"/>
  <c r="I805" i="3"/>
  <c r="E3363" i="44" s="1"/>
  <c r="A3363" i="44" s="1"/>
  <c r="C85" i="34"/>
  <c r="I781" i="3"/>
  <c r="I78" i="34" s="1"/>
  <c r="H743" i="3"/>
  <c r="E3202" i="44" s="1"/>
  <c r="A3202" i="44" s="1"/>
  <c r="A14" i="34"/>
  <c r="A67" i="34"/>
  <c r="B3194" i="44"/>
  <c r="F3194" i="44" s="1"/>
  <c r="B3261" i="44"/>
  <c r="F3261" i="44" s="1"/>
  <c r="B3350" i="44"/>
  <c r="F3350" i="44" s="1"/>
  <c r="B3209" i="44"/>
  <c r="F3209" i="44" s="1"/>
  <c r="I738" i="3"/>
  <c r="E3296" i="44" s="1"/>
  <c r="A3296" i="44" s="1"/>
  <c r="B3279" i="44"/>
  <c r="F3279" i="44" s="1"/>
  <c r="I806" i="3"/>
  <c r="A49" i="34"/>
  <c r="I785" i="3"/>
  <c r="E3343" i="44" s="1"/>
  <c r="A3343" i="44" s="1"/>
  <c r="H794" i="3"/>
  <c r="E3253" i="44" s="1"/>
  <c r="A3253" i="44" s="1"/>
  <c r="I787" i="3"/>
  <c r="H800" i="3"/>
  <c r="H97" i="34" s="1"/>
  <c r="B3312" i="44"/>
  <c r="F3312" i="44" s="1"/>
  <c r="C179" i="3"/>
  <c r="C13" i="30" s="1"/>
  <c r="A193" i="3"/>
  <c r="A27" i="30" s="1"/>
  <c r="A360" i="5"/>
  <c r="A210" i="3"/>
  <c r="A44" i="30" s="1"/>
  <c r="A375" i="5"/>
  <c r="A230" i="3"/>
  <c r="A63" i="30" s="1"/>
  <c r="A393" i="5"/>
  <c r="A271" i="3"/>
  <c r="A104" i="30" s="1"/>
  <c r="A428" i="5"/>
  <c r="A809" i="5"/>
  <c r="A811" i="5"/>
  <c r="B3219" i="44"/>
  <c r="F3219" i="44" s="1"/>
  <c r="B3295" i="44"/>
  <c r="F3295" i="44" s="1"/>
  <c r="A24" i="34"/>
  <c r="B21" i="34"/>
  <c r="C266" i="3"/>
  <c r="C99" i="30" s="1"/>
  <c r="A6" i="34"/>
  <c r="C211" i="3"/>
  <c r="C45" i="30" s="1"/>
  <c r="M807" i="3"/>
  <c r="M104" i="34" s="1"/>
  <c r="H803" i="3"/>
  <c r="H100" i="34" s="1"/>
  <c r="I789" i="3"/>
  <c r="I86" i="34" s="1"/>
  <c r="H759" i="3"/>
  <c r="C807" i="3"/>
  <c r="I1576" i="44" s="1"/>
  <c r="H784" i="3"/>
  <c r="E3243" i="44" s="1"/>
  <c r="A3243" i="44" s="1"/>
  <c r="I745" i="3"/>
  <c r="H739" i="3"/>
  <c r="C6" i="34"/>
  <c r="H798" i="3"/>
  <c r="H750" i="3"/>
  <c r="E3209" i="44" s="1"/>
  <c r="A3209" i="44" s="1"/>
  <c r="C766" i="5"/>
  <c r="H793" i="3"/>
  <c r="B3243" i="44"/>
  <c r="F3243" i="44" s="1"/>
  <c r="B3338" i="44"/>
  <c r="F3338" i="44" s="1"/>
  <c r="H786" i="3"/>
  <c r="H83" i="34" s="1"/>
  <c r="I774" i="3"/>
  <c r="I737" i="3"/>
  <c r="I777" i="3"/>
  <c r="I74" i="34" s="1"/>
  <c r="B3231" i="44"/>
  <c r="F3231" i="44" s="1"/>
  <c r="B3281" i="44"/>
  <c r="F3281" i="44" s="1"/>
  <c r="I796" i="3"/>
  <c r="B3320" i="44"/>
  <c r="F3320" i="44" s="1"/>
  <c r="I710" i="3"/>
  <c r="I7" i="34" s="1"/>
  <c r="A75" i="34"/>
  <c r="B38" i="34"/>
  <c r="B3170" i="44"/>
  <c r="F3170" i="44" s="1"/>
  <c r="H716" i="3"/>
  <c r="A71" i="34"/>
  <c r="B3229" i="44"/>
  <c r="F3229" i="44" s="1"/>
  <c r="B3186" i="44"/>
  <c r="F3186" i="44" s="1"/>
  <c r="A99" i="34"/>
  <c r="B3255" i="44"/>
  <c r="F3255" i="44" s="1"/>
  <c r="H718" i="3"/>
  <c r="H15" i="34" s="1"/>
  <c r="I767" i="3"/>
  <c r="E3325" i="44" s="1"/>
  <c r="A3325" i="44" s="1"/>
  <c r="A47" i="34"/>
  <c r="B3205" i="44"/>
  <c r="F3205" i="44" s="1"/>
  <c r="B3300" i="44"/>
  <c r="F3300" i="44" s="1"/>
  <c r="H731" i="3"/>
  <c r="E3190" i="44" s="1"/>
  <c r="A3190" i="44" s="1"/>
  <c r="H730" i="3"/>
  <c r="I728" i="3"/>
  <c r="I25" i="34" s="1"/>
  <c r="I721" i="3"/>
  <c r="E3279" i="44" s="1"/>
  <c r="A3279" i="44" s="1"/>
  <c r="B3180" i="44"/>
  <c r="F3180" i="44" s="1"/>
  <c r="I716" i="3"/>
  <c r="H778" i="3"/>
  <c r="H75" i="34" s="1"/>
  <c r="A63" i="34"/>
  <c r="A101" i="34"/>
  <c r="B3271" i="44"/>
  <c r="F3271" i="44" s="1"/>
  <c r="H772" i="3"/>
  <c r="E3231" i="44" s="1"/>
  <c r="A3231" i="44" s="1"/>
  <c r="H760" i="3"/>
  <c r="H57" i="34" s="1"/>
  <c r="H715" i="3"/>
  <c r="B3310" i="44"/>
  <c r="F3310" i="44" s="1"/>
  <c r="H727" i="3"/>
  <c r="B3225" i="44"/>
  <c r="F3225" i="44" s="1"/>
  <c r="B3298" i="44"/>
  <c r="F3298" i="44" s="1"/>
  <c r="I772" i="3"/>
  <c r="E3330" i="44" s="1"/>
  <c r="A3330" i="44" s="1"/>
  <c r="B3259" i="44"/>
  <c r="F3259" i="44" s="1"/>
  <c r="A91" i="34"/>
  <c r="B3184" i="44"/>
  <c r="F3184" i="44" s="1"/>
  <c r="B3334" i="44"/>
  <c r="F3334" i="44" s="1"/>
  <c r="A51" i="34"/>
  <c r="B3263" i="44"/>
  <c r="F3263" i="44" s="1"/>
  <c r="B687" i="3"/>
  <c r="A209" i="3"/>
  <c r="A43" i="30" s="1"/>
  <c r="A374" i="5"/>
  <c r="A229" i="3"/>
  <c r="A62" i="30" s="1"/>
  <c r="A392" i="5"/>
  <c r="A244" i="3"/>
  <c r="A77" i="30" s="1"/>
  <c r="A405" i="5"/>
  <c r="A272" i="3"/>
  <c r="A105" i="30" s="1"/>
  <c r="A429" i="5"/>
  <c r="A810" i="5"/>
  <c r="B42" i="6"/>
  <c r="G888" i="3"/>
  <c r="I152" i="32" s="1"/>
  <c r="B1190" i="5"/>
  <c r="A1086" i="5"/>
  <c r="A1088" i="5"/>
  <c r="B1088" i="5" s="1"/>
  <c r="F1088" i="5" s="1"/>
  <c r="A1090" i="5"/>
  <c r="B1090" i="5" s="1"/>
  <c r="M1090" i="5" s="1"/>
  <c r="A1092" i="5"/>
  <c r="B1092" i="5" s="1"/>
  <c r="K1092" i="5" s="1"/>
  <c r="A1094" i="5"/>
  <c r="B1094" i="5" s="1"/>
  <c r="P1094" i="5" s="1"/>
  <c r="A1096" i="5"/>
  <c r="B1096" i="5" s="1"/>
  <c r="F1096" i="5" s="1"/>
  <c r="A1098" i="5"/>
  <c r="B1098" i="5" s="1"/>
  <c r="R1098" i="5" s="1"/>
  <c r="A1100" i="5"/>
  <c r="B1100" i="5" s="1"/>
  <c r="J1100" i="5" s="1"/>
  <c r="A1102" i="5"/>
  <c r="B1102" i="5" s="1"/>
  <c r="R1102" i="5" s="1"/>
  <c r="A1104" i="5"/>
  <c r="B1104" i="5" s="1"/>
  <c r="N1104" i="5" s="1"/>
  <c r="A1106" i="5"/>
  <c r="B1106" i="5" s="1"/>
  <c r="P1106" i="5" s="1"/>
  <c r="A1108" i="5"/>
  <c r="B1108" i="5" s="1"/>
  <c r="M1108" i="5" s="1"/>
  <c r="A1110" i="5"/>
  <c r="B1110" i="5" s="1"/>
  <c r="O1110" i="5" s="1"/>
  <c r="A1112" i="5"/>
  <c r="B1112" i="5" s="1"/>
  <c r="P1112" i="5" s="1"/>
  <c r="A1114" i="5"/>
  <c r="B1114" i="5" s="1"/>
  <c r="N1114" i="5" s="1"/>
  <c r="A1116" i="5"/>
  <c r="B1116" i="5" s="1"/>
  <c r="H1116" i="5" s="1"/>
  <c r="A1118" i="5"/>
  <c r="B1118" i="5" s="1"/>
  <c r="Q1118" i="5" s="1"/>
  <c r="A1120" i="5"/>
  <c r="B1120" i="5" s="1"/>
  <c r="I1120" i="5" s="1"/>
  <c r="A1122" i="5"/>
  <c r="B1122" i="5" s="1"/>
  <c r="R1122" i="5" s="1"/>
  <c r="A1124" i="5"/>
  <c r="B1124" i="5" s="1"/>
  <c r="H1124" i="5" s="1"/>
  <c r="A1126" i="5"/>
  <c r="B1126" i="5" s="1"/>
  <c r="G1126" i="5" s="1"/>
  <c r="A1128" i="5"/>
  <c r="B1128" i="5" s="1"/>
  <c r="L1128" i="5" s="1"/>
  <c r="A1130" i="5"/>
  <c r="B1130" i="5" s="1"/>
  <c r="L1130" i="5" s="1"/>
  <c r="A1132" i="5"/>
  <c r="B1132" i="5" s="1"/>
  <c r="P1132" i="5" s="1"/>
  <c r="A1134" i="5"/>
  <c r="B1134" i="5" s="1"/>
  <c r="S1134" i="5" s="1"/>
  <c r="A1136" i="5"/>
  <c r="B1136" i="5" s="1"/>
  <c r="M1136" i="5" s="1"/>
  <c r="A1138" i="5"/>
  <c r="B1138" i="5" s="1"/>
  <c r="Q1138" i="5" s="1"/>
  <c r="A1140" i="5"/>
  <c r="B1140" i="5" s="1"/>
  <c r="M1140" i="5" s="1"/>
  <c r="A1142" i="5"/>
  <c r="B1142" i="5" s="1"/>
  <c r="K1142" i="5" s="1"/>
  <c r="A1144" i="5"/>
  <c r="B1144" i="5" s="1"/>
  <c r="G1144" i="5" s="1"/>
  <c r="A1146" i="5"/>
  <c r="B1146" i="5" s="1"/>
  <c r="G1146" i="5" s="1"/>
  <c r="A1148" i="5"/>
  <c r="B1148" i="5" s="1"/>
  <c r="O1148" i="5" s="1"/>
  <c r="A1150" i="5"/>
  <c r="B1150" i="5" s="1"/>
  <c r="Q1150" i="5" s="1"/>
  <c r="A1152" i="5"/>
  <c r="B1152" i="5" s="1"/>
  <c r="I1152" i="5" s="1"/>
  <c r="A1154" i="5"/>
  <c r="B1154" i="5" s="1"/>
  <c r="L1154" i="5" s="1"/>
  <c r="A1156" i="5"/>
  <c r="B1156" i="5" s="1"/>
  <c r="P1156" i="5" s="1"/>
  <c r="A1158" i="5"/>
  <c r="B1158" i="5" s="1"/>
  <c r="N1158" i="5" s="1"/>
  <c r="A1160" i="5"/>
  <c r="B1160" i="5" s="1"/>
  <c r="M1160" i="5" s="1"/>
  <c r="A1163" i="5"/>
  <c r="B1163" i="5" s="1"/>
  <c r="R1163" i="5" s="1"/>
  <c r="A1165" i="5"/>
  <c r="B1165" i="5" s="1"/>
  <c r="L1165" i="5" s="1"/>
  <c r="A1167" i="5"/>
  <c r="B1167" i="5" s="1"/>
  <c r="K1167" i="5" s="1"/>
  <c r="A1169" i="5"/>
  <c r="B1169" i="5" s="1"/>
  <c r="Q1169" i="5" s="1"/>
  <c r="A1171" i="5"/>
  <c r="B1171" i="5" s="1"/>
  <c r="M1171" i="5" s="1"/>
  <c r="A1173" i="5"/>
  <c r="B1173" i="5" s="1"/>
  <c r="M1173" i="5" s="1"/>
  <c r="A1175" i="5"/>
  <c r="B1175" i="5" s="1"/>
  <c r="S1175" i="5" s="1"/>
  <c r="A1177" i="5"/>
  <c r="B1177" i="5" s="1"/>
  <c r="O1177" i="5" s="1"/>
  <c r="A1179" i="5"/>
  <c r="B1179" i="5" s="1"/>
  <c r="T1179" i="5" s="1"/>
  <c r="A1181" i="5"/>
  <c r="B1181" i="5" s="1"/>
  <c r="H1181" i="5" s="1"/>
  <c r="A1182" i="5"/>
  <c r="B1182" i="5" s="1"/>
  <c r="S1182" i="5" s="1"/>
  <c r="H845" i="5"/>
  <c r="A845" i="5"/>
  <c r="H846" i="5"/>
  <c r="A846" i="5"/>
  <c r="G847" i="5"/>
  <c r="A847" i="5"/>
  <c r="D864" i="5"/>
  <c r="A864" i="5"/>
  <c r="D868" i="5"/>
  <c r="A868" i="5"/>
  <c r="D869" i="5"/>
  <c r="A869" i="5"/>
  <c r="A1087" i="5"/>
  <c r="B1087" i="5" s="1"/>
  <c r="I1087" i="5" s="1"/>
  <c r="A1089" i="5"/>
  <c r="B1089" i="5" s="1"/>
  <c r="P1089" i="5" s="1"/>
  <c r="A1091" i="5"/>
  <c r="B1091" i="5" s="1"/>
  <c r="N1091" i="5" s="1"/>
  <c r="A1093" i="5"/>
  <c r="B1093" i="5" s="1"/>
  <c r="I1093" i="5" s="1"/>
  <c r="A1095" i="5"/>
  <c r="B1095" i="5" s="1"/>
  <c r="J1095" i="5" s="1"/>
  <c r="A1097" i="5"/>
  <c r="B1097" i="5" s="1"/>
  <c r="G1097" i="5" s="1"/>
  <c r="A1099" i="5"/>
  <c r="B1099" i="5" s="1"/>
  <c r="J1099" i="5" s="1"/>
  <c r="A1101" i="5"/>
  <c r="B1101" i="5" s="1"/>
  <c r="Q1101" i="5" s="1"/>
  <c r="A1103" i="5"/>
  <c r="B1103" i="5" s="1"/>
  <c r="R1103" i="5" s="1"/>
  <c r="A1105" i="5"/>
  <c r="B1105" i="5" s="1"/>
  <c r="N1105" i="5" s="1"/>
  <c r="A1107" i="5"/>
  <c r="B1107" i="5" s="1"/>
  <c r="S1107" i="5" s="1"/>
  <c r="A1109" i="5"/>
  <c r="B1109" i="5" s="1"/>
  <c r="R1109" i="5" s="1"/>
  <c r="A1111" i="5"/>
  <c r="B1111" i="5" s="1"/>
  <c r="S1111" i="5" s="1"/>
  <c r="A1113" i="5"/>
  <c r="B1113" i="5" s="1"/>
  <c r="I1113" i="5" s="1"/>
  <c r="A1115" i="5"/>
  <c r="B1115" i="5" s="1"/>
  <c r="L1115" i="5" s="1"/>
  <c r="A1117" i="5"/>
  <c r="B1117" i="5" s="1"/>
  <c r="K1117" i="5" s="1"/>
  <c r="A1119" i="5"/>
  <c r="B1119" i="5" s="1"/>
  <c r="N1119" i="5" s="1"/>
  <c r="A1121" i="5"/>
  <c r="B1121" i="5" s="1"/>
  <c r="P1121" i="5" s="1"/>
  <c r="A1123" i="5"/>
  <c r="B1123" i="5" s="1"/>
  <c r="G1123" i="5" s="1"/>
  <c r="A1125" i="5"/>
  <c r="B1125" i="5" s="1"/>
  <c r="G1125" i="5" s="1"/>
  <c r="A1127" i="5"/>
  <c r="B1127" i="5" s="1"/>
  <c r="H1127" i="5" s="1"/>
  <c r="A1129" i="5"/>
  <c r="B1129" i="5" s="1"/>
  <c r="O1129" i="5" s="1"/>
  <c r="A1131" i="5"/>
  <c r="B1131" i="5" s="1"/>
  <c r="J1131" i="5" s="1"/>
  <c r="A1133" i="5"/>
  <c r="B1133" i="5" s="1"/>
  <c r="G1133" i="5" s="1"/>
  <c r="A1135" i="5"/>
  <c r="B1135" i="5" s="1"/>
  <c r="F1135" i="5" s="1"/>
  <c r="A1137" i="5"/>
  <c r="B1137" i="5" s="1"/>
  <c r="F1137" i="5" s="1"/>
  <c r="A1139" i="5"/>
  <c r="B1139" i="5" s="1"/>
  <c r="T1139" i="5" s="1"/>
  <c r="A1141" i="5"/>
  <c r="B1141" i="5" s="1"/>
  <c r="L1141" i="5" s="1"/>
  <c r="A1143" i="5"/>
  <c r="B1143" i="5" s="1"/>
  <c r="O1143" i="5" s="1"/>
  <c r="A1145" i="5"/>
  <c r="B1145" i="5" s="1"/>
  <c r="N1145" i="5" s="1"/>
  <c r="A1147" i="5"/>
  <c r="B1147" i="5" s="1"/>
  <c r="Q1147" i="5" s="1"/>
  <c r="A1149" i="5"/>
  <c r="B1149" i="5" s="1"/>
  <c r="I1149" i="5" s="1"/>
  <c r="A1151" i="5"/>
  <c r="B1151" i="5" s="1"/>
  <c r="T1151" i="5" s="1"/>
  <c r="A1153" i="5"/>
  <c r="B1153" i="5" s="1"/>
  <c r="N1153" i="5" s="1"/>
  <c r="A1155" i="5"/>
  <c r="B1155" i="5" s="1"/>
  <c r="T1155" i="5" s="1"/>
  <c r="A1157" i="5"/>
  <c r="B1157" i="5" s="1"/>
  <c r="O1157" i="5" s="1"/>
  <c r="A1159" i="5"/>
  <c r="B1159" i="5" s="1"/>
  <c r="S1159" i="5" s="1"/>
  <c r="A1161" i="5"/>
  <c r="B1161" i="5" s="1"/>
  <c r="R1161" i="5" s="1"/>
  <c r="A1162" i="5"/>
  <c r="B1162" i="5" s="1"/>
  <c r="N1162" i="5" s="1"/>
  <c r="A1164" i="5"/>
  <c r="B1164" i="5" s="1"/>
  <c r="P1164" i="5" s="1"/>
  <c r="A1166" i="5"/>
  <c r="B1166" i="5" s="1"/>
  <c r="T1166" i="5" s="1"/>
  <c r="A1168" i="5"/>
  <c r="B1168" i="5" s="1"/>
  <c r="G1168" i="5" s="1"/>
  <c r="A1170" i="5"/>
  <c r="B1170" i="5" s="1"/>
  <c r="P1170" i="5" s="1"/>
  <c r="A1172" i="5"/>
  <c r="B1172" i="5" s="1"/>
  <c r="H1172" i="5" s="1"/>
  <c r="A1174" i="5"/>
  <c r="B1174" i="5" s="1"/>
  <c r="J1174" i="5" s="1"/>
  <c r="A1176" i="5"/>
  <c r="B1176" i="5" s="1"/>
  <c r="S1176" i="5" s="1"/>
  <c r="A1178" i="5"/>
  <c r="B1178" i="5" s="1"/>
  <c r="S1178" i="5" s="1"/>
  <c r="A1180" i="5"/>
  <c r="B1180" i="5" s="1"/>
  <c r="P1180" i="5" s="1"/>
  <c r="A1183" i="5"/>
  <c r="B1183" i="5" s="1"/>
  <c r="T1183" i="5" s="1"/>
  <c r="H840" i="5"/>
  <c r="A840" i="5"/>
  <c r="I183" i="32"/>
  <c r="I720" i="3"/>
  <c r="B3176" i="44"/>
  <c r="F3176" i="44" s="1"/>
  <c r="B3273" i="44"/>
  <c r="F3273" i="44" s="1"/>
  <c r="H708" i="3"/>
  <c r="H5" i="34" s="1"/>
  <c r="A30" i="34"/>
  <c r="A26" i="34"/>
  <c r="H745" i="3"/>
  <c r="H722" i="3"/>
  <c r="H752" i="3"/>
  <c r="I726" i="3"/>
  <c r="I725" i="3"/>
  <c r="E3283" i="44" s="1"/>
  <c r="A3283" i="44" s="1"/>
  <c r="A20" i="34"/>
  <c r="I722" i="3"/>
  <c r="I718" i="3"/>
  <c r="I719" i="3"/>
  <c r="B3336" i="44"/>
  <c r="F3336" i="44" s="1"/>
  <c r="B3233" i="44"/>
  <c r="F3233" i="44" s="1"/>
  <c r="H751" i="3"/>
  <c r="E3210" i="44" s="1"/>
  <c r="A3210" i="44" s="1"/>
  <c r="A32" i="34"/>
  <c r="I142" i="24"/>
  <c r="I788" i="3"/>
  <c r="H775" i="3"/>
  <c r="E3234" i="44" s="1"/>
  <c r="A3234" i="44" s="1"/>
  <c r="H771" i="3"/>
  <c r="A39" i="34"/>
  <c r="I122" i="24"/>
  <c r="I790" i="3"/>
  <c r="B3249" i="44"/>
  <c r="F3249" i="44" s="1"/>
  <c r="H774" i="3"/>
  <c r="H780" i="3"/>
  <c r="H77" i="34" s="1"/>
  <c r="I799" i="3"/>
  <c r="I96" i="34" s="1"/>
  <c r="A16" i="34"/>
  <c r="C87" i="34"/>
  <c r="A37" i="34"/>
  <c r="H789" i="3"/>
  <c r="B3277" i="44"/>
  <c r="F3277" i="44" s="1"/>
  <c r="B3358" i="44"/>
  <c r="F3358" i="44" s="1"/>
  <c r="H721" i="3"/>
  <c r="I724" i="3"/>
  <c r="B3207" i="44"/>
  <c r="F3207" i="44" s="1"/>
  <c r="A87" i="34"/>
  <c r="B3253" i="44"/>
  <c r="F3253" i="44" s="1"/>
  <c r="B3196" i="44"/>
  <c r="F3196" i="44" s="1"/>
  <c r="H756" i="3"/>
  <c r="A22" i="34"/>
  <c r="B3235" i="44"/>
  <c r="F3235" i="44" s="1"/>
  <c r="B3346" i="44"/>
  <c r="F3346" i="44" s="1"/>
  <c r="A85" i="34"/>
  <c r="A192" i="3"/>
  <c r="A26" i="30" s="1"/>
  <c r="B695" i="3"/>
  <c r="E1508" i="44" s="1"/>
  <c r="A1508" i="44" s="1"/>
  <c r="G143" i="24"/>
  <c r="B112" i="30"/>
  <c r="E143" i="24"/>
  <c r="I143" i="24"/>
  <c r="E149" i="3"/>
  <c r="I175" i="32"/>
  <c r="B226" i="30"/>
  <c r="G144" i="24"/>
  <c r="C122" i="24"/>
  <c r="G122" i="24"/>
  <c r="H144" i="24"/>
  <c r="A208" i="3"/>
  <c r="A42" i="30" s="1"/>
  <c r="I144" i="24"/>
  <c r="G839" i="5"/>
  <c r="D261" i="44"/>
  <c r="D274" i="44"/>
  <c r="B124" i="30"/>
  <c r="B882" i="3"/>
  <c r="A265" i="3"/>
  <c r="A98" i="30" s="1"/>
  <c r="F300" i="3"/>
  <c r="I16" i="25" s="1"/>
  <c r="A289" i="3"/>
  <c r="A122" i="30" s="1"/>
  <c r="C140" i="24"/>
  <c r="E140" i="24"/>
  <c r="I713" i="3"/>
  <c r="E3271" i="44" s="1"/>
  <c r="A3271" i="44" s="1"/>
  <c r="I729" i="3"/>
  <c r="I732" i="3"/>
  <c r="I29" i="34" s="1"/>
  <c r="H740" i="3"/>
  <c r="E3199" i="44" s="1"/>
  <c r="A3199" i="44" s="1"/>
  <c r="I760" i="3"/>
  <c r="E3318" i="44" s="1"/>
  <c r="A3318" i="44" s="1"/>
  <c r="I763" i="3"/>
  <c r="E3321" i="44" s="1"/>
  <c r="A3321" i="44" s="1"/>
  <c r="H764" i="3"/>
  <c r="H787" i="3"/>
  <c r="H797" i="3"/>
  <c r="H799" i="3"/>
  <c r="H96" i="34" s="1"/>
  <c r="H383" i="3"/>
  <c r="E383" i="3"/>
  <c r="M383" i="3"/>
  <c r="G383" i="3"/>
  <c r="A273" i="3"/>
  <c r="A106" i="30" s="1"/>
  <c r="F17" i="25"/>
  <c r="F301" i="3"/>
  <c r="I17" i="25" s="1"/>
  <c r="D142" i="24"/>
  <c r="F6" i="34"/>
  <c r="I709" i="3"/>
  <c r="B8" i="34"/>
  <c r="H711" i="3"/>
  <c r="F8" i="34"/>
  <c r="I711" i="3"/>
  <c r="I8" i="34" s="1"/>
  <c r="B11" i="34"/>
  <c r="H714" i="3"/>
  <c r="F12" i="34"/>
  <c r="I715" i="3"/>
  <c r="C17" i="34"/>
  <c r="H720" i="3"/>
  <c r="B3187" i="44"/>
  <c r="F3187" i="44" s="1"/>
  <c r="A25" i="34"/>
  <c r="A31" i="34"/>
  <c r="B3292" i="44"/>
  <c r="F3292" i="44" s="1"/>
  <c r="E31" i="34"/>
  <c r="I734" i="3"/>
  <c r="H737" i="3"/>
  <c r="B34" i="34"/>
  <c r="B3299" i="44"/>
  <c r="F3299" i="44" s="1"/>
  <c r="A38" i="34"/>
  <c r="F40" i="34"/>
  <c r="I743" i="3"/>
  <c r="F49" i="34"/>
  <c r="I752" i="3"/>
  <c r="B3214" i="44"/>
  <c r="F3214" i="44" s="1"/>
  <c r="B3313" i="44"/>
  <c r="F3313" i="44" s="1"/>
  <c r="F55" i="34"/>
  <c r="I758" i="3"/>
  <c r="A56" i="34"/>
  <c r="B3218" i="44"/>
  <c r="F3218" i="44" s="1"/>
  <c r="S60" i="34"/>
  <c r="B62" i="34"/>
  <c r="H765" i="3"/>
  <c r="F63" i="34"/>
  <c r="I766" i="3"/>
  <c r="C64" i="34"/>
  <c r="H767" i="3"/>
  <c r="C65" i="34"/>
  <c r="H768" i="3"/>
  <c r="F66" i="34"/>
  <c r="I769" i="3"/>
  <c r="B67" i="34"/>
  <c r="H770" i="3"/>
  <c r="S74" i="34"/>
  <c r="A79" i="34"/>
  <c r="B3340" i="44"/>
  <c r="F3340" i="44" s="1"/>
  <c r="A82" i="34"/>
  <c r="B3343" i="44"/>
  <c r="F3343" i="44" s="1"/>
  <c r="C82" i="34"/>
  <c r="H785" i="3"/>
  <c r="A83" i="34"/>
  <c r="B3245" i="44"/>
  <c r="F3245" i="44" s="1"/>
  <c r="C89" i="34"/>
  <c r="H792" i="3"/>
  <c r="C93" i="34"/>
  <c r="H796" i="3"/>
  <c r="F95" i="34"/>
  <c r="I798" i="3"/>
  <c r="F98" i="34"/>
  <c r="I801" i="3"/>
  <c r="B99" i="34"/>
  <c r="H802" i="3"/>
  <c r="C50" i="30"/>
  <c r="C231" i="3"/>
  <c r="C64" i="30" s="1"/>
  <c r="E122" i="24"/>
  <c r="C14" i="34"/>
  <c r="H717" i="3"/>
  <c r="F20" i="34"/>
  <c r="I723" i="3"/>
  <c r="B3183" i="44"/>
  <c r="F3183" i="44" s="1"/>
  <c r="B3282" i="44"/>
  <c r="F3282" i="44" s="1"/>
  <c r="B26" i="34"/>
  <c r="H729" i="3"/>
  <c r="B3288" i="44"/>
  <c r="F3288" i="44" s="1"/>
  <c r="B3189" i="44"/>
  <c r="F3189" i="44" s="1"/>
  <c r="B3289" i="44"/>
  <c r="F3289" i="44" s="1"/>
  <c r="B3190" i="44"/>
  <c r="F3190" i="44" s="1"/>
  <c r="B29" i="34"/>
  <c r="H732" i="3"/>
  <c r="C31" i="34"/>
  <c r="H734" i="3"/>
  <c r="F32" i="34"/>
  <c r="I735" i="3"/>
  <c r="E3293" i="44" s="1"/>
  <c r="A3293" i="44" s="1"/>
  <c r="E37" i="34"/>
  <c r="I740" i="3"/>
  <c r="B3302" i="44"/>
  <c r="F3302" i="44" s="1"/>
  <c r="A41" i="34"/>
  <c r="E43" i="34"/>
  <c r="I746" i="3"/>
  <c r="B44" i="34"/>
  <c r="H747" i="3"/>
  <c r="C46" i="34"/>
  <c r="H749" i="3"/>
  <c r="B3217" i="44"/>
  <c r="F3217" i="44" s="1"/>
  <c r="B3316" i="44"/>
  <c r="F3316" i="44" s="1"/>
  <c r="S66" i="34"/>
  <c r="C73" i="34"/>
  <c r="H776" i="3"/>
  <c r="E73" i="34"/>
  <c r="I776" i="3"/>
  <c r="C76" i="34"/>
  <c r="H779" i="3"/>
  <c r="E76" i="34"/>
  <c r="I779" i="3"/>
  <c r="I76" i="34" s="1"/>
  <c r="B3254" i="44"/>
  <c r="F3254" i="44" s="1"/>
  <c r="A92" i="34"/>
  <c r="B3356" i="44"/>
  <c r="F3356" i="44" s="1"/>
  <c r="B3257" i="44"/>
  <c r="F3257" i="44" s="1"/>
  <c r="B98" i="34"/>
  <c r="H801" i="3"/>
  <c r="I192" i="32"/>
  <c r="I203" i="32"/>
  <c r="D807" i="3"/>
  <c r="I1577" i="44" s="1"/>
  <c r="H755" i="3"/>
  <c r="H746" i="3"/>
  <c r="B3286" i="44"/>
  <c r="F3286" i="44" s="1"/>
  <c r="B807" i="3"/>
  <c r="I1575" i="44" s="1"/>
  <c r="C292" i="3"/>
  <c r="H804" i="3"/>
  <c r="I800" i="3"/>
  <c r="H762" i="3"/>
  <c r="A55" i="34"/>
  <c r="H757" i="3"/>
  <c r="E10" i="34"/>
  <c r="C195" i="3"/>
  <c r="C29" i="30" s="1"/>
  <c r="I754" i="3"/>
  <c r="A21" i="34"/>
  <c r="H773" i="3"/>
  <c r="C84" i="34"/>
  <c r="H728" i="3"/>
  <c r="I736" i="3"/>
  <c r="H140" i="24"/>
  <c r="H805" i="3"/>
  <c r="I744" i="3"/>
  <c r="B3203" i="44"/>
  <c r="F3203" i="44" s="1"/>
  <c r="A95" i="34"/>
  <c r="B94" i="34"/>
  <c r="H726" i="3"/>
  <c r="I792" i="3"/>
  <c r="A27" i="34"/>
  <c r="H781" i="3"/>
  <c r="H736" i="3"/>
  <c r="B3193" i="44"/>
  <c r="F3193" i="44" s="1"/>
  <c r="I730" i="3"/>
  <c r="E3288" i="44" s="1"/>
  <c r="A3288" i="44" s="1"/>
  <c r="H725" i="3"/>
  <c r="B3317" i="44"/>
  <c r="F3317" i="44" s="1"/>
  <c r="H754" i="3"/>
  <c r="I762" i="3"/>
  <c r="H777" i="3"/>
  <c r="A52" i="34"/>
  <c r="B3200" i="44"/>
  <c r="F3200" i="44" s="1"/>
  <c r="I731" i="3"/>
  <c r="E3289" i="44" s="1"/>
  <c r="A3289" i="44" s="1"/>
  <c r="F140" i="24"/>
  <c r="E60" i="34"/>
  <c r="I764" i="3"/>
  <c r="B3210" i="44"/>
  <c r="F3210" i="44" s="1"/>
  <c r="B3309" i="44"/>
  <c r="F3309" i="44" s="1"/>
  <c r="I778" i="3"/>
  <c r="G140" i="24"/>
  <c r="I140" i="24"/>
  <c r="C142" i="24"/>
  <c r="E142" i="24"/>
  <c r="E807" i="3"/>
  <c r="I1578" i="44" s="1"/>
  <c r="I717" i="3"/>
  <c r="I755" i="3"/>
  <c r="D143" i="24"/>
  <c r="D182" i="24"/>
  <c r="G92" i="25"/>
  <c r="D936" i="44"/>
  <c r="B2562" i="44"/>
  <c r="B2563" i="44" s="1"/>
  <c r="B2564" i="44" s="1"/>
  <c r="B2848" i="44"/>
  <c r="B2849" i="44" s="1"/>
  <c r="D1028" i="44"/>
  <c r="B1073" i="44"/>
  <c r="D1074" i="44" s="1"/>
  <c r="B698" i="44"/>
  <c r="D476" i="44"/>
  <c r="D1855" i="44"/>
  <c r="D989" i="44"/>
  <c r="D949" i="44"/>
  <c r="D931" i="44"/>
  <c r="D937" i="44"/>
  <c r="D928" i="44"/>
  <c r="D932" i="44"/>
  <c r="D935" i="44"/>
  <c r="D930" i="44"/>
  <c r="D970" i="44"/>
  <c r="D929" i="44"/>
  <c r="D971" i="44"/>
  <c r="D944" i="44"/>
  <c r="B2017" i="44"/>
  <c r="B2018" i="44" s="1"/>
  <c r="D2018" i="44" s="1"/>
  <c r="D1024" i="44"/>
  <c r="D1032" i="44"/>
  <c r="D941" i="44"/>
  <c r="D943" i="44"/>
  <c r="D948" i="44"/>
  <c r="D940" i="44"/>
  <c r="D951" i="44"/>
  <c r="D925" i="44"/>
  <c r="J2911" i="44"/>
  <c r="D2975" i="44"/>
  <c r="D934" i="44"/>
  <c r="J2239" i="44"/>
  <c r="D2303" i="44"/>
  <c r="D2465" i="44"/>
  <c r="D1079" i="44"/>
  <c r="B2592" i="44"/>
  <c r="D2592" i="44" s="1"/>
  <c r="J2335" i="44"/>
  <c r="J2207" i="44"/>
  <c r="D2783" i="44"/>
  <c r="J2655" i="44"/>
  <c r="D2271" i="44"/>
  <c r="D1544" i="44"/>
  <c r="D1537" i="44"/>
  <c r="B3008" i="44"/>
  <c r="D3008" i="44" s="1"/>
  <c r="D757" i="44"/>
  <c r="J2879" i="44"/>
  <c r="D597" i="44"/>
  <c r="B599" i="44"/>
  <c r="B604" i="44" s="1"/>
  <c r="D606" i="44" s="1"/>
  <c r="D800" i="44"/>
  <c r="D801" i="44"/>
  <c r="D1008" i="44"/>
  <c r="D2464" i="44"/>
  <c r="B1824" i="44"/>
  <c r="B1825" i="44" s="1"/>
  <c r="D1825" i="44" s="1"/>
  <c r="J1759" i="44"/>
  <c r="B1888" i="44"/>
  <c r="D1888" i="44" s="1"/>
  <c r="B2272" i="44"/>
  <c r="D1951" i="44"/>
  <c r="N255" i="3"/>
  <c r="G214" i="30" s="1"/>
  <c r="N267" i="3"/>
  <c r="G226" i="30" s="1"/>
  <c r="N261" i="3"/>
  <c r="G220" i="30" s="1"/>
  <c r="N235" i="3"/>
  <c r="G194" i="30" s="1"/>
  <c r="N224" i="3"/>
  <c r="G184" i="30" s="1"/>
  <c r="N216" i="3"/>
  <c r="G176" i="30" s="1"/>
  <c r="N256" i="3"/>
  <c r="G215" i="30" s="1"/>
  <c r="N191" i="3"/>
  <c r="G151" i="30" s="1"/>
  <c r="N197" i="3"/>
  <c r="G157" i="30" s="1"/>
  <c r="C534" i="5"/>
  <c r="J41" i="25"/>
  <c r="G75" i="32"/>
  <c r="D10" i="25"/>
  <c r="I16" i="24"/>
  <c r="D139" i="32"/>
  <c r="L70" i="3"/>
  <c r="B2369" i="44"/>
  <c r="B2370" i="44" s="1"/>
  <c r="D2370" i="44" s="1"/>
  <c r="D694" i="44"/>
  <c r="B477" i="44"/>
  <c r="D481" i="44" s="1"/>
  <c r="F183" i="44"/>
  <c r="D1919" i="44"/>
  <c r="B1005" i="44"/>
  <c r="D996" i="44"/>
  <c r="B1792" i="44"/>
  <c r="D1792" i="44" s="1"/>
  <c r="D1052" i="44"/>
  <c r="D3136" i="44"/>
  <c r="J1599" i="44"/>
  <c r="D2623" i="44"/>
  <c r="D2239" i="44"/>
  <c r="J2559" i="44"/>
  <c r="D2559" i="44"/>
  <c r="J2495" i="44"/>
  <c r="J3135" i="44"/>
  <c r="D2943" i="44"/>
  <c r="B3072" i="44"/>
  <c r="B3073" i="44" s="1"/>
  <c r="D3071" i="44"/>
  <c r="D695" i="44"/>
  <c r="D472" i="44"/>
  <c r="J1855" i="44"/>
  <c r="D1005" i="44"/>
  <c r="D988" i="44"/>
  <c r="B2945" i="44"/>
  <c r="B2946" i="44" s="1"/>
  <c r="B2947" i="44" s="1"/>
  <c r="D2947" i="44" s="1"/>
  <c r="B1024" i="44"/>
  <c r="B2624" i="44"/>
  <c r="D2624" i="44" s="1"/>
  <c r="D2431" i="44"/>
  <c r="J2303" i="44"/>
  <c r="D1539" i="44"/>
  <c r="D2560" i="44"/>
  <c r="D2688" i="44"/>
  <c r="D696" i="44"/>
  <c r="D2687" i="44"/>
  <c r="J1727" i="44"/>
  <c r="J2431" i="44"/>
  <c r="B2752" i="44"/>
  <c r="D2304" i="44"/>
  <c r="D697" i="44"/>
  <c r="D475" i="44"/>
  <c r="J2367" i="44"/>
  <c r="B988" i="44"/>
  <c r="B1052" i="44"/>
  <c r="B1665" i="44"/>
  <c r="B1666" i="44" s="1"/>
  <c r="B2880" i="44"/>
  <c r="B2881" i="44" s="1"/>
  <c r="D2881" i="44" s="1"/>
  <c r="D2495" i="44"/>
  <c r="D1078" i="44"/>
  <c r="B2497" i="44"/>
  <c r="D2497" i="44" s="1"/>
  <c r="J2687" i="44"/>
  <c r="J2815" i="44"/>
  <c r="D1663" i="44"/>
  <c r="J3007" i="44"/>
  <c r="B759" i="44"/>
  <c r="B761" i="44" s="1"/>
  <c r="D762" i="44" s="1"/>
  <c r="J2751" i="44"/>
  <c r="D2240" i="44"/>
  <c r="D3135" i="44"/>
  <c r="J1791" i="44"/>
  <c r="J2943" i="44"/>
  <c r="S14" i="34"/>
  <c r="S18" i="34"/>
  <c r="S31" i="34"/>
  <c r="S36" i="34"/>
  <c r="S807" i="3"/>
  <c r="S21" i="34"/>
  <c r="S33" i="34"/>
  <c r="S40" i="34"/>
  <c r="S49" i="34"/>
  <c r="K807" i="3"/>
  <c r="I708" i="3"/>
  <c r="F30" i="34"/>
  <c r="I733" i="3"/>
  <c r="F39" i="34"/>
  <c r="I742" i="3"/>
  <c r="F48" i="34"/>
  <c r="I751" i="3"/>
  <c r="F50" i="34"/>
  <c r="I753" i="3"/>
  <c r="F101" i="34"/>
  <c r="I804" i="3"/>
  <c r="F807" i="3"/>
  <c r="I1579" i="44" s="1"/>
  <c r="I750" i="3"/>
  <c r="G807" i="3"/>
  <c r="I1580" i="44" s="1"/>
  <c r="I741" i="3"/>
  <c r="I747" i="3"/>
  <c r="I727" i="3"/>
  <c r="I712" i="3"/>
  <c r="I714" i="3"/>
  <c r="I775" i="3"/>
  <c r="I782" i="3"/>
  <c r="I756" i="3"/>
  <c r="F88" i="34"/>
  <c r="I791" i="3"/>
  <c r="N218" i="3"/>
  <c r="G178" i="30" s="1"/>
  <c r="N187" i="3"/>
  <c r="G147" i="30" s="1"/>
  <c r="N264" i="3"/>
  <c r="G223" i="30" s="1"/>
  <c r="N238" i="3"/>
  <c r="G197" i="30" s="1"/>
  <c r="N172" i="3"/>
  <c r="G132" i="30" s="1"/>
  <c r="N226" i="3"/>
  <c r="G186" i="30" s="1"/>
  <c r="N251" i="3"/>
  <c r="G210" i="30" s="1"/>
  <c r="N182" i="3"/>
  <c r="G142" i="30" s="1"/>
  <c r="G271" i="3"/>
  <c r="F259" i="44"/>
  <c r="J2959" i="44"/>
  <c r="D2671" i="44"/>
  <c r="D276" i="44"/>
  <c r="D257" i="44"/>
  <c r="D145" i="44"/>
  <c r="F145" i="44" s="1"/>
  <c r="F271" i="44"/>
  <c r="G810" i="3"/>
  <c r="H840" i="3"/>
  <c r="E114" i="25" s="1"/>
  <c r="E298" i="44"/>
  <c r="A298" i="44" s="1"/>
  <c r="E745" i="44"/>
  <c r="A745" i="44" s="1"/>
  <c r="F1575" i="44"/>
  <c r="F1578" i="44"/>
  <c r="D1542" i="44"/>
  <c r="B1066" i="44"/>
  <c r="D3119" i="44"/>
  <c r="D1859" i="44"/>
  <c r="F247" i="44"/>
  <c r="B2000" i="44"/>
  <c r="B2001" i="44" s="1"/>
  <c r="B3121" i="44"/>
  <c r="J2415" i="44"/>
  <c r="B206" i="44"/>
  <c r="D206" i="44" s="1"/>
  <c r="D1088" i="44"/>
  <c r="J3119" i="44"/>
  <c r="F248" i="44"/>
  <c r="D1065" i="44"/>
  <c r="D2063" i="44"/>
  <c r="D2064" i="44"/>
  <c r="D2799" i="44"/>
  <c r="J2159" i="44"/>
  <c r="F281" i="44"/>
  <c r="D2095" i="44"/>
  <c r="H291" i="3"/>
  <c r="H124" i="30" s="1"/>
  <c r="H283" i="3"/>
  <c r="H116" i="30" s="1"/>
  <c r="D2384" i="44"/>
  <c r="B2385" i="44"/>
  <c r="D2385" i="44" s="1"/>
  <c r="D2737" i="44"/>
  <c r="B2738" i="44"/>
  <c r="D2738" i="44" s="1"/>
  <c r="B3025" i="44"/>
  <c r="B3026" i="44" s="1"/>
  <c r="D3024" i="44"/>
  <c r="D1550" i="44"/>
  <c r="D1746" i="44"/>
  <c r="B1778" i="44"/>
  <c r="B1779" i="44" s="1"/>
  <c r="D1779" i="44" s="1"/>
  <c r="F249" i="44"/>
  <c r="F256" i="44"/>
  <c r="B2960" i="44"/>
  <c r="D2960" i="44" s="1"/>
  <c r="J2543" i="44"/>
  <c r="D2415" i="44"/>
  <c r="F199" i="44"/>
  <c r="D144" i="44"/>
  <c r="D1711" i="44"/>
  <c r="F275" i="44"/>
  <c r="B1712" i="44"/>
  <c r="D1712" i="44" s="1"/>
  <c r="B2160" i="44"/>
  <c r="B2161" i="44" s="1"/>
  <c r="J2095" i="44"/>
  <c r="B2800" i="44"/>
  <c r="B2801" i="44" s="1"/>
  <c r="D2801" i="44" s="1"/>
  <c r="D1026" i="44"/>
  <c r="B1062" i="44"/>
  <c r="D1999" i="44"/>
  <c r="J1871" i="44"/>
  <c r="J2063" i="44"/>
  <c r="F175" i="44"/>
  <c r="B174" i="44"/>
  <c r="D174" i="44" s="1"/>
  <c r="F193" i="44"/>
  <c r="B192" i="44"/>
  <c r="D192" i="44" s="1"/>
  <c r="B194" i="44"/>
  <c r="D194" i="44" s="1"/>
  <c r="F195" i="44"/>
  <c r="F203" i="44"/>
  <c r="B202" i="44"/>
  <c r="D202" i="44" s="1"/>
  <c r="F205" i="44"/>
  <c r="B204" i="44"/>
  <c r="D204" i="44" s="1"/>
  <c r="F279" i="44"/>
  <c r="D279" i="44"/>
  <c r="D302" i="44"/>
  <c r="D300" i="44"/>
  <c r="D320" i="44"/>
  <c r="B321" i="44"/>
  <c r="D321" i="44" s="1"/>
  <c r="D678" i="44"/>
  <c r="D679" i="44"/>
  <c r="D724" i="44"/>
  <c r="B725" i="44"/>
  <c r="D725" i="44" s="1"/>
  <c r="B835" i="44"/>
  <c r="D835" i="44" s="1"/>
  <c r="D834" i="44"/>
  <c r="B883" i="44"/>
  <c r="D881" i="44"/>
  <c r="D985" i="44"/>
  <c r="B986" i="44"/>
  <c r="D1020" i="44"/>
  <c r="D1021" i="44"/>
  <c r="B1034" i="44"/>
  <c r="D1034" i="44"/>
  <c r="D1038" i="44"/>
  <c r="D1037" i="44"/>
  <c r="D1043" i="44"/>
  <c r="B1043" i="44"/>
  <c r="D1044" i="44" s="1"/>
  <c r="D1048" i="44"/>
  <c r="D1049" i="44"/>
  <c r="B1049" i="44"/>
  <c r="D1050" i="44" s="1"/>
  <c r="D1058" i="44"/>
  <c r="B1058" i="44"/>
  <c r="B1616" i="44"/>
  <c r="D1616" i="44" s="1"/>
  <c r="J1615" i="44"/>
  <c r="B1648" i="44"/>
  <c r="B1649" i="44" s="1"/>
  <c r="B1650" i="44" s="1"/>
  <c r="J1647" i="44"/>
  <c r="J1743" i="44"/>
  <c r="D1743" i="44"/>
  <c r="J1903" i="44"/>
  <c r="D1903" i="44"/>
  <c r="D1935" i="44"/>
  <c r="J1935" i="44"/>
  <c r="B1968" i="44"/>
  <c r="D1967" i="44"/>
  <c r="J2031" i="44"/>
  <c r="B2032" i="44"/>
  <c r="B2033" i="44" s="1"/>
  <c r="B2034" i="44" s="1"/>
  <c r="B2035" i="44" s="1"/>
  <c r="D2035" i="44" s="1"/>
  <c r="D2096" i="44"/>
  <c r="B2097" i="44"/>
  <c r="J2127" i="44"/>
  <c r="D2127" i="44"/>
  <c r="J2191" i="44"/>
  <c r="B2192" i="44"/>
  <c r="B2193" i="44" s="1"/>
  <c r="D2193" i="44" s="1"/>
  <c r="J2223" i="44"/>
  <c r="B2224" i="44"/>
  <c r="B2225" i="44" s="1"/>
  <c r="D2223" i="44"/>
  <c r="B2256" i="44"/>
  <c r="D2256" i="44" s="1"/>
  <c r="D2255" i="44"/>
  <c r="J2287" i="44"/>
  <c r="B2288" i="44"/>
  <c r="D2287" i="44"/>
  <c r="J2319" i="44"/>
  <c r="B2320" i="44"/>
  <c r="B2321" i="44" s="1"/>
  <c r="D2321" i="44" s="1"/>
  <c r="B2352" i="44"/>
  <c r="D2352" i="44" s="1"/>
  <c r="D2351" i="44"/>
  <c r="D2383" i="44"/>
  <c r="J2383" i="44"/>
  <c r="B2480" i="44"/>
  <c r="D2480" i="44" s="1"/>
  <c r="D2479" i="44"/>
  <c r="J2575" i="44"/>
  <c r="D2575" i="44"/>
  <c r="B2608" i="44"/>
  <c r="B2609" i="44" s="1"/>
  <c r="D2607" i="44"/>
  <c r="B2704" i="44"/>
  <c r="B2705" i="44" s="1"/>
  <c r="D2703" i="44"/>
  <c r="D2735" i="44"/>
  <c r="J2735" i="44"/>
  <c r="D2767" i="44"/>
  <c r="B2768" i="44"/>
  <c r="D3023" i="44"/>
  <c r="J3023" i="44"/>
  <c r="J3087" i="44"/>
  <c r="B3088" i="44"/>
  <c r="B3152" i="44"/>
  <c r="D3151" i="44"/>
  <c r="D1856" i="44"/>
  <c r="B1905" i="44"/>
  <c r="D1905" i="44" s="1"/>
  <c r="B200" i="44"/>
  <c r="D200" i="44" s="1"/>
  <c r="B1054" i="44"/>
  <c r="D1053" i="44"/>
  <c r="D1062" i="44"/>
  <c r="D723" i="44"/>
  <c r="D1025" i="44"/>
  <c r="D1615" i="44"/>
  <c r="D1871" i="44"/>
  <c r="B1936" i="44"/>
  <c r="B1937" i="44" s="1"/>
  <c r="N214" i="3"/>
  <c r="G174" i="30" s="1"/>
  <c r="N233" i="3"/>
  <c r="G192" i="30" s="1"/>
  <c r="N266" i="3"/>
  <c r="G225" i="30" s="1"/>
  <c r="N211" i="3"/>
  <c r="G171" i="30" s="1"/>
  <c r="N241" i="3"/>
  <c r="G200" i="30" s="1"/>
  <c r="N183" i="3"/>
  <c r="G143" i="30" s="1"/>
  <c r="N243" i="3"/>
  <c r="G202" i="30" s="1"/>
  <c r="N208" i="3"/>
  <c r="G168" i="30" s="1"/>
  <c r="N225" i="3"/>
  <c r="G185" i="30" s="1"/>
  <c r="N179" i="3"/>
  <c r="G139" i="30" s="1"/>
  <c r="N217" i="3"/>
  <c r="G177" i="30" s="1"/>
  <c r="N189" i="3"/>
  <c r="G149" i="30" s="1"/>
  <c r="N222" i="3"/>
  <c r="G182" i="30" s="1"/>
  <c r="N248" i="3"/>
  <c r="G207" i="30" s="1"/>
  <c r="N229" i="3"/>
  <c r="G188" i="30" s="1"/>
  <c r="N250" i="3"/>
  <c r="G209" i="30" s="1"/>
  <c r="N207" i="3"/>
  <c r="G167" i="30" s="1"/>
  <c r="N221" i="3"/>
  <c r="G181" i="30" s="1"/>
  <c r="N230" i="3"/>
  <c r="G189" i="30" s="1"/>
  <c r="N253" i="3"/>
  <c r="G212" i="30" s="1"/>
  <c r="H269" i="3"/>
  <c r="H102" i="30" s="1"/>
  <c r="H273" i="3"/>
  <c r="H106" i="30" s="1"/>
  <c r="H286" i="3"/>
  <c r="H119" i="30" s="1"/>
  <c r="H245" i="3"/>
  <c r="H78" i="30" s="1"/>
  <c r="H249" i="3"/>
  <c r="H82" i="30" s="1"/>
  <c r="C542" i="3"/>
  <c r="B500" i="3"/>
  <c r="F92" i="25" s="1"/>
  <c r="H290" i="3"/>
  <c r="H123" i="30" s="1"/>
  <c r="H211" i="3"/>
  <c r="H45" i="30" s="1"/>
  <c r="H175" i="3"/>
  <c r="H9" i="30" s="1"/>
  <c r="H287" i="3"/>
  <c r="H120" i="30" s="1"/>
  <c r="H289" i="3"/>
  <c r="H122" i="30" s="1"/>
  <c r="H239" i="3"/>
  <c r="H72" i="30" s="1"/>
  <c r="H243" i="3"/>
  <c r="H76" i="30" s="1"/>
  <c r="C17" i="3"/>
  <c r="D203" i="24"/>
  <c r="F840" i="3"/>
  <c r="C114" i="25" s="1"/>
  <c r="B635" i="3"/>
  <c r="H237" i="3"/>
  <c r="H70" i="30" s="1"/>
  <c r="H231" i="3"/>
  <c r="H64" i="30" s="1"/>
  <c r="H270" i="3"/>
  <c r="H103" i="30" s="1"/>
  <c r="H244" i="3"/>
  <c r="H77" i="30" s="1"/>
  <c r="H179" i="3"/>
  <c r="H13" i="30" s="1"/>
  <c r="H288" i="3"/>
  <c r="H241" i="3"/>
  <c r="H74" i="30" s="1"/>
  <c r="H195" i="3"/>
  <c r="H29" i="30" s="1"/>
  <c r="H235" i="3"/>
  <c r="H68" i="30" s="1"/>
  <c r="H240" i="3"/>
  <c r="H73" i="30" s="1"/>
  <c r="H234" i="3"/>
  <c r="H67" i="30" s="1"/>
  <c r="H238" i="3"/>
  <c r="H71" i="30" s="1"/>
  <c r="H242" i="3"/>
  <c r="H75" i="30" s="1"/>
  <c r="H178" i="3"/>
  <c r="H12" i="30" s="1"/>
  <c r="H285" i="3"/>
  <c r="H118" i="30" s="1"/>
  <c r="C545" i="3"/>
  <c r="H239" i="5"/>
  <c r="B435" i="3"/>
  <c r="M55" i="3"/>
  <c r="D905" i="5"/>
  <c r="C14" i="3"/>
  <c r="C492" i="3"/>
  <c r="C488" i="3"/>
  <c r="C493" i="3"/>
  <c r="C544" i="3"/>
  <c r="D18" i="24"/>
  <c r="F841" i="3"/>
  <c r="C115" i="25" s="1"/>
  <c r="H841" i="3"/>
  <c r="E115" i="25" s="1"/>
  <c r="D148" i="24"/>
  <c r="D54" i="32"/>
  <c r="F267" i="44"/>
  <c r="F270" i="44"/>
  <c r="F273" i="44"/>
  <c r="E294" i="44"/>
  <c r="A294" i="44" s="1"/>
  <c r="G294" i="44" s="1"/>
  <c r="B408" i="3"/>
  <c r="B292" i="3"/>
  <c r="B579" i="3" s="1"/>
  <c r="B1861" i="44"/>
  <c r="D1858" i="44"/>
  <c r="D1857" i="44"/>
  <c r="F157" i="44"/>
  <c r="B184" i="44"/>
  <c r="D184" i="44" s="1"/>
  <c r="B196" i="44"/>
  <c r="D196" i="44" s="1"/>
  <c r="F179" i="44"/>
  <c r="B154" i="44"/>
  <c r="D154" i="44" s="1"/>
  <c r="F173" i="44"/>
  <c r="B680" i="44"/>
  <c r="D681" i="44" s="1"/>
  <c r="F277" i="44"/>
  <c r="D301" i="44"/>
  <c r="F209" i="44"/>
  <c r="B303" i="44"/>
  <c r="D306" i="44" s="1"/>
  <c r="D2576" i="44"/>
  <c r="F265" i="44"/>
  <c r="F266" i="44"/>
  <c r="B1729" i="44"/>
  <c r="D1728" i="44"/>
  <c r="B1921" i="44"/>
  <c r="D1920" i="44"/>
  <c r="D2241" i="44"/>
  <c r="B2242" i="44"/>
  <c r="D2305" i="44"/>
  <c r="B2306" i="44"/>
  <c r="D2306" i="44" s="1"/>
  <c r="F246" i="44"/>
  <c r="F250" i="44"/>
  <c r="E296" i="44"/>
  <c r="A296" i="44" s="1"/>
  <c r="E297" i="44"/>
  <c r="A297" i="44" s="1"/>
  <c r="H264" i="3"/>
  <c r="H97" i="30" s="1"/>
  <c r="G814" i="3"/>
  <c r="G809" i="3"/>
  <c r="H238" i="5"/>
  <c r="C547" i="3"/>
  <c r="C543" i="3"/>
  <c r="C546" i="3"/>
  <c r="C489" i="3"/>
  <c r="C491" i="3"/>
  <c r="N252" i="3"/>
  <c r="G211" i="30" s="1"/>
  <c r="N196" i="3"/>
  <c r="G156" i="30" s="1"/>
  <c r="N223" i="3"/>
  <c r="G183" i="30" s="1"/>
  <c r="N257" i="3"/>
  <c r="G216" i="30" s="1"/>
  <c r="N259" i="3"/>
  <c r="G218" i="30" s="1"/>
  <c r="N175" i="3"/>
  <c r="G135" i="30" s="1"/>
  <c r="N190" i="3"/>
  <c r="G150" i="30" s="1"/>
  <c r="E124" i="30"/>
  <c r="N177" i="3"/>
  <c r="G137" i="30" s="1"/>
  <c r="N198" i="3"/>
  <c r="G158" i="30" s="1"/>
  <c r="N232" i="3"/>
  <c r="G191" i="30" s="1"/>
  <c r="N247" i="3"/>
  <c r="G206" i="30" s="1"/>
  <c r="N186" i="3"/>
  <c r="G146" i="30" s="1"/>
  <c r="N213" i="3"/>
  <c r="G173" i="30" s="1"/>
  <c r="N173" i="3"/>
  <c r="G133" i="30" s="1"/>
  <c r="N204" i="3"/>
  <c r="G164" i="30" s="1"/>
  <c r="N228" i="3"/>
  <c r="G187" i="30" s="1"/>
  <c r="N239" i="3"/>
  <c r="G198" i="30" s="1"/>
  <c r="N174" i="3"/>
  <c r="G134" i="30" s="1"/>
  <c r="N209" i="3"/>
  <c r="G169" i="30" s="1"/>
  <c r="N258" i="3"/>
  <c r="G217" i="30" s="1"/>
  <c r="N200" i="3"/>
  <c r="G160" i="30" s="1"/>
  <c r="N181" i="3"/>
  <c r="G141" i="30" s="1"/>
  <c r="N237" i="3"/>
  <c r="G196" i="30" s="1"/>
  <c r="N245" i="3"/>
  <c r="G204" i="30" s="1"/>
  <c r="N185" i="3"/>
  <c r="G145" i="30" s="1"/>
  <c r="N206" i="3"/>
  <c r="G166" i="30" s="1"/>
  <c r="N240" i="3"/>
  <c r="G199" i="30" s="1"/>
  <c r="N202" i="3"/>
  <c r="G162" i="30" s="1"/>
  <c r="N194" i="3"/>
  <c r="G154" i="30" s="1"/>
  <c r="N244" i="3"/>
  <c r="G203" i="30" s="1"/>
  <c r="N199" i="3"/>
  <c r="G159" i="30" s="1"/>
  <c r="N184" i="3"/>
  <c r="G144" i="30" s="1"/>
  <c r="N201" i="3"/>
  <c r="G161" i="30" s="1"/>
  <c r="N231" i="3"/>
  <c r="G190" i="30" s="1"/>
  <c r="N265" i="3"/>
  <c r="G224" i="30" s="1"/>
  <c r="N215" i="3"/>
  <c r="G175" i="30" s="1"/>
  <c r="N192" i="3"/>
  <c r="G152" i="30" s="1"/>
  <c r="H210" i="3"/>
  <c r="H44" i="30" s="1"/>
  <c r="B437" i="3"/>
  <c r="H229" i="3"/>
  <c r="H62" i="30" s="1"/>
  <c r="J49" i="25"/>
  <c r="C540" i="5"/>
  <c r="C541" i="5"/>
  <c r="J55" i="25"/>
  <c r="J44" i="25"/>
  <c r="J27" i="25"/>
  <c r="C530" i="5"/>
  <c r="C529" i="5"/>
  <c r="J52" i="25"/>
  <c r="C528" i="5"/>
  <c r="C525" i="5"/>
  <c r="C524" i="5"/>
  <c r="B305" i="3"/>
  <c r="J24" i="25" s="1"/>
  <c r="J40" i="25"/>
  <c r="C533" i="5"/>
  <c r="C523" i="5"/>
  <c r="C522" i="5"/>
  <c r="B304" i="3"/>
  <c r="J20" i="25" s="1"/>
  <c r="C521" i="5"/>
  <c r="C535" i="5"/>
  <c r="J42" i="25"/>
  <c r="J36" i="25"/>
  <c r="E311" i="3"/>
  <c r="J43" i="25"/>
  <c r="H847" i="5"/>
  <c r="G845" i="5"/>
  <c r="H842" i="5"/>
  <c r="G842" i="5"/>
  <c r="G843" i="5"/>
  <c r="F843" i="5"/>
  <c r="H844" i="5"/>
  <c r="G844" i="5"/>
  <c r="F846" i="5"/>
  <c r="G846" i="5"/>
  <c r="D866" i="5"/>
  <c r="D871" i="5"/>
  <c r="H841" i="5"/>
  <c r="D867" i="5"/>
  <c r="D870" i="5"/>
  <c r="F847" i="5"/>
  <c r="F845" i="5"/>
  <c r="F844" i="5"/>
  <c r="H843" i="5"/>
  <c r="F842" i="5"/>
  <c r="D865" i="5"/>
  <c r="D2577" i="44"/>
  <c r="B2578" i="44"/>
  <c r="D2578" i="44" s="1"/>
  <c r="B164" i="44"/>
  <c r="D164" i="44" s="1"/>
  <c r="F165" i="44"/>
  <c r="B176" i="44"/>
  <c r="D176" i="44" s="1"/>
  <c r="F177" i="44"/>
  <c r="B180" i="44"/>
  <c r="D180" i="44" s="1"/>
  <c r="F181" i="44"/>
  <c r="D253" i="44"/>
  <c r="F253" i="44"/>
  <c r="F254" i="44"/>
  <c r="D254" i="44"/>
  <c r="D1534" i="44"/>
  <c r="B1748" i="44"/>
  <c r="B1749" i="44" s="1"/>
  <c r="B1750" i="44" s="1"/>
  <c r="D1745" i="44"/>
  <c r="D2736" i="44"/>
  <c r="D1776" i="44"/>
  <c r="B166" i="44"/>
  <c r="D166" i="44" s="1"/>
  <c r="B170" i="44"/>
  <c r="D170" i="44" s="1"/>
  <c r="F260" i="44"/>
  <c r="F151" i="44"/>
  <c r="D1089" i="44"/>
  <c r="F161" i="44"/>
  <c r="F252" i="44"/>
  <c r="D269" i="44"/>
  <c r="F269" i="44"/>
  <c r="D280" i="44"/>
  <c r="F280" i="44"/>
  <c r="D311" i="44"/>
  <c r="D313" i="44"/>
  <c r="D748" i="44"/>
  <c r="B749" i="44"/>
  <c r="D747" i="44"/>
  <c r="D895" i="44"/>
  <c r="B897" i="44"/>
  <c r="D897" i="44" s="1"/>
  <c r="D938" i="44"/>
  <c r="D933" i="44"/>
  <c r="D974" i="44"/>
  <c r="D975" i="44"/>
  <c r="D923" i="44"/>
  <c r="D982" i="44"/>
  <c r="D942" i="44"/>
  <c r="B984" i="44"/>
  <c r="D984" i="44"/>
  <c r="D983" i="44"/>
  <c r="D1013" i="44"/>
  <c r="D1012" i="44"/>
  <c r="D1045" i="44"/>
  <c r="B1046" i="44"/>
  <c r="D1047" i="44" s="1"/>
  <c r="D1055" i="44"/>
  <c r="D1056" i="44"/>
  <c r="B1060" i="44"/>
  <c r="D1060" i="44"/>
  <c r="D1067" i="44"/>
  <c r="D1068" i="44"/>
  <c r="B1087" i="44"/>
  <c r="D1087" i="44"/>
  <c r="D1092" i="44"/>
  <c r="D1091" i="44"/>
  <c r="B1092" i="44"/>
  <c r="D1093" i="44" s="1"/>
  <c r="J2047" i="44"/>
  <c r="B2048" i="44"/>
  <c r="B2080" i="44"/>
  <c r="D2079" i="44"/>
  <c r="D2111" i="44"/>
  <c r="B2112" i="44"/>
  <c r="D2112" i="44" s="1"/>
  <c r="D2143" i="44"/>
  <c r="B2144" i="44"/>
  <c r="B2145" i="44" s="1"/>
  <c r="D2175" i="44"/>
  <c r="J2175" i="44"/>
  <c r="B2176" i="44"/>
  <c r="B2177" i="44" s="1"/>
  <c r="B2512" i="44"/>
  <c r="D2511" i="44"/>
  <c r="B2788" i="44"/>
  <c r="D2787" i="44"/>
  <c r="B2832" i="44"/>
  <c r="B2833" i="44" s="1"/>
  <c r="J2831" i="44"/>
  <c r="J2863" i="44"/>
  <c r="D2863" i="44"/>
  <c r="B2864" i="44"/>
  <c r="D2864" i="44" s="1"/>
  <c r="J2895" i="44"/>
  <c r="D2895" i="44"/>
  <c r="J2991" i="44"/>
  <c r="B2992" i="44"/>
  <c r="D3055" i="44"/>
  <c r="B3056" i="44"/>
  <c r="J3055" i="44"/>
  <c r="F251" i="44"/>
  <c r="E295" i="44"/>
  <c r="A295" i="44" s="1"/>
  <c r="E744" i="44"/>
  <c r="A744" i="44" s="1"/>
  <c r="G744" i="44" s="1"/>
  <c r="D255" i="44"/>
  <c r="B152" i="44"/>
  <c r="D152" i="44" s="1"/>
  <c r="F153" i="44"/>
  <c r="B158" i="44"/>
  <c r="D158" i="44" s="1"/>
  <c r="F159" i="44"/>
  <c r="B162" i="44"/>
  <c r="D162" i="44" s="1"/>
  <c r="F163" i="44"/>
  <c r="B168" i="44"/>
  <c r="D168" i="44" s="1"/>
  <c r="F169" i="44"/>
  <c r="B186" i="44"/>
  <c r="D186" i="44" s="1"/>
  <c r="F187" i="44"/>
  <c r="F189" i="44"/>
  <c r="B188" i="44"/>
  <c r="D188" i="44" s="1"/>
  <c r="B190" i="44"/>
  <c r="D190" i="44" s="1"/>
  <c r="F191" i="44"/>
  <c r="D268" i="44"/>
  <c r="F268" i="44"/>
  <c r="D318" i="44"/>
  <c r="D319" i="44"/>
  <c r="D317" i="44"/>
  <c r="D316" i="44"/>
  <c r="B404" i="44"/>
  <c r="B409" i="44" s="1"/>
  <c r="D401" i="44"/>
  <c r="D403" i="44"/>
  <c r="D399" i="44"/>
  <c r="D400" i="44"/>
  <c r="B567" i="44"/>
  <c r="B569" i="44" s="1"/>
  <c r="D565" i="44"/>
  <c r="D753" i="44"/>
  <c r="B755" i="44"/>
  <c r="D782" i="44"/>
  <c r="B784" i="44"/>
  <c r="D783" i="44"/>
  <c r="D992" i="44"/>
  <c r="B991" i="44"/>
  <c r="D990" i="44"/>
  <c r="D991" i="44"/>
  <c r="D994" i="44"/>
  <c r="D995" i="44"/>
  <c r="D999" i="44"/>
  <c r="B999" i="44"/>
  <c r="D998" i="44"/>
  <c r="B1003" i="44"/>
  <c r="D1002" i="44"/>
  <c r="D1006" i="44"/>
  <c r="D1007" i="44"/>
  <c r="B1007" i="44"/>
  <c r="B1011" i="44"/>
  <c r="D1011" i="44"/>
  <c r="D1014" i="44"/>
  <c r="B1015" i="44"/>
  <c r="D1016" i="44" s="1"/>
  <c r="D1015" i="44"/>
  <c r="D1030" i="44"/>
  <c r="B1030" i="44"/>
  <c r="B1070" i="44"/>
  <c r="D1071" i="44" s="1"/>
  <c r="D1070" i="44"/>
  <c r="D1076" i="44"/>
  <c r="D1075" i="44"/>
  <c r="B1076" i="44"/>
  <c r="D1077" i="44" s="1"/>
  <c r="D1081" i="44"/>
  <c r="B1081" i="44"/>
  <c r="D1084" i="44"/>
  <c r="B1085" i="44"/>
  <c r="D1094" i="44"/>
  <c r="B1584" i="44"/>
  <c r="J1583" i="44"/>
  <c r="D1583" i="44"/>
  <c r="B1632" i="44"/>
  <c r="J1631" i="44"/>
  <c r="D1631" i="44"/>
  <c r="J1679" i="44"/>
  <c r="B1680" i="44"/>
  <c r="D1679" i="44"/>
  <c r="J1775" i="44"/>
  <c r="D1775" i="44"/>
  <c r="J1807" i="44"/>
  <c r="B1808" i="44"/>
  <c r="D1807" i="44"/>
  <c r="D1839" i="44"/>
  <c r="J1839" i="44"/>
  <c r="B2690" i="44"/>
  <c r="B2418" i="44"/>
  <c r="D2417" i="44"/>
  <c r="B2129" i="44"/>
  <c r="D2128" i="44"/>
  <c r="D1840" i="44"/>
  <c r="B1841" i="44"/>
  <c r="B2066" i="44"/>
  <c r="D2065" i="44"/>
  <c r="D314" i="44"/>
  <c r="D1983" i="44"/>
  <c r="J1983" i="44"/>
  <c r="B2209" i="44"/>
  <c r="D2208" i="44"/>
  <c r="J2399" i="44"/>
  <c r="B2400" i="44"/>
  <c r="D2447" i="44"/>
  <c r="B2448" i="44"/>
  <c r="J2447" i="44"/>
  <c r="D2639" i="44"/>
  <c r="B2640" i="44"/>
  <c r="D2927" i="44"/>
  <c r="J2927" i="44"/>
  <c r="B2672" i="44"/>
  <c r="J2607" i="44"/>
  <c r="D2543" i="44"/>
  <c r="J2479" i="44"/>
  <c r="D2367" i="44"/>
  <c r="B2928" i="44"/>
  <c r="D2319" i="44"/>
  <c r="J2111" i="44"/>
  <c r="D2015" i="44"/>
  <c r="D2786" i="44"/>
  <c r="J2079" i="44"/>
  <c r="B2896" i="44"/>
  <c r="J2143" i="44"/>
  <c r="B2545" i="44"/>
  <c r="D2207" i="44"/>
  <c r="J2639" i="44"/>
  <c r="B1873" i="44"/>
  <c r="D2047" i="44"/>
  <c r="B1984" i="44"/>
  <c r="J2015" i="44"/>
  <c r="D245" i="44"/>
  <c r="F245" i="44"/>
  <c r="D258" i="44"/>
  <c r="F258" i="44"/>
  <c r="D272" i="44"/>
  <c r="F272" i="44"/>
  <c r="D312" i="44"/>
  <c r="D309" i="44"/>
  <c r="D310" i="44"/>
  <c r="D803" i="44"/>
  <c r="D802" i="44"/>
  <c r="B804" i="44"/>
  <c r="D905" i="44"/>
  <c r="D904" i="44"/>
  <c r="B906" i="44"/>
  <c r="B1001" i="44"/>
  <c r="D1000" i="44"/>
  <c r="D1001" i="44"/>
  <c r="D1017" i="44"/>
  <c r="D1018" i="44"/>
  <c r="B1018" i="44"/>
  <c r="D1019" i="44" s="1"/>
  <c r="B1036" i="44"/>
  <c r="D1035" i="44"/>
  <c r="D1036" i="44"/>
  <c r="D1040" i="44"/>
  <c r="D1039" i="44"/>
  <c r="D1063" i="44"/>
  <c r="B1064" i="44"/>
  <c r="D1064" i="44"/>
  <c r="H172" i="3"/>
  <c r="H177" i="3"/>
  <c r="H188" i="3"/>
  <c r="H198" i="3"/>
  <c r="H206" i="3"/>
  <c r="H216" i="3"/>
  <c r="H50" i="30" s="1"/>
  <c r="H224" i="3"/>
  <c r="H252" i="3"/>
  <c r="H260" i="3"/>
  <c r="H278" i="3"/>
  <c r="H184" i="3"/>
  <c r="H202" i="3"/>
  <c r="H220" i="3"/>
  <c r="H256" i="3"/>
  <c r="H282" i="3"/>
  <c r="H115" i="30" s="1"/>
  <c r="H233" i="3"/>
  <c r="H268" i="3"/>
  <c r="H101" i="30" s="1"/>
  <c r="H236" i="3"/>
  <c r="I282" i="3"/>
  <c r="I115" i="30" s="1"/>
  <c r="I216" i="3"/>
  <c r="I50" i="30" s="1"/>
  <c r="I275" i="3"/>
  <c r="I239" i="3"/>
  <c r="I72" i="30" s="1"/>
  <c r="H271" i="3"/>
  <c r="H246" i="3"/>
  <c r="I232" i="3"/>
  <c r="I65" i="30" s="1"/>
  <c r="H274" i="3"/>
  <c r="H107" i="30" s="1"/>
  <c r="H266" i="3"/>
  <c r="H247" i="3"/>
  <c r="H272" i="3"/>
  <c r="J3434" i="44"/>
  <c r="D17" i="24"/>
  <c r="D138" i="32"/>
  <c r="D202" i="24"/>
  <c r="G12" i="30"/>
  <c r="N210" i="3"/>
  <c r="G170" i="30" s="1"/>
  <c r="N249" i="3"/>
  <c r="G208" i="30" s="1"/>
  <c r="N236" i="3"/>
  <c r="G195" i="30" s="1"/>
  <c r="N178" i="3"/>
  <c r="G138" i="30" s="1"/>
  <c r="N205" i="3"/>
  <c r="G165" i="30" s="1"/>
  <c r="N263" i="3"/>
  <c r="G222" i="30" s="1"/>
  <c r="N188" i="3"/>
  <c r="G148" i="30" s="1"/>
  <c r="N219" i="3"/>
  <c r="G179" i="30" s="1"/>
  <c r="N195" i="3"/>
  <c r="G155" i="30" s="1"/>
  <c r="N242" i="3"/>
  <c r="G201" i="30" s="1"/>
  <c r="N262" i="3"/>
  <c r="G221" i="30" s="1"/>
  <c r="N212" i="3"/>
  <c r="G172" i="30" s="1"/>
  <c r="G63" i="25"/>
  <c r="B436" i="3"/>
  <c r="B848" i="3"/>
  <c r="B463" i="3"/>
  <c r="F68" i="25" s="1"/>
  <c r="C297" i="5"/>
  <c r="C296" i="5"/>
  <c r="C19" i="3"/>
  <c r="H280" i="3"/>
  <c r="H276" i="3"/>
  <c r="H262" i="3"/>
  <c r="H258" i="3"/>
  <c r="H254" i="3"/>
  <c r="H250" i="3"/>
  <c r="H226" i="3"/>
  <c r="H222" i="3"/>
  <c r="H218" i="3"/>
  <c r="H214" i="3"/>
  <c r="H208" i="3"/>
  <c r="H204" i="3"/>
  <c r="H200" i="3"/>
  <c r="H194" i="3"/>
  <c r="H190" i="3"/>
  <c r="H186" i="3"/>
  <c r="H182" i="3"/>
  <c r="H173" i="3"/>
  <c r="C359" i="3"/>
  <c r="F90" i="24" s="1"/>
  <c r="C331" i="3"/>
  <c r="D351" i="3" s="1"/>
  <c r="F104" i="24" s="1"/>
  <c r="G811" i="3"/>
  <c r="G813" i="3"/>
  <c r="H281" i="3"/>
  <c r="H114" i="30" s="1"/>
  <c r="H279" i="3"/>
  <c r="H112" i="30" s="1"/>
  <c r="H277" i="3"/>
  <c r="H265" i="3"/>
  <c r="H263" i="3"/>
  <c r="H261" i="3"/>
  <c r="H94" i="30" s="1"/>
  <c r="H259" i="3"/>
  <c r="H92" i="30" s="1"/>
  <c r="H257" i="3"/>
  <c r="H255" i="3"/>
  <c r="H253" i="3"/>
  <c r="H251" i="3"/>
  <c r="H230" i="3"/>
  <c r="H228" i="3"/>
  <c r="H225" i="3"/>
  <c r="H223" i="3"/>
  <c r="H221" i="3"/>
  <c r="H219" i="3"/>
  <c r="H217" i="3"/>
  <c r="H215" i="3"/>
  <c r="H213" i="3"/>
  <c r="H209" i="3"/>
  <c r="H207" i="3"/>
  <c r="H205" i="3"/>
  <c r="H203" i="3"/>
  <c r="H37" i="30" s="1"/>
  <c r="H201" i="3"/>
  <c r="H199" i="3"/>
  <c r="H197" i="3"/>
  <c r="H193" i="3"/>
  <c r="H191" i="3"/>
  <c r="H189" i="3"/>
  <c r="H187" i="3"/>
  <c r="H185" i="3"/>
  <c r="H183" i="3"/>
  <c r="H181" i="3"/>
  <c r="H174" i="3"/>
  <c r="D1744" i="44"/>
  <c r="D2416" i="44"/>
  <c r="D2466" i="44"/>
  <c r="B2467" i="44"/>
  <c r="B3138" i="44"/>
  <c r="D3137" i="44"/>
  <c r="F1577" i="44"/>
  <c r="D278" i="44"/>
  <c r="D972" i="44"/>
  <c r="F1579" i="44"/>
  <c r="A146" i="44"/>
  <c r="F1576" i="44"/>
  <c r="F1580" i="44"/>
  <c r="F58" i="32"/>
  <c r="D214" i="24"/>
  <c r="F60" i="32"/>
  <c r="F152" i="32"/>
  <c r="E214" i="24"/>
  <c r="C152" i="32"/>
  <c r="C773" i="5"/>
  <c r="H839" i="5"/>
  <c r="B1085" i="5"/>
  <c r="P1085" i="5" s="1"/>
  <c r="L1103" i="5"/>
  <c r="H304" i="5"/>
  <c r="C304" i="5" s="1"/>
  <c r="H300" i="3"/>
  <c r="B867" i="3"/>
  <c r="F105" i="24"/>
  <c r="B215" i="24"/>
  <c r="H68" i="3"/>
  <c r="B148" i="44"/>
  <c r="D148" i="44" s="1"/>
  <c r="H66" i="3"/>
  <c r="B152" i="32"/>
  <c r="H64" i="3"/>
  <c r="E70" i="3"/>
  <c r="E74" i="3" s="1"/>
  <c r="H69" i="3"/>
  <c r="H40" i="3"/>
  <c r="H36" i="3"/>
  <c r="D70" i="3"/>
  <c r="D74" i="3" s="1"/>
  <c r="H43" i="3"/>
  <c r="C198" i="24" s="1"/>
  <c r="H72" i="3"/>
  <c r="H73" i="3"/>
  <c r="H58" i="3"/>
  <c r="C501" i="5" s="1"/>
  <c r="F56" i="3"/>
  <c r="F60" i="3" s="1"/>
  <c r="E56" i="3"/>
  <c r="E60" i="3" s="1"/>
  <c r="H55" i="3"/>
  <c r="I69" i="3" s="1"/>
  <c r="C41" i="3"/>
  <c r="G41" i="3"/>
  <c r="J133" i="32" s="1"/>
  <c r="H59" i="3"/>
  <c r="C506" i="5" s="1"/>
  <c r="G70" i="3"/>
  <c r="G74" i="3" s="1"/>
  <c r="H63" i="3"/>
  <c r="H35" i="3"/>
  <c r="E304" i="3" s="1"/>
  <c r="H54" i="3"/>
  <c r="H39" i="3"/>
  <c r="H38" i="3"/>
  <c r="H34" i="3"/>
  <c r="H53" i="3"/>
  <c r="C56" i="3"/>
  <c r="C60" i="3" s="1"/>
  <c r="H51" i="3"/>
  <c r="H65" i="3"/>
  <c r="H67" i="3"/>
  <c r="D56" i="3"/>
  <c r="D60" i="3" s="1"/>
  <c r="H52" i="3"/>
  <c r="H50" i="3"/>
  <c r="H37" i="3"/>
  <c r="K129" i="32" s="1"/>
  <c r="H49" i="3"/>
  <c r="B56" i="3"/>
  <c r="B60" i="3" s="1"/>
  <c r="B70" i="3"/>
  <c r="B74" i="3" s="1"/>
  <c r="C70" i="3"/>
  <c r="C74" i="3" s="1"/>
  <c r="F70" i="3"/>
  <c r="F74" i="3" s="1"/>
  <c r="D41" i="3"/>
  <c r="H44" i="3"/>
  <c r="B41" i="3"/>
  <c r="G56" i="3"/>
  <c r="G60" i="3" s="1"/>
  <c r="E41" i="3"/>
  <c r="E966" i="44"/>
  <c r="E965" i="44"/>
  <c r="E964" i="44"/>
  <c r="E957" i="44"/>
  <c r="E953" i="44"/>
  <c r="E967" i="44"/>
  <c r="E961" i="44"/>
  <c r="E954" i="44"/>
  <c r="E962" i="44"/>
  <c r="E958" i="44"/>
  <c r="E955" i="44"/>
  <c r="E960" i="44"/>
  <c r="E959" i="44"/>
  <c r="E963" i="44"/>
  <c r="E956" i="44"/>
  <c r="J383" i="3" l="1"/>
  <c r="H219" i="24"/>
  <c r="L383" i="3"/>
  <c r="C117" i="24"/>
  <c r="F383" i="3"/>
  <c r="I383" i="3"/>
  <c r="K383" i="3"/>
  <c r="G527" i="3"/>
  <c r="C528" i="3"/>
  <c r="B588" i="3"/>
  <c r="C588" i="3" s="1"/>
  <c r="C587" i="3"/>
  <c r="C92" i="32"/>
  <c r="I169" i="32"/>
  <c r="F364" i="3"/>
  <c r="D97" i="24" s="1"/>
  <c r="B166" i="3"/>
  <c r="D72" i="24" s="1"/>
  <c r="I209" i="32"/>
  <c r="B20" i="3"/>
  <c r="C20" i="3" s="1"/>
  <c r="F382" i="3"/>
  <c r="J382" i="3"/>
  <c r="C108" i="32" s="1"/>
  <c r="M382" i="3"/>
  <c r="C116" i="24"/>
  <c r="O382" i="3"/>
  <c r="H134" i="24" s="1"/>
  <c r="I178" i="32"/>
  <c r="H382" i="3"/>
  <c r="I91" i="32" s="1"/>
  <c r="P383" i="3"/>
  <c r="I109" i="32" s="1"/>
  <c r="I181" i="32"/>
  <c r="I204" i="32"/>
  <c r="D383" i="3"/>
  <c r="H55" i="34"/>
  <c r="N383" i="3"/>
  <c r="I167" i="32"/>
  <c r="O383" i="3"/>
  <c r="H109" i="32" s="1"/>
  <c r="A938" i="5"/>
  <c r="D862" i="44"/>
  <c r="B864" i="44"/>
  <c r="I66" i="3"/>
  <c r="L45" i="3"/>
  <c r="E235" i="44" s="1"/>
  <c r="A235" i="44" s="1"/>
  <c r="I189" i="32"/>
  <c r="I173" i="32"/>
  <c r="E3361" i="44"/>
  <c r="A3361" i="44" s="1"/>
  <c r="I208" i="32"/>
  <c r="E3197" i="44"/>
  <c r="A3197" i="44" s="1"/>
  <c r="H45" i="34"/>
  <c r="I108" i="32"/>
  <c r="L382" i="3"/>
  <c r="E134" i="24" s="1"/>
  <c r="N382" i="3"/>
  <c r="G134" i="24" s="1"/>
  <c r="C91" i="32"/>
  <c r="H81" i="34"/>
  <c r="G382" i="3"/>
  <c r="I168" i="32"/>
  <c r="D382" i="3"/>
  <c r="E91" i="32" s="1"/>
  <c r="C382" i="3"/>
  <c r="I382" i="3"/>
  <c r="E382" i="3"/>
  <c r="F91" i="32" s="1"/>
  <c r="K382" i="3"/>
  <c r="D134" i="24" s="1"/>
  <c r="I68" i="3"/>
  <c r="H214" i="24"/>
  <c r="I177" i="32"/>
  <c r="I160" i="32"/>
  <c r="H216" i="24"/>
  <c r="I195" i="32"/>
  <c r="I64" i="34"/>
  <c r="I197" i="32"/>
  <c r="M1116" i="5"/>
  <c r="K1111" i="5"/>
  <c r="F1174" i="5"/>
  <c r="Q1143" i="5"/>
  <c r="L1174" i="5"/>
  <c r="Q1111" i="5"/>
  <c r="D46" i="42"/>
  <c r="E302" i="3"/>
  <c r="G18" i="25" s="1"/>
  <c r="A964" i="44"/>
  <c r="A960" i="44"/>
  <c r="A959" i="44"/>
  <c r="A967" i="44"/>
  <c r="A955" i="44"/>
  <c r="A958" i="44"/>
  <c r="A956" i="44"/>
  <c r="A965" i="44"/>
  <c r="A963" i="44"/>
  <c r="A961" i="44"/>
  <c r="A954" i="44"/>
  <c r="A966" i="44"/>
  <c r="A957" i="44"/>
  <c r="A962" i="44"/>
  <c r="A953" i="44"/>
  <c r="F964" i="44"/>
  <c r="F960" i="44"/>
  <c r="F959" i="44"/>
  <c r="F967" i="44"/>
  <c r="F955" i="44"/>
  <c r="F958" i="44"/>
  <c r="F956" i="44"/>
  <c r="F965" i="44"/>
  <c r="F963" i="44"/>
  <c r="F961" i="44"/>
  <c r="F954" i="44"/>
  <c r="F966" i="44"/>
  <c r="F957" i="44"/>
  <c r="F962" i="44"/>
  <c r="F953" i="44"/>
  <c r="I1128" i="5"/>
  <c r="J1128" i="5"/>
  <c r="R1160" i="5"/>
  <c r="F1128" i="5"/>
  <c r="P1128" i="5"/>
  <c r="P1096" i="5"/>
  <c r="T1160" i="5"/>
  <c r="T1128" i="5"/>
  <c r="O1088" i="5"/>
  <c r="K1128" i="5"/>
  <c r="S1128" i="5"/>
  <c r="Q1128" i="5"/>
  <c r="N1144" i="5"/>
  <c r="F1155" i="5"/>
  <c r="H1128" i="5"/>
  <c r="G1128" i="5"/>
  <c r="F1160" i="5"/>
  <c r="D94" i="41"/>
  <c r="O1156" i="5"/>
  <c r="L1183" i="5"/>
  <c r="T1119" i="5"/>
  <c r="P1087" i="5"/>
  <c r="M1124" i="5"/>
  <c r="L1092" i="5"/>
  <c r="M1107" i="5"/>
  <c r="K1156" i="5"/>
  <c r="F1092" i="5"/>
  <c r="S1091" i="5"/>
  <c r="K1091" i="5"/>
  <c r="I1124" i="5"/>
  <c r="R1123" i="5"/>
  <c r="J1107" i="5"/>
  <c r="K1140" i="5"/>
  <c r="L1158" i="5"/>
  <c r="I210" i="32"/>
  <c r="I161" i="32"/>
  <c r="H41" i="34"/>
  <c r="E3351" i="44"/>
  <c r="A3351" i="44" s="1"/>
  <c r="E3360" i="44"/>
  <c r="A3360" i="44" s="1"/>
  <c r="M1119" i="5"/>
  <c r="G1103" i="5"/>
  <c r="S1136" i="5"/>
  <c r="F1087" i="5"/>
  <c r="F1119" i="5"/>
  <c r="S1119" i="5"/>
  <c r="K1088" i="5"/>
  <c r="Q1103" i="5"/>
  <c r="N1123" i="5"/>
  <c r="T1104" i="5"/>
  <c r="F1136" i="5"/>
  <c r="J1087" i="5"/>
  <c r="M1088" i="5"/>
  <c r="O1104" i="5"/>
  <c r="H1120" i="5"/>
  <c r="S1123" i="5"/>
  <c r="I1119" i="5"/>
  <c r="R1120" i="5"/>
  <c r="R1104" i="5"/>
  <c r="M1166" i="5"/>
  <c r="J1088" i="5"/>
  <c r="S1183" i="5"/>
  <c r="L1087" i="5"/>
  <c r="F1120" i="5"/>
  <c r="P1139" i="5"/>
  <c r="N1120" i="5"/>
  <c r="P1183" i="5"/>
  <c r="S1088" i="5"/>
  <c r="O1120" i="5"/>
  <c r="S1104" i="5"/>
  <c r="I1169" i="5"/>
  <c r="G1087" i="5"/>
  <c r="J1103" i="5"/>
  <c r="G1166" i="5"/>
  <c r="N1151" i="5"/>
  <c r="R1087" i="5"/>
  <c r="O1103" i="5"/>
  <c r="M1170" i="5"/>
  <c r="S1170" i="5"/>
  <c r="P1091" i="5"/>
  <c r="R1091" i="5"/>
  <c r="G1155" i="5"/>
  <c r="R1107" i="5"/>
  <c r="H1173" i="5"/>
  <c r="R1092" i="5"/>
  <c r="F1124" i="5"/>
  <c r="R1139" i="5"/>
  <c r="M1123" i="5"/>
  <c r="N1170" i="5"/>
  <c r="P1107" i="5"/>
  <c r="Q1124" i="5"/>
  <c r="Q1156" i="5"/>
  <c r="G1173" i="5"/>
  <c r="L1140" i="5"/>
  <c r="L1091" i="5"/>
  <c r="F1091" i="5"/>
  <c r="P1155" i="5"/>
  <c r="I1155" i="5"/>
  <c r="L1107" i="5"/>
  <c r="I1173" i="5"/>
  <c r="J1123" i="5"/>
  <c r="L1124" i="5"/>
  <c r="K1139" i="5"/>
  <c r="K1107" i="5"/>
  <c r="G1170" i="5"/>
  <c r="T1123" i="5"/>
  <c r="Q1108" i="5"/>
  <c r="T1140" i="5"/>
  <c r="R1156" i="5"/>
  <c r="P1140" i="5"/>
  <c r="M1091" i="5"/>
  <c r="I1091" i="5"/>
  <c r="S1155" i="5"/>
  <c r="H1155" i="5"/>
  <c r="F1107" i="5"/>
  <c r="N1173" i="5"/>
  <c r="Q1139" i="5"/>
  <c r="R1124" i="5"/>
  <c r="K1170" i="5"/>
  <c r="M1139" i="5"/>
  <c r="H1139" i="5"/>
  <c r="Q1092" i="5"/>
  <c r="H1108" i="5"/>
  <c r="F1140" i="5"/>
  <c r="T1091" i="5"/>
  <c r="Q1155" i="5"/>
  <c r="I1107" i="5"/>
  <c r="G1107" i="5"/>
  <c r="K1124" i="5"/>
  <c r="H1170" i="5"/>
  <c r="L1139" i="5"/>
  <c r="J1170" i="5"/>
  <c r="Q1123" i="5"/>
  <c r="J1173" i="5"/>
  <c r="O1140" i="5"/>
  <c r="S1124" i="5"/>
  <c r="M1155" i="5"/>
  <c r="Q1173" i="5"/>
  <c r="T1124" i="5"/>
  <c r="J1091" i="5"/>
  <c r="R1155" i="5"/>
  <c r="L1155" i="5"/>
  <c r="T1107" i="5"/>
  <c r="J1092" i="5"/>
  <c r="J1124" i="5"/>
  <c r="L1123" i="5"/>
  <c r="T1170" i="5"/>
  <c r="Q1107" i="5"/>
  <c r="G1124" i="5"/>
  <c r="N1139" i="5"/>
  <c r="Q1170" i="5"/>
  <c r="P1123" i="5"/>
  <c r="K1173" i="5"/>
  <c r="R1140" i="5"/>
  <c r="O1092" i="5"/>
  <c r="J1156" i="5"/>
  <c r="L1108" i="5"/>
  <c r="O1091" i="5"/>
  <c r="H1091" i="5"/>
  <c r="O1155" i="5"/>
  <c r="I1092" i="5"/>
  <c r="O1124" i="5"/>
  <c r="I1123" i="5"/>
  <c r="O1107" i="5"/>
  <c r="I1139" i="5"/>
  <c r="F1139" i="5"/>
  <c r="N1124" i="5"/>
  <c r="L1156" i="5"/>
  <c r="O1108" i="5"/>
  <c r="O1173" i="5"/>
  <c r="F1156" i="5"/>
  <c r="J1108" i="5"/>
  <c r="G1091" i="5"/>
  <c r="Q1091" i="5"/>
  <c r="N1155" i="5"/>
  <c r="H1107" i="5"/>
  <c r="H1092" i="5"/>
  <c r="P1124" i="5"/>
  <c r="H1123" i="5"/>
  <c r="F1123" i="5"/>
  <c r="N1107" i="5"/>
  <c r="O1123" i="5"/>
  <c r="K1123" i="5"/>
  <c r="T1156" i="5"/>
  <c r="H215" i="24"/>
  <c r="G352" i="3"/>
  <c r="G105" i="24" s="1"/>
  <c r="J1169" i="5"/>
  <c r="P1152" i="5"/>
  <c r="S1087" i="5"/>
  <c r="Q1088" i="5"/>
  <c r="F1151" i="5"/>
  <c r="L1119" i="5"/>
  <c r="R1119" i="5"/>
  <c r="G1104" i="5"/>
  <c r="H1087" i="5"/>
  <c r="S1120" i="5"/>
  <c r="S1103" i="5"/>
  <c r="I1103" i="5"/>
  <c r="H1119" i="5"/>
  <c r="T1088" i="5"/>
  <c r="G1169" i="5"/>
  <c r="N1152" i="5"/>
  <c r="K1104" i="5"/>
  <c r="H1088" i="5"/>
  <c r="J1119" i="5"/>
  <c r="Q1087" i="5"/>
  <c r="P1088" i="5"/>
  <c r="P1120" i="5"/>
  <c r="N1103" i="5"/>
  <c r="S1169" i="5"/>
  <c r="H1166" i="5"/>
  <c r="I1136" i="5"/>
  <c r="J1152" i="5"/>
  <c r="K1120" i="5"/>
  <c r="R1136" i="5"/>
  <c r="G1088" i="5"/>
  <c r="Q1104" i="5"/>
  <c r="N1087" i="5"/>
  <c r="L1088" i="5"/>
  <c r="P1103" i="5"/>
  <c r="F1103" i="5"/>
  <c r="M1169" i="5"/>
  <c r="L1151" i="5"/>
  <c r="K1087" i="5"/>
  <c r="N1136" i="5"/>
  <c r="Q1152" i="5"/>
  <c r="T1169" i="5"/>
  <c r="S1152" i="5"/>
  <c r="N1169" i="5"/>
  <c r="P1119" i="5"/>
  <c r="T1087" i="5"/>
  <c r="G1120" i="5"/>
  <c r="H1103" i="5"/>
  <c r="Q1119" i="5"/>
  <c r="H1136" i="5"/>
  <c r="K1152" i="5"/>
  <c r="P1169" i="5"/>
  <c r="E3306" i="44"/>
  <c r="A3306" i="44" s="1"/>
  <c r="H1135" i="5"/>
  <c r="P1104" i="5"/>
  <c r="M1103" i="5"/>
  <c r="J1151" i="5"/>
  <c r="I1088" i="5"/>
  <c r="N1088" i="5"/>
  <c r="F1169" i="5"/>
  <c r="H1104" i="5"/>
  <c r="K1103" i="5"/>
  <c r="T1103" i="5"/>
  <c r="R1088" i="5"/>
  <c r="P1166" i="5"/>
  <c r="H1169" i="5"/>
  <c r="J1104" i="5"/>
  <c r="M1104" i="5"/>
  <c r="G1099" i="5"/>
  <c r="L1131" i="5"/>
  <c r="L1178" i="5"/>
  <c r="I1115" i="5"/>
  <c r="T1111" i="5"/>
  <c r="I1159" i="5"/>
  <c r="S1143" i="5"/>
  <c r="K1174" i="5"/>
  <c r="P1143" i="5"/>
  <c r="G1111" i="5"/>
  <c r="G1143" i="5"/>
  <c r="N1111" i="5"/>
  <c r="G1174" i="5"/>
  <c r="S1174" i="5"/>
  <c r="J1143" i="5"/>
  <c r="P1111" i="5"/>
  <c r="R1143" i="5"/>
  <c r="H1174" i="5"/>
  <c r="P1174" i="5"/>
  <c r="J1111" i="5"/>
  <c r="F1111" i="5"/>
  <c r="I1111" i="5"/>
  <c r="L1111" i="5"/>
  <c r="R1111" i="5"/>
  <c r="H1143" i="5"/>
  <c r="I1181" i="5"/>
  <c r="T1165" i="5"/>
  <c r="J1165" i="5"/>
  <c r="O1181" i="5"/>
  <c r="H1115" i="5"/>
  <c r="S1181" i="5"/>
  <c r="R1162" i="5"/>
  <c r="M1132" i="5"/>
  <c r="T1178" i="5"/>
  <c r="T1100" i="5"/>
  <c r="G1132" i="5"/>
  <c r="M1099" i="5"/>
  <c r="K1131" i="5"/>
  <c r="L1135" i="5"/>
  <c r="M1135" i="5"/>
  <c r="N1135" i="5"/>
  <c r="S1135" i="5"/>
  <c r="I1135" i="5"/>
  <c r="K1151" i="5"/>
  <c r="H1183" i="5"/>
  <c r="S1151" i="5"/>
  <c r="F1166" i="5"/>
  <c r="K1166" i="5"/>
  <c r="R1183" i="5"/>
  <c r="K1135" i="5"/>
  <c r="F1183" i="5"/>
  <c r="I1151" i="5"/>
  <c r="J1166" i="5"/>
  <c r="P1135" i="5"/>
  <c r="O1183" i="5"/>
  <c r="O1151" i="5"/>
  <c r="Q1166" i="5"/>
  <c r="O1166" i="5"/>
  <c r="Q1135" i="5"/>
  <c r="O1135" i="5"/>
  <c r="T1135" i="5"/>
  <c r="K1183" i="5"/>
  <c r="I1166" i="5"/>
  <c r="G1151" i="5"/>
  <c r="I1183" i="5"/>
  <c r="M1151" i="5"/>
  <c r="J1135" i="5"/>
  <c r="G1135" i="5"/>
  <c r="N1183" i="5"/>
  <c r="Q1183" i="5"/>
  <c r="S1166" i="5"/>
  <c r="P1151" i="5"/>
  <c r="R1151" i="5"/>
  <c r="R1135" i="5"/>
  <c r="H1151" i="5"/>
  <c r="M1183" i="5"/>
  <c r="Q1151" i="5"/>
  <c r="K1115" i="5"/>
  <c r="N1181" i="5"/>
  <c r="K1100" i="5"/>
  <c r="M1162" i="5"/>
  <c r="T1115" i="5"/>
  <c r="R1099" i="5"/>
  <c r="T1181" i="5"/>
  <c r="M1165" i="5"/>
  <c r="O1115" i="5"/>
  <c r="K1132" i="5"/>
  <c r="N1132" i="5"/>
  <c r="J1115" i="5"/>
  <c r="N1099" i="5"/>
  <c r="G1148" i="5"/>
  <c r="J1181" i="5"/>
  <c r="G1181" i="5"/>
  <c r="R1100" i="5"/>
  <c r="H1099" i="5"/>
  <c r="P1147" i="5"/>
  <c r="M1148" i="5"/>
  <c r="H1131" i="5"/>
  <c r="O1162" i="5"/>
  <c r="T1131" i="5"/>
  <c r="H1147" i="5"/>
  <c r="S1162" i="5"/>
  <c r="I1165" i="5"/>
  <c r="J1132" i="5"/>
  <c r="H1148" i="5"/>
  <c r="L1181" i="5"/>
  <c r="R1116" i="5"/>
  <c r="F1099" i="5"/>
  <c r="S1099" i="5"/>
  <c r="I1147" i="5"/>
  <c r="F1131" i="5"/>
  <c r="G1147" i="5"/>
  <c r="H1132" i="5"/>
  <c r="S1115" i="5"/>
  <c r="I1148" i="5"/>
  <c r="O1178" i="5"/>
  <c r="I1178" i="5"/>
  <c r="H1100" i="5"/>
  <c r="P1099" i="5"/>
  <c r="G1162" i="5"/>
  <c r="L1147" i="5"/>
  <c r="S1131" i="5"/>
  <c r="F1147" i="5"/>
  <c r="G1165" i="5"/>
  <c r="F1181" i="5"/>
  <c r="G1116" i="5"/>
  <c r="R1132" i="5"/>
  <c r="G1115" i="5"/>
  <c r="J1178" i="5"/>
  <c r="P1148" i="5"/>
  <c r="K1162" i="5"/>
  <c r="I1131" i="5"/>
  <c r="S1132" i="5"/>
  <c r="I1132" i="5"/>
  <c r="N1115" i="5"/>
  <c r="R1148" i="5"/>
  <c r="R1181" i="5"/>
  <c r="H1178" i="5"/>
  <c r="I1100" i="5"/>
  <c r="Q1099" i="5"/>
  <c r="O1147" i="5"/>
  <c r="T1147" i="5"/>
  <c r="P1115" i="5"/>
  <c r="Q1148" i="5"/>
  <c r="Q1100" i="5"/>
  <c r="K1116" i="5"/>
  <c r="L1100" i="5"/>
  <c r="S1148" i="5"/>
  <c r="R1165" i="5"/>
  <c r="L1132" i="5"/>
  <c r="Q1132" i="5"/>
  <c r="L1099" i="5"/>
  <c r="T1148" i="5"/>
  <c r="M1178" i="5"/>
  <c r="S1100" i="5"/>
  <c r="Q1162" i="5"/>
  <c r="T1132" i="5"/>
  <c r="L1148" i="5"/>
  <c r="K1181" i="5"/>
  <c r="F1178" i="5"/>
  <c r="T1099" i="5"/>
  <c r="K1099" i="5"/>
  <c r="Q1178" i="5"/>
  <c r="K1148" i="5"/>
  <c r="Q1115" i="5"/>
  <c r="I1099" i="5"/>
  <c r="O1132" i="5"/>
  <c r="M1115" i="5"/>
  <c r="F1115" i="5"/>
  <c r="F1132" i="5"/>
  <c r="R1115" i="5"/>
  <c r="R1130" i="5"/>
  <c r="P1181" i="5"/>
  <c r="G1178" i="5"/>
  <c r="O1099" i="5"/>
  <c r="P1178" i="5"/>
  <c r="J1147" i="5"/>
  <c r="S1116" i="5"/>
  <c r="E105" i="24"/>
  <c r="I159" i="32"/>
  <c r="C31" i="32"/>
  <c r="D31" i="32" s="1"/>
  <c r="E31" i="32" s="1"/>
  <c r="F31" i="32" s="1"/>
  <c r="G31" i="32" s="1"/>
  <c r="H31" i="32" s="1"/>
  <c r="I31" i="32" s="1"/>
  <c r="J31" i="32" s="1"/>
  <c r="K31" i="32" s="1"/>
  <c r="L31" i="32" s="1"/>
  <c r="C41" i="32" s="1"/>
  <c r="D41" i="32" s="1"/>
  <c r="E41" i="32" s="1"/>
  <c r="F41" i="32" s="1"/>
  <c r="G41" i="32" s="1"/>
  <c r="I207" i="32"/>
  <c r="E3242" i="44"/>
  <c r="A3242" i="44" s="1"/>
  <c r="I186" i="32"/>
  <c r="D39" i="41"/>
  <c r="E34" i="43"/>
  <c r="G55" i="42" s="1"/>
  <c r="K54" i="32"/>
  <c r="B13" i="30"/>
  <c r="G179" i="3"/>
  <c r="G13" i="30" s="1"/>
  <c r="E26" i="43"/>
  <c r="G54" i="42" s="1"/>
  <c r="I211" i="32"/>
  <c r="I202" i="32"/>
  <c r="D29" i="41"/>
  <c r="D1761" i="44"/>
  <c r="F60" i="30"/>
  <c r="G60" i="30"/>
  <c r="F245" i="3"/>
  <c r="F78" i="30" s="1"/>
  <c r="G245" i="3"/>
  <c r="G78" i="30" s="1"/>
  <c r="G230" i="3"/>
  <c r="G63" i="30" s="1"/>
  <c r="G191" i="3"/>
  <c r="G25" i="30" s="1"/>
  <c r="G269" i="3"/>
  <c r="G102" i="30" s="1"/>
  <c r="F208" i="3"/>
  <c r="F42" i="30" s="1"/>
  <c r="G208" i="3"/>
  <c r="G42" i="30" s="1"/>
  <c r="F264" i="3"/>
  <c r="F97" i="30" s="1"/>
  <c r="G264" i="3"/>
  <c r="G97" i="30" s="1"/>
  <c r="G228" i="3"/>
  <c r="G61" i="30" s="1"/>
  <c r="G289" i="3"/>
  <c r="G122" i="30" s="1"/>
  <c r="F263" i="3"/>
  <c r="F96" i="30" s="1"/>
  <c r="G263" i="3"/>
  <c r="G96" i="30" s="1"/>
  <c r="F244" i="3"/>
  <c r="F77" i="30" s="1"/>
  <c r="G244" i="3"/>
  <c r="G77" i="30" s="1"/>
  <c r="F246" i="3"/>
  <c r="F79" i="30" s="1"/>
  <c r="G246" i="3"/>
  <c r="G79" i="30" s="1"/>
  <c r="G272" i="3"/>
  <c r="G105" i="30" s="1"/>
  <c r="F279" i="3"/>
  <c r="F112" i="30" s="1"/>
  <c r="G279" i="3"/>
  <c r="G112" i="30" s="1"/>
  <c r="G206" i="3"/>
  <c r="G40" i="30" s="1"/>
  <c r="F273" i="3"/>
  <c r="F106" i="30" s="1"/>
  <c r="G273" i="3"/>
  <c r="G106" i="30" s="1"/>
  <c r="G261" i="3"/>
  <c r="G94" i="30" s="1"/>
  <c r="F192" i="3"/>
  <c r="F26" i="30" s="1"/>
  <c r="G192" i="3"/>
  <c r="G26" i="30" s="1"/>
  <c r="F262" i="3"/>
  <c r="F95" i="30" s="1"/>
  <c r="G262" i="3"/>
  <c r="G95" i="30" s="1"/>
  <c r="G207" i="3"/>
  <c r="G41" i="30" s="1"/>
  <c r="G287" i="3"/>
  <c r="G120" i="30" s="1"/>
  <c r="G229" i="3"/>
  <c r="G62" i="30" s="1"/>
  <c r="G190" i="3"/>
  <c r="G24" i="30" s="1"/>
  <c r="G194" i="3"/>
  <c r="G28" i="30" s="1"/>
  <c r="G193" i="3"/>
  <c r="G27" i="30" s="1"/>
  <c r="G280" i="3"/>
  <c r="G113" i="30" s="1"/>
  <c r="G209" i="3"/>
  <c r="G43" i="30" s="1"/>
  <c r="G282" i="3"/>
  <c r="G115" i="30" s="1"/>
  <c r="F288" i="3"/>
  <c r="F121" i="30" s="1"/>
  <c r="G288" i="3"/>
  <c r="G121" i="30" s="1"/>
  <c r="F281" i="3"/>
  <c r="F114" i="30" s="1"/>
  <c r="G281" i="3"/>
  <c r="G114" i="30" s="1"/>
  <c r="F210" i="3"/>
  <c r="F44" i="30" s="1"/>
  <c r="G210" i="3"/>
  <c r="G44" i="30" s="1"/>
  <c r="F243" i="3"/>
  <c r="F76" i="30" s="1"/>
  <c r="G243" i="3"/>
  <c r="G76" i="30" s="1"/>
  <c r="F270" i="3"/>
  <c r="F103" i="30" s="1"/>
  <c r="G270" i="3"/>
  <c r="G103" i="30" s="1"/>
  <c r="G242" i="3"/>
  <c r="G75" i="30" s="1"/>
  <c r="G265" i="3"/>
  <c r="G98" i="30" s="1"/>
  <c r="G277" i="3"/>
  <c r="G110" i="30" s="1"/>
  <c r="F290" i="3"/>
  <c r="F123" i="30" s="1"/>
  <c r="G290" i="3"/>
  <c r="G123" i="30" s="1"/>
  <c r="G291" i="3"/>
  <c r="G286" i="3"/>
  <c r="F286" i="3" s="1"/>
  <c r="F119" i="30" s="1"/>
  <c r="G278" i="3"/>
  <c r="F278" i="3" s="1"/>
  <c r="F111" i="30" s="1"/>
  <c r="B116" i="30"/>
  <c r="G104" i="30"/>
  <c r="I69" i="24"/>
  <c r="B80" i="30"/>
  <c r="G225" i="3"/>
  <c r="G59" i="30" s="1"/>
  <c r="B64" i="30"/>
  <c r="B29" i="30"/>
  <c r="I62" i="24"/>
  <c r="G175" i="3"/>
  <c r="G9" i="30" s="1"/>
  <c r="I283" i="3"/>
  <c r="I116" i="30" s="1"/>
  <c r="F1089" i="5"/>
  <c r="F1168" i="5"/>
  <c r="O1122" i="5"/>
  <c r="M1137" i="5"/>
  <c r="J1105" i="5"/>
  <c r="J1138" i="5"/>
  <c r="I1106" i="5"/>
  <c r="L1137" i="5"/>
  <c r="Q1122" i="5"/>
  <c r="N1171" i="5"/>
  <c r="H1090" i="5"/>
  <c r="R1137" i="5"/>
  <c r="N1089" i="5"/>
  <c r="M1121" i="5"/>
  <c r="H1138" i="5"/>
  <c r="P1090" i="5"/>
  <c r="N1137" i="5"/>
  <c r="H1089" i="5"/>
  <c r="K1090" i="5"/>
  <c r="D80" i="41"/>
  <c r="D61" i="41"/>
  <c r="N1174" i="5"/>
  <c r="T1174" i="5"/>
  <c r="L1160" i="5"/>
  <c r="I191" i="32"/>
  <c r="B138" i="3"/>
  <c r="D62" i="24" s="1"/>
  <c r="D18" i="41"/>
  <c r="Q1160" i="5"/>
  <c r="G1096" i="5"/>
  <c r="R1096" i="5"/>
  <c r="O1160" i="5"/>
  <c r="S1096" i="5"/>
  <c r="L1096" i="5"/>
  <c r="I188" i="32"/>
  <c r="I81" i="34"/>
  <c r="I170" i="32"/>
  <c r="G24" i="41"/>
  <c r="D51" i="41"/>
  <c r="N1160" i="5"/>
  <c r="I1096" i="5"/>
  <c r="J764" i="3"/>
  <c r="J61" i="34" s="1"/>
  <c r="E3315" i="44"/>
  <c r="A3315" i="44" s="1"/>
  <c r="I176" i="32"/>
  <c r="D44" i="42"/>
  <c r="H91" i="34"/>
  <c r="D87" i="41"/>
  <c r="F54" i="43" s="1"/>
  <c r="G25" i="41"/>
  <c r="D3104" i="44"/>
  <c r="E59" i="30"/>
  <c r="F225" i="3"/>
  <c r="F59" i="30" s="1"/>
  <c r="E40" i="30"/>
  <c r="F206" i="3"/>
  <c r="F40" i="30" s="1"/>
  <c r="E104" i="30"/>
  <c r="F271" i="3"/>
  <c r="F104" i="30" s="1"/>
  <c r="E41" i="30"/>
  <c r="F207" i="3"/>
  <c r="F41" i="30" s="1"/>
  <c r="E75" i="30"/>
  <c r="F242" i="3"/>
  <c r="E120" i="30"/>
  <c r="F287" i="3"/>
  <c r="E94" i="30"/>
  <c r="F261" i="3"/>
  <c r="F94" i="30" s="1"/>
  <c r="E24" i="30"/>
  <c r="F190" i="3"/>
  <c r="E28" i="30"/>
  <c r="F194" i="3"/>
  <c r="F28" i="30" s="1"/>
  <c r="E27" i="30"/>
  <c r="F193" i="3"/>
  <c r="F27" i="30" s="1"/>
  <c r="E62" i="30"/>
  <c r="F229" i="3"/>
  <c r="F62" i="30" s="1"/>
  <c r="F280" i="3"/>
  <c r="F113" i="30" s="1"/>
  <c r="E43" i="30"/>
  <c r="F209" i="3"/>
  <c r="F43" i="30" s="1"/>
  <c r="E115" i="30"/>
  <c r="F282" i="3"/>
  <c r="F115" i="30" s="1"/>
  <c r="E61" i="30"/>
  <c r="F228" i="3"/>
  <c r="F61" i="30" s="1"/>
  <c r="E122" i="30"/>
  <c r="F289" i="3"/>
  <c r="F122" i="30" s="1"/>
  <c r="E105" i="30"/>
  <c r="F272" i="3"/>
  <c r="F105" i="30" s="1"/>
  <c r="E98" i="30"/>
  <c r="F265" i="3"/>
  <c r="F98" i="30" s="1"/>
  <c r="E63" i="30"/>
  <c r="F230" i="3"/>
  <c r="F63" i="30" s="1"/>
  <c r="F191" i="3"/>
  <c r="F25" i="30" s="1"/>
  <c r="F269" i="3"/>
  <c r="F102" i="30" s="1"/>
  <c r="E110" i="30"/>
  <c r="F277" i="3"/>
  <c r="F110" i="30" s="1"/>
  <c r="I194" i="32"/>
  <c r="D43" i="42"/>
  <c r="G43" i="42"/>
  <c r="I185" i="32"/>
  <c r="I201" i="32"/>
  <c r="D13" i="41"/>
  <c r="I175" i="3"/>
  <c r="I9" i="30" s="1"/>
  <c r="I212" i="3"/>
  <c r="I289" i="3"/>
  <c r="I122" i="30" s="1"/>
  <c r="I273" i="3"/>
  <c r="I106" i="30" s="1"/>
  <c r="I267" i="3"/>
  <c r="I237" i="3"/>
  <c r="I70" i="30" s="1"/>
  <c r="I195" i="3"/>
  <c r="I29" i="30" s="1"/>
  <c r="I245" i="3"/>
  <c r="I78" i="30" s="1"/>
  <c r="I192" i="3"/>
  <c r="I26" i="30" s="1"/>
  <c r="I291" i="3"/>
  <c r="I124" i="30" s="1"/>
  <c r="I179" i="3"/>
  <c r="I13" i="30" s="1"/>
  <c r="I287" i="3"/>
  <c r="I120" i="30" s="1"/>
  <c r="I284" i="3"/>
  <c r="I290" i="3"/>
  <c r="I123" i="30" s="1"/>
  <c r="I269" i="3"/>
  <c r="I102" i="30" s="1"/>
  <c r="I248" i="3"/>
  <c r="L1134" i="5"/>
  <c r="S1101" i="5"/>
  <c r="I178" i="3"/>
  <c r="I12" i="30" s="1"/>
  <c r="I234" i="3"/>
  <c r="I67" i="30" s="1"/>
  <c r="I211" i="3"/>
  <c r="I45" i="30" s="1"/>
  <c r="I229" i="3"/>
  <c r="I62" i="30" s="1"/>
  <c r="I242" i="3"/>
  <c r="I75" i="30" s="1"/>
  <c r="I285" i="3"/>
  <c r="I118" i="30" s="1"/>
  <c r="I243" i="3"/>
  <c r="I76" i="30" s="1"/>
  <c r="I286" i="3"/>
  <c r="I119" i="30" s="1"/>
  <c r="I231" i="3"/>
  <c r="I64" i="30" s="1"/>
  <c r="I270" i="3"/>
  <c r="I103" i="30" s="1"/>
  <c r="I268" i="3"/>
  <c r="I101" i="30" s="1"/>
  <c r="I240" i="3"/>
  <c r="I73" i="30" s="1"/>
  <c r="I238" i="3"/>
  <c r="I71" i="30" s="1"/>
  <c r="I235" i="3"/>
  <c r="I68" i="30" s="1"/>
  <c r="I249" i="3"/>
  <c r="I82" i="30" s="1"/>
  <c r="I274" i="3"/>
  <c r="I107" i="30" s="1"/>
  <c r="I210" i="3"/>
  <c r="I44" i="30" s="1"/>
  <c r="I241" i="3"/>
  <c r="I74" i="30" s="1"/>
  <c r="I264" i="3"/>
  <c r="I97" i="30" s="1"/>
  <c r="I244" i="3"/>
  <c r="I77" i="30" s="1"/>
  <c r="G1150" i="5"/>
  <c r="J786" i="3"/>
  <c r="J83" i="34" s="1"/>
  <c r="O1117" i="5"/>
  <c r="M1181" i="5"/>
  <c r="S1165" i="5"/>
  <c r="F1116" i="5"/>
  <c r="N1116" i="5"/>
  <c r="F1165" i="5"/>
  <c r="E3268" i="44"/>
  <c r="A3268" i="44" s="1"/>
  <c r="M1182" i="5"/>
  <c r="R1118" i="5"/>
  <c r="S1180" i="5"/>
  <c r="T1180" i="5"/>
  <c r="N1148" i="5"/>
  <c r="T1117" i="5"/>
  <c r="G1134" i="5"/>
  <c r="Q1181" i="5"/>
  <c r="K1134" i="5"/>
  <c r="J1159" i="5"/>
  <c r="G1127" i="5"/>
  <c r="J1144" i="5"/>
  <c r="P1095" i="5"/>
  <c r="K1159" i="5"/>
  <c r="Q1159" i="5"/>
  <c r="J1127" i="5"/>
  <c r="H1144" i="5"/>
  <c r="M1144" i="5"/>
  <c r="F1095" i="5"/>
  <c r="K1144" i="5"/>
  <c r="M1095" i="5"/>
  <c r="L1159" i="5"/>
  <c r="T1144" i="5"/>
  <c r="S1095" i="5"/>
  <c r="K1127" i="5"/>
  <c r="T1159" i="5"/>
  <c r="O1095" i="5"/>
  <c r="O1144" i="5"/>
  <c r="F1159" i="5"/>
  <c r="K1095" i="5"/>
  <c r="R1127" i="5"/>
  <c r="L1127" i="5"/>
  <c r="G1159" i="5"/>
  <c r="T1095" i="5"/>
  <c r="P1127" i="5"/>
  <c r="N1095" i="5"/>
  <c r="O1159" i="5"/>
  <c r="Q1177" i="5"/>
  <c r="I1095" i="5"/>
  <c r="R1112" i="5"/>
  <c r="N1127" i="5"/>
  <c r="O1127" i="5"/>
  <c r="K1177" i="5"/>
  <c r="M1159" i="5"/>
  <c r="F1177" i="5"/>
  <c r="P1177" i="5"/>
  <c r="Q1095" i="5"/>
  <c r="G1112" i="5"/>
  <c r="H1177" i="5"/>
  <c r="R1177" i="5"/>
  <c r="J1177" i="5"/>
  <c r="G1095" i="5"/>
  <c r="J1112" i="5"/>
  <c r="I1177" i="5"/>
  <c r="T1112" i="5"/>
  <c r="L1095" i="5"/>
  <c r="N1177" i="5"/>
  <c r="H1095" i="5"/>
  <c r="N1112" i="5"/>
  <c r="F1112" i="5"/>
  <c r="L1177" i="5"/>
  <c r="H1159" i="5"/>
  <c r="K1112" i="5"/>
  <c r="Q1112" i="5"/>
  <c r="N1159" i="5"/>
  <c r="R1095" i="5"/>
  <c r="R1144" i="5"/>
  <c r="L1112" i="5"/>
  <c r="S1144" i="5"/>
  <c r="B2722" i="44"/>
  <c r="D2722" i="44" s="1"/>
  <c r="H32" i="34"/>
  <c r="I63" i="24"/>
  <c r="J803" i="3"/>
  <c r="T803" i="3" s="1"/>
  <c r="I66" i="24"/>
  <c r="B107" i="30"/>
  <c r="I56" i="34"/>
  <c r="I174" i="32"/>
  <c r="E3352" i="44"/>
  <c r="A3352" i="44" s="1"/>
  <c r="I68" i="34"/>
  <c r="P1125" i="5"/>
  <c r="S1126" i="5"/>
  <c r="M1158" i="5"/>
  <c r="L1126" i="5"/>
  <c r="O1109" i="5"/>
  <c r="G1157" i="5"/>
  <c r="N1142" i="5"/>
  <c r="K1109" i="5"/>
  <c r="O1130" i="5"/>
  <c r="N1113" i="5"/>
  <c r="I1176" i="5"/>
  <c r="S1163" i="5"/>
  <c r="T1098" i="5"/>
  <c r="R1113" i="5"/>
  <c r="M1176" i="5"/>
  <c r="D2848" i="44"/>
  <c r="F1090" i="5"/>
  <c r="M1163" i="5"/>
  <c r="M1102" i="5"/>
  <c r="K1137" i="5"/>
  <c r="J1137" i="5"/>
  <c r="N1134" i="5"/>
  <c r="P1134" i="5"/>
  <c r="Q1117" i="5"/>
  <c r="N1117" i="5"/>
  <c r="Q1089" i="5"/>
  <c r="K1089" i="5"/>
  <c r="M1089" i="5"/>
  <c r="P1098" i="5"/>
  <c r="I1158" i="5"/>
  <c r="T1157" i="5"/>
  <c r="N1157" i="5"/>
  <c r="H1130" i="5"/>
  <c r="P1126" i="5"/>
  <c r="G1122" i="5"/>
  <c r="P1122" i="5"/>
  <c r="F1109" i="5"/>
  <c r="P1105" i="5"/>
  <c r="J1175" i="5"/>
  <c r="J1180" i="5"/>
  <c r="T1093" i="5"/>
  <c r="O1175" i="5"/>
  <c r="H1121" i="5"/>
  <c r="S1102" i="5"/>
  <c r="J1101" i="5"/>
  <c r="T1146" i="5"/>
  <c r="F1141" i="5"/>
  <c r="R1145" i="5"/>
  <c r="S1161" i="5"/>
  <c r="F1101" i="5"/>
  <c r="G1172" i="5"/>
  <c r="J1129" i="5"/>
  <c r="Q1093" i="5"/>
  <c r="R1182" i="5"/>
  <c r="E106" i="30"/>
  <c r="E123" i="30"/>
  <c r="I84" i="34"/>
  <c r="E3345" i="44"/>
  <c r="A3345" i="44" s="1"/>
  <c r="H381" i="3"/>
  <c r="I90" i="32" s="1"/>
  <c r="G381" i="3"/>
  <c r="H115" i="24" s="1"/>
  <c r="H268" i="24"/>
  <c r="I206" i="32"/>
  <c r="H233" i="24"/>
  <c r="I171" i="32"/>
  <c r="H246" i="24"/>
  <c r="I184" i="32"/>
  <c r="I156" i="32"/>
  <c r="H218" i="24"/>
  <c r="H244" i="24"/>
  <c r="I182" i="32"/>
  <c r="H226" i="24"/>
  <c r="I164" i="32"/>
  <c r="B1764" i="44"/>
  <c r="D1763" i="44"/>
  <c r="B18" i="3" a="1"/>
  <c r="B18" i="3" s="1"/>
  <c r="B21" i="3" s="1"/>
  <c r="B565" i="3" s="1"/>
  <c r="C309" i="3"/>
  <c r="B307" i="3"/>
  <c r="C526" i="5" s="1"/>
  <c r="B309" i="3"/>
  <c r="B310" i="3" s="1"/>
  <c r="C527" i="5" s="1"/>
  <c r="H9" i="34"/>
  <c r="E3171" i="44"/>
  <c r="A3171" i="44" s="1"/>
  <c r="I158" i="32"/>
  <c r="H220" i="24"/>
  <c r="B303" i="3"/>
  <c r="J21" i="25" s="1"/>
  <c r="B1697" i="44"/>
  <c r="B1698" i="44" s="1"/>
  <c r="B537" i="3"/>
  <c r="K1582" i="44"/>
  <c r="F1582" i="44" s="1"/>
  <c r="B823" i="3"/>
  <c r="J787" i="3"/>
  <c r="J84" i="34" s="1"/>
  <c r="E126" i="3"/>
  <c r="C14" i="32" s="1"/>
  <c r="D14" i="32" s="1"/>
  <c r="D32" i="32" s="1"/>
  <c r="B406" i="3"/>
  <c r="D158" i="24" s="1"/>
  <c r="I172" i="32"/>
  <c r="I190" i="32"/>
  <c r="L1164" i="5"/>
  <c r="M1164" i="5"/>
  <c r="K1153" i="5"/>
  <c r="I1153" i="5"/>
  <c r="N1149" i="5"/>
  <c r="P1149" i="5"/>
  <c r="O1149" i="5"/>
  <c r="S1145" i="5"/>
  <c r="F1145" i="5"/>
  <c r="M1133" i="5"/>
  <c r="Q1133" i="5"/>
  <c r="G1117" i="5"/>
  <c r="R1117" i="5"/>
  <c r="I1117" i="5"/>
  <c r="K1113" i="5"/>
  <c r="H1113" i="5"/>
  <c r="L1097" i="5"/>
  <c r="P1097" i="5"/>
  <c r="I1150" i="5"/>
  <c r="N1150" i="5"/>
  <c r="G1118" i="5"/>
  <c r="T1118" i="5"/>
  <c r="I1118" i="5"/>
  <c r="I93" i="34"/>
  <c r="E3354" i="44"/>
  <c r="A3354" i="44" s="1"/>
  <c r="I34" i="34"/>
  <c r="E3295" i="44"/>
  <c r="A3295" i="44" s="1"/>
  <c r="I166" i="32"/>
  <c r="J719" i="3"/>
  <c r="J16" i="34" s="1"/>
  <c r="B2371" i="44"/>
  <c r="B2372" i="44" s="1"/>
  <c r="B483" i="3"/>
  <c r="B484" i="3" s="1"/>
  <c r="D597" i="3" s="1"/>
  <c r="B1826" i="44"/>
  <c r="D1826" i="44" s="1"/>
  <c r="B3041" i="44"/>
  <c r="B3042" i="44" s="1"/>
  <c r="D1762" i="44"/>
  <c r="B2019" i="44"/>
  <c r="D2019" i="44" s="1"/>
  <c r="B2498" i="44"/>
  <c r="D2498" i="44" s="1"/>
  <c r="B1601" i="44"/>
  <c r="B1602" i="44" s="1"/>
  <c r="B2817" i="44"/>
  <c r="B2818" i="44" s="1"/>
  <c r="B2819" i="44" s="1"/>
  <c r="B2337" i="44"/>
  <c r="B2338" i="44" s="1"/>
  <c r="B2339" i="44" s="1"/>
  <c r="B2340" i="44" s="1"/>
  <c r="B1953" i="44"/>
  <c r="B1954" i="44" s="1"/>
  <c r="D1954" i="44" s="1"/>
  <c r="B2307" i="44"/>
  <c r="B2308" i="44" s="1"/>
  <c r="B2529" i="44"/>
  <c r="B2530" i="44" s="1"/>
  <c r="B2531" i="44" s="1"/>
  <c r="B2435" i="44"/>
  <c r="D2435" i="44" s="1"/>
  <c r="D2433" i="44"/>
  <c r="B2658" i="44"/>
  <c r="D2658" i="44" s="1"/>
  <c r="D2656" i="44"/>
  <c r="B2977" i="44"/>
  <c r="B2978" i="44" s="1"/>
  <c r="B102" i="3"/>
  <c r="B105" i="3" s="1"/>
  <c r="N1085" i="5"/>
  <c r="H28" i="34"/>
  <c r="H16" i="34"/>
  <c r="B9" i="30"/>
  <c r="D698" i="44"/>
  <c r="D701" i="44"/>
  <c r="J711" i="3"/>
  <c r="T711" i="3" s="1"/>
  <c r="E3180" i="44"/>
  <c r="A3180" i="44" s="1"/>
  <c r="H18" i="34"/>
  <c r="E3230" i="44"/>
  <c r="A3230" i="44" s="1"/>
  <c r="H68" i="34"/>
  <c r="E121" i="30"/>
  <c r="E114" i="30"/>
  <c r="S1177" i="5"/>
  <c r="T1177" i="5"/>
  <c r="M1177" i="5"/>
  <c r="F1173" i="5"/>
  <c r="P1173" i="5"/>
  <c r="L1173" i="5"/>
  <c r="R1173" i="5"/>
  <c r="R1169" i="5"/>
  <c r="O1169" i="5"/>
  <c r="K1169" i="5"/>
  <c r="L1169" i="5"/>
  <c r="Q1165" i="5"/>
  <c r="N1165" i="5"/>
  <c r="P1165" i="5"/>
  <c r="H1165" i="5"/>
  <c r="O1165" i="5"/>
  <c r="K1160" i="5"/>
  <c r="I1160" i="5"/>
  <c r="P1160" i="5"/>
  <c r="S1160" i="5"/>
  <c r="G1160" i="5"/>
  <c r="H1156" i="5"/>
  <c r="M1156" i="5"/>
  <c r="N1156" i="5"/>
  <c r="S1156" i="5"/>
  <c r="G1156" i="5"/>
  <c r="T1152" i="5"/>
  <c r="G1152" i="5"/>
  <c r="J1148" i="5"/>
  <c r="F1148" i="5"/>
  <c r="Q1140" i="5"/>
  <c r="N1140" i="5"/>
  <c r="J1140" i="5"/>
  <c r="S1140" i="5"/>
  <c r="G1140" i="5"/>
  <c r="I1140" i="5"/>
  <c r="T1136" i="5"/>
  <c r="L1136" i="5"/>
  <c r="J1136" i="5"/>
  <c r="P1136" i="5"/>
  <c r="O1136" i="5"/>
  <c r="G1136" i="5"/>
  <c r="K1136" i="5"/>
  <c r="N1128" i="5"/>
  <c r="M1128" i="5"/>
  <c r="M1120" i="5"/>
  <c r="L1120" i="5"/>
  <c r="J1116" i="5"/>
  <c r="T1116" i="5"/>
  <c r="I1116" i="5"/>
  <c r="Q1116" i="5"/>
  <c r="H1112" i="5"/>
  <c r="S1112" i="5"/>
  <c r="S1108" i="5"/>
  <c r="P1108" i="5"/>
  <c r="T1108" i="5"/>
  <c r="O1100" i="5"/>
  <c r="N1100" i="5"/>
  <c r="M1100" i="5"/>
  <c r="Q1096" i="5"/>
  <c r="M1096" i="5"/>
  <c r="S1092" i="5"/>
  <c r="G1092" i="5"/>
  <c r="D2720" i="44"/>
  <c r="B2914" i="44"/>
  <c r="I200" i="32"/>
  <c r="E3254" i="44"/>
  <c r="A3254" i="44" s="1"/>
  <c r="E3201" i="44"/>
  <c r="A3201" i="44" s="1"/>
  <c r="E3168" i="44"/>
  <c r="A3168" i="44" s="1"/>
  <c r="J772" i="3"/>
  <c r="T772" i="3" s="1"/>
  <c r="I162" i="32"/>
  <c r="I180" i="32"/>
  <c r="I198" i="32"/>
  <c r="I77" i="34"/>
  <c r="L1180" i="5"/>
  <c r="Q1180" i="5"/>
  <c r="R1180" i="5"/>
  <c r="K1180" i="5"/>
  <c r="H1180" i="5"/>
  <c r="I1180" i="5"/>
  <c r="O1180" i="5"/>
  <c r="J1176" i="5"/>
  <c r="L1176" i="5"/>
  <c r="Q1176" i="5"/>
  <c r="R1176" i="5"/>
  <c r="H1176" i="5"/>
  <c r="P1176" i="5"/>
  <c r="L1172" i="5"/>
  <c r="P1172" i="5"/>
  <c r="Q1172" i="5"/>
  <c r="T1172" i="5"/>
  <c r="F1172" i="5"/>
  <c r="R1172" i="5"/>
  <c r="M1172" i="5"/>
  <c r="S1168" i="5"/>
  <c r="L1168" i="5"/>
  <c r="J1168" i="5"/>
  <c r="O1168" i="5"/>
  <c r="H1164" i="5"/>
  <c r="F1164" i="5"/>
  <c r="G1164" i="5"/>
  <c r="S1164" i="5"/>
  <c r="N1164" i="5"/>
  <c r="K1164" i="5"/>
  <c r="I1164" i="5"/>
  <c r="N1161" i="5"/>
  <c r="J1161" i="5"/>
  <c r="K1161" i="5"/>
  <c r="T1161" i="5"/>
  <c r="H1157" i="5"/>
  <c r="I1157" i="5"/>
  <c r="F1157" i="5"/>
  <c r="M1157" i="5"/>
  <c r="R1157" i="5"/>
  <c r="J1157" i="5"/>
  <c r="P1153" i="5"/>
  <c r="O1153" i="5"/>
  <c r="J1153" i="5"/>
  <c r="S1153" i="5"/>
  <c r="H1153" i="5"/>
  <c r="M1153" i="5"/>
  <c r="F1153" i="5"/>
  <c r="R1153" i="5"/>
  <c r="K1149" i="5"/>
  <c r="T1149" i="5"/>
  <c r="R1149" i="5"/>
  <c r="G1149" i="5"/>
  <c r="J1149" i="5"/>
  <c r="Q1149" i="5"/>
  <c r="P1145" i="5"/>
  <c r="G1145" i="5"/>
  <c r="O1145" i="5"/>
  <c r="H1145" i="5"/>
  <c r="G1141" i="5"/>
  <c r="O1141" i="5"/>
  <c r="N1141" i="5"/>
  <c r="K1141" i="5"/>
  <c r="T1141" i="5"/>
  <c r="J1141" i="5"/>
  <c r="I1141" i="5"/>
  <c r="S1137" i="5"/>
  <c r="Q1137" i="5"/>
  <c r="O1137" i="5"/>
  <c r="N1133" i="5"/>
  <c r="S1133" i="5"/>
  <c r="R1133" i="5"/>
  <c r="T1133" i="5"/>
  <c r="I1133" i="5"/>
  <c r="G1129" i="5"/>
  <c r="M1129" i="5"/>
  <c r="P1129" i="5"/>
  <c r="H1129" i="5"/>
  <c r="F1129" i="5"/>
  <c r="K1129" i="5"/>
  <c r="L1129" i="5"/>
  <c r="Q1125" i="5"/>
  <c r="N1125" i="5"/>
  <c r="O1125" i="5"/>
  <c r="S1125" i="5"/>
  <c r="T1125" i="5"/>
  <c r="R1121" i="5"/>
  <c r="G1121" i="5"/>
  <c r="L1121" i="5"/>
  <c r="N1121" i="5"/>
  <c r="O1121" i="5"/>
  <c r="J1121" i="5"/>
  <c r="P1113" i="5"/>
  <c r="O1113" i="5"/>
  <c r="M1109" i="5"/>
  <c r="G1109" i="5"/>
  <c r="P1109" i="5"/>
  <c r="I1109" i="5"/>
  <c r="G1105" i="5"/>
  <c r="L1105" i="5"/>
  <c r="M1105" i="5"/>
  <c r="P1101" i="5"/>
  <c r="M1101" i="5"/>
  <c r="H1101" i="5"/>
  <c r="R1101" i="5"/>
  <c r="T1101" i="5"/>
  <c r="I1101" i="5"/>
  <c r="O1101" i="5"/>
  <c r="G1101" i="5"/>
  <c r="H1097" i="5"/>
  <c r="N1097" i="5"/>
  <c r="F1097" i="5"/>
  <c r="O1097" i="5"/>
  <c r="M1097" i="5"/>
  <c r="K1097" i="5"/>
  <c r="J1093" i="5"/>
  <c r="R1093" i="5"/>
  <c r="F1093" i="5"/>
  <c r="N1093" i="5"/>
  <c r="G1093" i="5"/>
  <c r="P1182" i="5"/>
  <c r="G1182" i="5"/>
  <c r="J1182" i="5"/>
  <c r="I1182" i="5"/>
  <c r="F1182" i="5"/>
  <c r="K1182" i="5"/>
  <c r="O1171" i="5"/>
  <c r="S1171" i="5"/>
  <c r="P1171" i="5"/>
  <c r="R1171" i="5"/>
  <c r="K1171" i="5"/>
  <c r="J1171" i="5"/>
  <c r="H1171" i="5"/>
  <c r="T1171" i="5"/>
  <c r="G1171" i="5"/>
  <c r="T1130" i="5"/>
  <c r="N1130" i="5"/>
  <c r="Q1130" i="5"/>
  <c r="L1179" i="5"/>
  <c r="N1179" i="5"/>
  <c r="O1179" i="5"/>
  <c r="P1179" i="5"/>
  <c r="I1179" i="5"/>
  <c r="K1179" i="5"/>
  <c r="G1179" i="5"/>
  <c r="Q1179" i="5"/>
  <c r="M1179" i="5"/>
  <c r="Q1175" i="5"/>
  <c r="T1175" i="5"/>
  <c r="L1175" i="5"/>
  <c r="G1175" i="5"/>
  <c r="F1175" i="5"/>
  <c r="P1175" i="5"/>
  <c r="R1175" i="5"/>
  <c r="N1175" i="5"/>
  <c r="H1175" i="5"/>
  <c r="H1167" i="5"/>
  <c r="M1167" i="5"/>
  <c r="P1167" i="5"/>
  <c r="Q1167" i="5"/>
  <c r="I1167" i="5"/>
  <c r="S1167" i="5"/>
  <c r="F1167" i="5"/>
  <c r="N1167" i="5"/>
  <c r="J1167" i="5"/>
  <c r="T1167" i="5"/>
  <c r="G1167" i="5"/>
  <c r="K1163" i="5"/>
  <c r="O1163" i="5"/>
  <c r="P1163" i="5"/>
  <c r="H1163" i="5"/>
  <c r="I1163" i="5"/>
  <c r="Q1163" i="5"/>
  <c r="J1163" i="5"/>
  <c r="T1163" i="5"/>
  <c r="H1158" i="5"/>
  <c r="K1158" i="5"/>
  <c r="Q1158" i="5"/>
  <c r="O1158" i="5"/>
  <c r="S1154" i="5"/>
  <c r="K1154" i="5"/>
  <c r="J1154" i="5"/>
  <c r="M1154" i="5"/>
  <c r="F1154" i="5"/>
  <c r="R1154" i="5"/>
  <c r="P1154" i="5"/>
  <c r="T1154" i="5"/>
  <c r="G1154" i="5"/>
  <c r="O1154" i="5"/>
  <c r="H1154" i="5"/>
  <c r="Q1154" i="5"/>
  <c r="R1150" i="5"/>
  <c r="K1150" i="5"/>
  <c r="L1150" i="5"/>
  <c r="F1150" i="5"/>
  <c r="S1150" i="5"/>
  <c r="I1146" i="5"/>
  <c r="H1146" i="5"/>
  <c r="R1146" i="5"/>
  <c r="J1146" i="5"/>
  <c r="Q1146" i="5"/>
  <c r="M1146" i="5"/>
  <c r="F1142" i="5"/>
  <c r="L1142" i="5"/>
  <c r="Q1142" i="5"/>
  <c r="O1142" i="5"/>
  <c r="P1142" i="5"/>
  <c r="N1138" i="5"/>
  <c r="S1138" i="5"/>
  <c r="F1138" i="5"/>
  <c r="O1138" i="5"/>
  <c r="R1134" i="5"/>
  <c r="O1134" i="5"/>
  <c r="T1134" i="5"/>
  <c r="I1126" i="5"/>
  <c r="K1126" i="5"/>
  <c r="H1126" i="5"/>
  <c r="T1122" i="5"/>
  <c r="L1122" i="5"/>
  <c r="J1122" i="5"/>
  <c r="M1122" i="5"/>
  <c r="S1122" i="5"/>
  <c r="N1118" i="5"/>
  <c r="O1118" i="5"/>
  <c r="M1118" i="5"/>
  <c r="S1118" i="5"/>
  <c r="Q1114" i="5"/>
  <c r="R1114" i="5"/>
  <c r="P1114" i="5"/>
  <c r="H1114" i="5"/>
  <c r="T1114" i="5"/>
  <c r="F1114" i="5"/>
  <c r="S1114" i="5"/>
  <c r="M1110" i="5"/>
  <c r="R1110" i="5"/>
  <c r="Q1110" i="5"/>
  <c r="T1110" i="5"/>
  <c r="H1110" i="5"/>
  <c r="K1106" i="5"/>
  <c r="O1106" i="5"/>
  <c r="R1106" i="5"/>
  <c r="G1106" i="5"/>
  <c r="T1106" i="5"/>
  <c r="N1102" i="5"/>
  <c r="Q1102" i="5"/>
  <c r="H1102" i="5"/>
  <c r="G1102" i="5"/>
  <c r="I1102" i="5"/>
  <c r="K1102" i="5"/>
  <c r="O1098" i="5"/>
  <c r="S1098" i="5"/>
  <c r="G1098" i="5"/>
  <c r="F1098" i="5"/>
  <c r="Q1098" i="5"/>
  <c r="N1098" i="5"/>
  <c r="K1098" i="5"/>
  <c r="S1094" i="5"/>
  <c r="F1094" i="5"/>
  <c r="M1094" i="5"/>
  <c r="I1094" i="5"/>
  <c r="Q1094" i="5"/>
  <c r="G1090" i="5"/>
  <c r="Q1090" i="5"/>
  <c r="T1090" i="5"/>
  <c r="S1090" i="5"/>
  <c r="L1138" i="5"/>
  <c r="I1090" i="5"/>
  <c r="J1090" i="5"/>
  <c r="F1163" i="5"/>
  <c r="I1110" i="5"/>
  <c r="F1102" i="5"/>
  <c r="P1110" i="5"/>
  <c r="N1163" i="5"/>
  <c r="L1102" i="5"/>
  <c r="G1137" i="5"/>
  <c r="I1137" i="5"/>
  <c r="H1137" i="5"/>
  <c r="P1137" i="5"/>
  <c r="Q1134" i="5"/>
  <c r="H1134" i="5"/>
  <c r="F1134" i="5"/>
  <c r="I1134" i="5"/>
  <c r="J1117" i="5"/>
  <c r="P1117" i="5"/>
  <c r="L1117" i="5"/>
  <c r="H1117" i="5"/>
  <c r="S1117" i="5"/>
  <c r="R1089" i="5"/>
  <c r="S1089" i="5"/>
  <c r="T1089" i="5"/>
  <c r="I1089" i="5"/>
  <c r="L1089" i="5"/>
  <c r="J1089" i="5"/>
  <c r="J1098" i="5"/>
  <c r="T1158" i="5"/>
  <c r="G1158" i="5"/>
  <c r="F1158" i="5"/>
  <c r="S1157" i="5"/>
  <c r="K1157" i="5"/>
  <c r="P1157" i="5"/>
  <c r="P1150" i="5"/>
  <c r="P1130" i="5"/>
  <c r="F1130" i="5"/>
  <c r="K1130" i="5"/>
  <c r="M1126" i="5"/>
  <c r="T1126" i="5"/>
  <c r="O1126" i="5"/>
  <c r="Q1126" i="5"/>
  <c r="I1122" i="5"/>
  <c r="F1122" i="5"/>
  <c r="H1122" i="5"/>
  <c r="Q1121" i="5"/>
  <c r="K1121" i="5"/>
  <c r="I1121" i="5"/>
  <c r="H1118" i="5"/>
  <c r="L1118" i="5"/>
  <c r="F1118" i="5"/>
  <c r="J1118" i="5"/>
  <c r="S1113" i="5"/>
  <c r="F1113" i="5"/>
  <c r="J1113" i="5"/>
  <c r="L1109" i="5"/>
  <c r="Q1109" i="5"/>
  <c r="H1109" i="5"/>
  <c r="R1105" i="5"/>
  <c r="H1105" i="5"/>
  <c r="G1180" i="5"/>
  <c r="Q1182" i="5"/>
  <c r="Q1171" i="5"/>
  <c r="K1175" i="5"/>
  <c r="M1175" i="5"/>
  <c r="L1182" i="5"/>
  <c r="N1182" i="5"/>
  <c r="N1180" i="5"/>
  <c r="F1171" i="5"/>
  <c r="R1097" i="5"/>
  <c r="T1097" i="5"/>
  <c r="K1093" i="5"/>
  <c r="S1093" i="5"/>
  <c r="R1090" i="5"/>
  <c r="L1090" i="5"/>
  <c r="I1175" i="5"/>
  <c r="T1121" i="5"/>
  <c r="J1102" i="5"/>
  <c r="H1098" i="5"/>
  <c r="M1098" i="5"/>
  <c r="I1098" i="5"/>
  <c r="Q1157" i="5"/>
  <c r="L1157" i="5"/>
  <c r="N1122" i="5"/>
  <c r="K1122" i="5"/>
  <c r="P1118" i="5"/>
  <c r="K1118" i="5"/>
  <c r="L1101" i="5"/>
  <c r="K1101" i="5"/>
  <c r="N1101" i="5"/>
  <c r="G1163" i="5"/>
  <c r="I1125" i="5"/>
  <c r="M1180" i="5"/>
  <c r="T1176" i="5"/>
  <c r="O1146" i="5"/>
  <c r="P1138" i="5"/>
  <c r="F1126" i="5"/>
  <c r="O1176" i="5"/>
  <c r="J1164" i="5"/>
  <c r="T1164" i="5"/>
  <c r="G1153" i="5"/>
  <c r="P1141" i="5"/>
  <c r="T1137" i="5"/>
  <c r="S1097" i="5"/>
  <c r="J1145" i="5"/>
  <c r="Q1097" i="5"/>
  <c r="R1141" i="5"/>
  <c r="M1149" i="5"/>
  <c r="H1141" i="5"/>
  <c r="S1109" i="5"/>
  <c r="G1161" i="5"/>
  <c r="M1093" i="5"/>
  <c r="M1113" i="5"/>
  <c r="Q1113" i="5"/>
  <c r="Q1164" i="5"/>
  <c r="O1133" i="5"/>
  <c r="P1133" i="5"/>
  <c r="K1172" i="5"/>
  <c r="I1168" i="5"/>
  <c r="P1168" i="5"/>
  <c r="S1129" i="5"/>
  <c r="F1180" i="5"/>
  <c r="K1176" i="5"/>
  <c r="I1161" i="5"/>
  <c r="Q1141" i="5"/>
  <c r="R1125" i="5"/>
  <c r="G1113" i="5"/>
  <c r="K1168" i="5"/>
  <c r="F1161" i="5"/>
  <c r="T1105" i="5"/>
  <c r="F1110" i="5"/>
  <c r="K1138" i="5"/>
  <c r="H1142" i="5"/>
  <c r="M1150" i="5"/>
  <c r="J1106" i="5"/>
  <c r="O1182" i="5"/>
  <c r="H1179" i="5"/>
  <c r="I1171" i="5"/>
  <c r="L1167" i="5"/>
  <c r="L1163" i="5"/>
  <c r="S1158" i="5"/>
  <c r="N1154" i="5"/>
  <c r="I1154" i="5"/>
  <c r="P1146" i="5"/>
  <c r="I1130" i="5"/>
  <c r="G1114" i="5"/>
  <c r="K1110" i="5"/>
  <c r="F1106" i="5"/>
  <c r="L1098" i="5"/>
  <c r="D2880" i="44"/>
  <c r="E3290" i="44"/>
  <c r="A3290" i="44" s="1"/>
  <c r="I187" i="32"/>
  <c r="J748" i="3"/>
  <c r="J45" i="34" s="1"/>
  <c r="I57" i="34"/>
  <c r="I65" i="34"/>
  <c r="I10" i="34"/>
  <c r="E429" i="3"/>
  <c r="K53" i="32" s="1"/>
  <c r="H72" i="34"/>
  <c r="E3323" i="44"/>
  <c r="A3323" i="44" s="1"/>
  <c r="B879" i="3"/>
  <c r="E3247" i="44"/>
  <c r="A3247" i="44" s="1"/>
  <c r="E3182" i="44"/>
  <c r="A3182" i="44" s="1"/>
  <c r="I197" i="24"/>
  <c r="I133" i="32"/>
  <c r="C194" i="24"/>
  <c r="K130" i="32"/>
  <c r="F197" i="24"/>
  <c r="F133" i="32"/>
  <c r="C473" i="5"/>
  <c r="K128" i="32"/>
  <c r="H197" i="24"/>
  <c r="H133" i="32"/>
  <c r="E197" i="24"/>
  <c r="E133" i="32"/>
  <c r="G197" i="24"/>
  <c r="G133" i="32"/>
  <c r="C467" i="5"/>
  <c r="K126" i="32"/>
  <c r="C131" i="32"/>
  <c r="K131" i="32"/>
  <c r="G20" i="25"/>
  <c r="K127" i="32"/>
  <c r="C485" i="5"/>
  <c r="K132" i="32"/>
  <c r="D1666" i="44"/>
  <c r="B1667" i="44"/>
  <c r="B1668" i="44" s="1"/>
  <c r="D1668" i="44" s="1"/>
  <c r="B2753" i="44"/>
  <c r="B2754" i="44" s="1"/>
  <c r="B2755" i="44" s="1"/>
  <c r="D2755" i="44" s="1"/>
  <c r="D2752" i="44"/>
  <c r="B2273" i="44"/>
  <c r="D2273" i="44" s="1"/>
  <c r="D2272" i="44"/>
  <c r="E3248" i="44"/>
  <c r="A3248" i="44" s="1"/>
  <c r="J789" i="3"/>
  <c r="T789" i="3" s="1"/>
  <c r="I19" i="34"/>
  <c r="E3280" i="44"/>
  <c r="A3280" i="44" s="1"/>
  <c r="H49" i="34"/>
  <c r="E3211" i="44"/>
  <c r="A3211" i="44" s="1"/>
  <c r="I94" i="34"/>
  <c r="J797" i="3"/>
  <c r="T797" i="3" s="1"/>
  <c r="D2945" i="44"/>
  <c r="D600" i="44"/>
  <c r="D604" i="44"/>
  <c r="D608" i="44"/>
  <c r="B763" i="44"/>
  <c r="D764" i="44" s="1"/>
  <c r="I22" i="34"/>
  <c r="E3339" i="44"/>
  <c r="A3339" i="44" s="1"/>
  <c r="E3355" i="44"/>
  <c r="A3355" i="44" s="1"/>
  <c r="R1179" i="5"/>
  <c r="F1179" i="5"/>
  <c r="T1150" i="5"/>
  <c r="H1150" i="5"/>
  <c r="O1150" i="5"/>
  <c r="J1150" i="5"/>
  <c r="F1146" i="5"/>
  <c r="K1146" i="5"/>
  <c r="L1146" i="5"/>
  <c r="S1146" i="5"/>
  <c r="N1146" i="5"/>
  <c r="M1142" i="5"/>
  <c r="T1142" i="5"/>
  <c r="G1142" i="5"/>
  <c r="J1142" i="5"/>
  <c r="I1142" i="5"/>
  <c r="R1142" i="5"/>
  <c r="S1142" i="5"/>
  <c r="M1138" i="5"/>
  <c r="I1138" i="5"/>
  <c r="R1138" i="5"/>
  <c r="G1138" i="5"/>
  <c r="M1134" i="5"/>
  <c r="J1134" i="5"/>
  <c r="J1130" i="5"/>
  <c r="G1130" i="5"/>
  <c r="S1130" i="5"/>
  <c r="M1130" i="5"/>
  <c r="N1126" i="5"/>
  <c r="R1126" i="5"/>
  <c r="J1126" i="5"/>
  <c r="O1114" i="5"/>
  <c r="K1114" i="5"/>
  <c r="L1114" i="5"/>
  <c r="J1114" i="5"/>
  <c r="N1110" i="5"/>
  <c r="L1110" i="5"/>
  <c r="H1106" i="5"/>
  <c r="N1106" i="5"/>
  <c r="L1094" i="5"/>
  <c r="O1094" i="5"/>
  <c r="O1090" i="5"/>
  <c r="N1090" i="5"/>
  <c r="E746" i="44"/>
  <c r="A746" i="44" s="1"/>
  <c r="I74" i="24"/>
  <c r="H12" i="34"/>
  <c r="E3174" i="44"/>
  <c r="A3174" i="44" s="1"/>
  <c r="E3274" i="44"/>
  <c r="A3274" i="44" s="1"/>
  <c r="I13" i="34"/>
  <c r="H27" i="34"/>
  <c r="E3189" i="44"/>
  <c r="A3189" i="44" s="1"/>
  <c r="J716" i="3"/>
  <c r="T716" i="3" s="1"/>
  <c r="H36" i="34"/>
  <c r="J739" i="3"/>
  <c r="J36" i="34" s="1"/>
  <c r="N381" i="3"/>
  <c r="G133" i="24" s="1"/>
  <c r="C381" i="3"/>
  <c r="E3249" i="44"/>
  <c r="A3249" i="44" s="1"/>
  <c r="H87" i="34"/>
  <c r="H7" i="34"/>
  <c r="E3169" i="44"/>
  <c r="A3169" i="44" s="1"/>
  <c r="H258" i="24"/>
  <c r="I196" i="32"/>
  <c r="H227" i="24"/>
  <c r="I165" i="32"/>
  <c r="E3250" i="44"/>
  <c r="A3250" i="44" s="1"/>
  <c r="H88" i="34"/>
  <c r="H241" i="24"/>
  <c r="I179" i="32"/>
  <c r="J723" i="3"/>
  <c r="T723" i="3" s="1"/>
  <c r="J788" i="3"/>
  <c r="J85" i="34" s="1"/>
  <c r="J718" i="3"/>
  <c r="J15" i="34" s="1"/>
  <c r="J761" i="3"/>
  <c r="T761" i="3" s="1"/>
  <c r="C115" i="24"/>
  <c r="I58" i="34"/>
  <c r="H63" i="34"/>
  <c r="M381" i="3"/>
  <c r="F133" i="24" s="1"/>
  <c r="D381" i="3"/>
  <c r="E90" i="32" s="1"/>
  <c r="K381" i="3"/>
  <c r="D107" i="32" s="1"/>
  <c r="J790" i="3"/>
  <c r="J87" i="34" s="1"/>
  <c r="E3212" i="44"/>
  <c r="A3212" i="44" s="1"/>
  <c r="I61" i="34"/>
  <c r="E3286" i="44"/>
  <c r="A3286" i="44" s="1"/>
  <c r="I381" i="3"/>
  <c r="E3219" i="44"/>
  <c r="A3219" i="44" s="1"/>
  <c r="O381" i="3"/>
  <c r="J721" i="3"/>
  <c r="J18" i="34" s="1"/>
  <c r="E381" i="3"/>
  <c r="F90" i="32" s="1"/>
  <c r="E3200" i="44"/>
  <c r="A3200" i="44" s="1"/>
  <c r="F381" i="3"/>
  <c r="G90" i="32" s="1"/>
  <c r="C90" i="32"/>
  <c r="E3331" i="44"/>
  <c r="A3331" i="44" s="1"/>
  <c r="J381" i="3"/>
  <c r="P381" i="3"/>
  <c r="I133" i="24" s="1"/>
  <c r="L381" i="3"/>
  <c r="E133" i="24" s="1"/>
  <c r="E3167" i="44"/>
  <c r="A3167" i="44" s="1"/>
  <c r="E283" i="44"/>
  <c r="A283" i="44" s="1"/>
  <c r="E284" i="44"/>
  <c r="A284" i="44" s="1"/>
  <c r="J793" i="3"/>
  <c r="J90" i="34" s="1"/>
  <c r="J745" i="3"/>
  <c r="J42" i="34" s="1"/>
  <c r="E3220" i="44"/>
  <c r="A3220" i="44" s="1"/>
  <c r="I199" i="32"/>
  <c r="I83" i="34"/>
  <c r="E3337" i="44"/>
  <c r="A3337" i="44" s="1"/>
  <c r="E3347" i="44"/>
  <c r="A3347" i="44" s="1"/>
  <c r="H30" i="34"/>
  <c r="E3357" i="44"/>
  <c r="A3357" i="44" s="1"/>
  <c r="H48" i="34"/>
  <c r="I67" i="24"/>
  <c r="C446" i="5"/>
  <c r="E30" i="24"/>
  <c r="I68" i="24"/>
  <c r="B99" i="30"/>
  <c r="H66" i="34"/>
  <c r="C463" i="5"/>
  <c r="H37" i="34"/>
  <c r="H47" i="34"/>
  <c r="I205" i="32"/>
  <c r="E3237" i="44"/>
  <c r="A3237" i="44" s="1"/>
  <c r="D125" i="30"/>
  <c r="I102" i="34"/>
  <c r="J760" i="3"/>
  <c r="T760" i="3" s="1"/>
  <c r="E3265" i="44"/>
  <c r="A3265" i="44" s="1"/>
  <c r="I70" i="24"/>
  <c r="D184" i="24"/>
  <c r="H255" i="24"/>
  <c r="I193" i="32"/>
  <c r="I65" i="24"/>
  <c r="B45" i="30"/>
  <c r="I155" i="32"/>
  <c r="H217" i="24"/>
  <c r="E3335" i="44"/>
  <c r="A3335" i="44" s="1"/>
  <c r="J740" i="3"/>
  <c r="J37" i="34" s="1"/>
  <c r="J769" i="3"/>
  <c r="J66" i="34" s="1"/>
  <c r="H69" i="34"/>
  <c r="I69" i="34"/>
  <c r="E3341" i="44"/>
  <c r="A3341" i="44" s="1"/>
  <c r="I80" i="34"/>
  <c r="J724" i="3"/>
  <c r="J21" i="34" s="1"/>
  <c r="J713" i="3"/>
  <c r="H86" i="34"/>
  <c r="I92" i="34"/>
  <c r="J722" i="3"/>
  <c r="T722" i="3" s="1"/>
  <c r="E3307" i="44"/>
  <c r="A3307" i="44" s="1"/>
  <c r="I46" i="34"/>
  <c r="H40" i="34"/>
  <c r="J783" i="3"/>
  <c r="J80" i="34" s="1"/>
  <c r="J752" i="3"/>
  <c r="J49" i="34" s="1"/>
  <c r="H79" i="34"/>
  <c r="H21" i="34"/>
  <c r="E3172" i="44"/>
  <c r="A3172" i="44" s="1"/>
  <c r="I28" i="34"/>
  <c r="E3259" i="44"/>
  <c r="A3259" i="44" s="1"/>
  <c r="I163" i="32"/>
  <c r="J799" i="3"/>
  <c r="T799" i="3" s="1"/>
  <c r="T1173" i="5"/>
  <c r="M1152" i="5"/>
  <c r="S1173" i="5"/>
  <c r="Q1136" i="5"/>
  <c r="H1140" i="5"/>
  <c r="F1144" i="5"/>
  <c r="G1177" i="5"/>
  <c r="I1156" i="5"/>
  <c r="K1165" i="5"/>
  <c r="D66" i="32"/>
  <c r="J130" i="3"/>
  <c r="K130" i="3" s="1"/>
  <c r="E78" i="24" s="1"/>
  <c r="E3364" i="44"/>
  <c r="A3364" i="44" s="1"/>
  <c r="J806" i="3"/>
  <c r="I36" i="34"/>
  <c r="E3297" i="44"/>
  <c r="A3297" i="44" s="1"/>
  <c r="H60" i="34"/>
  <c r="E3222" i="44"/>
  <c r="A3222" i="44" s="1"/>
  <c r="E3328" i="44"/>
  <c r="A3328" i="44" s="1"/>
  <c r="I67" i="34"/>
  <c r="D3072" i="44"/>
  <c r="D607" i="44"/>
  <c r="D599" i="44"/>
  <c r="D2017" i="44"/>
  <c r="J1179" i="5"/>
  <c r="L1171" i="5"/>
  <c r="S1179" i="5"/>
  <c r="T1138" i="5"/>
  <c r="D602" i="44"/>
  <c r="B2882" i="44"/>
  <c r="D2882" i="44" s="1"/>
  <c r="B1793" i="44"/>
  <c r="B1794" i="44" s="1"/>
  <c r="E3298" i="44"/>
  <c r="A3298" i="44" s="1"/>
  <c r="I32" i="34"/>
  <c r="J800" i="3"/>
  <c r="J97" i="34" s="1"/>
  <c r="E3177" i="44"/>
  <c r="A3177" i="44" s="1"/>
  <c r="J730" i="3"/>
  <c r="J27" i="34" s="1"/>
  <c r="J794" i="3"/>
  <c r="T794" i="3" s="1"/>
  <c r="I82" i="34"/>
  <c r="I60" i="34"/>
  <c r="J784" i="3"/>
  <c r="J81" i="34" s="1"/>
  <c r="E3262" i="44"/>
  <c r="A3262" i="44" s="1"/>
  <c r="J795" i="3"/>
  <c r="J92" i="34" s="1"/>
  <c r="E3258" i="44"/>
  <c r="A3258" i="44" s="1"/>
  <c r="J710" i="3"/>
  <c r="J7" i="34" s="1"/>
  <c r="E3198" i="44"/>
  <c r="A3198" i="44" s="1"/>
  <c r="I103" i="34"/>
  <c r="J771" i="3"/>
  <c r="I18" i="34"/>
  <c r="E3245" i="44"/>
  <c r="A3245" i="44" s="1"/>
  <c r="J738" i="3"/>
  <c r="T738" i="3" s="1"/>
  <c r="A858" i="5"/>
  <c r="E858" i="5" s="1"/>
  <c r="I35" i="34"/>
  <c r="F1176" i="5"/>
  <c r="G1176" i="5"/>
  <c r="N1176" i="5"/>
  <c r="N1172" i="5"/>
  <c r="I1172" i="5"/>
  <c r="J1172" i="5"/>
  <c r="S1172" i="5"/>
  <c r="O1172" i="5"/>
  <c r="N1168" i="5"/>
  <c r="R1168" i="5"/>
  <c r="Q1168" i="5"/>
  <c r="M1168" i="5"/>
  <c r="H1168" i="5"/>
  <c r="T1168" i="5"/>
  <c r="O1164" i="5"/>
  <c r="R1164" i="5"/>
  <c r="L1161" i="5"/>
  <c r="Q1161" i="5"/>
  <c r="M1161" i="5"/>
  <c r="P1161" i="5"/>
  <c r="O1161" i="5"/>
  <c r="H1161" i="5"/>
  <c r="Q1153" i="5"/>
  <c r="T1153" i="5"/>
  <c r="L1153" i="5"/>
  <c r="F1149" i="5"/>
  <c r="H1149" i="5"/>
  <c r="S1149" i="5"/>
  <c r="L1149" i="5"/>
  <c r="M1145" i="5"/>
  <c r="T1145" i="5"/>
  <c r="Q1145" i="5"/>
  <c r="L1145" i="5"/>
  <c r="I1145" i="5"/>
  <c r="K1145" i="5"/>
  <c r="M1141" i="5"/>
  <c r="S1141" i="5"/>
  <c r="K1133" i="5"/>
  <c r="F1133" i="5"/>
  <c r="L1133" i="5"/>
  <c r="H1133" i="5"/>
  <c r="J1133" i="5"/>
  <c r="Q1129" i="5"/>
  <c r="T1129" i="5"/>
  <c r="I1129" i="5"/>
  <c r="R1129" i="5"/>
  <c r="N1129" i="5"/>
  <c r="M1125" i="5"/>
  <c r="J1125" i="5"/>
  <c r="K1125" i="5"/>
  <c r="L1125" i="5"/>
  <c r="H1125" i="5"/>
  <c r="F1125" i="5"/>
  <c r="S1121" i="5"/>
  <c r="F1121" i="5"/>
  <c r="M1117" i="5"/>
  <c r="F1117" i="5"/>
  <c r="L1113" i="5"/>
  <c r="T1113" i="5"/>
  <c r="T1109" i="5"/>
  <c r="J1109" i="5"/>
  <c r="N1109" i="5"/>
  <c r="O1105" i="5"/>
  <c r="S1105" i="5"/>
  <c r="Q1105" i="5"/>
  <c r="I1105" i="5"/>
  <c r="F1105" i="5"/>
  <c r="K1105" i="5"/>
  <c r="J1097" i="5"/>
  <c r="I1097" i="5"/>
  <c r="P1093" i="5"/>
  <c r="H1093" i="5"/>
  <c r="O1093" i="5"/>
  <c r="L1093" i="5"/>
  <c r="O1089" i="5"/>
  <c r="G1089" i="5"/>
  <c r="G1183" i="5"/>
  <c r="J1183" i="5"/>
  <c r="R1178" i="5"/>
  <c r="K1178" i="5"/>
  <c r="N1178" i="5"/>
  <c r="O1174" i="5"/>
  <c r="Q1174" i="5"/>
  <c r="R1174" i="5"/>
  <c r="I1174" i="5"/>
  <c r="M1174" i="5"/>
  <c r="L1170" i="5"/>
  <c r="R1170" i="5"/>
  <c r="O1170" i="5"/>
  <c r="F1170" i="5"/>
  <c r="I1170" i="5"/>
  <c r="N1166" i="5"/>
  <c r="R1166" i="5"/>
  <c r="L1166" i="5"/>
  <c r="J1162" i="5"/>
  <c r="T1162" i="5"/>
  <c r="I1162" i="5"/>
  <c r="H1162" i="5"/>
  <c r="L1162" i="5"/>
  <c r="P1162" i="5"/>
  <c r="F1162" i="5"/>
  <c r="R1159" i="5"/>
  <c r="P1159" i="5"/>
  <c r="K1155" i="5"/>
  <c r="J1155" i="5"/>
  <c r="M1147" i="5"/>
  <c r="S1147" i="5"/>
  <c r="N1147" i="5"/>
  <c r="K1147" i="5"/>
  <c r="R1147" i="5"/>
  <c r="T1143" i="5"/>
  <c r="I1143" i="5"/>
  <c r="F1143" i="5"/>
  <c r="L1143" i="5"/>
  <c r="M1143" i="5"/>
  <c r="N1143" i="5"/>
  <c r="K1143" i="5"/>
  <c r="O1139" i="5"/>
  <c r="G1139" i="5"/>
  <c r="S1139" i="5"/>
  <c r="J1139" i="5"/>
  <c r="M1131" i="5"/>
  <c r="P1131" i="5"/>
  <c r="O1131" i="5"/>
  <c r="Q1131" i="5"/>
  <c r="N1131" i="5"/>
  <c r="R1131" i="5"/>
  <c r="G1131" i="5"/>
  <c r="Q1127" i="5"/>
  <c r="F1127" i="5"/>
  <c r="M1127" i="5"/>
  <c r="S1127" i="5"/>
  <c r="T1127" i="5"/>
  <c r="I1127" i="5"/>
  <c r="O1119" i="5"/>
  <c r="K1119" i="5"/>
  <c r="G1119" i="5"/>
  <c r="O1111" i="5"/>
  <c r="H1111" i="5"/>
  <c r="M1111" i="5"/>
  <c r="O1087" i="5"/>
  <c r="M1087" i="5"/>
  <c r="E3186" i="44"/>
  <c r="A3186" i="44" s="1"/>
  <c r="H24" i="34"/>
  <c r="E3175" i="44"/>
  <c r="A3175" i="44" s="1"/>
  <c r="H13" i="34"/>
  <c r="E3257" i="44"/>
  <c r="A3257" i="44" s="1"/>
  <c r="H95" i="34"/>
  <c r="E3218" i="44"/>
  <c r="A3218" i="44" s="1"/>
  <c r="J759" i="3"/>
  <c r="H56" i="34"/>
  <c r="E3332" i="44"/>
  <c r="A3332" i="44" s="1"/>
  <c r="I71" i="34"/>
  <c r="H90" i="34"/>
  <c r="E3252" i="44"/>
  <c r="A3252" i="44" s="1"/>
  <c r="E3303" i="44"/>
  <c r="A3303" i="44" s="1"/>
  <c r="I42" i="34"/>
  <c r="B440" i="3"/>
  <c r="A851" i="5"/>
  <c r="E851" i="5" s="1"/>
  <c r="H1160" i="5"/>
  <c r="J1160" i="5"/>
  <c r="F1152" i="5"/>
  <c r="L1152" i="5"/>
  <c r="O1152" i="5"/>
  <c r="R1152" i="5"/>
  <c r="H1152" i="5"/>
  <c r="I1144" i="5"/>
  <c r="L1144" i="5"/>
  <c r="Q1144" i="5"/>
  <c r="P1144" i="5"/>
  <c r="O1128" i="5"/>
  <c r="R1128" i="5"/>
  <c r="J1120" i="5"/>
  <c r="T1120" i="5"/>
  <c r="Q1120" i="5"/>
  <c r="P1116" i="5"/>
  <c r="O1116" i="5"/>
  <c r="L1116" i="5"/>
  <c r="I1112" i="5"/>
  <c r="M1112" i="5"/>
  <c r="O1112" i="5"/>
  <c r="G1108" i="5"/>
  <c r="N1108" i="5"/>
  <c r="I1108" i="5"/>
  <c r="K1108" i="5"/>
  <c r="R1108" i="5"/>
  <c r="F1108" i="5"/>
  <c r="F1104" i="5"/>
  <c r="L1104" i="5"/>
  <c r="I1104" i="5"/>
  <c r="F1100" i="5"/>
  <c r="G1100" i="5"/>
  <c r="P1100" i="5"/>
  <c r="O1096" i="5"/>
  <c r="N1096" i="5"/>
  <c r="H1096" i="5"/>
  <c r="K1096" i="5"/>
  <c r="T1096" i="5"/>
  <c r="J1096" i="5"/>
  <c r="M1092" i="5"/>
  <c r="T1092" i="5"/>
  <c r="N1092" i="5"/>
  <c r="P1092" i="5"/>
  <c r="T1182" i="5"/>
  <c r="H1182" i="5"/>
  <c r="R1167" i="5"/>
  <c r="O1167" i="5"/>
  <c r="P1158" i="5"/>
  <c r="R1158" i="5"/>
  <c r="J1158" i="5"/>
  <c r="I1114" i="5"/>
  <c r="M1114" i="5"/>
  <c r="G1110" i="5"/>
  <c r="J1110" i="5"/>
  <c r="S1110" i="5"/>
  <c r="M1106" i="5"/>
  <c r="S1106" i="5"/>
  <c r="L1106" i="5"/>
  <c r="Q1106" i="5"/>
  <c r="T1102" i="5"/>
  <c r="O1102" i="5"/>
  <c r="P1102" i="5"/>
  <c r="R1094" i="5"/>
  <c r="K1094" i="5"/>
  <c r="J1094" i="5"/>
  <c r="G1094" i="5"/>
  <c r="T1094" i="5"/>
  <c r="N1094" i="5"/>
  <c r="H1094" i="5"/>
  <c r="A1189" i="5"/>
  <c r="R1189" i="5" s="1"/>
  <c r="B1086" i="5"/>
  <c r="A877" i="5"/>
  <c r="E877" i="5" s="1"/>
  <c r="A881" i="5"/>
  <c r="C881" i="5" s="1"/>
  <c r="A879" i="5"/>
  <c r="D879" i="5" s="1"/>
  <c r="A875" i="5"/>
  <c r="C875" i="5" s="1"/>
  <c r="A878" i="5"/>
  <c r="C878" i="5" s="1"/>
  <c r="A882" i="5"/>
  <c r="C882" i="5" s="1"/>
  <c r="A876" i="5"/>
  <c r="D876" i="5" s="1"/>
  <c r="A880" i="5"/>
  <c r="C880" i="5" s="1"/>
  <c r="A1188" i="5"/>
  <c r="C1188" i="5" s="1"/>
  <c r="A857" i="5"/>
  <c r="E857" i="5" s="1"/>
  <c r="A852" i="5"/>
  <c r="F852" i="5" s="1"/>
  <c r="A855" i="5"/>
  <c r="H855" i="5" s="1"/>
  <c r="A854" i="5"/>
  <c r="C854" i="5" s="1"/>
  <c r="A856" i="5"/>
  <c r="G856" i="5" s="1"/>
  <c r="A853" i="5"/>
  <c r="C853" i="5" s="1"/>
  <c r="A859" i="5"/>
  <c r="H859" i="5" s="1"/>
  <c r="B1191" i="5"/>
  <c r="A1190" i="5"/>
  <c r="L1190" i="5" s="1"/>
  <c r="F1085" i="5"/>
  <c r="H53" i="34"/>
  <c r="E3215" i="44"/>
  <c r="A3215" i="44" s="1"/>
  <c r="E3282" i="44"/>
  <c r="A3282" i="44" s="1"/>
  <c r="I21" i="34"/>
  <c r="E3239" i="44"/>
  <c r="A3239" i="44" s="1"/>
  <c r="J780" i="3"/>
  <c r="E3233" i="44"/>
  <c r="A3233" i="44" s="1"/>
  <c r="J774" i="3"/>
  <c r="H71" i="34"/>
  <c r="I87" i="34"/>
  <c r="E3348" i="44"/>
  <c r="A3348" i="44" s="1"/>
  <c r="E3277" i="44"/>
  <c r="A3277" i="44" s="1"/>
  <c r="I16" i="34"/>
  <c r="H42" i="34"/>
  <c r="E3204" i="44"/>
  <c r="A3204" i="44" s="1"/>
  <c r="L1085" i="5"/>
  <c r="I85" i="34"/>
  <c r="E3346" i="44"/>
  <c r="A3346" i="44" s="1"/>
  <c r="I15" i="34"/>
  <c r="E3276" i="44"/>
  <c r="A3276" i="44" s="1"/>
  <c r="I23" i="34"/>
  <c r="E3284" i="44"/>
  <c r="A3284" i="44" s="1"/>
  <c r="E3181" i="44"/>
  <c r="A3181" i="44" s="1"/>
  <c r="H19" i="34"/>
  <c r="I17" i="34"/>
  <c r="E3278" i="44"/>
  <c r="A3278" i="44" s="1"/>
  <c r="O1085" i="5"/>
  <c r="J1085" i="5"/>
  <c r="S1085" i="5"/>
  <c r="T1085" i="5"/>
  <c r="R1085" i="5"/>
  <c r="D836" i="44"/>
  <c r="B2948" i="44"/>
  <c r="D2948" i="44" s="1"/>
  <c r="B2194" i="44"/>
  <c r="D2194" i="44" s="1"/>
  <c r="D479" i="44"/>
  <c r="D700" i="44"/>
  <c r="B1889" i="44"/>
  <c r="D1889" i="44" s="1"/>
  <c r="E3269" i="44"/>
  <c r="A3269" i="44" s="1"/>
  <c r="C928" i="5"/>
  <c r="J197" i="24"/>
  <c r="I67" i="3"/>
  <c r="D77" i="24"/>
  <c r="D2800" i="44"/>
  <c r="D2946" i="44"/>
  <c r="D2160" i="44"/>
  <c r="D477" i="44"/>
  <c r="D699" i="44"/>
  <c r="D761" i="44"/>
  <c r="D2562" i="44"/>
  <c r="D1665" i="44"/>
  <c r="E3246" i="44"/>
  <c r="A3246" i="44" s="1"/>
  <c r="H84" i="34"/>
  <c r="I26" i="34"/>
  <c r="E3287" i="44"/>
  <c r="A3287" i="44" s="1"/>
  <c r="B1906" i="44"/>
  <c r="B1907" i="44" s="1"/>
  <c r="D1907" i="44" s="1"/>
  <c r="B609" i="44"/>
  <c r="D612" i="44" s="1"/>
  <c r="D601" i="44"/>
  <c r="D605" i="44"/>
  <c r="B2593" i="44"/>
  <c r="D2593" i="44" s="1"/>
  <c r="D603" i="44"/>
  <c r="B3009" i="44"/>
  <c r="D3009" i="44" s="1"/>
  <c r="J731" i="3"/>
  <c r="J28" i="34" s="1"/>
  <c r="I37" i="34"/>
  <c r="E3322" i="44"/>
  <c r="A3322" i="44" s="1"/>
  <c r="J735" i="3"/>
  <c r="T735" i="3" s="1"/>
  <c r="I27" i="34"/>
  <c r="E3256" i="44"/>
  <c r="A3256" i="44" s="1"/>
  <c r="H94" i="34"/>
  <c r="E3223" i="44"/>
  <c r="A3223" i="44" s="1"/>
  <c r="H61" i="34"/>
  <c r="F134" i="24"/>
  <c r="F108" i="32"/>
  <c r="J763" i="3"/>
  <c r="G1085" i="5"/>
  <c r="I1085" i="5"/>
  <c r="Q1085" i="5"/>
  <c r="H1085" i="5"/>
  <c r="K1085" i="5"/>
  <c r="M1085" i="5"/>
  <c r="I14" i="34"/>
  <c r="E3275" i="44"/>
  <c r="A3275" i="44" s="1"/>
  <c r="H74" i="34"/>
  <c r="J777" i="3"/>
  <c r="E3236" i="44"/>
  <c r="A3236" i="44" s="1"/>
  <c r="E3213" i="44"/>
  <c r="A3213" i="44" s="1"/>
  <c r="J754" i="3"/>
  <c r="H51" i="34"/>
  <c r="E3184" i="44"/>
  <c r="A3184" i="44" s="1"/>
  <c r="J725" i="3"/>
  <c r="H22" i="34"/>
  <c r="H78" i="34"/>
  <c r="E3240" i="44"/>
  <c r="A3240" i="44" s="1"/>
  <c r="J781" i="3"/>
  <c r="I89" i="34"/>
  <c r="E3350" i="44"/>
  <c r="A3350" i="44" s="1"/>
  <c r="H102" i="34"/>
  <c r="E3264" i="44"/>
  <c r="A3264" i="44" s="1"/>
  <c r="J805" i="3"/>
  <c r="H25" i="34"/>
  <c r="E3187" i="44"/>
  <c r="A3187" i="44" s="1"/>
  <c r="J728" i="3"/>
  <c r="H70" i="34"/>
  <c r="J773" i="3"/>
  <c r="E3232" i="44"/>
  <c r="A3232" i="44" s="1"/>
  <c r="E3312" i="44"/>
  <c r="A3312" i="44" s="1"/>
  <c r="I51" i="34"/>
  <c r="J757" i="3"/>
  <c r="H54" i="34"/>
  <c r="E3216" i="44"/>
  <c r="A3216" i="44" s="1"/>
  <c r="J762" i="3"/>
  <c r="H59" i="34"/>
  <c r="E3221" i="44"/>
  <c r="A3221" i="44" s="1"/>
  <c r="H101" i="34"/>
  <c r="E3263" i="44"/>
  <c r="A3263" i="44" s="1"/>
  <c r="H43" i="34"/>
  <c r="E3205" i="44"/>
  <c r="A3205" i="44" s="1"/>
  <c r="J746" i="3"/>
  <c r="E3214" i="44"/>
  <c r="A3214" i="44" s="1"/>
  <c r="J755" i="3"/>
  <c r="H52" i="34"/>
  <c r="H91" i="32"/>
  <c r="H116" i="24"/>
  <c r="G116" i="24"/>
  <c r="G91" i="32"/>
  <c r="J801" i="3"/>
  <c r="H98" i="34"/>
  <c r="E3260" i="44"/>
  <c r="A3260" i="44" s="1"/>
  <c r="J779" i="3"/>
  <c r="E3238" i="44"/>
  <c r="A3238" i="44" s="1"/>
  <c r="H76" i="34"/>
  <c r="J776" i="3"/>
  <c r="E3334" i="44"/>
  <c r="A3334" i="44" s="1"/>
  <c r="I73" i="34"/>
  <c r="H73" i="34"/>
  <c r="E3235" i="44"/>
  <c r="A3235" i="44" s="1"/>
  <c r="H46" i="34"/>
  <c r="E3208" i="44"/>
  <c r="A3208" i="44" s="1"/>
  <c r="J749" i="3"/>
  <c r="H44" i="34"/>
  <c r="E3206" i="44"/>
  <c r="A3206" i="44" s="1"/>
  <c r="I43" i="34"/>
  <c r="E3304" i="44"/>
  <c r="A3304" i="44" s="1"/>
  <c r="E3193" i="44"/>
  <c r="A3193" i="44" s="1"/>
  <c r="J734" i="3"/>
  <c r="H31" i="34"/>
  <c r="H29" i="34"/>
  <c r="E3191" i="44"/>
  <c r="A3191" i="44" s="1"/>
  <c r="J732" i="3"/>
  <c r="J729" i="3"/>
  <c r="H26" i="34"/>
  <c r="E3188" i="44"/>
  <c r="A3188" i="44" s="1"/>
  <c r="E3281" i="44"/>
  <c r="A3281" i="44" s="1"/>
  <c r="I20" i="34"/>
  <c r="H14" i="34"/>
  <c r="E3176" i="44"/>
  <c r="A3176" i="44" s="1"/>
  <c r="J717" i="3"/>
  <c r="H99" i="34"/>
  <c r="E3261" i="44"/>
  <c r="A3261" i="44" s="1"/>
  <c r="J802" i="3"/>
  <c r="I98" i="34"/>
  <c r="E3359" i="44"/>
  <c r="A3359" i="44" s="1"/>
  <c r="E3356" i="44"/>
  <c r="A3356" i="44" s="1"/>
  <c r="I95" i="34"/>
  <c r="J798" i="3"/>
  <c r="E3255" i="44"/>
  <c r="A3255" i="44" s="1"/>
  <c r="J796" i="3"/>
  <c r="H93" i="34"/>
  <c r="H89" i="34"/>
  <c r="E3251" i="44"/>
  <c r="A3251" i="44" s="1"/>
  <c r="J792" i="3"/>
  <c r="H82" i="34"/>
  <c r="J785" i="3"/>
  <c r="E3244" i="44"/>
  <c r="A3244" i="44" s="1"/>
  <c r="E3229" i="44"/>
  <c r="A3229" i="44" s="1"/>
  <c r="J770" i="3"/>
  <c r="H67" i="34"/>
  <c r="I66" i="34"/>
  <c r="E3327" i="44"/>
  <c r="A3327" i="44" s="1"/>
  <c r="H65" i="34"/>
  <c r="E3227" i="44"/>
  <c r="A3227" i="44" s="1"/>
  <c r="J768" i="3"/>
  <c r="H64" i="34"/>
  <c r="E3226" i="44"/>
  <c r="A3226" i="44" s="1"/>
  <c r="J767" i="3"/>
  <c r="I63" i="34"/>
  <c r="J766" i="3"/>
  <c r="E3324" i="44"/>
  <c r="A3324" i="44" s="1"/>
  <c r="H62" i="34"/>
  <c r="J765" i="3"/>
  <c r="E3224" i="44"/>
  <c r="A3224" i="44" s="1"/>
  <c r="J758" i="3"/>
  <c r="E3316" i="44"/>
  <c r="A3316" i="44" s="1"/>
  <c r="I55" i="34"/>
  <c r="I49" i="34"/>
  <c r="E3310" i="44"/>
  <c r="A3310" i="44" s="1"/>
  <c r="I40" i="34"/>
  <c r="E3301" i="44"/>
  <c r="A3301" i="44" s="1"/>
  <c r="J743" i="3"/>
  <c r="E3292" i="44"/>
  <c r="A3292" i="44" s="1"/>
  <c r="I31" i="34"/>
  <c r="J720" i="3"/>
  <c r="H17" i="34"/>
  <c r="E3179" i="44"/>
  <c r="A3179" i="44" s="1"/>
  <c r="E3273" i="44"/>
  <c r="A3273" i="44" s="1"/>
  <c r="I12" i="34"/>
  <c r="J715" i="3"/>
  <c r="E3173" i="44"/>
  <c r="A3173" i="44" s="1"/>
  <c r="H11" i="34"/>
  <c r="E3170" i="44"/>
  <c r="A3170" i="44" s="1"/>
  <c r="H8" i="34"/>
  <c r="E3267" i="44"/>
  <c r="A3267" i="44" s="1"/>
  <c r="I6" i="34"/>
  <c r="E116" i="24"/>
  <c r="J709" i="3"/>
  <c r="D117" i="24"/>
  <c r="D92" i="32"/>
  <c r="H92" i="32"/>
  <c r="H117" i="24"/>
  <c r="J92" i="32"/>
  <c r="J117" i="24"/>
  <c r="G135" i="24"/>
  <c r="G109" i="32"/>
  <c r="F92" i="32"/>
  <c r="F117" i="24"/>
  <c r="C135" i="24"/>
  <c r="C109" i="32"/>
  <c r="E3313" i="44"/>
  <c r="A3313" i="44" s="1"/>
  <c r="I52" i="34"/>
  <c r="E3336" i="44"/>
  <c r="A3336" i="44" s="1"/>
  <c r="I75" i="34"/>
  <c r="J778" i="3"/>
  <c r="I59" i="34"/>
  <c r="E3320" i="44"/>
  <c r="A3320" i="44" s="1"/>
  <c r="H33" i="34"/>
  <c r="J736" i="3"/>
  <c r="E3195" i="44"/>
  <c r="A3195" i="44" s="1"/>
  <c r="H23" i="34"/>
  <c r="J726" i="3"/>
  <c r="E3185" i="44"/>
  <c r="A3185" i="44" s="1"/>
  <c r="E3302" i="44"/>
  <c r="A3302" i="44" s="1"/>
  <c r="J744" i="3"/>
  <c r="I41" i="34"/>
  <c r="E3294" i="44"/>
  <c r="A3294" i="44" s="1"/>
  <c r="I33" i="34"/>
  <c r="J86" i="34"/>
  <c r="E3358" i="44"/>
  <c r="A3358" i="44" s="1"/>
  <c r="I97" i="34"/>
  <c r="D30" i="24"/>
  <c r="C125" i="30"/>
  <c r="B875" i="3"/>
  <c r="C445" i="5"/>
  <c r="D116" i="24"/>
  <c r="D91" i="32"/>
  <c r="H807" i="3"/>
  <c r="E3196" i="44"/>
  <c r="A3196" i="44" s="1"/>
  <c r="H34" i="34"/>
  <c r="H108" i="32"/>
  <c r="J91" i="32"/>
  <c r="J116" i="24"/>
  <c r="J737" i="3"/>
  <c r="E109" i="32"/>
  <c r="E135" i="24"/>
  <c r="F135" i="24"/>
  <c r="F109" i="32"/>
  <c r="G117" i="24"/>
  <c r="G92" i="32"/>
  <c r="E117" i="24"/>
  <c r="E92" i="32"/>
  <c r="D109" i="32"/>
  <c r="D135" i="24"/>
  <c r="I92" i="32"/>
  <c r="I117" i="24"/>
  <c r="B482" i="44"/>
  <c r="D484" i="44" s="1"/>
  <c r="D478" i="44"/>
  <c r="B703" i="44"/>
  <c r="D707" i="44" s="1"/>
  <c r="D702" i="44"/>
  <c r="D2369" i="44"/>
  <c r="D480" i="44"/>
  <c r="D1824" i="44"/>
  <c r="E102" i="30"/>
  <c r="D760" i="44"/>
  <c r="D759" i="44"/>
  <c r="B2625" i="44"/>
  <c r="D2625" i="44" s="1"/>
  <c r="D3025" i="44"/>
  <c r="C192" i="24"/>
  <c r="S104" i="34"/>
  <c r="C812" i="3"/>
  <c r="E1572" i="44" s="1"/>
  <c r="A1572" i="44" s="1"/>
  <c r="I1582" i="44"/>
  <c r="I1581" i="44"/>
  <c r="K104" i="34"/>
  <c r="I5" i="34"/>
  <c r="J708" i="3"/>
  <c r="E3266" i="44"/>
  <c r="A3266" i="44" s="1"/>
  <c r="I88" i="34"/>
  <c r="E3349" i="44"/>
  <c r="A3349" i="44" s="1"/>
  <c r="J791" i="3"/>
  <c r="E3314" i="44"/>
  <c r="A3314" i="44" s="1"/>
  <c r="I53" i="34"/>
  <c r="J756" i="3"/>
  <c r="I72" i="34"/>
  <c r="J775" i="3"/>
  <c r="E3333" i="44"/>
  <c r="A3333" i="44" s="1"/>
  <c r="J712" i="3"/>
  <c r="E3270" i="44"/>
  <c r="A3270" i="44" s="1"/>
  <c r="I9" i="34"/>
  <c r="I807" i="3"/>
  <c r="E3305" i="44"/>
  <c r="A3305" i="44" s="1"/>
  <c r="I44" i="34"/>
  <c r="J747" i="3"/>
  <c r="I79" i="34"/>
  <c r="J782" i="3"/>
  <c r="E3340" i="44"/>
  <c r="A3340" i="44" s="1"/>
  <c r="I11" i="34"/>
  <c r="E3272" i="44"/>
  <c r="A3272" i="44" s="1"/>
  <c r="J714" i="3"/>
  <c r="E3285" i="44"/>
  <c r="A3285" i="44" s="1"/>
  <c r="I24" i="34"/>
  <c r="J727" i="3"/>
  <c r="I38" i="34"/>
  <c r="E3299" i="44"/>
  <c r="A3299" i="44" s="1"/>
  <c r="J741" i="3"/>
  <c r="E3308" i="44"/>
  <c r="A3308" i="44" s="1"/>
  <c r="I47" i="34"/>
  <c r="J750" i="3"/>
  <c r="E3362" i="44"/>
  <c r="A3362" i="44" s="1"/>
  <c r="I101" i="34"/>
  <c r="J804" i="3"/>
  <c r="I50" i="34"/>
  <c r="E3311" i="44"/>
  <c r="A3311" i="44" s="1"/>
  <c r="J753" i="3"/>
  <c r="I48" i="34"/>
  <c r="E3309" i="44"/>
  <c r="A3309" i="44" s="1"/>
  <c r="J751" i="3"/>
  <c r="E3300" i="44"/>
  <c r="A3300" i="44" s="1"/>
  <c r="I39" i="34"/>
  <c r="J742" i="3"/>
  <c r="I30" i="34"/>
  <c r="E3291" i="44"/>
  <c r="A3291" i="44" s="1"/>
  <c r="J733" i="3"/>
  <c r="D407" i="44"/>
  <c r="D2608" i="44"/>
  <c r="B2802" i="44"/>
  <c r="D2802" i="44" s="1"/>
  <c r="B1713" i="44"/>
  <c r="D1713" i="44" s="1"/>
  <c r="G745" i="44"/>
  <c r="D568" i="44"/>
  <c r="D2176" i="44"/>
  <c r="D2320" i="44"/>
  <c r="B2322" i="44"/>
  <c r="D2322" i="44" s="1"/>
  <c r="D2032" i="44"/>
  <c r="D2033" i="44"/>
  <c r="B727" i="44"/>
  <c r="B729" i="44" s="1"/>
  <c r="D325" i="44"/>
  <c r="D2000" i="44"/>
  <c r="D324" i="44"/>
  <c r="D1649" i="44"/>
  <c r="D1648" i="44"/>
  <c r="E274" i="3"/>
  <c r="G274" i="3" s="1"/>
  <c r="B2353" i="44"/>
  <c r="B2354" i="44" s="1"/>
  <c r="B682" i="44"/>
  <c r="D683" i="44" s="1"/>
  <c r="B2579" i="44"/>
  <c r="B2580" i="44" s="1"/>
  <c r="B1617" i="44"/>
  <c r="D1617" i="44" s="1"/>
  <c r="D323" i="44"/>
  <c r="B1780" i="44"/>
  <c r="D1780" i="44" s="1"/>
  <c r="B2481" i="44"/>
  <c r="B2482" i="44" s="1"/>
  <c r="D2704" i="44"/>
  <c r="B2961" i="44"/>
  <c r="B2962" i="44" s="1"/>
  <c r="B2963" i="44" s="1"/>
  <c r="D2963" i="44" s="1"/>
  <c r="D1778" i="44"/>
  <c r="D726" i="44"/>
  <c r="D322" i="44"/>
  <c r="B326" i="44"/>
  <c r="B331" i="44" s="1"/>
  <c r="D2144" i="44"/>
  <c r="D2563" i="44"/>
  <c r="B2257" i="44"/>
  <c r="B2258" i="44" s="1"/>
  <c r="D3106" i="44"/>
  <c r="E195" i="3"/>
  <c r="G195" i="3" s="1"/>
  <c r="E25" i="30"/>
  <c r="B837" i="44"/>
  <c r="B839" i="44" s="1"/>
  <c r="D3105" i="44"/>
  <c r="D1748" i="44"/>
  <c r="D2832" i="44"/>
  <c r="B2386" i="44"/>
  <c r="B2387" i="44" s="1"/>
  <c r="B2739" i="44"/>
  <c r="B2740" i="44" s="1"/>
  <c r="D2224" i="44"/>
  <c r="D1936" i="44"/>
  <c r="D2192" i="44"/>
  <c r="D2034" i="44"/>
  <c r="B2036" i="44"/>
  <c r="D3121" i="44"/>
  <c r="B3122" i="44"/>
  <c r="D898" i="44"/>
  <c r="D567" i="44"/>
  <c r="D680" i="44"/>
  <c r="B2113" i="44"/>
  <c r="D2113" i="44" s="1"/>
  <c r="B2865" i="44"/>
  <c r="B2866" i="44" s="1"/>
  <c r="G295" i="44"/>
  <c r="G296" i="44" s="1"/>
  <c r="G297" i="44" s="1"/>
  <c r="G298" i="44" s="1"/>
  <c r="B3027" i="44"/>
  <c r="D3026" i="44"/>
  <c r="D3152" i="44"/>
  <c r="B3153" i="44"/>
  <c r="B2610" i="44"/>
  <c r="D2609" i="44"/>
  <c r="D2288" i="44"/>
  <c r="B2289" i="44"/>
  <c r="B1969" i="44"/>
  <c r="D1968" i="44"/>
  <c r="D3088" i="44"/>
  <c r="B3089" i="44"/>
  <c r="B2769" i="44"/>
  <c r="D2768" i="44"/>
  <c r="B2226" i="44"/>
  <c r="D2225" i="44"/>
  <c r="D2097" i="44"/>
  <c r="B2098" i="44"/>
  <c r="D883" i="44"/>
  <c r="D884" i="44"/>
  <c r="B885" i="44"/>
  <c r="D865" i="44"/>
  <c r="B866" i="44"/>
  <c r="D864" i="44"/>
  <c r="D2564" i="44"/>
  <c r="B2565" i="44"/>
  <c r="B1938" i="44"/>
  <c r="D1937" i="44"/>
  <c r="E103" i="30"/>
  <c r="C441" i="3"/>
  <c r="B441" i="3"/>
  <c r="C440" i="3"/>
  <c r="D204" i="24"/>
  <c r="D140" i="32"/>
  <c r="B419" i="3"/>
  <c r="D174" i="24" s="1"/>
  <c r="B623" i="3"/>
  <c r="B476" i="3"/>
  <c r="I72" i="24"/>
  <c r="C444" i="5"/>
  <c r="B529" i="3"/>
  <c r="B878" i="3"/>
  <c r="B646" i="3"/>
  <c r="I19" i="24"/>
  <c r="E299" i="44"/>
  <c r="A299" i="44" s="1"/>
  <c r="B125" i="30"/>
  <c r="B412" i="3"/>
  <c r="D161" i="24"/>
  <c r="D305" i="44"/>
  <c r="D304" i="44"/>
  <c r="B307" i="44"/>
  <c r="D307" i="44" s="1"/>
  <c r="D303" i="44"/>
  <c r="B1862" i="44"/>
  <c r="D1861" i="44"/>
  <c r="D2242" i="44"/>
  <c r="B2243" i="44"/>
  <c r="B2706" i="44"/>
  <c r="D2705" i="44"/>
  <c r="D408" i="44"/>
  <c r="D405" i="44"/>
  <c r="D1921" i="44"/>
  <c r="B1922" i="44"/>
  <c r="B1730" i="44"/>
  <c r="D1729" i="44"/>
  <c r="C294" i="5"/>
  <c r="E113" i="30"/>
  <c r="E76" i="30"/>
  <c r="E97" i="30"/>
  <c r="E95" i="30"/>
  <c r="C442" i="3"/>
  <c r="B442" i="3"/>
  <c r="E211" i="3"/>
  <c r="E45" i="30" s="1"/>
  <c r="H8" i="30"/>
  <c r="I174" i="3"/>
  <c r="I8" i="30" s="1"/>
  <c r="H17" i="30"/>
  <c r="I183" i="3"/>
  <c r="I17" i="30" s="1"/>
  <c r="H21" i="30"/>
  <c r="I187" i="3"/>
  <c r="I21" i="30" s="1"/>
  <c r="H25" i="30"/>
  <c r="I191" i="3"/>
  <c r="I25" i="30" s="1"/>
  <c r="H31" i="30"/>
  <c r="I197" i="3"/>
  <c r="I31" i="30" s="1"/>
  <c r="H35" i="30"/>
  <c r="I201" i="3"/>
  <c r="I35" i="30" s="1"/>
  <c r="H39" i="30"/>
  <c r="I205" i="3"/>
  <c r="I39" i="30" s="1"/>
  <c r="H43" i="30"/>
  <c r="I209" i="3"/>
  <c r="I43" i="30" s="1"/>
  <c r="H53" i="30"/>
  <c r="I219" i="3"/>
  <c r="I53" i="30" s="1"/>
  <c r="H57" i="30"/>
  <c r="I223" i="3"/>
  <c r="I57" i="30" s="1"/>
  <c r="H61" i="30"/>
  <c r="I228" i="3"/>
  <c r="I61" i="30" s="1"/>
  <c r="H84" i="30"/>
  <c r="I251" i="3"/>
  <c r="I84" i="30" s="1"/>
  <c r="H88" i="30"/>
  <c r="I255" i="3"/>
  <c r="I88" i="30" s="1"/>
  <c r="H96" i="30"/>
  <c r="I263" i="3"/>
  <c r="I96" i="30" s="1"/>
  <c r="H110" i="30"/>
  <c r="I277" i="3"/>
  <c r="I110" i="30" s="1"/>
  <c r="H16" i="30"/>
  <c r="I182" i="3"/>
  <c r="I16" i="30" s="1"/>
  <c r="H24" i="30"/>
  <c r="I190" i="3"/>
  <c r="I24" i="30" s="1"/>
  <c r="H34" i="30"/>
  <c r="I200" i="3"/>
  <c r="I34" i="30" s="1"/>
  <c r="H42" i="30"/>
  <c r="I208" i="3"/>
  <c r="I42" i="30" s="1"/>
  <c r="H52" i="30"/>
  <c r="I218" i="3"/>
  <c r="I52" i="30" s="1"/>
  <c r="H60" i="30"/>
  <c r="I226" i="3"/>
  <c r="I60" i="30" s="1"/>
  <c r="H87" i="30"/>
  <c r="I254" i="3"/>
  <c r="I87" i="30" s="1"/>
  <c r="H95" i="30"/>
  <c r="I262" i="3"/>
  <c r="I95" i="30" s="1"/>
  <c r="H113" i="30"/>
  <c r="I280" i="3"/>
  <c r="I113" i="30" s="1"/>
  <c r="H80" i="30"/>
  <c r="I247" i="3"/>
  <c r="I80" i="30" s="1"/>
  <c r="H99" i="30"/>
  <c r="I266" i="3"/>
  <c r="I99" i="30" s="1"/>
  <c r="H104" i="30"/>
  <c r="I271" i="3"/>
  <c r="I104" i="30" s="1"/>
  <c r="I203" i="3"/>
  <c r="I37" i="30" s="1"/>
  <c r="H54" i="30"/>
  <c r="I220" i="3"/>
  <c r="I54" i="30" s="1"/>
  <c r="H18" i="30"/>
  <c r="I184" i="3"/>
  <c r="I18" i="30" s="1"/>
  <c r="H93" i="30"/>
  <c r="I260" i="3"/>
  <c r="I93" i="30" s="1"/>
  <c r="H58" i="30"/>
  <c r="I224" i="3"/>
  <c r="I58" i="30" s="1"/>
  <c r="H40" i="30"/>
  <c r="I206" i="3"/>
  <c r="I40" i="30" s="1"/>
  <c r="H22" i="30"/>
  <c r="I188" i="3"/>
  <c r="I22" i="30" s="1"/>
  <c r="H6" i="30"/>
  <c r="I172" i="3"/>
  <c r="I6" i="30" s="1"/>
  <c r="H49" i="30"/>
  <c r="I215" i="3"/>
  <c r="I49" i="30" s="1"/>
  <c r="H15" i="30"/>
  <c r="I181" i="3"/>
  <c r="I15" i="30" s="1"/>
  <c r="H19" i="30"/>
  <c r="I185" i="3"/>
  <c r="I19" i="30" s="1"/>
  <c r="H23" i="30"/>
  <c r="I189" i="3"/>
  <c r="I23" i="30" s="1"/>
  <c r="H27" i="30"/>
  <c r="I193" i="3"/>
  <c r="I27" i="30" s="1"/>
  <c r="H33" i="30"/>
  <c r="I199" i="3"/>
  <c r="I33" i="30" s="1"/>
  <c r="H41" i="30"/>
  <c r="I207" i="3"/>
  <c r="I41" i="30" s="1"/>
  <c r="H47" i="30"/>
  <c r="I213" i="3"/>
  <c r="I47" i="30" s="1"/>
  <c r="H51" i="30"/>
  <c r="I217" i="3"/>
  <c r="I51" i="30" s="1"/>
  <c r="H55" i="30"/>
  <c r="I221" i="3"/>
  <c r="I55" i="30" s="1"/>
  <c r="H59" i="30"/>
  <c r="I225" i="3"/>
  <c r="I59" i="30" s="1"/>
  <c r="H63" i="30"/>
  <c r="I230" i="3"/>
  <c r="I63" i="30" s="1"/>
  <c r="H86" i="30"/>
  <c r="I253" i="3"/>
  <c r="I86" i="30" s="1"/>
  <c r="H90" i="30"/>
  <c r="I257" i="3"/>
  <c r="I90" i="30" s="1"/>
  <c r="H98" i="30"/>
  <c r="I265" i="3"/>
  <c r="I98" i="30" s="1"/>
  <c r="H7" i="30"/>
  <c r="I173" i="3"/>
  <c r="I7" i="30" s="1"/>
  <c r="H20" i="30"/>
  <c r="I186" i="3"/>
  <c r="I20" i="30" s="1"/>
  <c r="H28" i="30"/>
  <c r="I194" i="3"/>
  <c r="I28" i="30" s="1"/>
  <c r="H38" i="30"/>
  <c r="I204" i="3"/>
  <c r="I38" i="30" s="1"/>
  <c r="H48" i="30"/>
  <c r="I214" i="3"/>
  <c r="I48" i="30" s="1"/>
  <c r="H56" i="30"/>
  <c r="I222" i="3"/>
  <c r="I56" i="30" s="1"/>
  <c r="H83" i="30"/>
  <c r="I250" i="3"/>
  <c r="I83" i="30" s="1"/>
  <c r="H91" i="30"/>
  <c r="I258" i="3"/>
  <c r="I91" i="30" s="1"/>
  <c r="H109" i="30"/>
  <c r="I276" i="3"/>
  <c r="I109" i="30" s="1"/>
  <c r="H105" i="30"/>
  <c r="I272" i="3"/>
  <c r="I105" i="30" s="1"/>
  <c r="I281" i="3"/>
  <c r="I114" i="30" s="1"/>
  <c r="H79" i="30"/>
  <c r="I246" i="3"/>
  <c r="I79" i="30" s="1"/>
  <c r="I261" i="3"/>
  <c r="I94" i="30" s="1"/>
  <c r="I259" i="3"/>
  <c r="I92" i="30" s="1"/>
  <c r="H69" i="30"/>
  <c r="I236" i="3"/>
  <c r="I69" i="30" s="1"/>
  <c r="H66" i="30"/>
  <c r="I233" i="3"/>
  <c r="I66" i="30" s="1"/>
  <c r="H89" i="30"/>
  <c r="I256" i="3"/>
  <c r="I89" i="30" s="1"/>
  <c r="H36" i="30"/>
  <c r="I202" i="3"/>
  <c r="I36" i="30" s="1"/>
  <c r="H111" i="30"/>
  <c r="I278" i="3"/>
  <c r="I111" i="30" s="1"/>
  <c r="H85" i="30"/>
  <c r="I252" i="3"/>
  <c r="I85" i="30" s="1"/>
  <c r="H32" i="30"/>
  <c r="I198" i="3"/>
  <c r="I32" i="30" s="1"/>
  <c r="H11" i="30"/>
  <c r="I177" i="3"/>
  <c r="I11" i="30" s="1"/>
  <c r="D2080" i="44"/>
  <c r="B2081" i="44"/>
  <c r="D1750" i="44"/>
  <c r="B1751" i="44"/>
  <c r="B1651" i="44"/>
  <c r="D1650" i="44"/>
  <c r="D406" i="44"/>
  <c r="D404" i="44"/>
  <c r="D1749" i="44"/>
  <c r="B899" i="44"/>
  <c r="D899" i="44" s="1"/>
  <c r="B3057" i="44"/>
  <c r="D3056" i="44"/>
  <c r="D2992" i="44"/>
  <c r="B2993" i="44"/>
  <c r="B2789" i="44"/>
  <c r="D2788" i="44"/>
  <c r="D2512" i="44"/>
  <c r="B2513" i="44"/>
  <c r="B2049" i="44"/>
  <c r="D2048" i="44"/>
  <c r="D749" i="44"/>
  <c r="B751" i="44"/>
  <c r="D750" i="44"/>
  <c r="D907" i="44"/>
  <c r="D906" i="44"/>
  <c r="B908" i="44"/>
  <c r="D1984" i="44"/>
  <c r="B1985" i="44"/>
  <c r="B1874" i="44"/>
  <c r="D1873" i="44"/>
  <c r="B2673" i="44"/>
  <c r="D2672" i="44"/>
  <c r="D2640" i="44"/>
  <c r="B2641" i="44"/>
  <c r="D2209" i="44"/>
  <c r="B2210" i="44"/>
  <c r="B1842" i="44"/>
  <c r="D1841" i="44"/>
  <c r="D1698" i="44"/>
  <c r="B1699" i="44"/>
  <c r="B2691" i="44"/>
  <c r="D2690" i="44"/>
  <c r="D2371" i="44"/>
  <c r="B1681" i="44"/>
  <c r="D1680" i="44"/>
  <c r="D1632" i="44"/>
  <c r="B1633" i="44"/>
  <c r="B2162" i="44"/>
  <c r="D2161" i="44"/>
  <c r="D2145" i="44"/>
  <c r="B2146" i="44"/>
  <c r="D805" i="44"/>
  <c r="B806" i="44"/>
  <c r="D804" i="44"/>
  <c r="B2546" i="44"/>
  <c r="D2545" i="44"/>
  <c r="B2897" i="44"/>
  <c r="D2896" i="44"/>
  <c r="B2929" i="44"/>
  <c r="D2928" i="44"/>
  <c r="B2834" i="44"/>
  <c r="D2833" i="44"/>
  <c r="D2448" i="44"/>
  <c r="B2449" i="44"/>
  <c r="D2400" i="44"/>
  <c r="B2401" i="44"/>
  <c r="B2067" i="44"/>
  <c r="D2066" i="44"/>
  <c r="D2129" i="44"/>
  <c r="B2130" i="44"/>
  <c r="B2419" i="44"/>
  <c r="D2418" i="44"/>
  <c r="D2849" i="44"/>
  <c r="B2850" i="44"/>
  <c r="B1809" i="44"/>
  <c r="D1808" i="44"/>
  <c r="D1584" i="44"/>
  <c r="B1585" i="44"/>
  <c r="D785" i="44"/>
  <c r="B786" i="44"/>
  <c r="D784" i="44"/>
  <c r="D756" i="44"/>
  <c r="D755" i="44"/>
  <c r="B571" i="44"/>
  <c r="D569" i="44"/>
  <c r="D570" i="44"/>
  <c r="B3074" i="44"/>
  <c r="D3073" i="44"/>
  <c r="B2002" i="44"/>
  <c r="D2001" i="44"/>
  <c r="D2177" i="44"/>
  <c r="B2178" i="44"/>
  <c r="D3107" i="44"/>
  <c r="B3108" i="44"/>
  <c r="E111" i="30"/>
  <c r="E283" i="3"/>
  <c r="G283" i="3" s="1"/>
  <c r="E60" i="30"/>
  <c r="E231" i="3"/>
  <c r="G231" i="3" s="1"/>
  <c r="E96" i="30"/>
  <c r="E78" i="30"/>
  <c r="E77" i="30"/>
  <c r="E26" i="30"/>
  <c r="E292" i="3"/>
  <c r="G292" i="3" s="1"/>
  <c r="E79" i="30"/>
  <c r="E266" i="3"/>
  <c r="G266" i="3" s="1"/>
  <c r="I233" i="44"/>
  <c r="F233" i="44" s="1"/>
  <c r="C41" i="24"/>
  <c r="G840" i="3"/>
  <c r="D906" i="5"/>
  <c r="E44" i="30"/>
  <c r="E119" i="30"/>
  <c r="E42" i="30"/>
  <c r="E112" i="30"/>
  <c r="E247" i="3"/>
  <c r="G247" i="3" s="1"/>
  <c r="H292" i="3"/>
  <c r="I292" i="3" s="1"/>
  <c r="I125" i="30" s="1"/>
  <c r="B3139" i="44"/>
  <c r="D3138" i="44"/>
  <c r="D411" i="44"/>
  <c r="D410" i="44"/>
  <c r="D409" i="44"/>
  <c r="D413" i="44"/>
  <c r="D412" i="44"/>
  <c r="B414" i="44"/>
  <c r="D2467" i="44"/>
  <c r="B2468" i="44"/>
  <c r="I64" i="3"/>
  <c r="I65" i="3"/>
  <c r="C127" i="32"/>
  <c r="C470" i="5"/>
  <c r="G45" i="3"/>
  <c r="C191" i="24"/>
  <c r="C134" i="32"/>
  <c r="K1579" i="44"/>
  <c r="E1579" i="44" s="1"/>
  <c r="A1579" i="44" s="1"/>
  <c r="C128" i="32"/>
  <c r="K1576" i="44"/>
  <c r="E1576" i="44" s="1"/>
  <c r="A1576" i="44" s="1"/>
  <c r="M69" i="3"/>
  <c r="E108" i="25" s="1"/>
  <c r="M68" i="3"/>
  <c r="M65" i="3"/>
  <c r="E104" i="25" s="1"/>
  <c r="D109" i="25"/>
  <c r="M67" i="3"/>
  <c r="E106" i="25" s="1"/>
  <c r="M62" i="3"/>
  <c r="M64" i="3"/>
  <c r="E103" i="25" s="1"/>
  <c r="M66" i="3"/>
  <c r="E105" i="25" s="1"/>
  <c r="I72" i="3"/>
  <c r="C132" i="32"/>
  <c r="C490" i="5"/>
  <c r="C195" i="24"/>
  <c r="C196" i="24"/>
  <c r="C482" i="5"/>
  <c r="C126" i="32"/>
  <c r="C190" i="24"/>
  <c r="E300" i="3"/>
  <c r="G16" i="25" s="1"/>
  <c r="I73" i="3"/>
  <c r="C45" i="3"/>
  <c r="B593" i="3" s="1"/>
  <c r="C924" i="5"/>
  <c r="C479" i="5"/>
  <c r="C130" i="32"/>
  <c r="H70" i="3"/>
  <c r="C135" i="32"/>
  <c r="C199" i="24"/>
  <c r="C488" i="5"/>
  <c r="H212" i="44"/>
  <c r="E212" i="44" s="1"/>
  <c r="A212" i="44" s="1"/>
  <c r="I63" i="3"/>
  <c r="H56" i="3"/>
  <c r="E45" i="3"/>
  <c r="B595" i="3" s="1"/>
  <c r="C926" i="5"/>
  <c r="D45" i="3"/>
  <c r="B594" i="3" s="1"/>
  <c r="C925" i="5"/>
  <c r="C927" i="5"/>
  <c r="F45" i="3"/>
  <c r="B596" i="3" s="1"/>
  <c r="H74" i="3"/>
  <c r="B362" i="3" s="1"/>
  <c r="C193" i="24"/>
  <c r="C476" i="5"/>
  <c r="E301" i="3"/>
  <c r="G17" i="25" s="1"/>
  <c r="C129" i="32"/>
  <c r="H41" i="3"/>
  <c r="H518" i="3" s="1"/>
  <c r="H520" i="3" s="1"/>
  <c r="H522" i="3" s="1"/>
  <c r="C923" i="5"/>
  <c r="B45" i="3"/>
  <c r="B592" i="3" s="1"/>
  <c r="H60" i="3"/>
  <c r="I9" i="41" s="1"/>
  <c r="I11" i="41" s="1"/>
  <c r="B23" i="19" l="1"/>
  <c r="C578" i="3" s="1"/>
  <c r="C23" i="19"/>
  <c r="C529" i="3"/>
  <c r="G72" i="25" s="1"/>
  <c r="C533" i="3"/>
  <c r="G77" i="25" s="1"/>
  <c r="B538" i="3"/>
  <c r="C538" i="3" s="1"/>
  <c r="C537" i="3"/>
  <c r="C134" i="24"/>
  <c r="B880" i="3"/>
  <c r="D52" i="32"/>
  <c r="D108" i="32"/>
  <c r="H90" i="32"/>
  <c r="T764" i="3"/>
  <c r="J58" i="34"/>
  <c r="B547" i="3"/>
  <c r="B597" i="3"/>
  <c r="E597" i="3" s="1"/>
  <c r="H87" i="25" s="1"/>
  <c r="D595" i="3"/>
  <c r="E595" i="3" s="1"/>
  <c r="H85" i="25" s="1"/>
  <c r="D596" i="3"/>
  <c r="E596" i="3" s="1"/>
  <c r="H86" i="25" s="1"/>
  <c r="D594" i="3"/>
  <c r="E594" i="3" s="1"/>
  <c r="H84" i="25" s="1"/>
  <c r="D593" i="3"/>
  <c r="E593" i="3" s="1"/>
  <c r="H83" i="25" s="1"/>
  <c r="D592" i="3"/>
  <c r="E592" i="3" s="1"/>
  <c r="I115" i="24"/>
  <c r="T786" i="3"/>
  <c r="T83" i="34" s="1"/>
  <c r="A939" i="5"/>
  <c r="I116" i="24"/>
  <c r="T787" i="3"/>
  <c r="V787" i="3" s="1"/>
  <c r="V84" i="34" s="1"/>
  <c r="G108" i="32"/>
  <c r="T719" i="3"/>
  <c r="V719" i="3" s="1"/>
  <c r="V16" i="34" s="1"/>
  <c r="H135" i="24"/>
  <c r="T752" i="3"/>
  <c r="T49" i="34" s="1"/>
  <c r="I135" i="24"/>
  <c r="F116" i="24"/>
  <c r="T784" i="3"/>
  <c r="V784" i="3" s="1"/>
  <c r="V81" i="34" s="1"/>
  <c r="J13" i="34"/>
  <c r="T793" i="3"/>
  <c r="V793" i="3" s="1"/>
  <c r="V90" i="34" s="1"/>
  <c r="G522" i="3"/>
  <c r="G518" i="3"/>
  <c r="J69" i="34"/>
  <c r="E108" i="32"/>
  <c r="F107" i="32"/>
  <c r="J20" i="34"/>
  <c r="F876" i="3"/>
  <c r="E1582" i="44"/>
  <c r="A1582" i="44" s="1"/>
  <c r="T783" i="3"/>
  <c r="V783" i="3" s="1"/>
  <c r="V80" i="34" s="1"/>
  <c r="J96" i="34"/>
  <c r="J94" i="34"/>
  <c r="J90" i="32"/>
  <c r="C138" i="3"/>
  <c r="E52" i="32" s="1"/>
  <c r="J32" i="25"/>
  <c r="B340" i="3"/>
  <c r="B342" i="3" s="1"/>
  <c r="D354" i="3" s="1"/>
  <c r="F106" i="24" s="1"/>
  <c r="T748" i="3"/>
  <c r="V748" i="3" s="1"/>
  <c r="V45" i="34" s="1"/>
  <c r="J8" i="34"/>
  <c r="T730" i="3"/>
  <c r="T27" i="34" s="1"/>
  <c r="G119" i="30"/>
  <c r="T718" i="3"/>
  <c r="V718" i="3" s="1"/>
  <c r="V15" i="34" s="1"/>
  <c r="T740" i="3"/>
  <c r="V740" i="3" s="1"/>
  <c r="V37" i="34" s="1"/>
  <c r="F115" i="24"/>
  <c r="D546" i="3"/>
  <c r="D489" i="3"/>
  <c r="G56" i="42"/>
  <c r="R1190" i="5"/>
  <c r="F857" i="5"/>
  <c r="I1190" i="5"/>
  <c r="J1190" i="5"/>
  <c r="N1190" i="5"/>
  <c r="J115" i="24"/>
  <c r="D115" i="24"/>
  <c r="H107" i="32"/>
  <c r="J91" i="34"/>
  <c r="D90" i="32"/>
  <c r="D81" i="24"/>
  <c r="D166" i="24"/>
  <c r="J33" i="25"/>
  <c r="T790" i="3"/>
  <c r="T87" i="34" s="1"/>
  <c r="J100" i="34"/>
  <c r="D133" i="24"/>
  <c r="I107" i="32"/>
  <c r="T788" i="3"/>
  <c r="V788" i="3" s="1"/>
  <c r="V85" i="34" s="1"/>
  <c r="J35" i="34"/>
  <c r="B2020" i="44"/>
  <c r="D2020" i="44" s="1"/>
  <c r="G111" i="30"/>
  <c r="D95" i="41"/>
  <c r="E9" i="43" s="1"/>
  <c r="G78" i="41"/>
  <c r="G211" i="3"/>
  <c r="G45" i="30" s="1"/>
  <c r="B2499" i="44"/>
  <c r="D2499" i="44" s="1"/>
  <c r="F120" i="30"/>
  <c r="F75" i="30"/>
  <c r="G29" i="30"/>
  <c r="F24" i="30"/>
  <c r="G124" i="30"/>
  <c r="G107" i="30"/>
  <c r="K1190" i="5"/>
  <c r="H1190" i="5"/>
  <c r="D1190" i="5"/>
  <c r="D881" i="5"/>
  <c r="G1190" i="5"/>
  <c r="F16" i="41"/>
  <c r="F69" i="41"/>
  <c r="F74" i="41"/>
  <c r="F45" i="41"/>
  <c r="F43" i="41"/>
  <c r="F55" i="41"/>
  <c r="F63" i="41"/>
  <c r="F37" i="41"/>
  <c r="F78" i="41"/>
  <c r="F65" i="41"/>
  <c r="F21" i="41"/>
  <c r="F92" i="41"/>
  <c r="F26" i="41"/>
  <c r="F38" i="41"/>
  <c r="F50" i="41"/>
  <c r="F33" i="41"/>
  <c r="F84" i="41"/>
  <c r="F90" i="41"/>
  <c r="F28" i="41"/>
  <c r="F44" i="41"/>
  <c r="F56" i="41"/>
  <c r="F76" i="41"/>
  <c r="F15" i="41"/>
  <c r="F91" i="41"/>
  <c r="F17" i="41"/>
  <c r="F83" i="41"/>
  <c r="F41" i="41"/>
  <c r="F48" i="41"/>
  <c r="F60" i="41"/>
  <c r="F89" i="41"/>
  <c r="F23" i="41"/>
  <c r="F34" i="41"/>
  <c r="F46" i="41"/>
  <c r="F25" i="41"/>
  <c r="F42" i="41"/>
  <c r="F57" i="41"/>
  <c r="F93" i="41"/>
  <c r="F27" i="41"/>
  <c r="F35" i="41"/>
  <c r="F72" i="41"/>
  <c r="F70" i="41"/>
  <c r="F85" i="41"/>
  <c r="F22" i="41"/>
  <c r="F98" i="41"/>
  <c r="F53" i="41"/>
  <c r="F86" i="41"/>
  <c r="F24" i="41"/>
  <c r="F31" i="41"/>
  <c r="F68" i="41"/>
  <c r="F49" i="41"/>
  <c r="F75" i="41"/>
  <c r="F66" i="41"/>
  <c r="F12" i="41"/>
  <c r="F67" i="41"/>
  <c r="F36" i="41"/>
  <c r="F77" i="41"/>
  <c r="F20" i="41"/>
  <c r="I15" i="41"/>
  <c r="F64" i="41"/>
  <c r="F79" i="41"/>
  <c r="F71" i="41"/>
  <c r="F58" i="41"/>
  <c r="F32" i="41"/>
  <c r="F73" i="41"/>
  <c r="F82" i="41"/>
  <c r="F47" i="41"/>
  <c r="F59" i="41"/>
  <c r="F54" i="41"/>
  <c r="F11" i="41"/>
  <c r="F100" i="41"/>
  <c r="K11" i="42"/>
  <c r="G48" i="42"/>
  <c r="G49" i="42" s="1"/>
  <c r="G50" i="42" s="1"/>
  <c r="K26" i="42"/>
  <c r="J54" i="42"/>
  <c r="F44" i="43"/>
  <c r="I12" i="41"/>
  <c r="D45" i="42"/>
  <c r="B2723" i="44"/>
  <c r="D2723" i="44" s="1"/>
  <c r="J1189" i="5"/>
  <c r="F1189" i="5"/>
  <c r="L1189" i="5"/>
  <c r="C855" i="5"/>
  <c r="J32" i="34"/>
  <c r="F855" i="5"/>
  <c r="D855" i="5"/>
  <c r="C857" i="5"/>
  <c r="E1190" i="5"/>
  <c r="M1190" i="5"/>
  <c r="Q1190" i="5"/>
  <c r="D875" i="5"/>
  <c r="S1190" i="5"/>
  <c r="D2530" i="44"/>
  <c r="D1953" i="44"/>
  <c r="E859" i="5"/>
  <c r="R1188" i="5"/>
  <c r="O1188" i="5"/>
  <c r="D880" i="5"/>
  <c r="M1188" i="5"/>
  <c r="Q1189" i="5"/>
  <c r="T1190" i="5"/>
  <c r="E879" i="5"/>
  <c r="E875" i="5"/>
  <c r="P1189" i="5"/>
  <c r="E1189" i="5"/>
  <c r="T1189" i="5"/>
  <c r="F859" i="5"/>
  <c r="I855" i="5"/>
  <c r="H1189" i="5"/>
  <c r="D859" i="5"/>
  <c r="C859" i="5"/>
  <c r="S1189" i="5"/>
  <c r="G859" i="5"/>
  <c r="E880" i="5"/>
  <c r="J855" i="5"/>
  <c r="C1189" i="5"/>
  <c r="J859" i="5"/>
  <c r="G855" i="5"/>
  <c r="I1189" i="5"/>
  <c r="B1827" i="44"/>
  <c r="B1828" i="44" s="1"/>
  <c r="B1669" i="44"/>
  <c r="B1670" i="44" s="1"/>
  <c r="D1670" i="44" s="1"/>
  <c r="D1667" i="44"/>
  <c r="B1955" i="44"/>
  <c r="D1955" i="44" s="1"/>
  <c r="D1697" i="44"/>
  <c r="D542" i="3"/>
  <c r="D543" i="3"/>
  <c r="D544" i="3"/>
  <c r="D493" i="3"/>
  <c r="D87" i="25" s="1"/>
  <c r="D547" i="3"/>
  <c r="D490" i="3"/>
  <c r="D84" i="25" s="1"/>
  <c r="D492" i="3"/>
  <c r="D86" i="25" s="1"/>
  <c r="D114" i="25"/>
  <c r="C295" i="5"/>
  <c r="C18" i="3"/>
  <c r="D57" i="24" s="1"/>
  <c r="C852" i="5"/>
  <c r="D878" i="5"/>
  <c r="H854" i="5"/>
  <c r="G1188" i="5"/>
  <c r="H1188" i="5"/>
  <c r="D3041" i="44"/>
  <c r="E876" i="5"/>
  <c r="D491" i="3"/>
  <c r="D85" i="25" s="1"/>
  <c r="D545" i="3"/>
  <c r="D488" i="3"/>
  <c r="D82" i="25" s="1"/>
  <c r="T710" i="3"/>
  <c r="T7" i="34" s="1"/>
  <c r="E115" i="24"/>
  <c r="H133" i="24"/>
  <c r="C32" i="32"/>
  <c r="C42" i="32" s="1"/>
  <c r="D42" i="32" s="1"/>
  <c r="E42" i="32" s="1"/>
  <c r="F42" i="32" s="1"/>
  <c r="G42" i="32" s="1"/>
  <c r="T739" i="3"/>
  <c r="T36" i="34" s="1"/>
  <c r="E14" i="32"/>
  <c r="E32" i="32" s="1"/>
  <c r="B1765" i="44"/>
  <c r="D1764" i="44"/>
  <c r="D485" i="44"/>
  <c r="D1601" i="44"/>
  <c r="D1793" i="44"/>
  <c r="D2307" i="44"/>
  <c r="D613" i="44"/>
  <c r="D2337" i="44"/>
  <c r="B2659" i="44"/>
  <c r="D2659" i="44" s="1"/>
  <c r="B1890" i="44"/>
  <c r="D1890" i="44" s="1"/>
  <c r="D2754" i="44"/>
  <c r="D704" i="44"/>
  <c r="F1190" i="5"/>
  <c r="D1189" i="5"/>
  <c r="N1189" i="5"/>
  <c r="O1189" i="5"/>
  <c r="E882" i="5"/>
  <c r="O1190" i="5"/>
  <c r="D610" i="44"/>
  <c r="D483" i="44"/>
  <c r="D2818" i="44"/>
  <c r="D2817" i="44"/>
  <c r="D2753" i="44"/>
  <c r="B614" i="44"/>
  <c r="D616" i="44" s="1"/>
  <c r="D482" i="44"/>
  <c r="B2756" i="44"/>
  <c r="B2757" i="44" s="1"/>
  <c r="D2757" i="44" s="1"/>
  <c r="G746" i="44"/>
  <c r="B2883" i="44"/>
  <c r="B2884" i="44" s="1"/>
  <c r="D2338" i="44"/>
  <c r="B708" i="44"/>
  <c r="D711" i="44" s="1"/>
  <c r="D763" i="44"/>
  <c r="B2949" i="44"/>
  <c r="D2949" i="44" s="1"/>
  <c r="D2339" i="44"/>
  <c r="D611" i="44"/>
  <c r="B2803" i="44"/>
  <c r="B2804" i="44" s="1"/>
  <c r="D609" i="44"/>
  <c r="D2529" i="44"/>
  <c r="D2977" i="44"/>
  <c r="B2195" i="44"/>
  <c r="D2195" i="44" s="1"/>
  <c r="D705" i="44"/>
  <c r="D2481" i="44"/>
  <c r="B2323" i="44"/>
  <c r="B2324" i="44" s="1"/>
  <c r="B2325" i="44" s="1"/>
  <c r="B765" i="44"/>
  <c r="D766" i="44" s="1"/>
  <c r="B2436" i="44"/>
  <c r="D2436" i="44" s="1"/>
  <c r="B2594" i="44"/>
  <c r="B2595" i="44" s="1"/>
  <c r="D2595" i="44" s="1"/>
  <c r="B2274" i="44"/>
  <c r="D2274" i="44" s="1"/>
  <c r="B2915" i="44"/>
  <c r="D2914" i="44"/>
  <c r="K1189" i="5"/>
  <c r="C879" i="5"/>
  <c r="J852" i="5"/>
  <c r="D854" i="5"/>
  <c r="J853" i="5"/>
  <c r="F851" i="5"/>
  <c r="Q1188" i="5"/>
  <c r="J1188" i="5"/>
  <c r="H853" i="5"/>
  <c r="F1188" i="5"/>
  <c r="E853" i="5"/>
  <c r="E107" i="30"/>
  <c r="G304" i="3"/>
  <c r="H20" i="25" s="1"/>
  <c r="K133" i="32"/>
  <c r="G107" i="32"/>
  <c r="E107" i="32"/>
  <c r="J19" i="34"/>
  <c r="C133" i="24"/>
  <c r="J57" i="34"/>
  <c r="C107" i="32"/>
  <c r="T745" i="3"/>
  <c r="V745" i="3" s="1"/>
  <c r="V42" i="34" s="1"/>
  <c r="G115" i="24"/>
  <c r="T800" i="3"/>
  <c r="T97" i="34" s="1"/>
  <c r="T721" i="3"/>
  <c r="G46" i="3"/>
  <c r="P1190" i="5"/>
  <c r="T731" i="3"/>
  <c r="T28" i="34" s="1"/>
  <c r="T769" i="3"/>
  <c r="T795" i="3"/>
  <c r="V795" i="3" s="1"/>
  <c r="V92" i="34" s="1"/>
  <c r="T724" i="3"/>
  <c r="J10" i="34"/>
  <c r="T713" i="3"/>
  <c r="H857" i="5"/>
  <c r="J857" i="5"/>
  <c r="G857" i="5"/>
  <c r="I857" i="5"/>
  <c r="D858" i="5"/>
  <c r="I859" i="5"/>
  <c r="D857" i="5"/>
  <c r="E855" i="5"/>
  <c r="H858" i="5"/>
  <c r="I854" i="5"/>
  <c r="E856" i="5"/>
  <c r="H856" i="5"/>
  <c r="J103" i="34"/>
  <c r="T806" i="3"/>
  <c r="E878" i="5"/>
  <c r="D877" i="5"/>
  <c r="E852" i="5"/>
  <c r="H852" i="5"/>
  <c r="G854" i="5"/>
  <c r="I853" i="5"/>
  <c r="S1188" i="5"/>
  <c r="C851" i="5"/>
  <c r="G853" i="5"/>
  <c r="P1188" i="5"/>
  <c r="T1188" i="5"/>
  <c r="I1188" i="5"/>
  <c r="K1188" i="5"/>
  <c r="D851" i="5"/>
  <c r="D838" i="44"/>
  <c r="D682" i="44"/>
  <c r="D330" i="44"/>
  <c r="D1188" i="5"/>
  <c r="F853" i="5"/>
  <c r="H851" i="5"/>
  <c r="N1188" i="5"/>
  <c r="E1188" i="5"/>
  <c r="F67" i="32"/>
  <c r="D853" i="5"/>
  <c r="T771" i="3"/>
  <c r="J68" i="34"/>
  <c r="C1190" i="5"/>
  <c r="T759" i="3"/>
  <c r="J56" i="34"/>
  <c r="L1188" i="5"/>
  <c r="G1189" i="5"/>
  <c r="M1189" i="5"/>
  <c r="J1086" i="5"/>
  <c r="S1086" i="5"/>
  <c r="G1086" i="5"/>
  <c r="I1086" i="5"/>
  <c r="L1086" i="5"/>
  <c r="T1086" i="5"/>
  <c r="F1086" i="5"/>
  <c r="K1086" i="5"/>
  <c r="O1086" i="5"/>
  <c r="M1086" i="5"/>
  <c r="R1086" i="5"/>
  <c r="P1086" i="5"/>
  <c r="Q1086" i="5"/>
  <c r="N1086" i="5"/>
  <c r="H1086" i="5"/>
  <c r="B1192" i="5"/>
  <c r="A1191" i="5"/>
  <c r="E881" i="5"/>
  <c r="I851" i="5"/>
  <c r="G851" i="5"/>
  <c r="C877" i="5"/>
  <c r="F858" i="5"/>
  <c r="I858" i="5"/>
  <c r="J856" i="5"/>
  <c r="B493" i="3"/>
  <c r="C87" i="25" s="1"/>
  <c r="C876" i="5"/>
  <c r="G852" i="5"/>
  <c r="I852" i="5"/>
  <c r="D852" i="5"/>
  <c r="F854" i="5"/>
  <c r="J854" i="5"/>
  <c r="E854" i="5"/>
  <c r="I856" i="5"/>
  <c r="C858" i="5"/>
  <c r="G858" i="5"/>
  <c r="J858" i="5"/>
  <c r="C856" i="5"/>
  <c r="D329" i="44"/>
  <c r="T774" i="3"/>
  <c r="J71" i="34"/>
  <c r="J77" i="34"/>
  <c r="T780" i="3"/>
  <c r="V738" i="3"/>
  <c r="V35" i="34" s="1"/>
  <c r="T35" i="34"/>
  <c r="J851" i="5"/>
  <c r="D727" i="44"/>
  <c r="D328" i="44"/>
  <c r="B1618" i="44"/>
  <c r="D1618" i="44" s="1"/>
  <c r="D706" i="44"/>
  <c r="B1908" i="44"/>
  <c r="B1909" i="44" s="1"/>
  <c r="B1910" i="44" s="1"/>
  <c r="D486" i="44"/>
  <c r="D703" i="44"/>
  <c r="B487" i="44"/>
  <c r="D489" i="44" s="1"/>
  <c r="B1714" i="44"/>
  <c r="D1714" i="44" s="1"/>
  <c r="B3010" i="44"/>
  <c r="B3011" i="44" s="1"/>
  <c r="D3011" i="44" s="1"/>
  <c r="D1906" i="44"/>
  <c r="J807" i="3"/>
  <c r="J60" i="34"/>
  <c r="T763" i="3"/>
  <c r="T69" i="34"/>
  <c r="V772" i="3"/>
  <c r="V69" i="34" s="1"/>
  <c r="F856" i="5"/>
  <c r="D856" i="5"/>
  <c r="T737" i="3"/>
  <c r="J34" i="34"/>
  <c r="V797" i="3"/>
  <c r="V94" i="34" s="1"/>
  <c r="T94" i="34"/>
  <c r="C875" i="3"/>
  <c r="D34" i="24" s="1"/>
  <c r="C447" i="5"/>
  <c r="B876" i="3"/>
  <c r="I876" i="3" s="1"/>
  <c r="J41" i="34"/>
  <c r="T744" i="3"/>
  <c r="J33" i="34"/>
  <c r="T736" i="3"/>
  <c r="T61" i="34"/>
  <c r="V764" i="3"/>
  <c r="V61" i="34" s="1"/>
  <c r="T778" i="3"/>
  <c r="J75" i="34"/>
  <c r="J6" i="34"/>
  <c r="T709" i="3"/>
  <c r="J12" i="34"/>
  <c r="T715" i="3"/>
  <c r="J40" i="34"/>
  <c r="T743" i="3"/>
  <c r="T766" i="3"/>
  <c r="J63" i="34"/>
  <c r="T767" i="3"/>
  <c r="J64" i="34"/>
  <c r="J82" i="34"/>
  <c r="T785" i="3"/>
  <c r="J89" i="34"/>
  <c r="T792" i="3"/>
  <c r="J93" i="34"/>
  <c r="T796" i="3"/>
  <c r="T798" i="3"/>
  <c r="J95" i="34"/>
  <c r="V799" i="3"/>
  <c r="V96" i="34" s="1"/>
  <c r="T96" i="34"/>
  <c r="T57" i="34"/>
  <c r="V760" i="3"/>
  <c r="V57" i="34" s="1"/>
  <c r="J14" i="34"/>
  <c r="T717" i="3"/>
  <c r="J29" i="34"/>
  <c r="T732" i="3"/>
  <c r="J31" i="34"/>
  <c r="T734" i="3"/>
  <c r="J46" i="34"/>
  <c r="T749" i="3"/>
  <c r="T779" i="3"/>
  <c r="J76" i="34"/>
  <c r="V794" i="3"/>
  <c r="V91" i="34" s="1"/>
  <c r="T91" i="34"/>
  <c r="J59" i="34"/>
  <c r="T762" i="3"/>
  <c r="T805" i="3"/>
  <c r="J102" i="34"/>
  <c r="T754" i="3"/>
  <c r="J51" i="34"/>
  <c r="T100" i="34"/>
  <c r="V803" i="3"/>
  <c r="V100" i="34" s="1"/>
  <c r="V789" i="3"/>
  <c r="V86" i="34" s="1"/>
  <c r="T86" i="34"/>
  <c r="T726" i="3"/>
  <c r="J23" i="34"/>
  <c r="T13" i="34"/>
  <c r="V716" i="3"/>
  <c r="V13" i="34" s="1"/>
  <c r="T720" i="3"/>
  <c r="J17" i="34"/>
  <c r="T758" i="3"/>
  <c r="J55" i="34"/>
  <c r="J62" i="34"/>
  <c r="T765" i="3"/>
  <c r="T768" i="3"/>
  <c r="J65" i="34"/>
  <c r="T770" i="3"/>
  <c r="J67" i="34"/>
  <c r="J99" i="34"/>
  <c r="T802" i="3"/>
  <c r="J26" i="34"/>
  <c r="T729" i="3"/>
  <c r="J73" i="34"/>
  <c r="T776" i="3"/>
  <c r="J98" i="34"/>
  <c r="T801" i="3"/>
  <c r="T20" i="34"/>
  <c r="V723" i="3"/>
  <c r="V20" i="34" s="1"/>
  <c r="J52" i="34"/>
  <c r="T755" i="3"/>
  <c r="J43" i="34"/>
  <c r="T746" i="3"/>
  <c r="J54" i="34"/>
  <c r="T757" i="3"/>
  <c r="T773" i="3"/>
  <c r="J70" i="34"/>
  <c r="J25" i="34"/>
  <c r="T728" i="3"/>
  <c r="T781" i="3"/>
  <c r="J78" i="34"/>
  <c r="J22" i="34"/>
  <c r="T725" i="3"/>
  <c r="J74" i="34"/>
  <c r="T777" i="3"/>
  <c r="B452" i="3"/>
  <c r="B515" i="3"/>
  <c r="A11" i="44"/>
  <c r="B636" i="3"/>
  <c r="B638" i="3" s="1"/>
  <c r="B668" i="3" s="1"/>
  <c r="E29" i="30"/>
  <c r="D308" i="44"/>
  <c r="B2964" i="44"/>
  <c r="B2965" i="44" s="1"/>
  <c r="B2626" i="44"/>
  <c r="M70" i="3"/>
  <c r="E109" i="25" s="1"/>
  <c r="J5" i="34"/>
  <c r="T708" i="3"/>
  <c r="T19" i="34"/>
  <c r="V722" i="3"/>
  <c r="V19" i="34" s="1"/>
  <c r="V711" i="3"/>
  <c r="T8" i="34"/>
  <c r="J30" i="34"/>
  <c r="T733" i="3"/>
  <c r="T751" i="3"/>
  <c r="J48" i="34"/>
  <c r="J101" i="34"/>
  <c r="T804" i="3"/>
  <c r="T741" i="3"/>
  <c r="J38" i="34"/>
  <c r="T714" i="3"/>
  <c r="J11" i="34"/>
  <c r="J79" i="34"/>
  <c r="T782" i="3"/>
  <c r="T32" i="34"/>
  <c r="V735" i="3"/>
  <c r="V32" i="34" s="1"/>
  <c r="V761" i="3"/>
  <c r="V58" i="34" s="1"/>
  <c r="T58" i="34"/>
  <c r="T747" i="3"/>
  <c r="J44" i="34"/>
  <c r="T712" i="3"/>
  <c r="J9" i="34"/>
  <c r="J72" i="34"/>
  <c r="T775" i="3"/>
  <c r="J53" i="34"/>
  <c r="T756" i="3"/>
  <c r="J39" i="34"/>
  <c r="T742" i="3"/>
  <c r="T753" i="3"/>
  <c r="J50" i="34"/>
  <c r="J47" i="34"/>
  <c r="T750" i="3"/>
  <c r="J24" i="34"/>
  <c r="T727" i="3"/>
  <c r="T791" i="3"/>
  <c r="J88" i="34"/>
  <c r="D2579" i="44"/>
  <c r="D2353" i="44"/>
  <c r="D2257" i="44"/>
  <c r="B1781" i="44"/>
  <c r="D1781" i="44" s="1"/>
  <c r="D2865" i="44"/>
  <c r="D728" i="44"/>
  <c r="D2386" i="44"/>
  <c r="D900" i="44"/>
  <c r="D837" i="44"/>
  <c r="B684" i="44"/>
  <c r="B687" i="44" s="1"/>
  <c r="D327" i="44"/>
  <c r="D326" i="44"/>
  <c r="D2961" i="44"/>
  <c r="D2962" i="44"/>
  <c r="D2739" i="44"/>
  <c r="B2114" i="44"/>
  <c r="D2114" i="44" s="1"/>
  <c r="G299" i="44"/>
  <c r="B2037" i="44"/>
  <c r="D2036" i="44"/>
  <c r="D3122" i="44"/>
  <c r="B3123" i="44"/>
  <c r="B3028" i="44"/>
  <c r="D3027" i="44"/>
  <c r="B2566" i="44"/>
  <c r="D2565" i="44"/>
  <c r="D2098" i="44"/>
  <c r="B2099" i="44"/>
  <c r="B3090" i="44"/>
  <c r="D3089" i="44"/>
  <c r="D2289" i="44"/>
  <c r="B2290" i="44"/>
  <c r="D3153" i="44"/>
  <c r="B3154" i="44"/>
  <c r="B868" i="44"/>
  <c r="D867" i="44"/>
  <c r="D866" i="44"/>
  <c r="D885" i="44"/>
  <c r="D886" i="44"/>
  <c r="B887" i="44"/>
  <c r="B2227" i="44"/>
  <c r="D2226" i="44"/>
  <c r="B2770" i="44"/>
  <c r="D2769" i="44"/>
  <c r="B1795" i="44"/>
  <c r="D1794" i="44"/>
  <c r="D1969" i="44"/>
  <c r="B1970" i="44"/>
  <c r="B2611" i="44"/>
  <c r="D2610" i="44"/>
  <c r="B1939" i="44"/>
  <c r="D1938" i="44"/>
  <c r="B444" i="3"/>
  <c r="F61" i="25" s="1"/>
  <c r="C444" i="3"/>
  <c r="E413" i="3"/>
  <c r="D167" i="24" s="1"/>
  <c r="D165" i="24"/>
  <c r="F72" i="25"/>
  <c r="E621" i="3"/>
  <c r="D63" i="32" s="1"/>
  <c r="B2820" i="44"/>
  <c r="D2819" i="44"/>
  <c r="D1862" i="44"/>
  <c r="B1863" i="44"/>
  <c r="B1603" i="44"/>
  <c r="D1602" i="44"/>
  <c r="D1730" i="44"/>
  <c r="B1731" i="44"/>
  <c r="B2244" i="44"/>
  <c r="D2243" i="44"/>
  <c r="B1923" i="44"/>
  <c r="D1922" i="44"/>
  <c r="D2978" i="44"/>
  <c r="B2979" i="44"/>
  <c r="B2707" i="44"/>
  <c r="D2706" i="44"/>
  <c r="D882" i="5"/>
  <c r="B2388" i="44"/>
  <c r="D2387" i="44"/>
  <c r="D2049" i="44"/>
  <c r="B2050" i="44"/>
  <c r="B2483" i="44"/>
  <c r="D2482" i="44"/>
  <c r="B2790" i="44"/>
  <c r="D2789" i="44"/>
  <c r="B3058" i="44"/>
  <c r="D3057" i="44"/>
  <c r="D1651" i="44"/>
  <c r="B1652" i="44"/>
  <c r="D2081" i="44"/>
  <c r="B2082" i="44"/>
  <c r="B901" i="44"/>
  <c r="D901" i="44" s="1"/>
  <c r="D2740" i="44"/>
  <c r="B2741" i="44"/>
  <c r="D752" i="44"/>
  <c r="D751" i="44"/>
  <c r="B2514" i="44"/>
  <c r="D2513" i="44"/>
  <c r="D2993" i="44"/>
  <c r="B2994" i="44"/>
  <c r="D1751" i="44"/>
  <c r="B1752" i="44"/>
  <c r="B3109" i="44"/>
  <c r="D3108" i="44"/>
  <c r="B2532" i="44"/>
  <c r="D2531" i="44"/>
  <c r="D2178" i="44"/>
  <c r="B2179" i="44"/>
  <c r="D3074" i="44"/>
  <c r="B3075" i="44"/>
  <c r="B1810" i="44"/>
  <c r="D1809" i="44"/>
  <c r="D2580" i="44"/>
  <c r="B2581" i="44"/>
  <c r="B2420" i="44"/>
  <c r="D2419" i="44"/>
  <c r="D729" i="44"/>
  <c r="B731" i="44"/>
  <c r="D730" i="44"/>
  <c r="B2355" i="44"/>
  <c r="D2354" i="44"/>
  <c r="B2835" i="44"/>
  <c r="D2834" i="44"/>
  <c r="D2929" i="44"/>
  <c r="B2930" i="44"/>
  <c r="D2897" i="44"/>
  <c r="B2898" i="44"/>
  <c r="B2547" i="44"/>
  <c r="D2546" i="44"/>
  <c r="D806" i="44"/>
  <c r="B808" i="44"/>
  <c r="D807" i="44"/>
  <c r="B2147" i="44"/>
  <c r="D2146" i="44"/>
  <c r="B1634" i="44"/>
  <c r="D1633" i="44"/>
  <c r="B2341" i="44"/>
  <c r="D2340" i="44"/>
  <c r="B2692" i="44"/>
  <c r="D2691" i="44"/>
  <c r="D1842" i="44"/>
  <c r="B1843" i="44"/>
  <c r="B2674" i="44"/>
  <c r="D2673" i="44"/>
  <c r="B2259" i="44"/>
  <c r="D2258" i="44"/>
  <c r="D1874" i="44"/>
  <c r="B1875" i="44"/>
  <c r="D2866" i="44"/>
  <c r="B2867" i="44"/>
  <c r="D2002" i="44"/>
  <c r="B2003" i="44"/>
  <c r="D573" i="44"/>
  <c r="B574" i="44"/>
  <c r="D571" i="44"/>
  <c r="D572" i="44"/>
  <c r="D786" i="44"/>
  <c r="D787" i="44"/>
  <c r="B788" i="44"/>
  <c r="B1586" i="44"/>
  <c r="D1585" i="44"/>
  <c r="B2851" i="44"/>
  <c r="D2850" i="44"/>
  <c r="B2131" i="44"/>
  <c r="D2130" i="44"/>
  <c r="B2068" i="44"/>
  <c r="D2067" i="44"/>
  <c r="D2401" i="44"/>
  <c r="B2402" i="44"/>
  <c r="D2449" i="44"/>
  <c r="B2450" i="44"/>
  <c r="D2162" i="44"/>
  <c r="B2163" i="44"/>
  <c r="D332" i="44"/>
  <c r="B336" i="44"/>
  <c r="D333" i="44"/>
  <c r="D334" i="44"/>
  <c r="D331" i="44"/>
  <c r="D335" i="44"/>
  <c r="B1682" i="44"/>
  <c r="D1681" i="44"/>
  <c r="D3042" i="44"/>
  <c r="B3043" i="44"/>
  <c r="B2373" i="44"/>
  <c r="D2372" i="44"/>
  <c r="B1700" i="44"/>
  <c r="D1699" i="44"/>
  <c r="D2308" i="44"/>
  <c r="B2309" i="44"/>
  <c r="D2210" i="44"/>
  <c r="B2211" i="44"/>
  <c r="B2642" i="44"/>
  <c r="D2641" i="44"/>
  <c r="B1986" i="44"/>
  <c r="D1985" i="44"/>
  <c r="D908" i="44"/>
  <c r="B910" i="44"/>
  <c r="D909" i="44"/>
  <c r="E80" i="30"/>
  <c r="G80" i="30"/>
  <c r="G99" i="30"/>
  <c r="E99" i="30"/>
  <c r="E64" i="30"/>
  <c r="G64" i="30"/>
  <c r="E125" i="30"/>
  <c r="G116" i="30"/>
  <c r="E116" i="30"/>
  <c r="C462" i="5"/>
  <c r="H125" i="30"/>
  <c r="B2469" i="44"/>
  <c r="D2468" i="44"/>
  <c r="D418" i="44"/>
  <c r="B419" i="44"/>
  <c r="D415" i="44"/>
  <c r="D416" i="44"/>
  <c r="D414" i="44"/>
  <c r="D417" i="44"/>
  <c r="D840" i="44"/>
  <c r="D839" i="44"/>
  <c r="B841" i="44"/>
  <c r="D3139" i="44"/>
  <c r="B3140" i="44"/>
  <c r="E107" i="25"/>
  <c r="B489" i="3"/>
  <c r="C46" i="3"/>
  <c r="B543" i="3"/>
  <c r="E46" i="3"/>
  <c r="B491" i="3"/>
  <c r="B545" i="3"/>
  <c r="B830" i="3"/>
  <c r="B858" i="3" s="1"/>
  <c r="H47" i="3"/>
  <c r="K1577" i="44"/>
  <c r="E1577" i="44" s="1"/>
  <c r="A1577" i="44" s="1"/>
  <c r="G301" i="3"/>
  <c r="G302" i="3"/>
  <c r="C197" i="24"/>
  <c r="C133" i="32"/>
  <c r="G300" i="3"/>
  <c r="G298" i="3"/>
  <c r="B701" i="3"/>
  <c r="C503" i="5"/>
  <c r="L41" i="3"/>
  <c r="M42" i="3" s="1"/>
  <c r="B700" i="3"/>
  <c r="C505" i="5"/>
  <c r="K1580" i="44"/>
  <c r="E1580" i="44" s="1"/>
  <c r="A1580" i="44" s="1"/>
  <c r="I70" i="3"/>
  <c r="C767" i="5"/>
  <c r="B363" i="3"/>
  <c r="C11" i="32"/>
  <c r="D87" i="24"/>
  <c r="B490" i="3"/>
  <c r="B544" i="3"/>
  <c r="D46" i="3"/>
  <c r="K1578" i="44"/>
  <c r="E1578" i="44" s="1"/>
  <c r="A1578" i="44" s="1"/>
  <c r="L73" i="3"/>
  <c r="D141" i="32"/>
  <c r="N49" i="3"/>
  <c r="C500" i="5"/>
  <c r="D16" i="24"/>
  <c r="M56" i="3"/>
  <c r="G876" i="3" s="1"/>
  <c r="D205" i="24"/>
  <c r="I74" i="3"/>
  <c r="N50" i="3"/>
  <c r="O54" i="3" s="1"/>
  <c r="B488" i="3"/>
  <c r="B46" i="3"/>
  <c r="H45" i="3"/>
  <c r="B542" i="3"/>
  <c r="B546" i="3"/>
  <c r="B492" i="3"/>
  <c r="F46" i="3"/>
  <c r="C579" i="3" l="1"/>
  <c r="H72" i="25" s="1"/>
  <c r="C582" i="3"/>
  <c r="C583" i="3"/>
  <c r="H77" i="25" s="1"/>
  <c r="C581" i="3"/>
  <c r="C580" i="3"/>
  <c r="V752" i="3"/>
  <c r="V49" i="34" s="1"/>
  <c r="T81" i="34"/>
  <c r="V786" i="3"/>
  <c r="V83" i="34" s="1"/>
  <c r="T16" i="34"/>
  <c r="T37" i="34"/>
  <c r="E547" i="3"/>
  <c r="F13" i="41"/>
  <c r="V730" i="3"/>
  <c r="V27" i="34" s="1"/>
  <c r="E598" i="3"/>
  <c r="H88" i="25" s="1"/>
  <c r="B519" i="3"/>
  <c r="C519" i="3" s="1"/>
  <c r="B569" i="3"/>
  <c r="C569" i="3" s="1"/>
  <c r="B551" i="3"/>
  <c r="B601" i="3"/>
  <c r="C601" i="3" s="1"/>
  <c r="T84" i="34"/>
  <c r="T80" i="34"/>
  <c r="A940" i="5"/>
  <c r="T15" i="34"/>
  <c r="F14" i="32"/>
  <c r="F32" i="32" s="1"/>
  <c r="T45" i="34"/>
  <c r="T90" i="34"/>
  <c r="F4" i="3"/>
  <c r="D11" i="25" s="1"/>
  <c r="D444" i="3"/>
  <c r="F39" i="41"/>
  <c r="V790" i="3"/>
  <c r="V87" i="34" s="1"/>
  <c r="V731" i="3"/>
  <c r="V28" i="34" s="1"/>
  <c r="E546" i="3"/>
  <c r="D615" i="44"/>
  <c r="B2500" i="44"/>
  <c r="D2500" i="44" s="1"/>
  <c r="F87" i="41"/>
  <c r="F29" i="41"/>
  <c r="O43" i="3"/>
  <c r="N43" i="3"/>
  <c r="F18" i="41"/>
  <c r="F80" i="41"/>
  <c r="F94" i="41"/>
  <c r="F61" i="41"/>
  <c r="F51" i="41"/>
  <c r="K236" i="44"/>
  <c r="J236" i="44"/>
  <c r="B2724" i="44"/>
  <c r="B2725" i="44" s="1"/>
  <c r="B2021" i="44"/>
  <c r="D2021" i="44" s="1"/>
  <c r="F354" i="3"/>
  <c r="G354" i="3" s="1"/>
  <c r="G106" i="24" s="1"/>
  <c r="E62" i="24"/>
  <c r="C196" i="5"/>
  <c r="T92" i="34"/>
  <c r="T85" i="34"/>
  <c r="F99" i="41"/>
  <c r="E489" i="3"/>
  <c r="F83" i="25" s="1"/>
  <c r="D83" i="25"/>
  <c r="E543" i="3"/>
  <c r="F543" i="3" s="1"/>
  <c r="D82" i="32"/>
  <c r="E99" i="41"/>
  <c r="E544" i="3"/>
  <c r="G87" i="41"/>
  <c r="G125" i="30"/>
  <c r="E24" i="41"/>
  <c r="E34" i="41"/>
  <c r="E43" i="41"/>
  <c r="E31" i="41"/>
  <c r="E86" i="41"/>
  <c r="E21" i="41"/>
  <c r="E78" i="41"/>
  <c r="E38" i="41"/>
  <c r="E47" i="41"/>
  <c r="E35" i="41"/>
  <c r="E93" i="41"/>
  <c r="E28" i="41"/>
  <c r="E82" i="41"/>
  <c r="E59" i="41"/>
  <c r="E60" i="41"/>
  <c r="E45" i="41"/>
  <c r="E55" i="41"/>
  <c r="E64" i="41"/>
  <c r="E56" i="41"/>
  <c r="E16" i="41"/>
  <c r="E41" i="41"/>
  <c r="E68" i="41"/>
  <c r="E32" i="41"/>
  <c r="E79" i="41"/>
  <c r="E72" i="41"/>
  <c r="E65" i="41"/>
  <c r="E36" i="41"/>
  <c r="E49" i="41"/>
  <c r="E15" i="41"/>
  <c r="E76" i="41"/>
  <c r="E69" i="41"/>
  <c r="E53" i="41"/>
  <c r="E66" i="41"/>
  <c r="E26" i="41"/>
  <c r="E90" i="41"/>
  <c r="E85" i="41"/>
  <c r="E23" i="41"/>
  <c r="E89" i="41"/>
  <c r="E73" i="41"/>
  <c r="E57" i="41"/>
  <c r="E70" i="41"/>
  <c r="E91" i="41"/>
  <c r="E92" i="41"/>
  <c r="E77" i="41"/>
  <c r="E74" i="41"/>
  <c r="E67" i="41"/>
  <c r="E63" i="41"/>
  <c r="E50" i="41"/>
  <c r="E46" i="41"/>
  <c r="E58" i="41"/>
  <c r="E20" i="41"/>
  <c r="E44" i="41"/>
  <c r="E25" i="41"/>
  <c r="E84" i="41"/>
  <c r="E98" i="41"/>
  <c r="E22" i="41"/>
  <c r="E12" i="41"/>
  <c r="E48" i="41"/>
  <c r="E27" i="41"/>
  <c r="E37" i="41"/>
  <c r="E71" i="41"/>
  <c r="E75" i="41"/>
  <c r="E17" i="41"/>
  <c r="E33" i="41"/>
  <c r="E83" i="41"/>
  <c r="E42" i="41"/>
  <c r="E54" i="41"/>
  <c r="E100" i="41"/>
  <c r="E11" i="41"/>
  <c r="J56" i="42"/>
  <c r="J57" i="42" s="1"/>
  <c r="L54" i="42"/>
  <c r="D1827" i="44"/>
  <c r="V800" i="3"/>
  <c r="V97" i="34" s="1"/>
  <c r="B1671" i="44"/>
  <c r="D1671" i="44" s="1"/>
  <c r="D1669" i="44"/>
  <c r="B2196" i="44"/>
  <c r="B2197" i="44" s="1"/>
  <c r="B767" i="44"/>
  <c r="B769" i="44" s="1"/>
  <c r="D769" i="44" s="1"/>
  <c r="V710" i="3"/>
  <c r="V7" i="34" s="1"/>
  <c r="V739" i="3"/>
  <c r="V36" i="34" s="1"/>
  <c r="D708" i="44"/>
  <c r="E542" i="3"/>
  <c r="B1956" i="44"/>
  <c r="D1956" i="44" s="1"/>
  <c r="D2594" i="44"/>
  <c r="D710" i="44"/>
  <c r="D618" i="44"/>
  <c r="D617" i="44"/>
  <c r="B2758" i="44"/>
  <c r="D2758" i="44" s="1"/>
  <c r="D1765" i="44"/>
  <c r="B1766" i="44"/>
  <c r="E545" i="3"/>
  <c r="D2803" i="44"/>
  <c r="B619" i="44"/>
  <c r="D619" i="44" s="1"/>
  <c r="D614" i="44"/>
  <c r="T42" i="34"/>
  <c r="B1891" i="44"/>
  <c r="B1892" i="44" s="1"/>
  <c r="D1892" i="44" s="1"/>
  <c r="D2756" i="44"/>
  <c r="B2660" i="44"/>
  <c r="D491" i="44"/>
  <c r="B2437" i="44"/>
  <c r="B2438" i="44" s="1"/>
  <c r="D2438" i="44" s="1"/>
  <c r="B2950" i="44"/>
  <c r="D2950" i="44" s="1"/>
  <c r="D2883" i="44"/>
  <c r="B1619" i="44"/>
  <c r="D1619" i="44" s="1"/>
  <c r="D712" i="44"/>
  <c r="D2323" i="44"/>
  <c r="D765" i="44"/>
  <c r="B2275" i="44"/>
  <c r="D2275" i="44" s="1"/>
  <c r="D2324" i="44"/>
  <c r="D709" i="44"/>
  <c r="D1909" i="44"/>
  <c r="B713" i="44"/>
  <c r="D717" i="44" s="1"/>
  <c r="B2596" i="44"/>
  <c r="D2596" i="44" s="1"/>
  <c r="D487" i="44"/>
  <c r="D488" i="44"/>
  <c r="D2915" i="44"/>
  <c r="B2916" i="44"/>
  <c r="T18" i="34"/>
  <c r="V721" i="3"/>
  <c r="V18" i="34" s="1"/>
  <c r="E493" i="3"/>
  <c r="F87" i="25" s="1"/>
  <c r="V724" i="3"/>
  <c r="V21" i="34" s="1"/>
  <c r="T21" i="34"/>
  <c r="V769" i="3"/>
  <c r="V66" i="34" s="1"/>
  <c r="T66" i="34"/>
  <c r="V713" i="3"/>
  <c r="V10" i="34" s="1"/>
  <c r="T10" i="34"/>
  <c r="V806" i="3"/>
  <c r="V103" i="34" s="1"/>
  <c r="T103" i="34"/>
  <c r="B492" i="44"/>
  <c r="D496" i="44" s="1"/>
  <c r="D490" i="44"/>
  <c r="B497" i="3"/>
  <c r="F90" i="25" s="1"/>
  <c r="B3012" i="44"/>
  <c r="D3010" i="44"/>
  <c r="T68" i="34"/>
  <c r="V771" i="3"/>
  <c r="V68" i="34" s="1"/>
  <c r="V759" i="3"/>
  <c r="V56" i="34" s="1"/>
  <c r="T56" i="34"/>
  <c r="M1191" i="5"/>
  <c r="F1191" i="5"/>
  <c r="K1191" i="5"/>
  <c r="J1191" i="5"/>
  <c r="Q1191" i="5"/>
  <c r="R1191" i="5"/>
  <c r="N1191" i="5"/>
  <c r="C1191" i="5"/>
  <c r="D1191" i="5"/>
  <c r="O1191" i="5"/>
  <c r="I1191" i="5"/>
  <c r="L1191" i="5"/>
  <c r="E1191" i="5"/>
  <c r="P1191" i="5"/>
  <c r="G1191" i="5"/>
  <c r="S1191" i="5"/>
  <c r="H1191" i="5"/>
  <c r="T1191" i="5"/>
  <c r="B1193" i="5"/>
  <c r="A1192" i="5"/>
  <c r="V780" i="3"/>
  <c r="V77" i="34" s="1"/>
  <c r="T77" i="34"/>
  <c r="D1908" i="44"/>
  <c r="V774" i="3"/>
  <c r="V71" i="34" s="1"/>
  <c r="T71" i="34"/>
  <c r="D74" i="24"/>
  <c r="I75" i="24"/>
  <c r="B659" i="3"/>
  <c r="D2964" i="44"/>
  <c r="B1715" i="44"/>
  <c r="B459" i="3"/>
  <c r="F66" i="25" s="1"/>
  <c r="T60" i="34"/>
  <c r="V763" i="3"/>
  <c r="V60" i="34" s="1"/>
  <c r="V781" i="3"/>
  <c r="V78" i="34" s="1"/>
  <c r="T78" i="34"/>
  <c r="V773" i="3"/>
  <c r="V70" i="34" s="1"/>
  <c r="T70" i="34"/>
  <c r="T54" i="34"/>
  <c r="V757" i="3"/>
  <c r="V54" i="34" s="1"/>
  <c r="V746" i="3"/>
  <c r="V43" i="34" s="1"/>
  <c r="T43" i="34"/>
  <c r="T52" i="34"/>
  <c r="V755" i="3"/>
  <c r="V52" i="34" s="1"/>
  <c r="T98" i="34"/>
  <c r="V801" i="3"/>
  <c r="V98" i="34" s="1"/>
  <c r="V776" i="3"/>
  <c r="V73" i="34" s="1"/>
  <c r="T73" i="34"/>
  <c r="T26" i="34"/>
  <c r="V729" i="3"/>
  <c r="V26" i="34" s="1"/>
  <c r="V802" i="3"/>
  <c r="V99" i="34" s="1"/>
  <c r="T99" i="34"/>
  <c r="T62" i="34"/>
  <c r="V765" i="3"/>
  <c r="V62" i="34" s="1"/>
  <c r="V754" i="3"/>
  <c r="V51" i="34" s="1"/>
  <c r="T51" i="34"/>
  <c r="V805" i="3"/>
  <c r="V102" i="34" s="1"/>
  <c r="T102" i="34"/>
  <c r="T76" i="34"/>
  <c r="V779" i="3"/>
  <c r="V76" i="34" s="1"/>
  <c r="T95" i="34"/>
  <c r="V798" i="3"/>
  <c r="V95" i="34" s="1"/>
  <c r="T64" i="34"/>
  <c r="V767" i="3"/>
  <c r="V64" i="34" s="1"/>
  <c r="V766" i="3"/>
  <c r="V63" i="34" s="1"/>
  <c r="T63" i="34"/>
  <c r="V778" i="3"/>
  <c r="V75" i="34" s="1"/>
  <c r="T75" i="34"/>
  <c r="V777" i="3"/>
  <c r="V74" i="34" s="1"/>
  <c r="T74" i="34"/>
  <c r="V725" i="3"/>
  <c r="V22" i="34" s="1"/>
  <c r="T22" i="34"/>
  <c r="T25" i="34"/>
  <c r="V728" i="3"/>
  <c r="V25" i="34" s="1"/>
  <c r="V770" i="3"/>
  <c r="V67" i="34" s="1"/>
  <c r="T67" i="34"/>
  <c r="T65" i="34"/>
  <c r="V768" i="3"/>
  <c r="V65" i="34" s="1"/>
  <c r="V758" i="3"/>
  <c r="V55" i="34" s="1"/>
  <c r="T55" i="34"/>
  <c r="T17" i="34"/>
  <c r="V720" i="3"/>
  <c r="V17" i="34" s="1"/>
  <c r="T23" i="34"/>
  <c r="V726" i="3"/>
  <c r="V23" i="34" s="1"/>
  <c r="T59" i="34"/>
  <c r="V762" i="3"/>
  <c r="V59" i="34" s="1"/>
  <c r="V749" i="3"/>
  <c r="V46" i="34" s="1"/>
  <c r="T46" i="34"/>
  <c r="V734" i="3"/>
  <c r="V31" i="34" s="1"/>
  <c r="T31" i="34"/>
  <c r="V732" i="3"/>
  <c r="V29" i="34" s="1"/>
  <c r="T29" i="34"/>
  <c r="V717" i="3"/>
  <c r="V14" i="34" s="1"/>
  <c r="T14" i="34"/>
  <c r="T93" i="34"/>
  <c r="V796" i="3"/>
  <c r="V93" i="34" s="1"/>
  <c r="T89" i="34"/>
  <c r="V792" i="3"/>
  <c r="V89" i="34" s="1"/>
  <c r="T82" i="34"/>
  <c r="V785" i="3"/>
  <c r="V82" i="34" s="1"/>
  <c r="T40" i="34"/>
  <c r="V743" i="3"/>
  <c r="V40" i="34" s="1"/>
  <c r="V715" i="3"/>
  <c r="V12" i="34" s="1"/>
  <c r="T12" i="34"/>
  <c r="V709" i="3"/>
  <c r="V6" i="34" s="1"/>
  <c r="T6" i="34"/>
  <c r="V736" i="3"/>
  <c r="V33" i="34" s="1"/>
  <c r="T33" i="34"/>
  <c r="V744" i="3"/>
  <c r="V41" i="34" s="1"/>
  <c r="T41" i="34"/>
  <c r="C449" i="5"/>
  <c r="C228" i="5"/>
  <c r="D33" i="24"/>
  <c r="V737" i="3"/>
  <c r="V34" i="34" s="1"/>
  <c r="T34" i="34"/>
  <c r="D684" i="44"/>
  <c r="B1782" i="44"/>
  <c r="D1782" i="44" s="1"/>
  <c r="B2627" i="44"/>
  <c r="D2626" i="44"/>
  <c r="V708" i="3"/>
  <c r="V5" i="34" s="1"/>
  <c r="T5" i="34"/>
  <c r="V791" i="3"/>
  <c r="V88" i="34" s="1"/>
  <c r="T88" i="34"/>
  <c r="V753" i="3"/>
  <c r="V50" i="34" s="1"/>
  <c r="T50" i="34"/>
  <c r="V712" i="3"/>
  <c r="V9" i="34" s="1"/>
  <c r="T9" i="34"/>
  <c r="T44" i="34"/>
  <c r="V747" i="3"/>
  <c r="V44" i="34" s="1"/>
  <c r="T11" i="34"/>
  <c r="V714" i="3"/>
  <c r="V11" i="34" s="1"/>
  <c r="V741" i="3"/>
  <c r="V38" i="34" s="1"/>
  <c r="T38" i="34"/>
  <c r="T48" i="34"/>
  <c r="V751" i="3"/>
  <c r="V48" i="34" s="1"/>
  <c r="V727" i="3"/>
  <c r="V24" i="34" s="1"/>
  <c r="T24" i="34"/>
  <c r="V750" i="3"/>
  <c r="V47" i="34" s="1"/>
  <c r="T47" i="34"/>
  <c r="V742" i="3"/>
  <c r="V39" i="34" s="1"/>
  <c r="T39" i="34"/>
  <c r="T53" i="34"/>
  <c r="V756" i="3"/>
  <c r="V53" i="34" s="1"/>
  <c r="V775" i="3"/>
  <c r="V72" i="34" s="1"/>
  <c r="T72" i="34"/>
  <c r="T79" i="34"/>
  <c r="V782" i="3"/>
  <c r="V79" i="34" s="1"/>
  <c r="T101" i="34"/>
  <c r="V804" i="3"/>
  <c r="V101" i="34" s="1"/>
  <c r="T30" i="34"/>
  <c r="V733" i="3"/>
  <c r="V30" i="34" s="1"/>
  <c r="T807" i="3"/>
  <c r="V8" i="34"/>
  <c r="D685" i="44"/>
  <c r="D686" i="44"/>
  <c r="B2115" i="44"/>
  <c r="D2115" i="44" s="1"/>
  <c r="D903" i="44"/>
  <c r="D2037" i="44"/>
  <c r="B2038" i="44"/>
  <c r="B3124" i="44"/>
  <c r="D3123" i="44"/>
  <c r="D902" i="44"/>
  <c r="D3028" i="44"/>
  <c r="B3029" i="44"/>
  <c r="B1971" i="44"/>
  <c r="D1970" i="44"/>
  <c r="B890" i="44"/>
  <c r="D889" i="44"/>
  <c r="D887" i="44"/>
  <c r="D888" i="44"/>
  <c r="D3154" i="44"/>
  <c r="B3155" i="44"/>
  <c r="B2291" i="44"/>
  <c r="D2290" i="44"/>
  <c r="D2099" i="44"/>
  <c r="B2100" i="44"/>
  <c r="B2612" i="44"/>
  <c r="D2611" i="44"/>
  <c r="B1796" i="44"/>
  <c r="D1795" i="44"/>
  <c r="B2771" i="44"/>
  <c r="D2770" i="44"/>
  <c r="B2228" i="44"/>
  <c r="D2227" i="44"/>
  <c r="D869" i="44"/>
  <c r="D868" i="44"/>
  <c r="B870" i="44"/>
  <c r="D3090" i="44"/>
  <c r="B3091" i="44"/>
  <c r="B2567" i="44"/>
  <c r="D2566" i="44"/>
  <c r="B1940" i="44"/>
  <c r="D1939" i="44"/>
  <c r="C774" i="5"/>
  <c r="D403" i="3" a="1"/>
  <c r="D403" i="3" s="1"/>
  <c r="B403" i="3" s="1"/>
  <c r="C775" i="5" s="1"/>
  <c r="B1864" i="44"/>
  <c r="D1863" i="44"/>
  <c r="B2821" i="44"/>
  <c r="D2820" i="44"/>
  <c r="B1604" i="44"/>
  <c r="D1603" i="44"/>
  <c r="D2884" i="44"/>
  <c r="B2885" i="44"/>
  <c r="D2979" i="44"/>
  <c r="B2980" i="44"/>
  <c r="D1731" i="44"/>
  <c r="B1732" i="44"/>
  <c r="B2708" i="44"/>
  <c r="D2707" i="44"/>
  <c r="D1923" i="44"/>
  <c r="B1924" i="44"/>
  <c r="B2245" i="44"/>
  <c r="D2244" i="44"/>
  <c r="B507" i="3"/>
  <c r="C229" i="5"/>
  <c r="D2514" i="44"/>
  <c r="B2515" i="44"/>
  <c r="D2082" i="44"/>
  <c r="B2083" i="44"/>
  <c r="D1652" i="44"/>
  <c r="B1653" i="44"/>
  <c r="B2051" i="44"/>
  <c r="D2050" i="44"/>
  <c r="D1752" i="44"/>
  <c r="B1753" i="44"/>
  <c r="B2995" i="44"/>
  <c r="D2994" i="44"/>
  <c r="B2742" i="44"/>
  <c r="D2741" i="44"/>
  <c r="D2965" i="44"/>
  <c r="B2966" i="44"/>
  <c r="B3059" i="44"/>
  <c r="D3058" i="44"/>
  <c r="D2790" i="44"/>
  <c r="B2791" i="44"/>
  <c r="B2484" i="44"/>
  <c r="D2483" i="44"/>
  <c r="B2389" i="44"/>
  <c r="D2388" i="44"/>
  <c r="B1987" i="44"/>
  <c r="D1986" i="44"/>
  <c r="B2643" i="44"/>
  <c r="D2642" i="44"/>
  <c r="D1700" i="44"/>
  <c r="B1701" i="44"/>
  <c r="B2374" i="44"/>
  <c r="D2373" i="44"/>
  <c r="D1682" i="44"/>
  <c r="B1683" i="44"/>
  <c r="D1828" i="44"/>
  <c r="B1829" i="44"/>
  <c r="B2069" i="44"/>
  <c r="D2068" i="44"/>
  <c r="B2132" i="44"/>
  <c r="D2131" i="44"/>
  <c r="B2852" i="44"/>
  <c r="D2851" i="44"/>
  <c r="B1587" i="44"/>
  <c r="D1586" i="44"/>
  <c r="D575" i="44"/>
  <c r="D574" i="44"/>
  <c r="B576" i="44"/>
  <c r="D2003" i="44"/>
  <c r="B2004" i="44"/>
  <c r="B2868" i="44"/>
  <c r="D2867" i="44"/>
  <c r="B1876" i="44"/>
  <c r="D1875" i="44"/>
  <c r="B1844" i="44"/>
  <c r="D1843" i="44"/>
  <c r="D2547" i="44"/>
  <c r="B2548" i="44"/>
  <c r="D2835" i="44"/>
  <c r="B2836" i="44"/>
  <c r="B2356" i="44"/>
  <c r="D2355" i="44"/>
  <c r="D733" i="44"/>
  <c r="D732" i="44"/>
  <c r="D731" i="44"/>
  <c r="B734" i="44"/>
  <c r="D1810" i="44"/>
  <c r="B1811" i="44"/>
  <c r="D2804" i="44"/>
  <c r="B2805" i="44"/>
  <c r="B2180" i="44"/>
  <c r="D2179" i="44"/>
  <c r="D911" i="44"/>
  <c r="D910" i="44"/>
  <c r="B912" i="44"/>
  <c r="B2212" i="44"/>
  <c r="D2211" i="44"/>
  <c r="D2309" i="44"/>
  <c r="B2310" i="44"/>
  <c r="D3043" i="44"/>
  <c r="B3044" i="44"/>
  <c r="D340" i="44"/>
  <c r="D337" i="44"/>
  <c r="D336" i="44"/>
  <c r="D339" i="44"/>
  <c r="D338" i="44"/>
  <c r="B341" i="44"/>
  <c r="D2163" i="44"/>
  <c r="B2164" i="44"/>
  <c r="D2450" i="44"/>
  <c r="B2451" i="44"/>
  <c r="B2403" i="44"/>
  <c r="D2402" i="44"/>
  <c r="B690" i="44"/>
  <c r="D687" i="44"/>
  <c r="D688" i="44"/>
  <c r="D689" i="44"/>
  <c r="B790" i="44"/>
  <c r="D789" i="44"/>
  <c r="D788" i="44"/>
  <c r="D2259" i="44"/>
  <c r="B2260" i="44"/>
  <c r="B2675" i="44"/>
  <c r="D2674" i="44"/>
  <c r="D2692" i="44"/>
  <c r="B2693" i="44"/>
  <c r="D2341" i="44"/>
  <c r="B2342" i="44"/>
  <c r="D1634" i="44"/>
  <c r="B1635" i="44"/>
  <c r="B2148" i="44"/>
  <c r="D2147" i="44"/>
  <c r="D809" i="44"/>
  <c r="B810" i="44"/>
  <c r="D808" i="44"/>
  <c r="B2899" i="44"/>
  <c r="D2898" i="44"/>
  <c r="D2930" i="44"/>
  <c r="B2931" i="44"/>
  <c r="D2420" i="44"/>
  <c r="B2421" i="44"/>
  <c r="B2582" i="44"/>
  <c r="D2581" i="44"/>
  <c r="D3075" i="44"/>
  <c r="B3076" i="44"/>
  <c r="B2533" i="44"/>
  <c r="D2532" i="44"/>
  <c r="D3109" i="44"/>
  <c r="B3110" i="44"/>
  <c r="D3140" i="44"/>
  <c r="B3141" i="44"/>
  <c r="D1910" i="44"/>
  <c r="B1911" i="44"/>
  <c r="B843" i="44"/>
  <c r="D842" i="44"/>
  <c r="D841" i="44"/>
  <c r="D419" i="44"/>
  <c r="B424" i="44"/>
  <c r="D423" i="44"/>
  <c r="D421" i="44"/>
  <c r="D422" i="44"/>
  <c r="D420" i="44"/>
  <c r="D2469" i="44"/>
  <c r="B2470" i="44"/>
  <c r="D2325" i="44"/>
  <c r="B2326" i="44"/>
  <c r="H16" i="25"/>
  <c r="B300" i="3"/>
  <c r="O49" i="3"/>
  <c r="E141" i="32" s="1"/>
  <c r="C83" i="25"/>
  <c r="C86" i="25"/>
  <c r="E492" i="3"/>
  <c r="F86" i="25" s="1"/>
  <c r="H46" i="3"/>
  <c r="C508" i="5" s="1"/>
  <c r="D89" i="24"/>
  <c r="C768" i="5"/>
  <c r="B364" i="3"/>
  <c r="B365" i="3" s="1"/>
  <c r="Y789" i="3"/>
  <c r="Y720" i="3"/>
  <c r="Y771" i="3"/>
  <c r="Y765" i="3"/>
  <c r="Y768" i="3"/>
  <c r="Y736" i="3"/>
  <c r="Y762" i="3"/>
  <c r="Y737" i="3"/>
  <c r="Y766" i="3"/>
  <c r="Y735" i="3"/>
  <c r="Y726" i="3"/>
  <c r="Y742" i="3"/>
  <c r="Y712" i="3"/>
  <c r="Y787" i="3"/>
  <c r="Y767" i="3"/>
  <c r="Y739" i="3"/>
  <c r="Y750" i="3"/>
  <c r="Y725" i="3"/>
  <c r="Y724" i="3"/>
  <c r="Y760" i="3"/>
  <c r="Y764" i="3"/>
  <c r="Y786" i="3"/>
  <c r="Y738" i="3"/>
  <c r="Y795" i="3"/>
  <c r="Y806" i="3"/>
  <c r="Y715" i="3"/>
  <c r="Y796" i="3"/>
  <c r="Y752" i="3"/>
  <c r="Y746" i="3"/>
  <c r="Y788" i="3"/>
  <c r="Y708" i="3"/>
  <c r="Y719" i="3"/>
  <c r="Y770" i="3"/>
  <c r="Y782" i="3"/>
  <c r="Y797" i="3"/>
  <c r="Y716" i="3"/>
  <c r="Y732" i="3"/>
  <c r="Y741" i="3"/>
  <c r="Y740" i="3"/>
  <c r="Y780" i="3"/>
  <c r="Y775" i="3"/>
  <c r="Y729" i="3"/>
  <c r="Y757" i="3"/>
  <c r="Y794" i="3"/>
  <c r="Y731" i="3"/>
  <c r="Y777" i="3"/>
  <c r="Y803" i="3"/>
  <c r="Y772" i="3"/>
  <c r="Y713" i="3"/>
  <c r="Y798" i="3"/>
  <c r="Y714" i="3"/>
  <c r="Y774" i="3"/>
  <c r="Y748" i="3"/>
  <c r="Y718" i="3"/>
  <c r="Y773" i="3"/>
  <c r="Y744" i="3"/>
  <c r="Y727" i="3"/>
  <c r="Y790" i="3"/>
  <c r="Y759" i="3"/>
  <c r="Y751" i="3"/>
  <c r="Y761" i="3"/>
  <c r="Y769" i="3"/>
  <c r="Y785" i="3"/>
  <c r="Y805" i="3"/>
  <c r="Y799" i="3"/>
  <c r="Y779" i="3"/>
  <c r="Y709" i="3"/>
  <c r="Y755" i="3"/>
  <c r="Y733" i="3"/>
  <c r="Y778" i="3"/>
  <c r="Y745" i="3"/>
  <c r="Y734" i="3"/>
  <c r="Y781" i="3"/>
  <c r="Y776" i="3"/>
  <c r="Y758" i="3"/>
  <c r="Y722" i="3"/>
  <c r="Y792" i="3"/>
  <c r="Y747" i="3"/>
  <c r="Y763" i="3"/>
  <c r="Y753" i="3"/>
  <c r="Y743" i="3"/>
  <c r="Y783" i="3"/>
  <c r="Y793" i="3"/>
  <c r="Y717" i="3"/>
  <c r="Y723" i="3"/>
  <c r="Y749" i="3"/>
  <c r="Y802" i="3"/>
  <c r="Y804" i="3"/>
  <c r="Y784" i="3"/>
  <c r="Y728" i="3"/>
  <c r="Y710" i="3"/>
  <c r="Y754" i="3"/>
  <c r="Y800" i="3"/>
  <c r="Y721" i="3"/>
  <c r="Y791" i="3"/>
  <c r="Y730" i="3"/>
  <c r="Y801" i="3"/>
  <c r="Y711" i="3"/>
  <c r="Y756" i="3"/>
  <c r="B302" i="3"/>
  <c r="C520" i="5" s="1"/>
  <c r="H18" i="25"/>
  <c r="G844" i="3"/>
  <c r="D119" i="25" s="1"/>
  <c r="D911" i="5"/>
  <c r="C85" i="25"/>
  <c r="E491" i="3"/>
  <c r="F85" i="25" s="1"/>
  <c r="C82" i="25"/>
  <c r="E488" i="3"/>
  <c r="D206" i="24"/>
  <c r="D142" i="32"/>
  <c r="C491" i="5"/>
  <c r="D19" i="24"/>
  <c r="C84" i="25"/>
  <c r="E490" i="3"/>
  <c r="F84" i="25" s="1"/>
  <c r="I146" i="32"/>
  <c r="C515" i="5"/>
  <c r="I32" i="24"/>
  <c r="L42" i="3"/>
  <c r="E211" i="44" s="1"/>
  <c r="A211" i="44" s="1"/>
  <c r="J33" i="24"/>
  <c r="B301" i="3"/>
  <c r="H17" i="25"/>
  <c r="O55" i="3"/>
  <c r="O53" i="3"/>
  <c r="D209" i="24"/>
  <c r="C507" i="5"/>
  <c r="D145" i="32"/>
  <c r="B417" i="3" a="1"/>
  <c r="B417" i="3" s="1"/>
  <c r="C492" i="5"/>
  <c r="K73" i="3"/>
  <c r="C136" i="32"/>
  <c r="B352" i="3"/>
  <c r="D105" i="24" s="1"/>
  <c r="B368" i="3"/>
  <c r="B369" i="3" s="1"/>
  <c r="B371" i="3" s="1"/>
  <c r="B379" i="3" s="1"/>
  <c r="K1575" i="44"/>
  <c r="E1575" i="44" s="1"/>
  <c r="A1575" i="44" s="1"/>
  <c r="E876" i="3"/>
  <c r="E145" i="44"/>
  <c r="B345" i="3"/>
  <c r="C351" i="3" s="1"/>
  <c r="C200" i="24"/>
  <c r="F883" i="3"/>
  <c r="F23" i="24" s="1"/>
  <c r="F878" i="3"/>
  <c r="F882" i="3"/>
  <c r="F27" i="24" s="1"/>
  <c r="F879" i="3"/>
  <c r="F24" i="24" s="1"/>
  <c r="F881" i="3"/>
  <c r="F26" i="24" s="1"/>
  <c r="C13" i="32"/>
  <c r="C15" i="32" s="1"/>
  <c r="C17" i="32" s="1"/>
  <c r="D11" i="32"/>
  <c r="Z725" i="3"/>
  <c r="Z22" i="34" s="1"/>
  <c r="Z788" i="3"/>
  <c r="Z85" i="34" s="1"/>
  <c r="Z791" i="3"/>
  <c r="Z88" i="34" s="1"/>
  <c r="Z736" i="3"/>
  <c r="Z33" i="34" s="1"/>
  <c r="Z776" i="3"/>
  <c r="Z73" i="34" s="1"/>
  <c r="Z780" i="3"/>
  <c r="Z77" i="34" s="1"/>
  <c r="Z764" i="3"/>
  <c r="Z61" i="34" s="1"/>
  <c r="Z792" i="3"/>
  <c r="Z89" i="34" s="1"/>
  <c r="Z773" i="3"/>
  <c r="Z70" i="34" s="1"/>
  <c r="Z721" i="3"/>
  <c r="Z18" i="34" s="1"/>
  <c r="Z710" i="3"/>
  <c r="Z7" i="34" s="1"/>
  <c r="Z739" i="3"/>
  <c r="Z36" i="34" s="1"/>
  <c r="Z742" i="3"/>
  <c r="Z39" i="34" s="1"/>
  <c r="Z712" i="3"/>
  <c r="Z9" i="34" s="1"/>
  <c r="Z727" i="3"/>
  <c r="Z24" i="34" s="1"/>
  <c r="Z745" i="3"/>
  <c r="Z42" i="34" s="1"/>
  <c r="Z783" i="3"/>
  <c r="Z80" i="34" s="1"/>
  <c r="Z730" i="3"/>
  <c r="Z27" i="34" s="1"/>
  <c r="Z803" i="3"/>
  <c r="Z100" i="34" s="1"/>
  <c r="Z749" i="3"/>
  <c r="Z46" i="34" s="1"/>
  <c r="Z729" i="3"/>
  <c r="Z26" i="34" s="1"/>
  <c r="Z800" i="3"/>
  <c r="Z97" i="34" s="1"/>
  <c r="Z795" i="3"/>
  <c r="Z92" i="34" s="1"/>
  <c r="Z804" i="3"/>
  <c r="Z101" i="34" s="1"/>
  <c r="Z769" i="3"/>
  <c r="Z66" i="34" s="1"/>
  <c r="Z805" i="3"/>
  <c r="Z102" i="34" s="1"/>
  <c r="Z709" i="3"/>
  <c r="Z6" i="34" s="1"/>
  <c r="Z743" i="3"/>
  <c r="Z40" i="34" s="1"/>
  <c r="Z786" i="3"/>
  <c r="Z83" i="34" s="1"/>
  <c r="Z715" i="3"/>
  <c r="Z12" i="34" s="1"/>
  <c r="Z799" i="3"/>
  <c r="Z96" i="34" s="1"/>
  <c r="Z774" i="3"/>
  <c r="Z71" i="34" s="1"/>
  <c r="Z724" i="3"/>
  <c r="Z21" i="34" s="1"/>
  <c r="Z737" i="3"/>
  <c r="Z34" i="34" s="1"/>
  <c r="Z796" i="3"/>
  <c r="Z93" i="34" s="1"/>
  <c r="Z759" i="3"/>
  <c r="Z56" i="34" s="1"/>
  <c r="Z782" i="3"/>
  <c r="Z79" i="34" s="1"/>
  <c r="Z775" i="3"/>
  <c r="Z72" i="34" s="1"/>
  <c r="Z793" i="3"/>
  <c r="Z90" i="34" s="1"/>
  <c r="Z768" i="3"/>
  <c r="Z65" i="34" s="1"/>
  <c r="Z716" i="3"/>
  <c r="Z13" i="34" s="1"/>
  <c r="Z755" i="3"/>
  <c r="Z52" i="34" s="1"/>
  <c r="Z747" i="3"/>
  <c r="Z44" i="34" s="1"/>
  <c r="Z777" i="3"/>
  <c r="Z74" i="34" s="1"/>
  <c r="Z711" i="3"/>
  <c r="Z8" i="34" s="1"/>
  <c r="Z772" i="3"/>
  <c r="Z69" i="34" s="1"/>
  <c r="Z752" i="3"/>
  <c r="Z49" i="34" s="1"/>
  <c r="Z750" i="3"/>
  <c r="Z47" i="34" s="1"/>
  <c r="Z794" i="3"/>
  <c r="Z91" i="34" s="1"/>
  <c r="Z733" i="3"/>
  <c r="Z30" i="34" s="1"/>
  <c r="Z718" i="3"/>
  <c r="Z15" i="34" s="1"/>
  <c r="Z726" i="3"/>
  <c r="Z23" i="34" s="1"/>
  <c r="Z758" i="3"/>
  <c r="Z55" i="34" s="1"/>
  <c r="Z738" i="3"/>
  <c r="Z35" i="34" s="1"/>
  <c r="Z753" i="3"/>
  <c r="Z50" i="34" s="1"/>
  <c r="Z732" i="3"/>
  <c r="Z29" i="34" s="1"/>
  <c r="Z779" i="3"/>
  <c r="Z76" i="34" s="1"/>
  <c r="Z770" i="3"/>
  <c r="Z67" i="34" s="1"/>
  <c r="Z801" i="3"/>
  <c r="Z98" i="34" s="1"/>
  <c r="Z754" i="3"/>
  <c r="Z51" i="34" s="1"/>
  <c r="Z762" i="3"/>
  <c r="Z59" i="34" s="1"/>
  <c r="Z723" i="3"/>
  <c r="Z20" i="34" s="1"/>
  <c r="Z740" i="3"/>
  <c r="Z37" i="34" s="1"/>
  <c r="Z717" i="3"/>
  <c r="Z14" i="34" s="1"/>
  <c r="Z748" i="3"/>
  <c r="Z45" i="34" s="1"/>
  <c r="Z731" i="3"/>
  <c r="Z28" i="34" s="1"/>
  <c r="Z797" i="3"/>
  <c r="Z94" i="34" s="1"/>
  <c r="Z771" i="3"/>
  <c r="Z68" i="34" s="1"/>
  <c r="Z765" i="3"/>
  <c r="Z62" i="34" s="1"/>
  <c r="Z757" i="3"/>
  <c r="Z54" i="34" s="1"/>
  <c r="Z781" i="3"/>
  <c r="Z78" i="34" s="1"/>
  <c r="Z763" i="3"/>
  <c r="Z60" i="34" s="1"/>
  <c r="Z741" i="3"/>
  <c r="Z38" i="34" s="1"/>
  <c r="Z787" i="3"/>
  <c r="Z84" i="34" s="1"/>
  <c r="Z713" i="3"/>
  <c r="Z10" i="34" s="1"/>
  <c r="Z708" i="3"/>
  <c r="Z789" i="3"/>
  <c r="Z86" i="34" s="1"/>
  <c r="Z760" i="3"/>
  <c r="Z57" i="34" s="1"/>
  <c r="Z719" i="3"/>
  <c r="Z16" i="34" s="1"/>
  <c r="Z756" i="3"/>
  <c r="Z53" i="34" s="1"/>
  <c r="Z802" i="3"/>
  <c r="Z99" i="34" s="1"/>
  <c r="Z766" i="3"/>
  <c r="Z63" i="34" s="1"/>
  <c r="Z761" i="3"/>
  <c r="Z58" i="34" s="1"/>
  <c r="Z778" i="3"/>
  <c r="Z75" i="34" s="1"/>
  <c r="Z784" i="3"/>
  <c r="Z81" i="34" s="1"/>
  <c r="Z735" i="3"/>
  <c r="Z32" i="34" s="1"/>
  <c r="Z785" i="3"/>
  <c r="Z82" i="34" s="1"/>
  <c r="Z722" i="3"/>
  <c r="Z19" i="34" s="1"/>
  <c r="Z806" i="3"/>
  <c r="Z103" i="34" s="1"/>
  <c r="Z751" i="3"/>
  <c r="Z48" i="34" s="1"/>
  <c r="Z767" i="3"/>
  <c r="Z64" i="34" s="1"/>
  <c r="Z798" i="3"/>
  <c r="Z95" i="34" s="1"/>
  <c r="Z744" i="3"/>
  <c r="Z41" i="34" s="1"/>
  <c r="Z728" i="3"/>
  <c r="Z25" i="34" s="1"/>
  <c r="Z714" i="3"/>
  <c r="Z11" i="34" s="1"/>
  <c r="Z790" i="3"/>
  <c r="Z87" i="34" s="1"/>
  <c r="Z746" i="3"/>
  <c r="Z43" i="34" s="1"/>
  <c r="Z720" i="3"/>
  <c r="Z17" i="34" s="1"/>
  <c r="Z734" i="3"/>
  <c r="Z31" i="34" s="1"/>
  <c r="H90" i="25" l="1"/>
  <c r="C551" i="3"/>
  <c r="G90" i="25" s="1"/>
  <c r="F542" i="3"/>
  <c r="G82" i="25" s="1"/>
  <c r="F546" i="3"/>
  <c r="G86" i="25" s="1"/>
  <c r="F544" i="3"/>
  <c r="G84" i="25" s="1"/>
  <c r="F547" i="3"/>
  <c r="G87" i="25" s="1"/>
  <c r="F545" i="3"/>
  <c r="G85" i="25" s="1"/>
  <c r="G61" i="25"/>
  <c r="G66" i="25"/>
  <c r="G14" i="32"/>
  <c r="G32" i="32" s="1"/>
  <c r="B2501" i="44"/>
  <c r="G83" i="25"/>
  <c r="A941" i="5"/>
  <c r="D2724" i="44"/>
  <c r="L43" i="3"/>
  <c r="L44" i="3" s="1"/>
  <c r="B16" i="25" s="1"/>
  <c r="F95" i="41"/>
  <c r="A236" i="44"/>
  <c r="B2022" i="44"/>
  <c r="D2022" i="44" s="1"/>
  <c r="C517" i="5"/>
  <c r="C519" i="5"/>
  <c r="B670" i="3"/>
  <c r="B699" i="3"/>
  <c r="N741" i="3" s="1"/>
  <c r="N38" i="34" s="1"/>
  <c r="L60" i="42"/>
  <c r="L57" i="42"/>
  <c r="G89" i="41"/>
  <c r="E61" i="41"/>
  <c r="E80" i="41"/>
  <c r="E13" i="41"/>
  <c r="E94" i="41"/>
  <c r="E18" i="41"/>
  <c r="E51" i="41"/>
  <c r="E87" i="41"/>
  <c r="E39" i="41"/>
  <c r="E29" i="41"/>
  <c r="H14" i="32"/>
  <c r="H32" i="32" s="1"/>
  <c r="D767" i="44"/>
  <c r="D770" i="44"/>
  <c r="B771" i="44"/>
  <c r="D772" i="44" s="1"/>
  <c r="D768" i="44"/>
  <c r="B1672" i="44"/>
  <c r="B1673" i="44" s="1"/>
  <c r="B1674" i="44" s="1"/>
  <c r="J59" i="42"/>
  <c r="D57" i="42"/>
  <c r="D60" i="43" s="1"/>
  <c r="J58" i="42"/>
  <c r="B2439" i="44"/>
  <c r="D2439" i="44" s="1"/>
  <c r="D2196" i="44"/>
  <c r="B2951" i="44"/>
  <c r="B2952" i="44" s="1"/>
  <c r="B1957" i="44"/>
  <c r="D1957" i="44" s="1"/>
  <c r="D621" i="44"/>
  <c r="B2759" i="44"/>
  <c r="B2760" i="44" s="1"/>
  <c r="D623" i="44"/>
  <c r="B1893" i="44"/>
  <c r="B1894" i="44" s="1"/>
  <c r="B1895" i="44" s="1"/>
  <c r="D622" i="44"/>
  <c r="D620" i="44"/>
  <c r="D2437" i="44"/>
  <c r="B2597" i="44"/>
  <c r="B2598" i="44" s="1"/>
  <c r="B624" i="44"/>
  <c r="D628" i="44" s="1"/>
  <c r="D1891" i="44"/>
  <c r="E548" i="3"/>
  <c r="F548" i="3" s="1"/>
  <c r="G88" i="25" s="1"/>
  <c r="D1766" i="44"/>
  <c r="B1767" i="44"/>
  <c r="B1620" i="44"/>
  <c r="B1621" i="44" s="1"/>
  <c r="D715" i="44"/>
  <c r="B2661" i="44"/>
  <c r="D2660" i="44"/>
  <c r="B718" i="44"/>
  <c r="D720" i="44" s="1"/>
  <c r="D713" i="44"/>
  <c r="D493" i="44"/>
  <c r="D716" i="44"/>
  <c r="D714" i="44"/>
  <c r="B2276" i="44"/>
  <c r="D495" i="44"/>
  <c r="D494" i="44"/>
  <c r="D2916" i="44"/>
  <c r="B2917" i="44"/>
  <c r="B497" i="44"/>
  <c r="D497" i="44" s="1"/>
  <c r="D492" i="44"/>
  <c r="C230" i="5"/>
  <c r="D3012" i="44"/>
  <c r="B3013" i="44"/>
  <c r="J54" i="24"/>
  <c r="L1192" i="5"/>
  <c r="M1192" i="5"/>
  <c r="E1192" i="5"/>
  <c r="P1192" i="5"/>
  <c r="F1192" i="5"/>
  <c r="I1192" i="5"/>
  <c r="D1192" i="5"/>
  <c r="J1192" i="5"/>
  <c r="S1192" i="5"/>
  <c r="K1192" i="5"/>
  <c r="Q1192" i="5"/>
  <c r="T1192" i="5"/>
  <c r="N1192" i="5"/>
  <c r="H1192" i="5"/>
  <c r="C1192" i="5"/>
  <c r="O1192" i="5"/>
  <c r="R1192" i="5"/>
  <c r="G1192" i="5"/>
  <c r="B1194" i="5"/>
  <c r="A1193" i="5"/>
  <c r="J876" i="3"/>
  <c r="E33" i="24" s="1"/>
  <c r="D1715" i="44"/>
  <c r="B1716" i="44"/>
  <c r="B1783" i="44"/>
  <c r="D1783" i="44" s="1"/>
  <c r="B2116" i="44"/>
  <c r="B2117" i="44" s="1"/>
  <c r="D2627" i="44"/>
  <c r="B2628" i="44"/>
  <c r="V807" i="3"/>
  <c r="C1075" i="5"/>
  <c r="X726" i="3"/>
  <c r="X23" i="34" s="1"/>
  <c r="X799" i="3"/>
  <c r="X96" i="34" s="1"/>
  <c r="X749" i="3"/>
  <c r="X46" i="34" s="1"/>
  <c r="X798" i="3"/>
  <c r="X95" i="34" s="1"/>
  <c r="X757" i="3"/>
  <c r="X54" i="34" s="1"/>
  <c r="X714" i="3"/>
  <c r="X11" i="34" s="1"/>
  <c r="X803" i="3"/>
  <c r="X100" i="34" s="1"/>
  <c r="X771" i="3"/>
  <c r="X68" i="34" s="1"/>
  <c r="X739" i="3"/>
  <c r="X36" i="34" s="1"/>
  <c r="X804" i="3"/>
  <c r="X101" i="34" s="1"/>
  <c r="X800" i="3"/>
  <c r="X97" i="34" s="1"/>
  <c r="X716" i="3"/>
  <c r="X13" i="34" s="1"/>
  <c r="X740" i="3"/>
  <c r="X37" i="34" s="1"/>
  <c r="X774" i="3"/>
  <c r="X71" i="34" s="1"/>
  <c r="X734" i="3"/>
  <c r="X31" i="34" s="1"/>
  <c r="X765" i="3"/>
  <c r="X62" i="34" s="1"/>
  <c r="X794" i="3"/>
  <c r="X91" i="34" s="1"/>
  <c r="X752" i="3"/>
  <c r="X49" i="34" s="1"/>
  <c r="X761" i="3"/>
  <c r="X58" i="34" s="1"/>
  <c r="X786" i="3"/>
  <c r="X83" i="34" s="1"/>
  <c r="X736" i="3"/>
  <c r="X33" i="34" s="1"/>
  <c r="X773" i="3"/>
  <c r="X70" i="34" s="1"/>
  <c r="X709" i="3"/>
  <c r="X6" i="34" s="1"/>
  <c r="X720" i="3"/>
  <c r="X17" i="34" s="1"/>
  <c r="C813" i="3"/>
  <c r="X743" i="3"/>
  <c r="X40" i="34" s="1"/>
  <c r="X758" i="3"/>
  <c r="X55" i="34" s="1"/>
  <c r="X710" i="3"/>
  <c r="X7" i="34" s="1"/>
  <c r="X781" i="3"/>
  <c r="X78" i="34" s="1"/>
  <c r="X746" i="3"/>
  <c r="X43" i="34" s="1"/>
  <c r="X713" i="3"/>
  <c r="X10" i="34" s="1"/>
  <c r="X789" i="3"/>
  <c r="X86" i="34" s="1"/>
  <c r="X764" i="3"/>
  <c r="X61" i="34" s="1"/>
  <c r="X772" i="3"/>
  <c r="X69" i="34" s="1"/>
  <c r="X732" i="3"/>
  <c r="X29" i="34" s="1"/>
  <c r="X778" i="3"/>
  <c r="X75" i="34" s="1"/>
  <c r="X735" i="3"/>
  <c r="X32" i="34" s="1"/>
  <c r="X801" i="3"/>
  <c r="X98" i="34" s="1"/>
  <c r="X762" i="3"/>
  <c r="X59" i="34" s="1"/>
  <c r="X767" i="3"/>
  <c r="X64" i="34" s="1"/>
  <c r="X708" i="3"/>
  <c r="X783" i="3"/>
  <c r="X80" i="34" s="1"/>
  <c r="X754" i="3"/>
  <c r="X51" i="34" s="1"/>
  <c r="X715" i="3"/>
  <c r="X12" i="34" s="1"/>
  <c r="X738" i="3"/>
  <c r="X35" i="34" s="1"/>
  <c r="X721" i="3"/>
  <c r="X18" i="34" s="1"/>
  <c r="X788" i="3"/>
  <c r="X85" i="34" s="1"/>
  <c r="X805" i="3"/>
  <c r="X102" i="34" s="1"/>
  <c r="X791" i="3"/>
  <c r="X88" i="34" s="1"/>
  <c r="X770" i="3"/>
  <c r="X67" i="34" s="1"/>
  <c r="X717" i="3"/>
  <c r="X14" i="34" s="1"/>
  <c r="T104" i="34"/>
  <c r="X790" i="3"/>
  <c r="X87" i="34" s="1"/>
  <c r="X756" i="3"/>
  <c r="X53" i="34" s="1"/>
  <c r="X751" i="3"/>
  <c r="X48" i="34" s="1"/>
  <c r="X792" i="3"/>
  <c r="X89" i="34" s="1"/>
  <c r="X796" i="3"/>
  <c r="X93" i="34" s="1"/>
  <c r="X737" i="3"/>
  <c r="X34" i="34" s="1"/>
  <c r="X755" i="3"/>
  <c r="X52" i="34" s="1"/>
  <c r="X776" i="3"/>
  <c r="X73" i="34" s="1"/>
  <c r="X742" i="3"/>
  <c r="X39" i="34" s="1"/>
  <c r="X711" i="3"/>
  <c r="X8" i="34" s="1"/>
  <c r="X802" i="3"/>
  <c r="X99" i="34" s="1"/>
  <c r="X719" i="3"/>
  <c r="X16" i="34" s="1"/>
  <c r="X763" i="3"/>
  <c r="X60" i="34" s="1"/>
  <c r="X793" i="3"/>
  <c r="X90" i="34" s="1"/>
  <c r="X759" i="3"/>
  <c r="X56" i="34" s="1"/>
  <c r="X777" i="3"/>
  <c r="X74" i="34" s="1"/>
  <c r="X766" i="3"/>
  <c r="X63" i="34" s="1"/>
  <c r="X745" i="3"/>
  <c r="X42" i="34" s="1"/>
  <c r="X750" i="3"/>
  <c r="X47" i="34" s="1"/>
  <c r="X768" i="3"/>
  <c r="X65" i="34" s="1"/>
  <c r="X787" i="3"/>
  <c r="X84" i="34" s="1"/>
  <c r="X723" i="3"/>
  <c r="X20" i="34" s="1"/>
  <c r="X760" i="3"/>
  <c r="X57" i="34" s="1"/>
  <c r="X753" i="3"/>
  <c r="X50" i="34" s="1"/>
  <c r="X775" i="3"/>
  <c r="X72" i="34" s="1"/>
  <c r="X724" i="3"/>
  <c r="X21" i="34" s="1"/>
  <c r="X722" i="3"/>
  <c r="X19" i="34" s="1"/>
  <c r="X779" i="3"/>
  <c r="X76" i="34" s="1"/>
  <c r="X744" i="3"/>
  <c r="X41" i="34" s="1"/>
  <c r="X741" i="3"/>
  <c r="X38" i="34" s="1"/>
  <c r="X728" i="3"/>
  <c r="X25" i="34" s="1"/>
  <c r="X747" i="3"/>
  <c r="X44" i="34" s="1"/>
  <c r="X718" i="3"/>
  <c r="X15" i="34" s="1"/>
  <c r="X797" i="3"/>
  <c r="X94" i="34" s="1"/>
  <c r="X729" i="3"/>
  <c r="X26" i="34" s="1"/>
  <c r="X806" i="3"/>
  <c r="X103" i="34" s="1"/>
  <c r="X727" i="3"/>
  <c r="X24" i="34" s="1"/>
  <c r="X769" i="3"/>
  <c r="X66" i="34" s="1"/>
  <c r="X730" i="3"/>
  <c r="X27" i="34" s="1"/>
  <c r="X795" i="3"/>
  <c r="X92" i="34" s="1"/>
  <c r="X731" i="3"/>
  <c r="X28" i="34" s="1"/>
  <c r="X784" i="3"/>
  <c r="X81" i="34" s="1"/>
  <c r="X785" i="3"/>
  <c r="X82" i="34" s="1"/>
  <c r="X733" i="3"/>
  <c r="X30" i="34" s="1"/>
  <c r="X780" i="3"/>
  <c r="X77" i="34" s="1"/>
  <c r="X748" i="3"/>
  <c r="X45" i="34" s="1"/>
  <c r="X782" i="3"/>
  <c r="X79" i="34" s="1"/>
  <c r="X712" i="3"/>
  <c r="X9" i="34" s="1"/>
  <c r="X725" i="3"/>
  <c r="X22" i="34" s="1"/>
  <c r="B2039" i="44"/>
  <c r="D2038" i="44"/>
  <c r="B3125" i="44"/>
  <c r="D3124" i="44"/>
  <c r="D3029" i="44"/>
  <c r="B3030" i="44"/>
  <c r="B2568" i="44"/>
  <c r="D2567" i="44"/>
  <c r="D2100" i="44"/>
  <c r="B2101" i="44"/>
  <c r="B3156" i="44"/>
  <c r="D3155" i="44"/>
  <c r="D3091" i="44"/>
  <c r="B3092" i="44"/>
  <c r="B872" i="44"/>
  <c r="D871" i="44"/>
  <c r="D870" i="44"/>
  <c r="B2229" i="44"/>
  <c r="D2228" i="44"/>
  <c r="B2772" i="44"/>
  <c r="D2771" i="44"/>
  <c r="D1796" i="44"/>
  <c r="B1797" i="44"/>
  <c r="B2613" i="44"/>
  <c r="D2612" i="44"/>
  <c r="B2292" i="44"/>
  <c r="D2291" i="44"/>
  <c r="D891" i="44"/>
  <c r="D892" i="44"/>
  <c r="B893" i="44"/>
  <c r="D890" i="44"/>
  <c r="B1972" i="44"/>
  <c r="D1971" i="44"/>
  <c r="D1940" i="44"/>
  <c r="B1941" i="44"/>
  <c r="D2821" i="44"/>
  <c r="B2822" i="44"/>
  <c r="B1865" i="44"/>
  <c r="D1864" i="44"/>
  <c r="B2886" i="44"/>
  <c r="D2885" i="44"/>
  <c r="B1605" i="44"/>
  <c r="D1604" i="44"/>
  <c r="D1924" i="44"/>
  <c r="B1925" i="44"/>
  <c r="B1733" i="44"/>
  <c r="D1732" i="44"/>
  <c r="D2980" i="44"/>
  <c r="B2981" i="44"/>
  <c r="D2245" i="44"/>
  <c r="B2246" i="44"/>
  <c r="D2708" i="44"/>
  <c r="B2709" i="44"/>
  <c r="E79" i="32"/>
  <c r="E54" i="24"/>
  <c r="F97" i="25"/>
  <c r="B2792" i="44"/>
  <c r="D2791" i="44"/>
  <c r="D2966" i="44"/>
  <c r="B2967" i="44"/>
  <c r="D1753" i="44"/>
  <c r="B1754" i="44"/>
  <c r="D1653" i="44"/>
  <c r="B1654" i="44"/>
  <c r="D2083" i="44"/>
  <c r="B2084" i="44"/>
  <c r="D2515" i="44"/>
  <c r="B2516" i="44"/>
  <c r="D2389" i="44"/>
  <c r="B2390" i="44"/>
  <c r="B2485" i="44"/>
  <c r="D2484" i="44"/>
  <c r="D3059" i="44"/>
  <c r="B3060" i="44"/>
  <c r="D2742" i="44"/>
  <c r="B2743" i="44"/>
  <c r="B2996" i="44"/>
  <c r="D2995" i="44"/>
  <c r="B2052" i="44"/>
  <c r="D2051" i="44"/>
  <c r="B2198" i="44"/>
  <c r="D2197" i="44"/>
  <c r="D2533" i="44"/>
  <c r="B2534" i="44"/>
  <c r="B2583" i="44"/>
  <c r="D2582" i="44"/>
  <c r="B2422" i="44"/>
  <c r="D2421" i="44"/>
  <c r="B2932" i="44"/>
  <c r="D2931" i="44"/>
  <c r="B2149" i="44"/>
  <c r="D2148" i="44"/>
  <c r="B2676" i="44"/>
  <c r="D2675" i="44"/>
  <c r="B2452" i="44"/>
  <c r="D2451" i="44"/>
  <c r="B2165" i="44"/>
  <c r="D2164" i="44"/>
  <c r="D342" i="44"/>
  <c r="B346" i="44"/>
  <c r="D341" i="44"/>
  <c r="D343" i="44"/>
  <c r="D345" i="44"/>
  <c r="D344" i="44"/>
  <c r="B3045" i="44"/>
  <c r="D3044" i="44"/>
  <c r="D2310" i="44"/>
  <c r="B2311" i="44"/>
  <c r="D914" i="44"/>
  <c r="D913" i="44"/>
  <c r="D912" i="44"/>
  <c r="B2181" i="44"/>
  <c r="D2180" i="44"/>
  <c r="D2725" i="44"/>
  <c r="B2726" i="44"/>
  <c r="B2357" i="44"/>
  <c r="D2356" i="44"/>
  <c r="B1845" i="44"/>
  <c r="D1844" i="44"/>
  <c r="B1877" i="44"/>
  <c r="D1876" i="44"/>
  <c r="B2869" i="44"/>
  <c r="D2868" i="44"/>
  <c r="B1830" i="44"/>
  <c r="D1829" i="44"/>
  <c r="D1683" i="44"/>
  <c r="B1684" i="44"/>
  <c r="B1702" i="44"/>
  <c r="D1701" i="44"/>
  <c r="D3110" i="44"/>
  <c r="B3111" i="44"/>
  <c r="B3077" i="44"/>
  <c r="D3076" i="44"/>
  <c r="B2900" i="44"/>
  <c r="D2899" i="44"/>
  <c r="D810" i="44"/>
  <c r="D811" i="44"/>
  <c r="B812" i="44"/>
  <c r="D1635" i="44"/>
  <c r="B1636" i="44"/>
  <c r="D2342" i="44"/>
  <c r="B2343" i="44"/>
  <c r="D2693" i="44"/>
  <c r="B2694" i="44"/>
  <c r="D2260" i="44"/>
  <c r="B2261" i="44"/>
  <c r="D790" i="44"/>
  <c r="D791" i="44"/>
  <c r="B792" i="44"/>
  <c r="D690" i="44"/>
  <c r="D692" i="44"/>
  <c r="D691" i="44"/>
  <c r="D2403" i="44"/>
  <c r="B2404" i="44"/>
  <c r="B2213" i="44"/>
  <c r="D2212" i="44"/>
  <c r="B2806" i="44"/>
  <c r="D2805" i="44"/>
  <c r="B1812" i="44"/>
  <c r="D1811" i="44"/>
  <c r="D736" i="44"/>
  <c r="D735" i="44"/>
  <c r="D734" i="44"/>
  <c r="D2836" i="44"/>
  <c r="B2837" i="44"/>
  <c r="B2549" i="44"/>
  <c r="D2548" i="44"/>
  <c r="D2501" i="44"/>
  <c r="B2502" i="44"/>
  <c r="B2005" i="44"/>
  <c r="D2004" i="44"/>
  <c r="B578" i="44"/>
  <c r="D576" i="44"/>
  <c r="D577" i="44"/>
  <c r="D1587" i="44"/>
  <c r="B1588" i="44"/>
  <c r="D2852" i="44"/>
  <c r="B2853" i="44"/>
  <c r="B2133" i="44"/>
  <c r="D2132" i="44"/>
  <c r="D2069" i="44"/>
  <c r="B2070" i="44"/>
  <c r="D2116" i="44"/>
  <c r="B2375" i="44"/>
  <c r="D2374" i="44"/>
  <c r="D2643" i="44"/>
  <c r="B2644" i="44"/>
  <c r="B1988" i="44"/>
  <c r="D1987" i="44"/>
  <c r="B2327" i="44"/>
  <c r="D2326" i="44"/>
  <c r="B2471" i="44"/>
  <c r="D2470" i="44"/>
  <c r="B1912" i="44"/>
  <c r="D1911" i="44"/>
  <c r="D3141" i="44"/>
  <c r="B3142" i="44"/>
  <c r="B429" i="44"/>
  <c r="D428" i="44"/>
  <c r="D427" i="44"/>
  <c r="D425" i="44"/>
  <c r="D424" i="44"/>
  <c r="D426" i="44"/>
  <c r="D843" i="44"/>
  <c r="D844" i="44"/>
  <c r="B845" i="44"/>
  <c r="E205" i="24"/>
  <c r="E16" i="24"/>
  <c r="J18" i="25"/>
  <c r="C518" i="5"/>
  <c r="J16" i="25"/>
  <c r="C516" i="5"/>
  <c r="C209" i="24"/>
  <c r="K74" i="3"/>
  <c r="C145" i="32"/>
  <c r="B413" i="3"/>
  <c r="E167" i="24"/>
  <c r="E139" i="32"/>
  <c r="E203" i="24"/>
  <c r="E18" i="24"/>
  <c r="G883" i="3"/>
  <c r="D23" i="24" s="1"/>
  <c r="G881" i="3"/>
  <c r="G879" i="3"/>
  <c r="G878" i="3"/>
  <c r="G882" i="3"/>
  <c r="Y98" i="34"/>
  <c r="AA801" i="3"/>
  <c r="AA98" i="34" s="1"/>
  <c r="AA800" i="3"/>
  <c r="AA97" i="34" s="1"/>
  <c r="Y97" i="34"/>
  <c r="Y81" i="34"/>
  <c r="AA784" i="3"/>
  <c r="AA81" i="34" s="1"/>
  <c r="AA723" i="3"/>
  <c r="AA20" i="34" s="1"/>
  <c r="Y20" i="34"/>
  <c r="Y40" i="34"/>
  <c r="AA743" i="3"/>
  <c r="AA40" i="34" s="1"/>
  <c r="AA792" i="3"/>
  <c r="AA89" i="34" s="1"/>
  <c r="Y89" i="34"/>
  <c r="AA781" i="3"/>
  <c r="AA78" i="34" s="1"/>
  <c r="Y78" i="34"/>
  <c r="Y30" i="34"/>
  <c r="AA733" i="3"/>
  <c r="AA30" i="34" s="1"/>
  <c r="Y96" i="34"/>
  <c r="AA799" i="3"/>
  <c r="AA96" i="34" s="1"/>
  <c r="Y58" i="34"/>
  <c r="AA761" i="3"/>
  <c r="AA58" i="34" s="1"/>
  <c r="AA727" i="3"/>
  <c r="AA24" i="34" s="1"/>
  <c r="Y24" i="34"/>
  <c r="AA748" i="3"/>
  <c r="AA45" i="34" s="1"/>
  <c r="Y45" i="34"/>
  <c r="AA713" i="3"/>
  <c r="AA10" i="34" s="1"/>
  <c r="Y10" i="34"/>
  <c r="AA731" i="3"/>
  <c r="AA28" i="34" s="1"/>
  <c r="Y28" i="34"/>
  <c r="Y72" i="34"/>
  <c r="AA775" i="3"/>
  <c r="AA72" i="34" s="1"/>
  <c r="AA732" i="3"/>
  <c r="AA29" i="34" s="1"/>
  <c r="Y29" i="34"/>
  <c r="AA770" i="3"/>
  <c r="AA67" i="34" s="1"/>
  <c r="Y67" i="34"/>
  <c r="Y43" i="34"/>
  <c r="AA746" i="3"/>
  <c r="AA43" i="34" s="1"/>
  <c r="AA806" i="3"/>
  <c r="AA103" i="34" s="1"/>
  <c r="Y103" i="34"/>
  <c r="AA764" i="3"/>
  <c r="AA61" i="34" s="1"/>
  <c r="Y61" i="34"/>
  <c r="AA750" i="3"/>
  <c r="AA47" i="34" s="1"/>
  <c r="Y47" i="34"/>
  <c r="Y9" i="34"/>
  <c r="AA712" i="3"/>
  <c r="AA9" i="34" s="1"/>
  <c r="Y63" i="34"/>
  <c r="AA766" i="3"/>
  <c r="AA63" i="34" s="1"/>
  <c r="AA768" i="3"/>
  <c r="AA65" i="34" s="1"/>
  <c r="Y65" i="34"/>
  <c r="Y86" i="34"/>
  <c r="AA789" i="3"/>
  <c r="AA86" i="34" s="1"/>
  <c r="C489" i="5"/>
  <c r="Z5" i="34"/>
  <c r="Z807" i="3"/>
  <c r="E11" i="32"/>
  <c r="D13" i="32"/>
  <c r="D15" i="32" s="1"/>
  <c r="D17" i="32" s="1"/>
  <c r="E104" i="24"/>
  <c r="G351" i="3"/>
  <c r="G104" i="24" s="1"/>
  <c r="F351" i="3"/>
  <c r="C192" i="5"/>
  <c r="C113" i="24"/>
  <c r="C379" i="3"/>
  <c r="C88" i="32"/>
  <c r="L74" i="3"/>
  <c r="B323" i="3"/>
  <c r="J17" i="25"/>
  <c r="AA730" i="3"/>
  <c r="AA27" i="34" s="1"/>
  <c r="Y27" i="34"/>
  <c r="Y51" i="34"/>
  <c r="AA754" i="3"/>
  <c r="AA51" i="34" s="1"/>
  <c r="Y101" i="34"/>
  <c r="AA804" i="3"/>
  <c r="AA101" i="34" s="1"/>
  <c r="Y14" i="34"/>
  <c r="AA717" i="3"/>
  <c r="AA14" i="34" s="1"/>
  <c r="Y50" i="34"/>
  <c r="AA753" i="3"/>
  <c r="AA50" i="34" s="1"/>
  <c r="AA722" i="3"/>
  <c r="AA19" i="34" s="1"/>
  <c r="Y19" i="34"/>
  <c r="Y31" i="34"/>
  <c r="AA734" i="3"/>
  <c r="AA31" i="34" s="1"/>
  <c r="Y52" i="34"/>
  <c r="AA755" i="3"/>
  <c r="AA52" i="34" s="1"/>
  <c r="AA805" i="3"/>
  <c r="AA102" i="34" s="1"/>
  <c r="Y102" i="34"/>
  <c r="Y48" i="34"/>
  <c r="AA751" i="3"/>
  <c r="AA48" i="34" s="1"/>
  <c r="Y41" i="34"/>
  <c r="AA744" i="3"/>
  <c r="AA41" i="34" s="1"/>
  <c r="Y71" i="34"/>
  <c r="AA774" i="3"/>
  <c r="AA71" i="34" s="1"/>
  <c r="Y69" i="34"/>
  <c r="AA772" i="3"/>
  <c r="AA69" i="34" s="1"/>
  <c r="Y91" i="34"/>
  <c r="AA794" i="3"/>
  <c r="AA91" i="34" s="1"/>
  <c r="Y77" i="34"/>
  <c r="AA780" i="3"/>
  <c r="AA77" i="34" s="1"/>
  <c r="Y13" i="34"/>
  <c r="AA716" i="3"/>
  <c r="AA13" i="34" s="1"/>
  <c r="Y16" i="34"/>
  <c r="AA719" i="3"/>
  <c r="AA16" i="34" s="1"/>
  <c r="Y49" i="34"/>
  <c r="AA752" i="3"/>
  <c r="AA49" i="34" s="1"/>
  <c r="Y92" i="34"/>
  <c r="AA795" i="3"/>
  <c r="AA92" i="34" s="1"/>
  <c r="Y57" i="34"/>
  <c r="AA760" i="3"/>
  <c r="AA57" i="34" s="1"/>
  <c r="Y36" i="34"/>
  <c r="AA739" i="3"/>
  <c r="AA36" i="34" s="1"/>
  <c r="AA742" i="3"/>
  <c r="AA39" i="34" s="1"/>
  <c r="Y39" i="34"/>
  <c r="AA737" i="3"/>
  <c r="AA34" i="34" s="1"/>
  <c r="Y34" i="34"/>
  <c r="Y62" i="34"/>
  <c r="AA765" i="3"/>
  <c r="AA62" i="34" s="1"/>
  <c r="C2" i="5"/>
  <c r="D90" i="24"/>
  <c r="F22" i="24"/>
  <c r="F880" i="3"/>
  <c r="F25" i="24" s="1"/>
  <c r="I17" i="24"/>
  <c r="E138" i="32"/>
  <c r="E202" i="24"/>
  <c r="E17" i="24"/>
  <c r="E494" i="3"/>
  <c r="F82" i="25"/>
  <c r="Y53" i="34"/>
  <c r="AA756" i="3"/>
  <c r="AA53" i="34" s="1"/>
  <c r="AA791" i="3"/>
  <c r="AA88" i="34" s="1"/>
  <c r="Y88" i="34"/>
  <c r="AA710" i="3"/>
  <c r="AA7" i="34" s="1"/>
  <c r="Y7" i="34"/>
  <c r="Y99" i="34"/>
  <c r="AA802" i="3"/>
  <c r="AA99" i="34" s="1"/>
  <c r="Y90" i="34"/>
  <c r="AA793" i="3"/>
  <c r="AA90" i="34" s="1"/>
  <c r="Y60" i="34"/>
  <c r="AA763" i="3"/>
  <c r="AA60" i="34" s="1"/>
  <c r="Y55" i="34"/>
  <c r="AA758" i="3"/>
  <c r="AA55" i="34" s="1"/>
  <c r="AA745" i="3"/>
  <c r="AA42" i="34" s="1"/>
  <c r="Y42" i="34"/>
  <c r="Y6" i="34"/>
  <c r="AA709" i="3"/>
  <c r="AA6" i="34" s="1"/>
  <c r="Y82" i="34"/>
  <c r="AA785" i="3"/>
  <c r="AA82" i="34" s="1"/>
  <c r="Y56" i="34"/>
  <c r="AA759" i="3"/>
  <c r="AA56" i="34" s="1"/>
  <c r="Y70" i="34"/>
  <c r="AA773" i="3"/>
  <c r="AA70" i="34" s="1"/>
  <c r="AA714" i="3"/>
  <c r="AA11" i="34" s="1"/>
  <c r="Y11" i="34"/>
  <c r="AA803" i="3"/>
  <c r="AA100" i="34" s="1"/>
  <c r="Y100" i="34"/>
  <c r="AA757" i="3"/>
  <c r="AA54" i="34" s="1"/>
  <c r="Y54" i="34"/>
  <c r="AA740" i="3"/>
  <c r="AA37" i="34" s="1"/>
  <c r="Y37" i="34"/>
  <c r="AA797" i="3"/>
  <c r="AA94" i="34" s="1"/>
  <c r="Y94" i="34"/>
  <c r="AA708" i="3"/>
  <c r="Y807" i="3"/>
  <c r="Y5" i="34"/>
  <c r="Y93" i="34"/>
  <c r="AA796" i="3"/>
  <c r="AA93" i="34" s="1"/>
  <c r="Y35" i="34"/>
  <c r="AA738" i="3"/>
  <c r="AA35" i="34" s="1"/>
  <c r="AA724" i="3"/>
  <c r="AA21" i="34" s="1"/>
  <c r="Y21" i="34"/>
  <c r="AA767" i="3"/>
  <c r="AA64" i="34" s="1"/>
  <c r="Y64" i="34"/>
  <c r="Y23" i="34"/>
  <c r="AA726" i="3"/>
  <c r="AA23" i="34" s="1"/>
  <c r="AA762" i="3"/>
  <c r="AA59" i="34" s="1"/>
  <c r="Y59" i="34"/>
  <c r="AA771" i="3"/>
  <c r="AA68" i="34" s="1"/>
  <c r="Y68" i="34"/>
  <c r="B378" i="3"/>
  <c r="F365" i="3"/>
  <c r="C3" i="5"/>
  <c r="C30" i="32"/>
  <c r="D91" i="24"/>
  <c r="E883" i="3"/>
  <c r="E23" i="24" s="1"/>
  <c r="E881" i="3"/>
  <c r="E878" i="3"/>
  <c r="E879" i="3"/>
  <c r="E882" i="3"/>
  <c r="B431" i="3"/>
  <c r="E204" i="24"/>
  <c r="E140" i="32"/>
  <c r="Y8" i="34"/>
  <c r="AA711" i="3"/>
  <c r="AA8" i="34" s="1"/>
  <c r="Y18" i="34"/>
  <c r="AA721" i="3"/>
  <c r="AA18" i="34" s="1"/>
  <c r="AA728" i="3"/>
  <c r="AA25" i="34" s="1"/>
  <c r="Y25" i="34"/>
  <c r="Y46" i="34"/>
  <c r="AA749" i="3"/>
  <c r="AA46" i="34" s="1"/>
  <c r="Y80" i="34"/>
  <c r="AA783" i="3"/>
  <c r="AA80" i="34" s="1"/>
  <c r="Y44" i="34"/>
  <c r="AA747" i="3"/>
  <c r="AA44" i="34" s="1"/>
  <c r="Y73" i="34"/>
  <c r="AA776" i="3"/>
  <c r="AA73" i="34" s="1"/>
  <c r="Y75" i="34"/>
  <c r="AA778" i="3"/>
  <c r="AA75" i="34" s="1"/>
  <c r="AA779" i="3"/>
  <c r="AA76" i="34" s="1"/>
  <c r="Y76" i="34"/>
  <c r="Y66" i="34"/>
  <c r="AA769" i="3"/>
  <c r="AA66" i="34" s="1"/>
  <c r="Y87" i="34"/>
  <c r="AA790" i="3"/>
  <c r="AA87" i="34" s="1"/>
  <c r="Y15" i="34"/>
  <c r="AA718" i="3"/>
  <c r="AA15" i="34" s="1"/>
  <c r="AA798" i="3"/>
  <c r="AA95" i="34" s="1"/>
  <c r="Y95" i="34"/>
  <c r="Y74" i="34"/>
  <c r="AA777" i="3"/>
  <c r="AA74" i="34" s="1"/>
  <c r="AA729" i="3"/>
  <c r="AA26" i="34" s="1"/>
  <c r="Y26" i="34"/>
  <c r="Y38" i="34"/>
  <c r="AA741" i="3"/>
  <c r="AA38" i="34" s="1"/>
  <c r="Y79" i="34"/>
  <c r="AA782" i="3"/>
  <c r="AA79" i="34" s="1"/>
  <c r="Y85" i="34"/>
  <c r="AA788" i="3"/>
  <c r="AA85" i="34" s="1"/>
  <c r="AA715" i="3"/>
  <c r="AA12" i="34" s="1"/>
  <c r="Y12" i="34"/>
  <c r="AA786" i="3"/>
  <c r="AA83" i="34" s="1"/>
  <c r="Y83" i="34"/>
  <c r="Y22" i="34"/>
  <c r="AA725" i="3"/>
  <c r="AA22" i="34" s="1"/>
  <c r="Y84" i="34"/>
  <c r="AA787" i="3"/>
  <c r="AA84" i="34" s="1"/>
  <c r="Y32" i="34"/>
  <c r="AA735" i="3"/>
  <c r="AA32" i="34" s="1"/>
  <c r="Y33" i="34"/>
  <c r="AA736" i="3"/>
  <c r="AA33" i="34" s="1"/>
  <c r="Y17" i="34"/>
  <c r="AA720" i="3"/>
  <c r="AA17" i="34" s="1"/>
  <c r="B2023" i="44" l="1"/>
  <c r="B550" i="3"/>
  <c r="C550" i="3" s="1"/>
  <c r="B600" i="3"/>
  <c r="C600" i="3" s="1"/>
  <c r="B602" i="3"/>
  <c r="C602" i="3" s="1"/>
  <c r="B571" i="3"/>
  <c r="C571" i="3" s="1"/>
  <c r="I14" i="32"/>
  <c r="I32" i="32" s="1"/>
  <c r="A942" i="5"/>
  <c r="B773" i="44"/>
  <c r="D773" i="44" s="1"/>
  <c r="N775" i="3"/>
  <c r="N72" i="34" s="1"/>
  <c r="L797" i="3"/>
  <c r="L94" i="34" s="1"/>
  <c r="L753" i="3"/>
  <c r="L50" i="34" s="1"/>
  <c r="N713" i="3"/>
  <c r="N10" i="34" s="1"/>
  <c r="L713" i="3"/>
  <c r="L725" i="3"/>
  <c r="L22" i="34" s="1"/>
  <c r="L718" i="3"/>
  <c r="L15" i="34" s="1"/>
  <c r="L727" i="3"/>
  <c r="L24" i="34" s="1"/>
  <c r="L721" i="3"/>
  <c r="L18" i="34" s="1"/>
  <c r="N745" i="3"/>
  <c r="N42" i="34" s="1"/>
  <c r="L708" i="3"/>
  <c r="L5" i="34" s="1"/>
  <c r="L733" i="3"/>
  <c r="L30" i="34" s="1"/>
  <c r="L768" i="3"/>
  <c r="L65" i="34" s="1"/>
  <c r="N784" i="3"/>
  <c r="N81" i="34" s="1"/>
  <c r="L752" i="3"/>
  <c r="L49" i="34" s="1"/>
  <c r="N744" i="3"/>
  <c r="N41" i="34" s="1"/>
  <c r="N708" i="3"/>
  <c r="N796" i="3"/>
  <c r="N93" i="34" s="1"/>
  <c r="N757" i="3"/>
  <c r="N54" i="34" s="1"/>
  <c r="L757" i="3"/>
  <c r="L54" i="34" s="1"/>
  <c r="N766" i="3"/>
  <c r="N63" i="34" s="1"/>
  <c r="L724" i="3"/>
  <c r="L21" i="34" s="1"/>
  <c r="N755" i="3"/>
  <c r="N52" i="34" s="1"/>
  <c r="L804" i="3"/>
  <c r="L101" i="34" s="1"/>
  <c r="L788" i="3"/>
  <c r="L85" i="34" s="1"/>
  <c r="L744" i="3"/>
  <c r="L748" i="3"/>
  <c r="L45" i="34" s="1"/>
  <c r="L796" i="3"/>
  <c r="L93" i="34" s="1"/>
  <c r="L720" i="3"/>
  <c r="L17" i="34" s="1"/>
  <c r="N759" i="3"/>
  <c r="N56" i="34" s="1"/>
  <c r="N802" i="3"/>
  <c r="N99" i="34" s="1"/>
  <c r="N740" i="3"/>
  <c r="N37" i="34" s="1"/>
  <c r="L773" i="3"/>
  <c r="L70" i="34" s="1"/>
  <c r="N801" i="3"/>
  <c r="N98" i="34" s="1"/>
  <c r="L784" i="3"/>
  <c r="L81" i="34" s="1"/>
  <c r="N764" i="3"/>
  <c r="N61" i="34" s="1"/>
  <c r="L792" i="3"/>
  <c r="L89" i="34" s="1"/>
  <c r="L764" i="3"/>
  <c r="L61" i="34" s="1"/>
  <c r="N763" i="3"/>
  <c r="N60" i="34" s="1"/>
  <c r="N767" i="3"/>
  <c r="N64" i="34" s="1"/>
  <c r="N725" i="3"/>
  <c r="N22" i="34" s="1"/>
  <c r="N732" i="3"/>
  <c r="N29" i="34" s="1"/>
  <c r="N785" i="3"/>
  <c r="N82" i="34" s="1"/>
  <c r="L736" i="3"/>
  <c r="L33" i="34" s="1"/>
  <c r="N718" i="3"/>
  <c r="N15" i="34" s="1"/>
  <c r="L789" i="3"/>
  <c r="L86" i="34" s="1"/>
  <c r="N729" i="3"/>
  <c r="N26" i="34" s="1"/>
  <c r="L755" i="3"/>
  <c r="L52" i="34" s="1"/>
  <c r="N753" i="3"/>
  <c r="N50" i="34" s="1"/>
  <c r="L709" i="3"/>
  <c r="L6" i="34" s="1"/>
  <c r="L742" i="3"/>
  <c r="L39" i="34" s="1"/>
  <c r="N714" i="3"/>
  <c r="N11" i="34" s="1"/>
  <c r="L769" i="3"/>
  <c r="L66" i="34" s="1"/>
  <c r="N774" i="3"/>
  <c r="N71" i="34" s="1"/>
  <c r="N736" i="3"/>
  <c r="N33" i="34" s="1"/>
  <c r="N719" i="3"/>
  <c r="N16" i="34" s="1"/>
  <c r="L711" i="3"/>
  <c r="L8" i="34" s="1"/>
  <c r="N735" i="3"/>
  <c r="N32" i="34" s="1"/>
  <c r="L732" i="3"/>
  <c r="L29" i="34" s="1"/>
  <c r="N771" i="3"/>
  <c r="N68" i="34" s="1"/>
  <c r="L734" i="3"/>
  <c r="L31" i="34" s="1"/>
  <c r="N750" i="3"/>
  <c r="N47" i="34" s="1"/>
  <c r="L759" i="3"/>
  <c r="L803" i="3"/>
  <c r="L100" i="34" s="1"/>
  <c r="N782" i="3"/>
  <c r="N79" i="34" s="1"/>
  <c r="N752" i="3"/>
  <c r="N49" i="34" s="1"/>
  <c r="N760" i="3"/>
  <c r="N57" i="34" s="1"/>
  <c r="N715" i="3"/>
  <c r="N12" i="34" s="1"/>
  <c r="N781" i="3"/>
  <c r="N78" i="34" s="1"/>
  <c r="L729" i="3"/>
  <c r="L26" i="34" s="1"/>
  <c r="L795" i="3"/>
  <c r="L92" i="34" s="1"/>
  <c r="D1673" i="44"/>
  <c r="D1672" i="44"/>
  <c r="L767" i="3"/>
  <c r="N751" i="3"/>
  <c r="N48" i="34" s="1"/>
  <c r="L770" i="3"/>
  <c r="L67" i="34" s="1"/>
  <c r="N730" i="3"/>
  <c r="N27" i="34" s="1"/>
  <c r="L782" i="3"/>
  <c r="L79" i="34" s="1"/>
  <c r="L771" i="3"/>
  <c r="L756" i="3"/>
  <c r="L53" i="34" s="1"/>
  <c r="L775" i="3"/>
  <c r="L72" i="34" s="1"/>
  <c r="L774" i="3"/>
  <c r="L71" i="34" s="1"/>
  <c r="L778" i="3"/>
  <c r="L75" i="34" s="1"/>
  <c r="N761" i="3"/>
  <c r="N58" i="34" s="1"/>
  <c r="N778" i="3"/>
  <c r="N75" i="34" s="1"/>
  <c r="N791" i="3"/>
  <c r="N88" i="34" s="1"/>
  <c r="L737" i="3"/>
  <c r="N749" i="3"/>
  <c r="N46" i="34" s="1"/>
  <c r="N798" i="3"/>
  <c r="N95" i="34" s="1"/>
  <c r="N731" i="3"/>
  <c r="N28" i="34" s="1"/>
  <c r="N739" i="3"/>
  <c r="N36" i="34" s="1"/>
  <c r="N789" i="3"/>
  <c r="N86" i="34" s="1"/>
  <c r="L785" i="3"/>
  <c r="N717" i="3"/>
  <c r="N14" i="34" s="1"/>
  <c r="L772" i="3"/>
  <c r="L69" i="34" s="1"/>
  <c r="N738" i="3"/>
  <c r="N35" i="34" s="1"/>
  <c r="N783" i="3"/>
  <c r="N80" i="34" s="1"/>
  <c r="L793" i="3"/>
  <c r="L90" i="34" s="1"/>
  <c r="L783" i="3"/>
  <c r="L80" i="34" s="1"/>
  <c r="L728" i="3"/>
  <c r="L25" i="34" s="1"/>
  <c r="L801" i="3"/>
  <c r="L98" i="34" s="1"/>
  <c r="L735" i="3"/>
  <c r="L777" i="3"/>
  <c r="L74" i="34" s="1"/>
  <c r="L754" i="3"/>
  <c r="L716" i="3"/>
  <c r="L802" i="3"/>
  <c r="L99" i="34" s="1"/>
  <c r="L746" i="3"/>
  <c r="L43" i="34" s="1"/>
  <c r="N768" i="3"/>
  <c r="N65" i="34" s="1"/>
  <c r="N758" i="3"/>
  <c r="N55" i="34" s="1"/>
  <c r="N722" i="3"/>
  <c r="N19" i="34" s="1"/>
  <c r="N724" i="3"/>
  <c r="N21" i="34" s="1"/>
  <c r="N721" i="3"/>
  <c r="N18" i="34" s="1"/>
  <c r="N765" i="3"/>
  <c r="N62" i="34" s="1"/>
  <c r="N780" i="3"/>
  <c r="N77" i="34" s="1"/>
  <c r="N747" i="3"/>
  <c r="N44" i="34" s="1"/>
  <c r="L790" i="3"/>
  <c r="L743" i="3"/>
  <c r="L40" i="34" s="1"/>
  <c r="N727" i="3"/>
  <c r="N24" i="34" s="1"/>
  <c r="L739" i="3"/>
  <c r="N800" i="3"/>
  <c r="N97" i="34" s="1"/>
  <c r="N793" i="3"/>
  <c r="N90" i="34" s="1"/>
  <c r="L779" i="3"/>
  <c r="L76" i="34" s="1"/>
  <c r="L750" i="3"/>
  <c r="L47" i="34" s="1"/>
  <c r="L794" i="3"/>
  <c r="N723" i="3"/>
  <c r="N20" i="34" s="1"/>
  <c r="L723" i="3"/>
  <c r="L20" i="34" s="1"/>
  <c r="N786" i="3"/>
  <c r="N83" i="34" s="1"/>
  <c r="N734" i="3"/>
  <c r="N31" i="34" s="1"/>
  <c r="L758" i="3"/>
  <c r="L55" i="34" s="1"/>
  <c r="L730" i="3"/>
  <c r="N790" i="3"/>
  <c r="N87" i="34" s="1"/>
  <c r="N712" i="3"/>
  <c r="N9" i="34" s="1"/>
  <c r="N788" i="3"/>
  <c r="N85" i="34" s="1"/>
  <c r="L766" i="3"/>
  <c r="L747" i="3"/>
  <c r="N710" i="3"/>
  <c r="N7" i="34" s="1"/>
  <c r="N726" i="3"/>
  <c r="N23" i="34" s="1"/>
  <c r="N762" i="3"/>
  <c r="N59" i="34" s="1"/>
  <c r="L715" i="3"/>
  <c r="L12" i="34" s="1"/>
  <c r="L722" i="3"/>
  <c r="L751" i="3"/>
  <c r="L48" i="34" s="1"/>
  <c r="N728" i="3"/>
  <c r="N25" i="34" s="1"/>
  <c r="L763" i="3"/>
  <c r="N737" i="3"/>
  <c r="N34" i="34" s="1"/>
  <c r="N804" i="3"/>
  <c r="N101" i="34" s="1"/>
  <c r="N806" i="3"/>
  <c r="N103" i="34" s="1"/>
  <c r="L776" i="3"/>
  <c r="L73" i="34" s="1"/>
  <c r="L765" i="3"/>
  <c r="L62" i="34" s="1"/>
  <c r="L787" i="3"/>
  <c r="L84" i="34" s="1"/>
  <c r="N746" i="3"/>
  <c r="N43" i="34" s="1"/>
  <c r="L762" i="3"/>
  <c r="L59" i="34" s="1"/>
  <c r="N754" i="3"/>
  <c r="N51" i="34" s="1"/>
  <c r="N797" i="3"/>
  <c r="N94" i="34" s="1"/>
  <c r="L726" i="3"/>
  <c r="L23" i="34" s="1"/>
  <c r="L761" i="3"/>
  <c r="L58" i="34" s="1"/>
  <c r="N733" i="3"/>
  <c r="N30" i="34" s="1"/>
  <c r="N709" i="3"/>
  <c r="N6" i="34" s="1"/>
  <c r="N716" i="3"/>
  <c r="N13" i="34" s="1"/>
  <c r="L745" i="3"/>
  <c r="L42" i="34" s="1"/>
  <c r="L806" i="3"/>
  <c r="L103" i="34" s="1"/>
  <c r="L719" i="3"/>
  <c r="N770" i="3"/>
  <c r="N67" i="34" s="1"/>
  <c r="L760" i="3"/>
  <c r="L57" i="34" s="1"/>
  <c r="N794" i="3"/>
  <c r="N91" i="34" s="1"/>
  <c r="N748" i="3"/>
  <c r="N45" i="34" s="1"/>
  <c r="N756" i="3"/>
  <c r="N53" i="34" s="1"/>
  <c r="L738" i="3"/>
  <c r="L35" i="34" s="1"/>
  <c r="L800" i="3"/>
  <c r="L97" i="34" s="1"/>
  <c r="L786" i="3"/>
  <c r="L798" i="3"/>
  <c r="L95" i="34" s="1"/>
  <c r="L712" i="3"/>
  <c r="L9" i="34" s="1"/>
  <c r="L805" i="3"/>
  <c r="L102" i="34" s="1"/>
  <c r="N720" i="3"/>
  <c r="N17" i="34" s="1"/>
  <c r="L741" i="3"/>
  <c r="O741" i="3" s="1"/>
  <c r="N777" i="3"/>
  <c r="N74" i="34" s="1"/>
  <c r="N805" i="3"/>
  <c r="N102" i="34" s="1"/>
  <c r="N743" i="3"/>
  <c r="N40" i="34" s="1"/>
  <c r="N772" i="3"/>
  <c r="N69" i="34" s="1"/>
  <c r="N773" i="3"/>
  <c r="N70" i="34" s="1"/>
  <c r="N769" i="3"/>
  <c r="N66" i="34" s="1"/>
  <c r="L749" i="3"/>
  <c r="L46" i="34" s="1"/>
  <c r="N795" i="3"/>
  <c r="N92" i="34" s="1"/>
  <c r="L714" i="3"/>
  <c r="L11" i="34" s="1"/>
  <c r="N711" i="3"/>
  <c r="N8" i="34" s="1"/>
  <c r="L731" i="3"/>
  <c r="L791" i="3"/>
  <c r="L88" i="34" s="1"/>
  <c r="L799" i="3"/>
  <c r="L96" i="34" s="1"/>
  <c r="N779" i="3"/>
  <c r="N76" i="34" s="1"/>
  <c r="N787" i="3"/>
  <c r="N84" i="34" s="1"/>
  <c r="L780" i="3"/>
  <c r="L740" i="3"/>
  <c r="L37" i="34" s="1"/>
  <c r="N803" i="3"/>
  <c r="N100" i="34" s="1"/>
  <c r="N776" i="3"/>
  <c r="N73" i="34" s="1"/>
  <c r="N742" i="3"/>
  <c r="N39" i="34" s="1"/>
  <c r="L717" i="3"/>
  <c r="L14" i="34" s="1"/>
  <c r="L781" i="3"/>
  <c r="N799" i="3"/>
  <c r="N96" i="34" s="1"/>
  <c r="L710" i="3"/>
  <c r="L7" i="34" s="1"/>
  <c r="N792" i="3"/>
  <c r="N89" i="34" s="1"/>
  <c r="E95" i="41"/>
  <c r="G100" i="41" s="1"/>
  <c r="F34" i="43"/>
  <c r="F26" i="43"/>
  <c r="B2440" i="44"/>
  <c r="D2951" i="44"/>
  <c r="F18" i="43"/>
  <c r="D771" i="44"/>
  <c r="G58" i="42"/>
  <c r="D61" i="43" s="1"/>
  <c r="G57" i="42"/>
  <c r="D2759" i="44"/>
  <c r="D625" i="44"/>
  <c r="D626" i="44"/>
  <c r="B1958" i="44"/>
  <c r="B1959" i="44" s="1"/>
  <c r="D1959" i="44" s="1"/>
  <c r="D1893" i="44"/>
  <c r="D719" i="44"/>
  <c r="D1894" i="44"/>
  <c r="D722" i="44"/>
  <c r="D2597" i="44"/>
  <c r="D1620" i="44"/>
  <c r="B629" i="44"/>
  <c r="B632" i="44" s="1"/>
  <c r="D627" i="44"/>
  <c r="D624" i="44"/>
  <c r="D718" i="44"/>
  <c r="D1767" i="44"/>
  <c r="B1768" i="44"/>
  <c r="D500" i="44"/>
  <c r="D721" i="44"/>
  <c r="B2662" i="44"/>
  <c r="D2661" i="44"/>
  <c r="D501" i="44"/>
  <c r="D498" i="44"/>
  <c r="D2276" i="44"/>
  <c r="B2277" i="44"/>
  <c r="D499" i="44"/>
  <c r="B1784" i="44"/>
  <c r="D1784" i="44" s="1"/>
  <c r="B502" i="44"/>
  <c r="D502" i="44" s="1"/>
  <c r="B2918" i="44"/>
  <c r="D2917" i="44"/>
  <c r="D3013" i="44"/>
  <c r="B3014" i="44"/>
  <c r="K1193" i="5"/>
  <c r="F1193" i="5"/>
  <c r="P1193" i="5"/>
  <c r="M1193" i="5"/>
  <c r="S1193" i="5"/>
  <c r="E1193" i="5"/>
  <c r="C1193" i="5"/>
  <c r="Q1193" i="5"/>
  <c r="D1193" i="5"/>
  <c r="O1193" i="5"/>
  <c r="N1193" i="5"/>
  <c r="R1193" i="5"/>
  <c r="H1193" i="5"/>
  <c r="J1193" i="5"/>
  <c r="I1193" i="5"/>
  <c r="L1193" i="5"/>
  <c r="T1193" i="5"/>
  <c r="G1193" i="5"/>
  <c r="A1194" i="5"/>
  <c r="B1195" i="5"/>
  <c r="B1717" i="44"/>
  <c r="D1716" i="44"/>
  <c r="B2629" i="44"/>
  <c r="D2628" i="44"/>
  <c r="X807" i="3"/>
  <c r="C1078" i="5" s="1"/>
  <c r="X5" i="34"/>
  <c r="V104" i="34"/>
  <c r="C814" i="3"/>
  <c r="C1076" i="5"/>
  <c r="B2040" i="44"/>
  <c r="D2039" i="44"/>
  <c r="D3125" i="44"/>
  <c r="B3126" i="44"/>
  <c r="D3030" i="44"/>
  <c r="B3031" i="44"/>
  <c r="B1973" i="44"/>
  <c r="D1972" i="44"/>
  <c r="D894" i="44"/>
  <c r="D893" i="44"/>
  <c r="D2292" i="44"/>
  <c r="B2293" i="44"/>
  <c r="D2613" i="44"/>
  <c r="B2614" i="44"/>
  <c r="D2772" i="44"/>
  <c r="B2773" i="44"/>
  <c r="B2230" i="44"/>
  <c r="D2229" i="44"/>
  <c r="B3093" i="44"/>
  <c r="D3092" i="44"/>
  <c r="B2102" i="44"/>
  <c r="D2101" i="44"/>
  <c r="D1797" i="44"/>
  <c r="B1798" i="44"/>
  <c r="D874" i="44"/>
  <c r="B875" i="44"/>
  <c r="D872" i="44"/>
  <c r="D873" i="44"/>
  <c r="D3156" i="44"/>
  <c r="B3157" i="44"/>
  <c r="D2568" i="44"/>
  <c r="B2569" i="44"/>
  <c r="D1941" i="44"/>
  <c r="B1942" i="44"/>
  <c r="B2823" i="44"/>
  <c r="D2822" i="44"/>
  <c r="B1866" i="44"/>
  <c r="D1865" i="44"/>
  <c r="D1605" i="44"/>
  <c r="B1606" i="44"/>
  <c r="B2887" i="44"/>
  <c r="D2886" i="44"/>
  <c r="D2709" i="44"/>
  <c r="B2710" i="44"/>
  <c r="D2246" i="44"/>
  <c r="B2247" i="44"/>
  <c r="D2981" i="44"/>
  <c r="B2982" i="44"/>
  <c r="D1925" i="44"/>
  <c r="B1926" i="44"/>
  <c r="D1733" i="44"/>
  <c r="B1734" i="44"/>
  <c r="B2744" i="44"/>
  <c r="D2743" i="44"/>
  <c r="B3061" i="44"/>
  <c r="D3060" i="44"/>
  <c r="B2391" i="44"/>
  <c r="D2390" i="44"/>
  <c r="D2516" i="44"/>
  <c r="B2517" i="44"/>
  <c r="B2085" i="44"/>
  <c r="D2084" i="44"/>
  <c r="B1655" i="44"/>
  <c r="D1654" i="44"/>
  <c r="B1755" i="44"/>
  <c r="D1754" i="44"/>
  <c r="D2967" i="44"/>
  <c r="B2968" i="44"/>
  <c r="B2053" i="44"/>
  <c r="D2052" i="44"/>
  <c r="B2997" i="44"/>
  <c r="D2996" i="44"/>
  <c r="D2485" i="44"/>
  <c r="B2486" i="44"/>
  <c r="B2793" i="44"/>
  <c r="D2792" i="44"/>
  <c r="B1675" i="44"/>
  <c r="D1674" i="44"/>
  <c r="B2199" i="44"/>
  <c r="D2198" i="44"/>
  <c r="B2645" i="44"/>
  <c r="D2644" i="44"/>
  <c r="D2070" i="44"/>
  <c r="B2071" i="44"/>
  <c r="D2853" i="44"/>
  <c r="B2854" i="44"/>
  <c r="D1588" i="44"/>
  <c r="B1589" i="44"/>
  <c r="D579" i="44"/>
  <c r="B580" i="44"/>
  <c r="D578" i="44"/>
  <c r="D2005" i="44"/>
  <c r="B2006" i="44"/>
  <c r="D2549" i="44"/>
  <c r="B2550" i="44"/>
  <c r="B2405" i="44"/>
  <c r="D2404" i="44"/>
  <c r="D2598" i="44"/>
  <c r="B2599" i="44"/>
  <c r="B2262" i="44"/>
  <c r="D2261" i="44"/>
  <c r="D2694" i="44"/>
  <c r="B2695" i="44"/>
  <c r="D2343" i="44"/>
  <c r="B2344" i="44"/>
  <c r="B1637" i="44"/>
  <c r="D1636" i="44"/>
  <c r="D1621" i="44"/>
  <c r="B1622" i="44"/>
  <c r="D812" i="44"/>
  <c r="B814" i="44"/>
  <c r="D813" i="44"/>
  <c r="D2900" i="44"/>
  <c r="B2901" i="44"/>
  <c r="D3111" i="44"/>
  <c r="B3112" i="44"/>
  <c r="B1685" i="44"/>
  <c r="D1684" i="44"/>
  <c r="B2727" i="44"/>
  <c r="D2726" i="44"/>
  <c r="D3045" i="44"/>
  <c r="B3046" i="44"/>
  <c r="D2165" i="44"/>
  <c r="B2166" i="44"/>
  <c r="B2453" i="44"/>
  <c r="D2452" i="44"/>
  <c r="B2677" i="44"/>
  <c r="D2676" i="44"/>
  <c r="B2150" i="44"/>
  <c r="D2149" i="44"/>
  <c r="B2933" i="44"/>
  <c r="D2932" i="44"/>
  <c r="D2422" i="44"/>
  <c r="B2423" i="44"/>
  <c r="D2952" i="44"/>
  <c r="B2953" i="44"/>
  <c r="D2534" i="44"/>
  <c r="B2535" i="44"/>
  <c r="D1988" i="44"/>
  <c r="B1989" i="44"/>
  <c r="B2376" i="44"/>
  <c r="D2375" i="44"/>
  <c r="D2117" i="44"/>
  <c r="B2118" i="44"/>
  <c r="D2133" i="44"/>
  <c r="B2134" i="44"/>
  <c r="B2024" i="44"/>
  <c r="D2023" i="44"/>
  <c r="B2503" i="44"/>
  <c r="D2502" i="44"/>
  <c r="B2838" i="44"/>
  <c r="D2837" i="44"/>
  <c r="B1813" i="44"/>
  <c r="D1812" i="44"/>
  <c r="D2806" i="44"/>
  <c r="B2807" i="44"/>
  <c r="B2214" i="44"/>
  <c r="D2213" i="44"/>
  <c r="D794" i="44"/>
  <c r="B795" i="44"/>
  <c r="D793" i="44"/>
  <c r="D792" i="44"/>
  <c r="D3077" i="44"/>
  <c r="B3078" i="44"/>
  <c r="D1702" i="44"/>
  <c r="B1703" i="44"/>
  <c r="D1830" i="44"/>
  <c r="B1831" i="44"/>
  <c r="B2761" i="44"/>
  <c r="D2760" i="44"/>
  <c r="D2869" i="44"/>
  <c r="B2870" i="44"/>
  <c r="D1877" i="44"/>
  <c r="B1878" i="44"/>
  <c r="B1846" i="44"/>
  <c r="D1845" i="44"/>
  <c r="B2358" i="44"/>
  <c r="D2357" i="44"/>
  <c r="D2181" i="44"/>
  <c r="B2182" i="44"/>
  <c r="B2312" i="44"/>
  <c r="D2311" i="44"/>
  <c r="B351" i="44"/>
  <c r="D348" i="44"/>
  <c r="D347" i="44"/>
  <c r="D350" i="44"/>
  <c r="D346" i="44"/>
  <c r="D349" i="44"/>
  <c r="D2583" i="44"/>
  <c r="B2584" i="44"/>
  <c r="D1895" i="44"/>
  <c r="B1896" i="44"/>
  <c r="D2440" i="44"/>
  <c r="B2441" i="44"/>
  <c r="B847" i="44"/>
  <c r="D846" i="44"/>
  <c r="D845" i="44"/>
  <c r="B434" i="44"/>
  <c r="D431" i="44"/>
  <c r="D433" i="44"/>
  <c r="D430" i="44"/>
  <c r="D432" i="44"/>
  <c r="D429" i="44"/>
  <c r="B3143" i="44"/>
  <c r="D3142" i="44"/>
  <c r="B1913" i="44"/>
  <c r="D1912" i="44"/>
  <c r="B2472" i="44"/>
  <c r="D2471" i="44"/>
  <c r="B2328" i="44"/>
  <c r="D2327" i="44"/>
  <c r="C455" i="5"/>
  <c r="E880" i="3"/>
  <c r="E22" i="24"/>
  <c r="C87" i="32"/>
  <c r="B380" i="3"/>
  <c r="B385" i="3" s="1"/>
  <c r="F398" i="3" s="1"/>
  <c r="C112" i="24"/>
  <c r="C378" i="3"/>
  <c r="E233" i="44"/>
  <c r="A233" i="44" s="1"/>
  <c r="D323" i="3"/>
  <c r="E323" i="3" s="1"/>
  <c r="F41" i="24" s="1"/>
  <c r="C511" i="5"/>
  <c r="J57" i="25"/>
  <c r="C42" i="24"/>
  <c r="F11" i="32"/>
  <c r="E13" i="32"/>
  <c r="E15" i="32" s="1"/>
  <c r="E17" i="32" s="1"/>
  <c r="C454" i="5"/>
  <c r="G880" i="3"/>
  <c r="D22" i="24"/>
  <c r="B414" i="3"/>
  <c r="E166" i="24"/>
  <c r="C459" i="5"/>
  <c r="E26" i="24"/>
  <c r="D30" i="32"/>
  <c r="C33" i="32"/>
  <c r="C36" i="32" s="1"/>
  <c r="C37" i="32" s="1"/>
  <c r="AA5" i="34"/>
  <c r="AA807" i="3"/>
  <c r="C1079" i="5" s="1"/>
  <c r="B496" i="3"/>
  <c r="F88" i="25"/>
  <c r="D113" i="24"/>
  <c r="D379" i="3"/>
  <c r="D88" i="32"/>
  <c r="C450" i="5"/>
  <c r="D24" i="24"/>
  <c r="C457" i="5"/>
  <c r="E27" i="24"/>
  <c r="D26" i="24"/>
  <c r="C458" i="5"/>
  <c r="D146" i="32"/>
  <c r="B521" i="3"/>
  <c r="B552" i="3"/>
  <c r="J75" i="32"/>
  <c r="D210" i="24"/>
  <c r="B468" i="3"/>
  <c r="B469" i="3" s="1"/>
  <c r="B461" i="3"/>
  <c r="F67" i="25" s="1"/>
  <c r="J50" i="24"/>
  <c r="B498" i="3"/>
  <c r="F91" i="25" s="1"/>
  <c r="E24" i="24"/>
  <c r="C451" i="5"/>
  <c r="C456" i="5"/>
  <c r="D27" i="24"/>
  <c r="H91" i="25" l="1"/>
  <c r="C552" i="3"/>
  <c r="G91" i="25" s="1"/>
  <c r="B776" i="44"/>
  <c r="D775" i="44"/>
  <c r="D774" i="44"/>
  <c r="B603" i="3"/>
  <c r="J14" i="32"/>
  <c r="K14" i="32" s="1"/>
  <c r="A943" i="5"/>
  <c r="C521" i="3"/>
  <c r="O763" i="3"/>
  <c r="P763" i="3" s="1"/>
  <c r="O713" i="3"/>
  <c r="P713" i="3" s="1"/>
  <c r="L10" i="34"/>
  <c r="O757" i="3"/>
  <c r="P757" i="3" s="1"/>
  <c r="O720" i="3"/>
  <c r="P720" i="3" s="1"/>
  <c r="O785" i="3"/>
  <c r="P785" i="3" s="1"/>
  <c r="L82" i="34"/>
  <c r="O764" i="3"/>
  <c r="O61" i="34" s="1"/>
  <c r="O750" i="3"/>
  <c r="O47" i="34" s="1"/>
  <c r="O766" i="3"/>
  <c r="P766" i="3" s="1"/>
  <c r="O781" i="3"/>
  <c r="P781" i="3" s="1"/>
  <c r="O718" i="3"/>
  <c r="O15" i="34" s="1"/>
  <c r="O715" i="3"/>
  <c r="P715" i="3" s="1"/>
  <c r="O778" i="3"/>
  <c r="P778" i="3" s="1"/>
  <c r="O730" i="3"/>
  <c r="O27" i="34" s="1"/>
  <c r="O769" i="3"/>
  <c r="O66" i="34" s="1"/>
  <c r="O751" i="3"/>
  <c r="O48" i="34" s="1"/>
  <c r="O736" i="3"/>
  <c r="P736" i="3" s="1"/>
  <c r="O784" i="3"/>
  <c r="O81" i="34" s="1"/>
  <c r="O760" i="3"/>
  <c r="P760" i="3" s="1"/>
  <c r="O771" i="3"/>
  <c r="O68" i="34" s="1"/>
  <c r="O759" i="3"/>
  <c r="O56" i="34" s="1"/>
  <c r="L78" i="34"/>
  <c r="O748" i="3"/>
  <c r="P748" i="3" s="1"/>
  <c r="O767" i="3"/>
  <c r="O64" i="34" s="1"/>
  <c r="O744" i="3"/>
  <c r="P744" i="3" s="1"/>
  <c r="O708" i="3"/>
  <c r="O5" i="34" s="1"/>
  <c r="O747" i="3"/>
  <c r="O44" i="34" s="1"/>
  <c r="O739" i="3"/>
  <c r="O36" i="34" s="1"/>
  <c r="O774" i="3"/>
  <c r="O71" i="34" s="1"/>
  <c r="O732" i="3"/>
  <c r="O29" i="34" s="1"/>
  <c r="L64" i="34"/>
  <c r="O742" i="3"/>
  <c r="O39" i="34" s="1"/>
  <c r="L27" i="34"/>
  <c r="O731" i="3"/>
  <c r="P731" i="3" s="1"/>
  <c r="O719" i="3"/>
  <c r="O16" i="34" s="1"/>
  <c r="O801" i="3"/>
  <c r="O98" i="34" s="1"/>
  <c r="L41" i="34"/>
  <c r="O780" i="3"/>
  <c r="O77" i="34" s="1"/>
  <c r="O735" i="3"/>
  <c r="O32" i="34" s="1"/>
  <c r="O796" i="3"/>
  <c r="P796" i="3" s="1"/>
  <c r="O770" i="3"/>
  <c r="P770" i="3" s="1"/>
  <c r="O753" i="3"/>
  <c r="P753" i="3" s="1"/>
  <c r="O802" i="3"/>
  <c r="O99" i="34" s="1"/>
  <c r="L56" i="34"/>
  <c r="O752" i="3"/>
  <c r="O49" i="34" s="1"/>
  <c r="O755" i="3"/>
  <c r="P755" i="3" s="1"/>
  <c r="O729" i="3"/>
  <c r="O26" i="34" s="1"/>
  <c r="O790" i="3"/>
  <c r="P790" i="3" s="1"/>
  <c r="O773" i="3"/>
  <c r="O70" i="34" s="1"/>
  <c r="N5" i="34"/>
  <c r="O725" i="3"/>
  <c r="P725" i="3" s="1"/>
  <c r="O745" i="3"/>
  <c r="O42" i="34" s="1"/>
  <c r="O792" i="3"/>
  <c r="P792" i="3" s="1"/>
  <c r="L68" i="34"/>
  <c r="O772" i="3"/>
  <c r="O69" i="34" s="1"/>
  <c r="L44" i="34"/>
  <c r="O722" i="3"/>
  <c r="O19" i="34" s="1"/>
  <c r="O714" i="3"/>
  <c r="O11" i="34" s="1"/>
  <c r="G99" i="41"/>
  <c r="O794" i="3"/>
  <c r="P794" i="3" s="1"/>
  <c r="L87" i="34"/>
  <c r="O712" i="3"/>
  <c r="P712" i="3" s="1"/>
  <c r="L19" i="34"/>
  <c r="O709" i="3"/>
  <c r="O6" i="34" s="1"/>
  <c r="O789" i="3"/>
  <c r="P789" i="3" s="1"/>
  <c r="O754" i="3"/>
  <c r="P754" i="3" s="1"/>
  <c r="O746" i="3"/>
  <c r="P746" i="3" s="1"/>
  <c r="L77" i="34"/>
  <c r="O723" i="3"/>
  <c r="P723" i="3" s="1"/>
  <c r="O779" i="3"/>
  <c r="P779" i="3" s="1"/>
  <c r="O768" i="3"/>
  <c r="O65" i="34" s="1"/>
  <c r="L32" i="34"/>
  <c r="O787" i="3"/>
  <c r="P787" i="3" s="1"/>
  <c r="L91" i="34"/>
  <c r="O761" i="3"/>
  <c r="P761" i="3" s="1"/>
  <c r="O799" i="3"/>
  <c r="O96" i="34" s="1"/>
  <c r="L38" i="34"/>
  <c r="O788" i="3"/>
  <c r="P788" i="3" s="1"/>
  <c r="O733" i="3"/>
  <c r="P733" i="3" s="1"/>
  <c r="L51" i="34"/>
  <c r="O749" i="3"/>
  <c r="O46" i="34" s="1"/>
  <c r="B1960" i="44"/>
  <c r="O734" i="3"/>
  <c r="P734" i="3" s="1"/>
  <c r="O738" i="3"/>
  <c r="O35" i="34" s="1"/>
  <c r="O806" i="3"/>
  <c r="O103" i="34" s="1"/>
  <c r="O721" i="3"/>
  <c r="O18" i="34" s="1"/>
  <c r="O800" i="3"/>
  <c r="P800" i="3" s="1"/>
  <c r="O805" i="3"/>
  <c r="P805" i="3" s="1"/>
  <c r="O711" i="3"/>
  <c r="P711" i="3" s="1"/>
  <c r="O710" i="3"/>
  <c r="O7" i="34" s="1"/>
  <c r="O737" i="3"/>
  <c r="O34" i="34" s="1"/>
  <c r="O786" i="3"/>
  <c r="O83" i="34" s="1"/>
  <c r="O791" i="3"/>
  <c r="P791" i="3" s="1"/>
  <c r="O795" i="3"/>
  <c r="O92" i="34" s="1"/>
  <c r="O777" i="3"/>
  <c r="O74" i="34" s="1"/>
  <c r="L34" i="34"/>
  <c r="O782" i="3"/>
  <c r="O79" i="34" s="1"/>
  <c r="L60" i="34"/>
  <c r="O724" i="3"/>
  <c r="O21" i="34" s="1"/>
  <c r="L36" i="34"/>
  <c r="O728" i="3"/>
  <c r="P728" i="3" s="1"/>
  <c r="O762" i="3"/>
  <c r="P762" i="3" s="1"/>
  <c r="O740" i="3"/>
  <c r="P740" i="3" s="1"/>
  <c r="L63" i="34"/>
  <c r="O756" i="3"/>
  <c r="P756" i="3" s="1"/>
  <c r="O717" i="3"/>
  <c r="O14" i="34" s="1"/>
  <c r="O727" i="3"/>
  <c r="O24" i="34" s="1"/>
  <c r="L807" i="3"/>
  <c r="O775" i="3"/>
  <c r="O72" i="34" s="1"/>
  <c r="O758" i="3"/>
  <c r="P758" i="3" s="1"/>
  <c r="L83" i="34"/>
  <c r="L28" i="34"/>
  <c r="O743" i="3"/>
  <c r="O40" i="34" s="1"/>
  <c r="L13" i="34"/>
  <c r="O765" i="3"/>
  <c r="P765" i="3" s="1"/>
  <c r="O716" i="3"/>
  <c r="O13" i="34" s="1"/>
  <c r="N807" i="3"/>
  <c r="O783" i="3"/>
  <c r="P783" i="3" s="1"/>
  <c r="O798" i="3"/>
  <c r="P798" i="3" s="1"/>
  <c r="L16" i="34"/>
  <c r="O726" i="3"/>
  <c r="P726" i="3" s="1"/>
  <c r="O776" i="3"/>
  <c r="P776" i="3" s="1"/>
  <c r="O804" i="3"/>
  <c r="O101" i="34" s="1"/>
  <c r="O797" i="3"/>
  <c r="O94" i="34" s="1"/>
  <c r="O793" i="3"/>
  <c r="O90" i="34" s="1"/>
  <c r="O803" i="3"/>
  <c r="O100" i="34" s="1"/>
  <c r="G98" i="41"/>
  <c r="G60" i="43"/>
  <c r="F61" i="43" s="1"/>
  <c r="G90" i="41"/>
  <c r="D1958" i="44"/>
  <c r="D505" i="44"/>
  <c r="B1785" i="44"/>
  <c r="D1785" i="44" s="1"/>
  <c r="D629" i="44"/>
  <c r="D630" i="44"/>
  <c r="D631" i="44"/>
  <c r="D25" i="24"/>
  <c r="C452" i="5"/>
  <c r="D1768" i="44"/>
  <c r="B1769" i="44"/>
  <c r="D2662" i="44"/>
  <c r="B2663" i="44"/>
  <c r="B507" i="44"/>
  <c r="D509" i="44" s="1"/>
  <c r="D503" i="44"/>
  <c r="D504" i="44"/>
  <c r="D506" i="44"/>
  <c r="B2278" i="44"/>
  <c r="D2277" i="44"/>
  <c r="B2919" i="44"/>
  <c r="D2918" i="44"/>
  <c r="B553" i="3"/>
  <c r="C553" i="3" s="1"/>
  <c r="D3014" i="44"/>
  <c r="B3015" i="44"/>
  <c r="B1196" i="5"/>
  <c r="A1195" i="5"/>
  <c r="T1194" i="5"/>
  <c r="H1194" i="5"/>
  <c r="M1194" i="5"/>
  <c r="R1194" i="5"/>
  <c r="P1194" i="5"/>
  <c r="E1194" i="5"/>
  <c r="S1194" i="5"/>
  <c r="G1194" i="5"/>
  <c r="J1194" i="5"/>
  <c r="Q1194" i="5"/>
  <c r="C1194" i="5"/>
  <c r="I1194" i="5"/>
  <c r="N1194" i="5"/>
  <c r="K1194" i="5"/>
  <c r="L1194" i="5"/>
  <c r="D1194" i="5"/>
  <c r="F1194" i="5"/>
  <c r="O1194" i="5"/>
  <c r="G398" i="3"/>
  <c r="F37" i="24" s="1"/>
  <c r="C119" i="24"/>
  <c r="C94" i="32"/>
  <c r="D37" i="24"/>
  <c r="C4" i="5"/>
  <c r="B1718" i="44"/>
  <c r="D1717" i="44"/>
  <c r="B2630" i="44"/>
  <c r="D2629" i="44"/>
  <c r="B2041" i="44"/>
  <c r="D2040" i="44"/>
  <c r="B3127" i="44"/>
  <c r="D3126" i="44"/>
  <c r="B3032" i="44"/>
  <c r="D3031" i="44"/>
  <c r="D2569" i="44"/>
  <c r="B2570" i="44"/>
  <c r="B3158" i="44"/>
  <c r="D3157" i="44"/>
  <c r="D875" i="44"/>
  <c r="B878" i="44"/>
  <c r="D876" i="44"/>
  <c r="D877" i="44"/>
  <c r="D1798" i="44"/>
  <c r="B1799" i="44"/>
  <c r="D2773" i="44"/>
  <c r="B2774" i="44"/>
  <c r="D2614" i="44"/>
  <c r="B2615" i="44"/>
  <c r="D2293" i="44"/>
  <c r="B2294" i="44"/>
  <c r="D2102" i="44"/>
  <c r="B2103" i="44"/>
  <c r="D3093" i="44"/>
  <c r="B3094" i="44"/>
  <c r="D2230" i="44"/>
  <c r="B2231" i="44"/>
  <c r="B1974" i="44"/>
  <c r="D1973" i="44"/>
  <c r="B1943" i="44"/>
  <c r="D1942" i="44"/>
  <c r="D1866" i="44"/>
  <c r="B1867" i="44"/>
  <c r="B2824" i="44"/>
  <c r="D2823" i="44"/>
  <c r="D1606" i="44"/>
  <c r="B1607" i="44"/>
  <c r="D2887" i="44"/>
  <c r="B2888" i="44"/>
  <c r="B1735" i="44"/>
  <c r="D1734" i="44"/>
  <c r="D1926" i="44"/>
  <c r="B1927" i="44"/>
  <c r="D2982" i="44"/>
  <c r="B2983" i="44"/>
  <c r="D2247" i="44"/>
  <c r="B2248" i="44"/>
  <c r="D2710" i="44"/>
  <c r="B2711" i="44"/>
  <c r="O38" i="34"/>
  <c r="P741" i="3"/>
  <c r="B2487" i="44"/>
  <c r="D2486" i="44"/>
  <c r="D1960" i="44"/>
  <c r="B1961" i="44"/>
  <c r="B2969" i="44"/>
  <c r="D2968" i="44"/>
  <c r="D2517" i="44"/>
  <c r="B2518" i="44"/>
  <c r="D2793" i="44"/>
  <c r="B2794" i="44"/>
  <c r="B2998" i="44"/>
  <c r="D2997" i="44"/>
  <c r="D2053" i="44"/>
  <c r="B2054" i="44"/>
  <c r="B635" i="44"/>
  <c r="D632" i="44"/>
  <c r="D633" i="44"/>
  <c r="D634" i="44"/>
  <c r="D1755" i="44"/>
  <c r="B1756" i="44"/>
  <c r="B1656" i="44"/>
  <c r="D1655" i="44"/>
  <c r="B2086" i="44"/>
  <c r="D2085" i="44"/>
  <c r="D2391" i="44"/>
  <c r="B2392" i="44"/>
  <c r="D3061" i="44"/>
  <c r="B3062" i="44"/>
  <c r="D2744" i="44"/>
  <c r="B2745" i="44"/>
  <c r="B2200" i="44"/>
  <c r="D2199" i="44"/>
  <c r="D1675" i="44"/>
  <c r="B1676" i="44"/>
  <c r="D2584" i="44"/>
  <c r="B2585" i="44"/>
  <c r="B779" i="44"/>
  <c r="D776" i="44"/>
  <c r="D777" i="44"/>
  <c r="D778" i="44"/>
  <c r="D2182" i="44"/>
  <c r="B2183" i="44"/>
  <c r="B1879" i="44"/>
  <c r="D1878" i="44"/>
  <c r="B2871" i="44"/>
  <c r="D2870" i="44"/>
  <c r="D1831" i="44"/>
  <c r="B1832" i="44"/>
  <c r="D1703" i="44"/>
  <c r="B1704" i="44"/>
  <c r="D3078" i="44"/>
  <c r="B3079" i="44"/>
  <c r="B798" i="44"/>
  <c r="D795" i="44"/>
  <c r="D796" i="44"/>
  <c r="D797" i="44"/>
  <c r="D2807" i="44"/>
  <c r="B2808" i="44"/>
  <c r="B2135" i="44"/>
  <c r="D2134" i="44"/>
  <c r="D2118" i="44"/>
  <c r="B2119" i="44"/>
  <c r="B1990" i="44"/>
  <c r="D1989" i="44"/>
  <c r="D2535" i="44"/>
  <c r="B2536" i="44"/>
  <c r="B2954" i="44"/>
  <c r="D2953" i="44"/>
  <c r="D2423" i="44"/>
  <c r="B2424" i="44"/>
  <c r="D2166" i="44"/>
  <c r="B2167" i="44"/>
  <c r="D3046" i="44"/>
  <c r="B3047" i="44"/>
  <c r="B3113" i="44"/>
  <c r="D3112" i="44"/>
  <c r="B2902" i="44"/>
  <c r="D2901" i="44"/>
  <c r="D1637" i="44"/>
  <c r="B1638" i="44"/>
  <c r="D2262" i="44"/>
  <c r="B2263" i="44"/>
  <c r="D2405" i="44"/>
  <c r="B2406" i="44"/>
  <c r="B582" i="44"/>
  <c r="D581" i="44"/>
  <c r="D580" i="44"/>
  <c r="D1589" i="44"/>
  <c r="B1590" i="44"/>
  <c r="B2855" i="44"/>
  <c r="D2854" i="44"/>
  <c r="B2072" i="44"/>
  <c r="D2071" i="44"/>
  <c r="D353" i="44"/>
  <c r="D351" i="44"/>
  <c r="D354" i="44"/>
  <c r="D355" i="44"/>
  <c r="B356" i="44"/>
  <c r="D352" i="44"/>
  <c r="D2312" i="44"/>
  <c r="B2313" i="44"/>
  <c r="D2358" i="44"/>
  <c r="B2359" i="44"/>
  <c r="B1847" i="44"/>
  <c r="D1846" i="44"/>
  <c r="D2761" i="44"/>
  <c r="B2762" i="44"/>
  <c r="D2214" i="44"/>
  <c r="B2215" i="44"/>
  <c r="D1813" i="44"/>
  <c r="B1814" i="44"/>
  <c r="B2839" i="44"/>
  <c r="D2838" i="44"/>
  <c r="B2504" i="44"/>
  <c r="D2503" i="44"/>
  <c r="D2024" i="44"/>
  <c r="B2025" i="44"/>
  <c r="B2377" i="44"/>
  <c r="D2376" i="44"/>
  <c r="B2934" i="44"/>
  <c r="D2933" i="44"/>
  <c r="D2150" i="44"/>
  <c r="B2151" i="44"/>
  <c r="D2677" i="44"/>
  <c r="B2678" i="44"/>
  <c r="D2453" i="44"/>
  <c r="B2454" i="44"/>
  <c r="B2728" i="44"/>
  <c r="D2727" i="44"/>
  <c r="D1685" i="44"/>
  <c r="B1686" i="44"/>
  <c r="B816" i="44"/>
  <c r="D815" i="44"/>
  <c r="D814" i="44"/>
  <c r="D1622" i="44"/>
  <c r="B1623" i="44"/>
  <c r="D2344" i="44"/>
  <c r="B2345" i="44"/>
  <c r="D2695" i="44"/>
  <c r="B2696" i="44"/>
  <c r="B2600" i="44"/>
  <c r="D2599" i="44"/>
  <c r="B2551" i="44"/>
  <c r="D2550" i="44"/>
  <c r="B2007" i="44"/>
  <c r="D2006" i="44"/>
  <c r="D2645" i="44"/>
  <c r="B2646" i="44"/>
  <c r="B2329" i="44"/>
  <c r="D2328" i="44"/>
  <c r="D2472" i="44"/>
  <c r="B2473" i="44"/>
  <c r="D1913" i="44"/>
  <c r="B1914" i="44"/>
  <c r="B3144" i="44"/>
  <c r="D3143" i="44"/>
  <c r="D437" i="44"/>
  <c r="B439" i="44"/>
  <c r="D438" i="44"/>
  <c r="D436" i="44"/>
  <c r="D434" i="44"/>
  <c r="D435" i="44"/>
  <c r="D2441" i="44"/>
  <c r="B2442" i="44"/>
  <c r="B1897" i="44"/>
  <c r="D1896" i="44"/>
  <c r="B849" i="44"/>
  <c r="D848" i="44"/>
  <c r="D847" i="44"/>
  <c r="B420" i="3"/>
  <c r="B425" i="3" s="1"/>
  <c r="D169" i="24"/>
  <c r="B471" i="3"/>
  <c r="F814" i="3" s="1"/>
  <c r="E1574" i="44" s="1"/>
  <c r="A1574" i="44" s="1"/>
  <c r="F813" i="3"/>
  <c r="E1573" i="44" s="1"/>
  <c r="A1573" i="44" s="1"/>
  <c r="G11" i="32"/>
  <c r="F13" i="32"/>
  <c r="F15" i="32" s="1"/>
  <c r="F17" i="32" s="1"/>
  <c r="C453" i="5"/>
  <c r="E25" i="24"/>
  <c r="B384" i="3"/>
  <c r="C114" i="24"/>
  <c r="C89" i="32"/>
  <c r="E379" i="3"/>
  <c r="E113" i="24"/>
  <c r="E88" i="32"/>
  <c r="B499" i="3"/>
  <c r="B501" i="3" s="1"/>
  <c r="D33" i="32"/>
  <c r="D36" i="32" s="1"/>
  <c r="D37" i="32" s="1"/>
  <c r="E30" i="32"/>
  <c r="D87" i="32"/>
  <c r="C380" i="3"/>
  <c r="C385" i="3" s="1"/>
  <c r="D112" i="24"/>
  <c r="D378" i="3"/>
  <c r="J32" i="32" l="1"/>
  <c r="C605" i="3"/>
  <c r="C603" i="3"/>
  <c r="G67" i="25"/>
  <c r="A944" i="5"/>
  <c r="A1017" i="5" s="1"/>
  <c r="O10" i="34"/>
  <c r="O60" i="34"/>
  <c r="P718" i="3"/>
  <c r="R718" i="3" s="1"/>
  <c r="R15" i="34" s="1"/>
  <c r="O17" i="34"/>
  <c r="P739" i="3"/>
  <c r="R739" i="3" s="1"/>
  <c r="R36" i="34" s="1"/>
  <c r="O54" i="34"/>
  <c r="O82" i="34"/>
  <c r="P750" i="3"/>
  <c r="P47" i="34" s="1"/>
  <c r="P759" i="3"/>
  <c r="R759" i="3" s="1"/>
  <c r="R56" i="34" s="1"/>
  <c r="P769" i="3"/>
  <c r="P66" i="34" s="1"/>
  <c r="P751" i="3"/>
  <c r="P48" i="34" s="1"/>
  <c r="O63" i="34"/>
  <c r="P764" i="3"/>
  <c r="R764" i="3" s="1"/>
  <c r="R61" i="34" s="1"/>
  <c r="O33" i="34"/>
  <c r="O78" i="34"/>
  <c r="P708" i="3"/>
  <c r="R708" i="3" s="1"/>
  <c r="P784" i="3"/>
  <c r="P81" i="34" s="1"/>
  <c r="P747" i="3"/>
  <c r="P44" i="34" s="1"/>
  <c r="O57" i="34"/>
  <c r="O51" i="34"/>
  <c r="O12" i="34"/>
  <c r="P771" i="3"/>
  <c r="P68" i="34" s="1"/>
  <c r="P806" i="3"/>
  <c r="R806" i="3" s="1"/>
  <c r="R103" i="34" s="1"/>
  <c r="O25" i="34"/>
  <c r="O88" i="34"/>
  <c r="P752" i="3"/>
  <c r="R752" i="3" s="1"/>
  <c r="R49" i="34" s="1"/>
  <c r="O85" i="34"/>
  <c r="P775" i="3"/>
  <c r="P72" i="34" s="1"/>
  <c r="P730" i="3"/>
  <c r="R730" i="3" s="1"/>
  <c r="R27" i="34" s="1"/>
  <c r="P780" i="3"/>
  <c r="P77" i="34" s="1"/>
  <c r="P774" i="3"/>
  <c r="R774" i="3" s="1"/>
  <c r="R71" i="34" s="1"/>
  <c r="O75" i="34"/>
  <c r="O20" i="34"/>
  <c r="O89" i="34"/>
  <c r="P732" i="3"/>
  <c r="P29" i="34" s="1"/>
  <c r="O52" i="34"/>
  <c r="O76" i="34"/>
  <c r="P795" i="3"/>
  <c r="R795" i="3" s="1"/>
  <c r="R92" i="34" s="1"/>
  <c r="O55" i="34"/>
  <c r="P721" i="3"/>
  <c r="P18" i="34" s="1"/>
  <c r="O22" i="34"/>
  <c r="O45" i="34"/>
  <c r="O59" i="34"/>
  <c r="O9" i="34"/>
  <c r="P729" i="3"/>
  <c r="P26" i="34" s="1"/>
  <c r="O93" i="34"/>
  <c r="O41" i="34"/>
  <c r="O87" i="34"/>
  <c r="P767" i="3"/>
  <c r="R767" i="3" s="1"/>
  <c r="R64" i="34" s="1"/>
  <c r="P742" i="3"/>
  <c r="P39" i="34" s="1"/>
  <c r="P709" i="3"/>
  <c r="R709" i="3" s="1"/>
  <c r="R6" i="34" s="1"/>
  <c r="P735" i="3"/>
  <c r="R735" i="3" s="1"/>
  <c r="R32" i="34" s="1"/>
  <c r="O30" i="34"/>
  <c r="P803" i="3"/>
  <c r="P100" i="34" s="1"/>
  <c r="P802" i="3"/>
  <c r="R802" i="3" s="1"/>
  <c r="R99" i="34" s="1"/>
  <c r="P719" i="3"/>
  <c r="P16" i="34" s="1"/>
  <c r="O91" i="34"/>
  <c r="P745" i="3"/>
  <c r="P42" i="34" s="1"/>
  <c r="P801" i="3"/>
  <c r="R801" i="3" s="1"/>
  <c r="R98" i="34" s="1"/>
  <c r="P797" i="3"/>
  <c r="P94" i="34" s="1"/>
  <c r="P799" i="3"/>
  <c r="P96" i="34" s="1"/>
  <c r="O67" i="34"/>
  <c r="O50" i="34"/>
  <c r="P714" i="3"/>
  <c r="P11" i="34" s="1"/>
  <c r="O28" i="34"/>
  <c r="P768" i="3"/>
  <c r="R768" i="3" s="1"/>
  <c r="R65" i="34" s="1"/>
  <c r="O95" i="34"/>
  <c r="O97" i="34"/>
  <c r="P772" i="3"/>
  <c r="R772" i="3" s="1"/>
  <c r="R69" i="34" s="1"/>
  <c r="P773" i="3"/>
  <c r="P70" i="34" s="1"/>
  <c r="O84" i="34"/>
  <c r="P749" i="3"/>
  <c r="R749" i="3" s="1"/>
  <c r="R46" i="34" s="1"/>
  <c r="O86" i="34"/>
  <c r="O58" i="34"/>
  <c r="O43" i="34"/>
  <c r="P737" i="3"/>
  <c r="P34" i="34" s="1"/>
  <c r="O31" i="34"/>
  <c r="P743" i="3"/>
  <c r="P40" i="34" s="1"/>
  <c r="P722" i="3"/>
  <c r="R722" i="3" s="1"/>
  <c r="R19" i="34" s="1"/>
  <c r="O8" i="34"/>
  <c r="P786" i="3"/>
  <c r="R786" i="3" s="1"/>
  <c r="R83" i="34" s="1"/>
  <c r="P738" i="3"/>
  <c r="P35" i="34" s="1"/>
  <c r="P724" i="3"/>
  <c r="R724" i="3" s="1"/>
  <c r="R21" i="34" s="1"/>
  <c r="O37" i="34"/>
  <c r="P777" i="3"/>
  <c r="R777" i="3" s="1"/>
  <c r="R74" i="34" s="1"/>
  <c r="O73" i="34"/>
  <c r="P710" i="3"/>
  <c r="P7" i="34" s="1"/>
  <c r="O102" i="34"/>
  <c r="P717" i="3"/>
  <c r="P14" i="34" s="1"/>
  <c r="O53" i="34"/>
  <c r="P782" i="3"/>
  <c r="P79" i="34" s="1"/>
  <c r="P727" i="3"/>
  <c r="P24" i="34" s="1"/>
  <c r="O23" i="34"/>
  <c r="P804" i="3"/>
  <c r="O62" i="34"/>
  <c r="P716" i="3"/>
  <c r="R716" i="3" s="1"/>
  <c r="R13" i="34" s="1"/>
  <c r="O807" i="3"/>
  <c r="O104" i="34" s="1"/>
  <c r="O80" i="34"/>
  <c r="P793" i="3"/>
  <c r="R793" i="3" s="1"/>
  <c r="R90" i="34" s="1"/>
  <c r="B1786" i="44"/>
  <c r="D1786" i="44" s="1"/>
  <c r="D510" i="44"/>
  <c r="B512" i="44"/>
  <c r="D514" i="44" s="1"/>
  <c r="D507" i="44"/>
  <c r="D511" i="44"/>
  <c r="D508" i="44"/>
  <c r="B1770" i="44"/>
  <c r="D1769" i="44"/>
  <c r="B2664" i="44"/>
  <c r="D2663" i="44"/>
  <c r="B2279" i="44"/>
  <c r="D2278" i="44"/>
  <c r="D2919" i="44"/>
  <c r="B2920" i="44"/>
  <c r="B555" i="3"/>
  <c r="B3016" i="44"/>
  <c r="D3015" i="44"/>
  <c r="L1195" i="5"/>
  <c r="Q1195" i="5"/>
  <c r="S1195" i="5"/>
  <c r="R1195" i="5"/>
  <c r="C1195" i="5"/>
  <c r="O1195" i="5"/>
  <c r="K1195" i="5"/>
  <c r="T1195" i="5"/>
  <c r="F1195" i="5"/>
  <c r="E1195" i="5"/>
  <c r="N1195" i="5"/>
  <c r="D1195" i="5"/>
  <c r="P1195" i="5"/>
  <c r="H1195" i="5"/>
  <c r="I1195" i="5"/>
  <c r="M1195" i="5"/>
  <c r="J1195" i="5"/>
  <c r="G1195" i="5"/>
  <c r="A1196" i="5"/>
  <c r="B1197" i="5"/>
  <c r="D119" i="24"/>
  <c r="D94" i="32"/>
  <c r="C5" i="5"/>
  <c r="D1718" i="44"/>
  <c r="B1719" i="44"/>
  <c r="L14" i="32"/>
  <c r="K32" i="32"/>
  <c r="B2631" i="44"/>
  <c r="D2630" i="44"/>
  <c r="B2042" i="44"/>
  <c r="D2041" i="44"/>
  <c r="D3127" i="44"/>
  <c r="B3128" i="44"/>
  <c r="D3032" i="44"/>
  <c r="B3033" i="44"/>
  <c r="B2232" i="44"/>
  <c r="D2231" i="44"/>
  <c r="D3094" i="44"/>
  <c r="B3095" i="44"/>
  <c r="B2104" i="44"/>
  <c r="D2103" i="44"/>
  <c r="B2295" i="44"/>
  <c r="D2294" i="44"/>
  <c r="D2615" i="44"/>
  <c r="B2616" i="44"/>
  <c r="D2774" i="44"/>
  <c r="B2775" i="44"/>
  <c r="D1799" i="44"/>
  <c r="B1800" i="44"/>
  <c r="D879" i="44"/>
  <c r="D880" i="44"/>
  <c r="D878" i="44"/>
  <c r="D2570" i="44"/>
  <c r="B2571" i="44"/>
  <c r="D1974" i="44"/>
  <c r="B1975" i="44"/>
  <c r="B3159" i="44"/>
  <c r="D3158" i="44"/>
  <c r="D1943" i="44"/>
  <c r="B1944" i="44"/>
  <c r="B1868" i="44"/>
  <c r="D1867" i="44"/>
  <c r="D2824" i="44"/>
  <c r="B2825" i="44"/>
  <c r="B2889" i="44"/>
  <c r="D2888" i="44"/>
  <c r="D1607" i="44"/>
  <c r="B1608" i="44"/>
  <c r="B2712" i="44"/>
  <c r="D2711" i="44"/>
  <c r="B2249" i="44"/>
  <c r="D2248" i="44"/>
  <c r="B2984" i="44"/>
  <c r="D2983" i="44"/>
  <c r="B1928" i="44"/>
  <c r="D1927" i="44"/>
  <c r="B1736" i="44"/>
  <c r="D1735" i="44"/>
  <c r="R761" i="3"/>
  <c r="R58" i="34" s="1"/>
  <c r="P58" i="34"/>
  <c r="P82" i="34"/>
  <c r="R785" i="3"/>
  <c r="R82" i="34" s="1"/>
  <c r="P25" i="34"/>
  <c r="R728" i="3"/>
  <c r="R25" i="34" s="1"/>
  <c r="R741" i="3"/>
  <c r="R38" i="34" s="1"/>
  <c r="P38" i="34"/>
  <c r="R758" i="3"/>
  <c r="R55" i="34" s="1"/>
  <c r="P55" i="34"/>
  <c r="R787" i="3"/>
  <c r="R84" i="34" s="1"/>
  <c r="P84" i="34"/>
  <c r="P50" i="34"/>
  <c r="R753" i="3"/>
  <c r="R50" i="34" s="1"/>
  <c r="R762" i="3"/>
  <c r="R59" i="34" s="1"/>
  <c r="P59" i="34"/>
  <c r="P9" i="34"/>
  <c r="R712" i="3"/>
  <c r="R9" i="34" s="1"/>
  <c r="P51" i="34"/>
  <c r="R754" i="3"/>
  <c r="R51" i="34" s="1"/>
  <c r="R725" i="3"/>
  <c r="R22" i="34" s="1"/>
  <c r="P22" i="34"/>
  <c r="P37" i="34"/>
  <c r="R740" i="3"/>
  <c r="R37" i="34" s="1"/>
  <c r="P102" i="34"/>
  <c r="R805" i="3"/>
  <c r="R102" i="34" s="1"/>
  <c r="P8" i="34"/>
  <c r="R711" i="3"/>
  <c r="R8" i="34" s="1"/>
  <c r="P45" i="34"/>
  <c r="R748" i="3"/>
  <c r="R45" i="34" s="1"/>
  <c r="R796" i="3"/>
  <c r="R93" i="34" s="1"/>
  <c r="P93" i="34"/>
  <c r="P43" i="34"/>
  <c r="R746" i="3"/>
  <c r="R43" i="34" s="1"/>
  <c r="R779" i="3"/>
  <c r="R76" i="34" s="1"/>
  <c r="P76" i="34"/>
  <c r="P28" i="34"/>
  <c r="R731" i="3"/>
  <c r="R28" i="34" s="1"/>
  <c r="R781" i="3"/>
  <c r="R78" i="34" s="1"/>
  <c r="P78" i="34"/>
  <c r="R757" i="3"/>
  <c r="R54" i="34" s="1"/>
  <c r="P54" i="34"/>
  <c r="P41" i="34"/>
  <c r="R744" i="3"/>
  <c r="R41" i="34" s="1"/>
  <c r="R733" i="3"/>
  <c r="R30" i="34" s="1"/>
  <c r="P30" i="34"/>
  <c r="P85" i="34"/>
  <c r="R788" i="3"/>
  <c r="R85" i="34" s="1"/>
  <c r="R783" i="3"/>
  <c r="R80" i="34" s="1"/>
  <c r="P80" i="34"/>
  <c r="R800" i="3"/>
  <c r="R97" i="34" s="1"/>
  <c r="P97" i="34"/>
  <c r="P87" i="34"/>
  <c r="R790" i="3"/>
  <c r="R87" i="34" s="1"/>
  <c r="R776" i="3"/>
  <c r="R73" i="34" s="1"/>
  <c r="P73" i="34"/>
  <c r="P86" i="34"/>
  <c r="R789" i="3"/>
  <c r="R86" i="34" s="1"/>
  <c r="R770" i="3"/>
  <c r="R67" i="34" s="1"/>
  <c r="P67" i="34"/>
  <c r="R726" i="3"/>
  <c r="R23" i="34" s="1"/>
  <c r="P23" i="34"/>
  <c r="P57" i="34"/>
  <c r="R760" i="3"/>
  <c r="R57" i="34" s="1"/>
  <c r="P95" i="34"/>
  <c r="R798" i="3"/>
  <c r="R95" i="34" s="1"/>
  <c r="P31" i="34"/>
  <c r="R734" i="3"/>
  <c r="R31" i="34" s="1"/>
  <c r="P10" i="34"/>
  <c r="R713" i="3"/>
  <c r="R10" i="34" s="1"/>
  <c r="R791" i="3"/>
  <c r="R88" i="34" s="1"/>
  <c r="P88" i="34"/>
  <c r="P60" i="34"/>
  <c r="R763" i="3"/>
  <c r="R60" i="34" s="1"/>
  <c r="R778" i="3"/>
  <c r="R75" i="34" s="1"/>
  <c r="P75" i="34"/>
  <c r="P17" i="34"/>
  <c r="R720" i="3"/>
  <c r="R17" i="34" s="1"/>
  <c r="R723" i="3"/>
  <c r="R20" i="34" s="1"/>
  <c r="P20" i="34"/>
  <c r="R715" i="3"/>
  <c r="R12" i="34" s="1"/>
  <c r="P12" i="34"/>
  <c r="P62" i="34"/>
  <c r="R765" i="3"/>
  <c r="R62" i="34" s="1"/>
  <c r="R756" i="3"/>
  <c r="R53" i="34" s="1"/>
  <c r="P53" i="34"/>
  <c r="R736" i="3"/>
  <c r="R33" i="34" s="1"/>
  <c r="P33" i="34"/>
  <c r="P89" i="34"/>
  <c r="R792" i="3"/>
  <c r="R89" i="34" s="1"/>
  <c r="R794" i="3"/>
  <c r="R91" i="34" s="1"/>
  <c r="P91" i="34"/>
  <c r="P63" i="34"/>
  <c r="R766" i="3"/>
  <c r="R63" i="34" s="1"/>
  <c r="R755" i="3"/>
  <c r="R52" i="34" s="1"/>
  <c r="P52" i="34"/>
  <c r="D2745" i="44"/>
  <c r="B2746" i="44"/>
  <c r="D3062" i="44"/>
  <c r="B3063" i="44"/>
  <c r="B2393" i="44"/>
  <c r="D2392" i="44"/>
  <c r="B1757" i="44"/>
  <c r="D1756" i="44"/>
  <c r="B2055" i="44"/>
  <c r="D2054" i="44"/>
  <c r="D2794" i="44"/>
  <c r="B2795" i="44"/>
  <c r="B2519" i="44"/>
  <c r="D2518" i="44"/>
  <c r="D1961" i="44"/>
  <c r="B1962" i="44"/>
  <c r="D516" i="44"/>
  <c r="B2087" i="44"/>
  <c r="D2086" i="44"/>
  <c r="D1656" i="44"/>
  <c r="B1657" i="44"/>
  <c r="D639" i="44"/>
  <c r="B640" i="44"/>
  <c r="D638" i="44"/>
  <c r="D637" i="44"/>
  <c r="D636" i="44"/>
  <c r="D635" i="44"/>
  <c r="B2999" i="44"/>
  <c r="D2998" i="44"/>
  <c r="B2970" i="44"/>
  <c r="D2969" i="44"/>
  <c r="D2487" i="44"/>
  <c r="B2488" i="44"/>
  <c r="B1677" i="44"/>
  <c r="D1676" i="44"/>
  <c r="D2200" i="44"/>
  <c r="B2201" i="44"/>
  <c r="B2647" i="44"/>
  <c r="D2646" i="44"/>
  <c r="D2696" i="44"/>
  <c r="B2697" i="44"/>
  <c r="B2346" i="44"/>
  <c r="D2345" i="44"/>
  <c r="D1623" i="44"/>
  <c r="B1624" i="44"/>
  <c r="D816" i="44"/>
  <c r="D817" i="44"/>
  <c r="B818" i="44"/>
  <c r="D2728" i="44"/>
  <c r="B2729" i="44"/>
  <c r="D2934" i="44"/>
  <c r="B2935" i="44"/>
  <c r="D2377" i="44"/>
  <c r="B2378" i="44"/>
  <c r="B2505" i="44"/>
  <c r="D2504" i="44"/>
  <c r="B2840" i="44"/>
  <c r="D2839" i="44"/>
  <c r="D1847" i="44"/>
  <c r="B1848" i="44"/>
  <c r="D359" i="44"/>
  <c r="D357" i="44"/>
  <c r="D360" i="44"/>
  <c r="D356" i="44"/>
  <c r="D358" i="44"/>
  <c r="B361" i="44"/>
  <c r="B2073" i="44"/>
  <c r="D2072" i="44"/>
  <c r="B2856" i="44"/>
  <c r="D2855" i="44"/>
  <c r="B2407" i="44"/>
  <c r="D2406" i="44"/>
  <c r="D2263" i="44"/>
  <c r="B2264" i="44"/>
  <c r="D1638" i="44"/>
  <c r="B1639" i="44"/>
  <c r="B3048" i="44"/>
  <c r="D3047" i="44"/>
  <c r="B2168" i="44"/>
  <c r="D2167" i="44"/>
  <c r="B2425" i="44"/>
  <c r="D2424" i="44"/>
  <c r="D2536" i="44"/>
  <c r="B2537" i="44"/>
  <c r="D2119" i="44"/>
  <c r="B2120" i="44"/>
  <c r="B2809" i="44"/>
  <c r="D2808" i="44"/>
  <c r="B3080" i="44"/>
  <c r="D3079" i="44"/>
  <c r="B1705" i="44"/>
  <c r="D1704" i="44"/>
  <c r="B1833" i="44"/>
  <c r="D1832" i="44"/>
  <c r="B2184" i="44"/>
  <c r="D2183" i="44"/>
  <c r="D2585" i="44"/>
  <c r="B2586" i="44"/>
  <c r="D2007" i="44"/>
  <c r="B2008" i="44"/>
  <c r="B2552" i="44"/>
  <c r="D2551" i="44"/>
  <c r="B2601" i="44"/>
  <c r="D2600" i="44"/>
  <c r="D1686" i="44"/>
  <c r="B1687" i="44"/>
  <c r="B2455" i="44"/>
  <c r="D2454" i="44"/>
  <c r="B2679" i="44"/>
  <c r="D2678" i="44"/>
  <c r="D2151" i="44"/>
  <c r="B2152" i="44"/>
  <c r="D2025" i="44"/>
  <c r="B2026" i="44"/>
  <c r="B1815" i="44"/>
  <c r="D1814" i="44"/>
  <c r="B2216" i="44"/>
  <c r="D2215" i="44"/>
  <c r="D2762" i="44"/>
  <c r="B2763" i="44"/>
  <c r="B2360" i="44"/>
  <c r="D2359" i="44"/>
  <c r="B2314" i="44"/>
  <c r="D2313" i="44"/>
  <c r="D1590" i="44"/>
  <c r="B1591" i="44"/>
  <c r="D582" i="44"/>
  <c r="D583" i="44"/>
  <c r="B584" i="44"/>
  <c r="D2902" i="44"/>
  <c r="B2903" i="44"/>
  <c r="D3113" i="44"/>
  <c r="B3114" i="44"/>
  <c r="D2954" i="44"/>
  <c r="B2955" i="44"/>
  <c r="D1990" i="44"/>
  <c r="B1991" i="44"/>
  <c r="D2135" i="44"/>
  <c r="B2136" i="44"/>
  <c r="D798" i="44"/>
  <c r="D799" i="44"/>
  <c r="B2872" i="44"/>
  <c r="D2871" i="44"/>
  <c r="D1879" i="44"/>
  <c r="B1880" i="44"/>
  <c r="D781" i="44"/>
  <c r="D779" i="44"/>
  <c r="D780" i="44"/>
  <c r="D849" i="44"/>
  <c r="D851" i="44"/>
  <c r="D850" i="44"/>
  <c r="B852" i="44"/>
  <c r="B1898" i="44"/>
  <c r="D1897" i="44"/>
  <c r="B2443" i="44"/>
  <c r="D2442" i="44"/>
  <c r="D443" i="44"/>
  <c r="D440" i="44"/>
  <c r="D442" i="44"/>
  <c r="D439" i="44"/>
  <c r="B444" i="44"/>
  <c r="D441" i="44"/>
  <c r="B1915" i="44"/>
  <c r="D1914" i="44"/>
  <c r="D2473" i="44"/>
  <c r="B2474" i="44"/>
  <c r="D3144" i="44"/>
  <c r="B3145" i="44"/>
  <c r="D2329" i="44"/>
  <c r="B2330" i="44"/>
  <c r="E112" i="24"/>
  <c r="E87" i="32"/>
  <c r="E378" i="3"/>
  <c r="D380" i="3"/>
  <c r="D385" i="3" s="1"/>
  <c r="F30" i="32"/>
  <c r="E33" i="32"/>
  <c r="E36" i="32" s="1"/>
  <c r="E37" i="32" s="1"/>
  <c r="D114" i="24"/>
  <c r="D89" i="32"/>
  <c r="C384" i="3"/>
  <c r="E50" i="24"/>
  <c r="C201" i="5"/>
  <c r="F93" i="25"/>
  <c r="E75" i="32"/>
  <c r="F379" i="3"/>
  <c r="F88" i="32"/>
  <c r="F113" i="24"/>
  <c r="B387" i="3"/>
  <c r="C118" i="24"/>
  <c r="C93" i="32"/>
  <c r="H11" i="32"/>
  <c r="G13" i="32"/>
  <c r="G15" i="32" s="1"/>
  <c r="G17" i="32" s="1"/>
  <c r="D176" i="24"/>
  <c r="C555" i="3" l="1"/>
  <c r="A1049" i="5"/>
  <c r="C1049" i="5" s="1" a="1"/>
  <c r="C1049" i="5" s="1"/>
  <c r="A1001" i="5"/>
  <c r="C1001" i="5" s="1" a="1"/>
  <c r="C1001" i="5" s="1"/>
  <c r="A1032" i="5"/>
  <c r="E1032" i="5" s="1"/>
  <c r="A1043" i="5"/>
  <c r="G1043" i="5" s="1"/>
  <c r="A1012" i="5"/>
  <c r="C1012" i="5" s="1" a="1"/>
  <c r="C1012" i="5" s="1"/>
  <c r="A1029" i="5"/>
  <c r="F1029" i="5" s="1"/>
  <c r="A1039" i="5"/>
  <c r="G1039" i="5" s="1"/>
  <c r="A1000" i="5"/>
  <c r="D1000" i="5" s="1"/>
  <c r="A1033" i="5"/>
  <c r="D1033" i="5" s="1"/>
  <c r="A1002" i="5"/>
  <c r="A1023" i="5"/>
  <c r="F1023" i="5" s="1"/>
  <c r="A1003" i="5"/>
  <c r="D1003" i="5" s="1"/>
  <c r="A1059" i="5"/>
  <c r="C1059" i="5" s="1" a="1"/>
  <c r="C1059" i="5" s="1"/>
  <c r="A1008" i="5"/>
  <c r="D1008" i="5" s="1"/>
  <c r="A1027" i="5"/>
  <c r="F1027" i="5" s="1"/>
  <c r="A1018" i="5"/>
  <c r="C1018" i="5" s="1" a="1"/>
  <c r="C1018" i="5" s="1"/>
  <c r="A1034" i="5"/>
  <c r="D1034" i="5" s="1"/>
  <c r="A1041" i="5"/>
  <c r="C1041" i="5" s="1" a="1"/>
  <c r="C1041" i="5" s="1"/>
  <c r="A1013" i="5"/>
  <c r="D1013" i="5" s="1"/>
  <c r="A1019" i="5"/>
  <c r="F1019" i="5" s="1"/>
  <c r="A1015" i="5"/>
  <c r="C1015" i="5" s="1" a="1"/>
  <c r="C1015" i="5" s="1"/>
  <c r="A1026" i="5"/>
  <c r="G1026" i="5" s="1"/>
  <c r="A1035" i="5"/>
  <c r="C1035" i="5" s="1" a="1"/>
  <c r="C1035" i="5" s="1"/>
  <c r="A1011" i="5"/>
  <c r="C1011" i="5" s="1" a="1"/>
  <c r="C1011" i="5" s="1"/>
  <c r="A1004" i="5"/>
  <c r="A1036" i="5"/>
  <c r="E1036" i="5" s="1"/>
  <c r="A1005" i="5"/>
  <c r="A1042" i="5"/>
  <c r="C1042" i="5" s="1" a="1"/>
  <c r="C1042" i="5" s="1"/>
  <c r="A1030" i="5"/>
  <c r="F1030" i="5" s="1"/>
  <c r="A1006" i="5"/>
  <c r="D1006" i="5" s="1"/>
  <c r="A1024" i="5"/>
  <c r="F1024" i="5" s="1"/>
  <c r="C1017" i="5" a="1"/>
  <c r="C1017" i="5" s="1"/>
  <c r="G1017" i="5"/>
  <c r="D1017" i="5"/>
  <c r="E1017" i="5"/>
  <c r="F1017" i="5"/>
  <c r="G1049" i="5"/>
  <c r="D1049" i="5"/>
  <c r="C1033" i="5" a="1"/>
  <c r="C1033" i="5" s="1"/>
  <c r="A1051" i="5"/>
  <c r="C1032" i="5" a="1"/>
  <c r="C1032" i="5" s="1"/>
  <c r="G1012" i="5"/>
  <c r="A1055" i="5"/>
  <c r="A1050" i="5"/>
  <c r="D1039" i="5"/>
  <c r="E1039" i="5"/>
  <c r="A1020" i="5"/>
  <c r="A1048" i="5"/>
  <c r="A1016" i="5"/>
  <c r="A1022" i="5"/>
  <c r="A1040" i="5"/>
  <c r="C1036" i="5" a="1"/>
  <c r="C1036" i="5" s="1"/>
  <c r="A1009" i="5"/>
  <c r="A1025" i="5"/>
  <c r="A1058" i="5"/>
  <c r="D1041" i="5"/>
  <c r="A1044" i="5"/>
  <c r="A1053" i="5"/>
  <c r="A1028" i="5"/>
  <c r="A1037" i="5"/>
  <c r="A1052" i="5"/>
  <c r="A1057" i="5"/>
  <c r="A1031" i="5"/>
  <c r="A1046" i="5"/>
  <c r="A1007" i="5"/>
  <c r="A1047" i="5"/>
  <c r="A1014" i="5"/>
  <c r="A1045" i="5"/>
  <c r="A1010" i="5"/>
  <c r="A1056" i="5"/>
  <c r="E1035" i="5"/>
  <c r="C1034" i="5" a="1"/>
  <c r="C1034" i="5" s="1"/>
  <c r="F1034" i="5"/>
  <c r="A1021" i="5"/>
  <c r="A1038" i="5"/>
  <c r="A1054" i="5"/>
  <c r="P15" i="34"/>
  <c r="P36" i="34"/>
  <c r="P5" i="34"/>
  <c r="R750" i="3"/>
  <c r="R47" i="34" s="1"/>
  <c r="R751" i="3"/>
  <c r="R48" i="34" s="1"/>
  <c r="R747" i="3"/>
  <c r="R44" i="34" s="1"/>
  <c r="R769" i="3"/>
  <c r="R66" i="34" s="1"/>
  <c r="P56" i="34"/>
  <c r="P27" i="34"/>
  <c r="P61" i="34"/>
  <c r="P92" i="34"/>
  <c r="R729" i="3"/>
  <c r="R26" i="34" s="1"/>
  <c r="R771" i="3"/>
  <c r="R68" i="34" s="1"/>
  <c r="R803" i="3"/>
  <c r="R100" i="34" s="1"/>
  <c r="R780" i="3"/>
  <c r="R77" i="34" s="1"/>
  <c r="R784" i="3"/>
  <c r="R81" i="34" s="1"/>
  <c r="P103" i="34"/>
  <c r="R732" i="3"/>
  <c r="R29" i="34" s="1"/>
  <c r="R775" i="3"/>
  <c r="R72" i="34" s="1"/>
  <c r="C809" i="3"/>
  <c r="P83" i="34"/>
  <c r="P64" i="34"/>
  <c r="R799" i="3"/>
  <c r="R96" i="34" s="1"/>
  <c r="P49" i="34"/>
  <c r="P71" i="34"/>
  <c r="R721" i="3"/>
  <c r="R18" i="34" s="1"/>
  <c r="B1787" i="44"/>
  <c r="B1788" i="44" s="1"/>
  <c r="R745" i="3"/>
  <c r="R42" i="34" s="1"/>
  <c r="R742" i="3"/>
  <c r="R39" i="34" s="1"/>
  <c r="R397" i="3"/>
  <c r="R398" i="3" s="1"/>
  <c r="Q394" i="3" s="1"/>
  <c r="D395" i="3" s="1"/>
  <c r="R719" i="3"/>
  <c r="R16" i="34" s="1"/>
  <c r="R797" i="3"/>
  <c r="R94" i="34" s="1"/>
  <c r="P46" i="34"/>
  <c r="P32" i="34"/>
  <c r="P6" i="34"/>
  <c r="P98" i="34"/>
  <c r="P99" i="34"/>
  <c r="R710" i="3"/>
  <c r="R7" i="34" s="1"/>
  <c r="P69" i="34"/>
  <c r="R773" i="3"/>
  <c r="R70" i="34" s="1"/>
  <c r="R714" i="3"/>
  <c r="R11" i="34" s="1"/>
  <c r="P13" i="34"/>
  <c r="R717" i="3"/>
  <c r="R14" i="34" s="1"/>
  <c r="P65" i="34"/>
  <c r="P21" i="34"/>
  <c r="P19" i="34"/>
  <c r="P74" i="34"/>
  <c r="R737" i="3"/>
  <c r="R34" i="34" s="1"/>
  <c r="R727" i="3"/>
  <c r="R24" i="34" s="1"/>
  <c r="R743" i="3"/>
  <c r="R40" i="34" s="1"/>
  <c r="R738" i="3"/>
  <c r="R35" i="34" s="1"/>
  <c r="P90" i="34"/>
  <c r="R782" i="3"/>
  <c r="R79" i="34" s="1"/>
  <c r="P807" i="3"/>
  <c r="W779" i="3" s="1"/>
  <c r="W76" i="34" s="1"/>
  <c r="R804" i="3"/>
  <c r="R101" i="34" s="1"/>
  <c r="P101" i="34"/>
  <c r="B393" i="3"/>
  <c r="C127" i="24" s="1"/>
  <c r="C112" i="5"/>
  <c r="D513" i="44"/>
  <c r="B517" i="44"/>
  <c r="D517" i="44" s="1"/>
  <c r="D515" i="44"/>
  <c r="D512" i="44"/>
  <c r="D1770" i="44"/>
  <c r="B1771" i="44"/>
  <c r="B2665" i="44"/>
  <c r="D2664" i="44"/>
  <c r="D2279" i="44"/>
  <c r="B2280" i="44"/>
  <c r="B2921" i="44"/>
  <c r="D2920" i="44"/>
  <c r="C202" i="5"/>
  <c r="D3016" i="44"/>
  <c r="B3017" i="44"/>
  <c r="A1197" i="5"/>
  <c r="B1198" i="5"/>
  <c r="D1196" i="5"/>
  <c r="O1196" i="5"/>
  <c r="S1196" i="5"/>
  <c r="P1196" i="5"/>
  <c r="K1196" i="5"/>
  <c r="L1196" i="5"/>
  <c r="T1196" i="5"/>
  <c r="E1196" i="5"/>
  <c r="H1196" i="5"/>
  <c r="G1196" i="5"/>
  <c r="J1196" i="5"/>
  <c r="C1196" i="5"/>
  <c r="Q1196" i="5"/>
  <c r="N1196" i="5"/>
  <c r="M1196" i="5"/>
  <c r="R1196" i="5"/>
  <c r="F1196" i="5"/>
  <c r="I1196" i="5"/>
  <c r="E94" i="32"/>
  <c r="E119" i="24"/>
  <c r="D1719" i="44"/>
  <c r="B1720" i="44"/>
  <c r="L32" i="32"/>
  <c r="C23" i="32"/>
  <c r="D23" i="32" s="1"/>
  <c r="E23" i="32" s="1"/>
  <c r="F23" i="32" s="1"/>
  <c r="G23" i="32" s="1"/>
  <c r="B2632" i="44"/>
  <c r="D2631" i="44"/>
  <c r="D2042" i="44"/>
  <c r="B2043" i="44"/>
  <c r="D3128" i="44"/>
  <c r="B3129" i="44"/>
  <c r="B3034" i="44"/>
  <c r="D3033" i="44"/>
  <c r="D3159" i="44"/>
  <c r="B3160" i="44"/>
  <c r="B1801" i="44"/>
  <c r="D1800" i="44"/>
  <c r="D2775" i="44"/>
  <c r="B2776" i="44"/>
  <c r="D2616" i="44"/>
  <c r="B2617" i="44"/>
  <c r="B3096" i="44"/>
  <c r="D3095" i="44"/>
  <c r="B1976" i="44"/>
  <c r="D1975" i="44"/>
  <c r="D2571" i="44"/>
  <c r="B2572" i="44"/>
  <c r="B2296" i="44"/>
  <c r="D2295" i="44"/>
  <c r="B2105" i="44"/>
  <c r="D2104" i="44"/>
  <c r="D2232" i="44"/>
  <c r="B2233" i="44"/>
  <c r="D1944" i="44"/>
  <c r="B1945" i="44"/>
  <c r="D2825" i="44"/>
  <c r="B2826" i="44"/>
  <c r="D1868" i="44"/>
  <c r="B1869" i="44"/>
  <c r="B1609" i="44"/>
  <c r="D1608" i="44"/>
  <c r="D2889" i="44"/>
  <c r="B2890" i="44"/>
  <c r="B1737" i="44"/>
  <c r="D1736" i="44"/>
  <c r="B1929" i="44"/>
  <c r="D1928" i="44"/>
  <c r="D2984" i="44"/>
  <c r="B2985" i="44"/>
  <c r="D2249" i="44"/>
  <c r="B2250" i="44"/>
  <c r="B2713" i="44"/>
  <c r="D2712" i="44"/>
  <c r="R5" i="34"/>
  <c r="B2489" i="44"/>
  <c r="D2488" i="44"/>
  <c r="D641" i="44"/>
  <c r="D644" i="44"/>
  <c r="D640" i="44"/>
  <c r="B645" i="44"/>
  <c r="D642" i="44"/>
  <c r="D643" i="44"/>
  <c r="D1657" i="44"/>
  <c r="B1658" i="44"/>
  <c r="D1962" i="44"/>
  <c r="B1963" i="44"/>
  <c r="D2795" i="44"/>
  <c r="B2796" i="44"/>
  <c r="B3064" i="44"/>
  <c r="D3063" i="44"/>
  <c r="D2746" i="44"/>
  <c r="B2747" i="44"/>
  <c r="D2970" i="44"/>
  <c r="B2971" i="44"/>
  <c r="D2999" i="44"/>
  <c r="B3000" i="44"/>
  <c r="B2088" i="44"/>
  <c r="D2087" i="44"/>
  <c r="B2520" i="44"/>
  <c r="D2519" i="44"/>
  <c r="D2055" i="44"/>
  <c r="B2056" i="44"/>
  <c r="B1758" i="44"/>
  <c r="D1758" i="44" s="1"/>
  <c r="D1757" i="44"/>
  <c r="D2393" i="44"/>
  <c r="B2394" i="44"/>
  <c r="D2201" i="44"/>
  <c r="B2202" i="44"/>
  <c r="B1678" i="44"/>
  <c r="D1678" i="44" s="1"/>
  <c r="D1677" i="44"/>
  <c r="D1880" i="44"/>
  <c r="B1881" i="44"/>
  <c r="D2136" i="44"/>
  <c r="B2137" i="44"/>
  <c r="B1992" i="44"/>
  <c r="D1991" i="44"/>
  <c r="B2956" i="44"/>
  <c r="D2955" i="44"/>
  <c r="B3115" i="44"/>
  <c r="D3114" i="44"/>
  <c r="D2903" i="44"/>
  <c r="B2904" i="44"/>
  <c r="B586" i="44"/>
  <c r="D584" i="44"/>
  <c r="D585" i="44"/>
  <c r="D2314" i="44"/>
  <c r="B2315" i="44"/>
  <c r="B2361" i="44"/>
  <c r="D2360" i="44"/>
  <c r="D2216" i="44"/>
  <c r="B2217" i="44"/>
  <c r="B1816" i="44"/>
  <c r="D1815" i="44"/>
  <c r="D2679" i="44"/>
  <c r="B2680" i="44"/>
  <c r="B2456" i="44"/>
  <c r="D2455" i="44"/>
  <c r="D2601" i="44"/>
  <c r="B2602" i="44"/>
  <c r="D2552" i="44"/>
  <c r="B2553" i="44"/>
  <c r="B2185" i="44"/>
  <c r="D2184" i="44"/>
  <c r="D1833" i="44"/>
  <c r="B1834" i="44"/>
  <c r="D1705" i="44"/>
  <c r="B1706" i="44"/>
  <c r="D3080" i="44"/>
  <c r="B3081" i="44"/>
  <c r="D2809" i="44"/>
  <c r="B2810" i="44"/>
  <c r="B2426" i="44"/>
  <c r="D2425" i="44"/>
  <c r="D2168" i="44"/>
  <c r="B2169" i="44"/>
  <c r="D3048" i="44"/>
  <c r="B3049" i="44"/>
  <c r="D2407" i="44"/>
  <c r="B2408" i="44"/>
  <c r="D2856" i="44"/>
  <c r="B2857" i="44"/>
  <c r="D2073" i="44"/>
  <c r="B2074" i="44"/>
  <c r="B2841" i="44"/>
  <c r="D2840" i="44"/>
  <c r="B2506" i="44"/>
  <c r="D2505" i="44"/>
  <c r="D1624" i="44"/>
  <c r="B1625" i="44"/>
  <c r="B2698" i="44"/>
  <c r="D2697" i="44"/>
  <c r="B2873" i="44"/>
  <c r="D2872" i="44"/>
  <c r="B1592" i="44"/>
  <c r="D1591" i="44"/>
  <c r="B2764" i="44"/>
  <c r="D2763" i="44"/>
  <c r="B2027" i="44"/>
  <c r="D2026" i="44"/>
  <c r="B2153" i="44"/>
  <c r="D2152" i="44"/>
  <c r="D1687" i="44"/>
  <c r="B1688" i="44"/>
  <c r="B2009" i="44"/>
  <c r="D2008" i="44"/>
  <c r="D2586" i="44"/>
  <c r="B2587" i="44"/>
  <c r="D2120" i="44"/>
  <c r="B2121" i="44"/>
  <c r="B2538" i="44"/>
  <c r="D2537" i="44"/>
  <c r="D1639" i="44"/>
  <c r="B1640" i="44"/>
  <c r="D2264" i="44"/>
  <c r="B2265" i="44"/>
  <c r="D362" i="44"/>
  <c r="B366" i="44"/>
  <c r="D365" i="44"/>
  <c r="D364" i="44"/>
  <c r="D361" i="44"/>
  <c r="D363" i="44"/>
  <c r="D1848" i="44"/>
  <c r="B1849" i="44"/>
  <c r="B2379" i="44"/>
  <c r="D2378" i="44"/>
  <c r="D2935" i="44"/>
  <c r="B2936" i="44"/>
  <c r="B2730" i="44"/>
  <c r="D2729" i="44"/>
  <c r="D818" i="44"/>
  <c r="B820" i="44"/>
  <c r="D819" i="44"/>
  <c r="B2347" i="44"/>
  <c r="D2346" i="44"/>
  <c r="B2648" i="44"/>
  <c r="D2647" i="44"/>
  <c r="B2331" i="44"/>
  <c r="D2330" i="44"/>
  <c r="D2474" i="44"/>
  <c r="B2475" i="44"/>
  <c r="D852" i="44"/>
  <c r="D854" i="44"/>
  <c r="B855" i="44"/>
  <c r="D853" i="44"/>
  <c r="D3145" i="44"/>
  <c r="B3146" i="44"/>
  <c r="D1915" i="44"/>
  <c r="B1916" i="44"/>
  <c r="D444" i="44"/>
  <c r="D446" i="44"/>
  <c r="D447" i="44"/>
  <c r="B449" i="44"/>
  <c r="D445" i="44"/>
  <c r="D448" i="44"/>
  <c r="B2444" i="44"/>
  <c r="D2443" i="44"/>
  <c r="D1898" i="44"/>
  <c r="B1899" i="44"/>
  <c r="H13" i="32"/>
  <c r="H15" i="32" s="1"/>
  <c r="H17" i="32" s="1"/>
  <c r="I11" i="32"/>
  <c r="G113" i="24"/>
  <c r="G379" i="3"/>
  <c r="G88" i="32"/>
  <c r="F112" i="24"/>
  <c r="F87" i="32"/>
  <c r="F378" i="3"/>
  <c r="E380" i="3"/>
  <c r="E385" i="3" s="1"/>
  <c r="C387" i="3"/>
  <c r="D93" i="32"/>
  <c r="D118" i="24"/>
  <c r="B426" i="3"/>
  <c r="B429" i="3" s="1"/>
  <c r="B430" i="3"/>
  <c r="E184" i="24" s="1"/>
  <c r="E428" i="3"/>
  <c r="E427" i="3"/>
  <c r="D180" i="24"/>
  <c r="F33" i="32"/>
  <c r="F36" i="32" s="1"/>
  <c r="F37" i="32" s="1"/>
  <c r="G30" i="32"/>
  <c r="C121" i="24"/>
  <c r="C95" i="32"/>
  <c r="D384" i="3"/>
  <c r="E114" i="24"/>
  <c r="E89" i="32"/>
  <c r="C1043" i="5" l="1" a="1"/>
  <c r="C1043" i="5" s="1"/>
  <c r="E1019" i="5"/>
  <c r="E1043" i="5"/>
  <c r="D1042" i="5"/>
  <c r="E1049" i="5"/>
  <c r="F1041" i="5"/>
  <c r="F1049" i="5"/>
  <c r="G1034" i="5"/>
  <c r="E1034" i="5"/>
  <c r="G1033" i="5"/>
  <c r="C1026" i="5" a="1"/>
  <c r="C1026" i="5" s="1"/>
  <c r="C1008" i="5" a="1"/>
  <c r="C1008" i="5" s="1"/>
  <c r="F1008" i="5"/>
  <c r="D1036" i="5"/>
  <c r="E1026" i="5"/>
  <c r="F1032" i="5"/>
  <c r="D1032" i="5"/>
  <c r="G1032" i="5"/>
  <c r="F1039" i="5"/>
  <c r="C1039" i="5" a="1"/>
  <c r="C1039" i="5" s="1"/>
  <c r="F1043" i="5"/>
  <c r="D1043" i="5"/>
  <c r="E1018" i="5"/>
  <c r="D1018" i="5"/>
  <c r="E1006" i="5"/>
  <c r="E1008" i="5"/>
  <c r="D1026" i="5"/>
  <c r="F1018" i="5"/>
  <c r="F1006" i="5"/>
  <c r="G1008" i="5"/>
  <c r="G1018" i="5"/>
  <c r="C1006" i="5" a="1"/>
  <c r="C1006" i="5" s="1"/>
  <c r="G1006" i="5"/>
  <c r="E1011" i="5"/>
  <c r="F1026" i="5"/>
  <c r="C1029" i="5" a="1"/>
  <c r="C1029" i="5" s="1"/>
  <c r="E1024" i="5"/>
  <c r="D1035" i="5"/>
  <c r="D1024" i="5"/>
  <c r="F1035" i="5"/>
  <c r="G1024" i="5"/>
  <c r="G1035" i="5"/>
  <c r="C1024" i="5" a="1"/>
  <c r="C1024" i="5" s="1"/>
  <c r="C1027" i="5" a="1"/>
  <c r="C1027" i="5" s="1"/>
  <c r="F1001" i="5"/>
  <c r="E1001" i="5"/>
  <c r="F1003" i="5"/>
  <c r="F1011" i="5"/>
  <c r="G1036" i="5"/>
  <c r="F1033" i="5"/>
  <c r="D1023" i="5"/>
  <c r="F1036" i="5"/>
  <c r="E1033" i="5"/>
  <c r="G1023" i="5"/>
  <c r="E1013" i="5"/>
  <c r="G1029" i="5"/>
  <c r="D1011" i="5"/>
  <c r="E1023" i="5"/>
  <c r="C1013" i="5" a="1"/>
  <c r="C1013" i="5" s="1"/>
  <c r="D1029" i="5"/>
  <c r="G1011" i="5"/>
  <c r="C1023" i="5" a="1"/>
  <c r="C1023" i="5" s="1"/>
  <c r="E1041" i="5"/>
  <c r="E1012" i="5"/>
  <c r="F1013" i="5"/>
  <c r="G1041" i="5"/>
  <c r="D1012" i="5"/>
  <c r="G1013" i="5"/>
  <c r="E1029" i="5"/>
  <c r="F1012" i="5"/>
  <c r="F1000" i="5"/>
  <c r="G1000" i="5"/>
  <c r="C1000" i="5" a="1"/>
  <c r="C1000" i="5" s="1"/>
  <c r="E1000" i="5"/>
  <c r="D1001" i="5"/>
  <c r="G1001" i="5"/>
  <c r="D1019" i="5"/>
  <c r="G1019" i="5"/>
  <c r="G1059" i="5"/>
  <c r="C1019" i="5" a="1"/>
  <c r="C1019" i="5" s="1"/>
  <c r="F1059" i="5"/>
  <c r="D1059" i="5"/>
  <c r="E1059" i="5"/>
  <c r="C1030" i="5" a="1"/>
  <c r="C1030" i="5" s="1"/>
  <c r="E1030" i="5"/>
  <c r="G1027" i="5"/>
  <c r="D1027" i="5"/>
  <c r="D1030" i="5"/>
  <c r="F1002" i="5"/>
  <c r="D1002" i="5"/>
  <c r="E1002" i="5"/>
  <c r="C1002" i="5" a="1"/>
  <c r="C1002" i="5" s="1"/>
  <c r="G1002" i="5"/>
  <c r="E1027" i="5"/>
  <c r="G1030" i="5"/>
  <c r="E1003" i="5"/>
  <c r="G1003" i="5"/>
  <c r="C1003" i="5" a="1"/>
  <c r="C1003" i="5" s="1"/>
  <c r="E1042" i="5"/>
  <c r="G1042" i="5"/>
  <c r="G1015" i="5"/>
  <c r="F1042" i="5"/>
  <c r="F1015" i="5"/>
  <c r="F1004" i="5"/>
  <c r="G1004" i="5"/>
  <c r="D1004" i="5"/>
  <c r="E1004" i="5"/>
  <c r="C1004" i="5" a="1"/>
  <c r="C1004" i="5" s="1"/>
  <c r="D1015" i="5"/>
  <c r="E1015" i="5"/>
  <c r="C1005" i="5" a="1"/>
  <c r="C1005" i="5" s="1"/>
  <c r="E1005" i="5"/>
  <c r="F1005" i="5"/>
  <c r="G1005" i="5"/>
  <c r="D1005" i="5"/>
  <c r="F1045" i="5"/>
  <c r="E1045" i="5"/>
  <c r="G1045" i="5"/>
  <c r="D1045" i="5"/>
  <c r="C1045" i="5" a="1"/>
  <c r="C1045" i="5" s="1"/>
  <c r="G1028" i="5"/>
  <c r="E1028" i="5"/>
  <c r="F1028" i="5"/>
  <c r="C1028" i="5" a="1"/>
  <c r="C1028" i="5" s="1"/>
  <c r="D1028" i="5"/>
  <c r="C1022" i="5" a="1"/>
  <c r="C1022" i="5" s="1"/>
  <c r="G1022" i="5"/>
  <c r="F1022" i="5"/>
  <c r="D1022" i="5"/>
  <c r="E1022" i="5"/>
  <c r="C1014" i="5" a="1"/>
  <c r="C1014" i="5" s="1"/>
  <c r="D1014" i="5"/>
  <c r="G1014" i="5"/>
  <c r="E1014" i="5"/>
  <c r="F1014" i="5"/>
  <c r="C1046" i="5" a="1"/>
  <c r="C1046" i="5" s="1"/>
  <c r="G1046" i="5"/>
  <c r="F1046" i="5"/>
  <c r="E1046" i="5"/>
  <c r="D1046" i="5"/>
  <c r="C1053" i="5" a="1"/>
  <c r="C1053" i="5" s="1"/>
  <c r="D1053" i="5"/>
  <c r="F1053" i="5"/>
  <c r="E1053" i="5"/>
  <c r="G1053" i="5"/>
  <c r="C1016" i="5" a="1"/>
  <c r="C1016" i="5" s="1"/>
  <c r="F1016" i="5"/>
  <c r="G1016" i="5"/>
  <c r="D1016" i="5"/>
  <c r="E1016" i="5"/>
  <c r="C1054" i="5" a="1"/>
  <c r="C1054" i="5" s="1"/>
  <c r="E1054" i="5"/>
  <c r="F1054" i="5"/>
  <c r="G1054" i="5"/>
  <c r="D1054" i="5"/>
  <c r="C1047" i="5" a="1"/>
  <c r="C1047" i="5" s="1"/>
  <c r="D1047" i="5"/>
  <c r="G1047" i="5"/>
  <c r="F1047" i="5"/>
  <c r="E1047" i="5"/>
  <c r="C1031" i="5" a="1"/>
  <c r="C1031" i="5" s="1"/>
  <c r="D1031" i="5"/>
  <c r="G1031" i="5"/>
  <c r="F1031" i="5"/>
  <c r="E1031" i="5"/>
  <c r="C1044" i="5" a="1"/>
  <c r="C1044" i="5" s="1"/>
  <c r="F1044" i="5"/>
  <c r="D1044" i="5"/>
  <c r="G1044" i="5"/>
  <c r="E1044" i="5"/>
  <c r="C1048" i="5" a="1"/>
  <c r="C1048" i="5" s="1"/>
  <c r="D1048" i="5"/>
  <c r="E1048" i="5"/>
  <c r="F1048" i="5"/>
  <c r="G1048" i="5"/>
  <c r="C1038" i="5" a="1"/>
  <c r="C1038" i="5" s="1"/>
  <c r="D1038" i="5"/>
  <c r="E1038" i="5"/>
  <c r="G1038" i="5"/>
  <c r="F1038" i="5"/>
  <c r="C1007" i="5" a="1"/>
  <c r="C1007" i="5" s="1"/>
  <c r="D1007" i="5"/>
  <c r="G1007" i="5"/>
  <c r="F1007" i="5"/>
  <c r="E1007" i="5"/>
  <c r="C1057" i="5" a="1"/>
  <c r="C1057" i="5" s="1"/>
  <c r="E1057" i="5"/>
  <c r="F1057" i="5"/>
  <c r="G1057" i="5"/>
  <c r="D1057" i="5"/>
  <c r="C1020" i="5" a="1"/>
  <c r="C1020" i="5" s="1"/>
  <c r="G1020" i="5"/>
  <c r="E1020" i="5"/>
  <c r="F1020" i="5"/>
  <c r="D1020" i="5"/>
  <c r="C1050" i="5" a="1"/>
  <c r="C1050" i="5" s="1"/>
  <c r="E1050" i="5"/>
  <c r="G1050" i="5"/>
  <c r="D1050" i="5"/>
  <c r="F1050" i="5"/>
  <c r="C1021" i="5" a="1"/>
  <c r="C1021" i="5" s="1"/>
  <c r="E1021" i="5"/>
  <c r="G1021" i="5"/>
  <c r="D1021" i="5"/>
  <c r="F1021" i="5"/>
  <c r="F1052" i="5"/>
  <c r="E1052" i="5"/>
  <c r="D1052" i="5"/>
  <c r="G1052" i="5"/>
  <c r="C1052" i="5" a="1"/>
  <c r="C1052" i="5" s="1"/>
  <c r="C1055" i="5" a="1"/>
  <c r="C1055" i="5" s="1"/>
  <c r="E1055" i="5"/>
  <c r="F1055" i="5"/>
  <c r="D1055" i="5"/>
  <c r="G1055" i="5"/>
  <c r="C1051" i="5" a="1"/>
  <c r="C1051" i="5" s="1"/>
  <c r="G1051" i="5"/>
  <c r="D1051" i="5"/>
  <c r="E1051" i="5"/>
  <c r="F1051" i="5"/>
  <c r="C1058" i="5" a="1"/>
  <c r="C1058" i="5" s="1"/>
  <c r="F1058" i="5"/>
  <c r="D1058" i="5"/>
  <c r="E1058" i="5"/>
  <c r="G1058" i="5"/>
  <c r="E1056" i="5"/>
  <c r="F1056" i="5"/>
  <c r="G1056" i="5"/>
  <c r="C1056" i="5" a="1"/>
  <c r="C1056" i="5" s="1"/>
  <c r="D1056" i="5"/>
  <c r="C1025" i="5" a="1"/>
  <c r="C1025" i="5" s="1"/>
  <c r="F1025" i="5"/>
  <c r="D1025" i="5"/>
  <c r="G1025" i="5"/>
  <c r="E1025" i="5"/>
  <c r="C1010" i="5" a="1"/>
  <c r="C1010" i="5" s="1"/>
  <c r="E1010" i="5"/>
  <c r="G1010" i="5"/>
  <c r="D1010" i="5"/>
  <c r="F1010" i="5"/>
  <c r="E1037" i="5"/>
  <c r="D1037" i="5"/>
  <c r="C1037" i="5" a="1"/>
  <c r="C1037" i="5" s="1"/>
  <c r="G1037" i="5"/>
  <c r="F1037" i="5"/>
  <c r="F1009" i="5"/>
  <c r="D1009" i="5"/>
  <c r="E1009" i="5"/>
  <c r="G1009" i="5"/>
  <c r="C1009" i="5" a="1"/>
  <c r="C1009" i="5" s="1"/>
  <c r="C1040" i="5" a="1"/>
  <c r="C1040" i="5" s="1"/>
  <c r="D1040" i="5"/>
  <c r="E1040" i="5"/>
  <c r="F1040" i="5"/>
  <c r="G1040" i="5"/>
  <c r="D1787" i="44"/>
  <c r="W766" i="3"/>
  <c r="W63" i="34" s="1"/>
  <c r="W719" i="3"/>
  <c r="W16" i="34" s="1"/>
  <c r="W734" i="3"/>
  <c r="W31" i="34" s="1"/>
  <c r="W793" i="3"/>
  <c r="W90" i="34" s="1"/>
  <c r="W796" i="3"/>
  <c r="W93" i="34" s="1"/>
  <c r="W770" i="3"/>
  <c r="W67" i="34" s="1"/>
  <c r="W800" i="3"/>
  <c r="W97" i="34" s="1"/>
  <c r="W720" i="3"/>
  <c r="W17" i="34" s="1"/>
  <c r="W741" i="3"/>
  <c r="W38" i="34" s="1"/>
  <c r="W762" i="3"/>
  <c r="W59" i="34" s="1"/>
  <c r="W794" i="3"/>
  <c r="W91" i="34" s="1"/>
  <c r="W753" i="3"/>
  <c r="W50" i="34" s="1"/>
  <c r="W776" i="3"/>
  <c r="W73" i="34" s="1"/>
  <c r="W723" i="3"/>
  <c r="W20" i="34" s="1"/>
  <c r="W797" i="3"/>
  <c r="W94" i="34" s="1"/>
  <c r="W731" i="3"/>
  <c r="W28" i="34" s="1"/>
  <c r="W786" i="3"/>
  <c r="W83" i="34" s="1"/>
  <c r="W727" i="3"/>
  <c r="W24" i="34" s="1"/>
  <c r="W772" i="3"/>
  <c r="W69" i="34" s="1"/>
  <c r="W747" i="3"/>
  <c r="W44" i="34" s="1"/>
  <c r="W729" i="3"/>
  <c r="W26" i="34" s="1"/>
  <c r="W716" i="3"/>
  <c r="W13" i="34" s="1"/>
  <c r="W805" i="3"/>
  <c r="W102" i="34" s="1"/>
  <c r="W784" i="3"/>
  <c r="W81" i="34" s="1"/>
  <c r="W725" i="3"/>
  <c r="W22" i="34" s="1"/>
  <c r="W783" i="3"/>
  <c r="W80" i="34" s="1"/>
  <c r="W803" i="3"/>
  <c r="W100" i="34" s="1"/>
  <c r="W788" i="3"/>
  <c r="W85" i="34" s="1"/>
  <c r="W726" i="3"/>
  <c r="W23" i="34" s="1"/>
  <c r="W752" i="3"/>
  <c r="W49" i="34" s="1"/>
  <c r="W735" i="3"/>
  <c r="W32" i="34" s="1"/>
  <c r="R807" i="3"/>
  <c r="C811" i="3" s="1"/>
  <c r="W739" i="3"/>
  <c r="W36" i="34" s="1"/>
  <c r="P104" i="34"/>
  <c r="W774" i="3"/>
  <c r="W71" i="34" s="1"/>
  <c r="W724" i="3"/>
  <c r="W21" i="34" s="1"/>
  <c r="W708" i="3"/>
  <c r="W5" i="34" s="1"/>
  <c r="W773" i="3"/>
  <c r="W70" i="34" s="1"/>
  <c r="W738" i="3"/>
  <c r="W35" i="34" s="1"/>
  <c r="W749" i="3"/>
  <c r="W46" i="34" s="1"/>
  <c r="W771" i="3"/>
  <c r="W68" i="34" s="1"/>
  <c r="W787" i="3"/>
  <c r="W84" i="34" s="1"/>
  <c r="W711" i="3"/>
  <c r="W8" i="34" s="1"/>
  <c r="W767" i="3"/>
  <c r="W64" i="34" s="1"/>
  <c r="W798" i="3"/>
  <c r="W95" i="34" s="1"/>
  <c r="W781" i="3"/>
  <c r="W78" i="34" s="1"/>
  <c r="W801" i="3"/>
  <c r="W98" i="34" s="1"/>
  <c r="W736" i="3"/>
  <c r="W33" i="34" s="1"/>
  <c r="W769" i="3"/>
  <c r="W66" i="34" s="1"/>
  <c r="W722" i="3"/>
  <c r="W19" i="34" s="1"/>
  <c r="W730" i="3"/>
  <c r="W27" i="34" s="1"/>
  <c r="W768" i="3"/>
  <c r="W65" i="34" s="1"/>
  <c r="W756" i="3"/>
  <c r="W53" i="34" s="1"/>
  <c r="W795" i="3"/>
  <c r="W92" i="34" s="1"/>
  <c r="W804" i="3"/>
  <c r="W101" i="34" s="1"/>
  <c r="W748" i="3"/>
  <c r="W45" i="34" s="1"/>
  <c r="W792" i="3"/>
  <c r="W89" i="34" s="1"/>
  <c r="W750" i="3"/>
  <c r="W47" i="34" s="1"/>
  <c r="W802" i="3"/>
  <c r="W99" i="34" s="1"/>
  <c r="W789" i="3"/>
  <c r="W86" i="34" s="1"/>
  <c r="W782" i="3"/>
  <c r="W79" i="34" s="1"/>
  <c r="W760" i="3"/>
  <c r="W57" i="34" s="1"/>
  <c r="W717" i="3"/>
  <c r="W14" i="34" s="1"/>
  <c r="W718" i="3"/>
  <c r="W15" i="34" s="1"/>
  <c r="W790" i="3"/>
  <c r="W87" i="34" s="1"/>
  <c r="W740" i="3"/>
  <c r="W37" i="34" s="1"/>
  <c r="W733" i="3"/>
  <c r="W30" i="34" s="1"/>
  <c r="W715" i="3"/>
  <c r="W12" i="34" s="1"/>
  <c r="W714" i="3"/>
  <c r="W11" i="34" s="1"/>
  <c r="W758" i="3"/>
  <c r="W55" i="34" s="1"/>
  <c r="W709" i="3"/>
  <c r="W6" i="34" s="1"/>
  <c r="W755" i="3"/>
  <c r="W52" i="34" s="1"/>
  <c r="W742" i="3"/>
  <c r="W39" i="34" s="1"/>
  <c r="W777" i="3"/>
  <c r="W74" i="34" s="1"/>
  <c r="W775" i="3"/>
  <c r="W72" i="34" s="1"/>
  <c r="W744" i="3"/>
  <c r="W41" i="34" s="1"/>
  <c r="W791" i="3"/>
  <c r="W88" i="34" s="1"/>
  <c r="W757" i="3"/>
  <c r="W54" i="34" s="1"/>
  <c r="W806" i="3"/>
  <c r="W103" i="34" s="1"/>
  <c r="W765" i="3"/>
  <c r="W62" i="34" s="1"/>
  <c r="W721" i="3"/>
  <c r="W18" i="34" s="1"/>
  <c r="W737" i="3"/>
  <c r="W34" i="34" s="1"/>
  <c r="W759" i="3"/>
  <c r="W56" i="34" s="1"/>
  <c r="W799" i="3"/>
  <c r="W96" i="34" s="1"/>
  <c r="W728" i="3"/>
  <c r="W25" i="34" s="1"/>
  <c r="W743" i="3"/>
  <c r="W40" i="34" s="1"/>
  <c r="W713" i="3"/>
  <c r="W10" i="34" s="1"/>
  <c r="W745" i="3"/>
  <c r="W42" i="34" s="1"/>
  <c r="W732" i="3"/>
  <c r="W29" i="34" s="1"/>
  <c r="W761" i="3"/>
  <c r="W58" i="34" s="1"/>
  <c r="W754" i="3"/>
  <c r="W51" i="34" s="1"/>
  <c r="W780" i="3"/>
  <c r="W77" i="34" s="1"/>
  <c r="C810" i="3"/>
  <c r="W746" i="3"/>
  <c r="W43" i="34" s="1"/>
  <c r="W785" i="3"/>
  <c r="W82" i="34" s="1"/>
  <c r="W710" i="3"/>
  <c r="W7" i="34" s="1"/>
  <c r="W712" i="3"/>
  <c r="W9" i="34" s="1"/>
  <c r="W763" i="3"/>
  <c r="W60" i="34" s="1"/>
  <c r="W778" i="3"/>
  <c r="W75" i="34" s="1"/>
  <c r="W764" i="3"/>
  <c r="W61" i="34" s="1"/>
  <c r="W751" i="3"/>
  <c r="W48" i="34" s="1"/>
  <c r="C101" i="32"/>
  <c r="C13" i="5"/>
  <c r="C393" i="3"/>
  <c r="C127" i="5"/>
  <c r="D121" i="24"/>
  <c r="C113" i="5"/>
  <c r="D518" i="44"/>
  <c r="D519" i="44"/>
  <c r="D521" i="44"/>
  <c r="D520" i="44"/>
  <c r="B522" i="44"/>
  <c r="D523" i="44" s="1"/>
  <c r="B1772" i="44"/>
  <c r="D1771" i="44"/>
  <c r="B2666" i="44"/>
  <c r="D2665" i="44"/>
  <c r="D2280" i="44"/>
  <c r="B2281" i="44"/>
  <c r="D2921" i="44"/>
  <c r="B2922" i="44"/>
  <c r="F50" i="24"/>
  <c r="F75" i="32"/>
  <c r="G93" i="25"/>
  <c r="D3017" i="44"/>
  <c r="B3018" i="44"/>
  <c r="A1198" i="5"/>
  <c r="B1199" i="5"/>
  <c r="R1197" i="5"/>
  <c r="D1197" i="5"/>
  <c r="H1197" i="5"/>
  <c r="F1197" i="5"/>
  <c r="G1197" i="5"/>
  <c r="C1197" i="5"/>
  <c r="S1197" i="5"/>
  <c r="J1197" i="5"/>
  <c r="P1197" i="5"/>
  <c r="E1197" i="5"/>
  <c r="N1197" i="5"/>
  <c r="O1197" i="5"/>
  <c r="K1197" i="5"/>
  <c r="I1197" i="5"/>
  <c r="T1197" i="5"/>
  <c r="L1197" i="5"/>
  <c r="M1197" i="5"/>
  <c r="Q1197" i="5"/>
  <c r="F119" i="24"/>
  <c r="F94" i="32"/>
  <c r="B1721" i="44"/>
  <c r="D1720" i="44"/>
  <c r="D80" i="24"/>
  <c r="B2633" i="44"/>
  <c r="D2632" i="44"/>
  <c r="D2043" i="44"/>
  <c r="B2044" i="44"/>
  <c r="D3129" i="44"/>
  <c r="B3130" i="44"/>
  <c r="B3035" i="44"/>
  <c r="D3034" i="44"/>
  <c r="B2234" i="44"/>
  <c r="D2233" i="44"/>
  <c r="B2573" i="44"/>
  <c r="D2572" i="44"/>
  <c r="B2618" i="44"/>
  <c r="D2617" i="44"/>
  <c r="D2776" i="44"/>
  <c r="B2777" i="44"/>
  <c r="D3160" i="44"/>
  <c r="B3161" i="44"/>
  <c r="B2106" i="44"/>
  <c r="D2105" i="44"/>
  <c r="D2296" i="44"/>
  <c r="B2297" i="44"/>
  <c r="D1976" i="44"/>
  <c r="B1977" i="44"/>
  <c r="D3096" i="44"/>
  <c r="B3097" i="44"/>
  <c r="D1801" i="44"/>
  <c r="B1802" i="44"/>
  <c r="B1946" i="44"/>
  <c r="D1945" i="44"/>
  <c r="B1870" i="44"/>
  <c r="D1870" i="44" s="1"/>
  <c r="D1869" i="44"/>
  <c r="D2826" i="44"/>
  <c r="B2827" i="44"/>
  <c r="D2890" i="44"/>
  <c r="B2891" i="44"/>
  <c r="D1609" i="44"/>
  <c r="B1610" i="44"/>
  <c r="D2713" i="44"/>
  <c r="B2714" i="44"/>
  <c r="D1929" i="44"/>
  <c r="B1930" i="44"/>
  <c r="B1738" i="44"/>
  <c r="D1737" i="44"/>
  <c r="B2251" i="44"/>
  <c r="D2250" i="44"/>
  <c r="D2985" i="44"/>
  <c r="B2986" i="44"/>
  <c r="B2395" i="44"/>
  <c r="D2394" i="44"/>
  <c r="D2056" i="44"/>
  <c r="B2057" i="44"/>
  <c r="D3000" i="44"/>
  <c r="B3001" i="44"/>
  <c r="D2971" i="44"/>
  <c r="B2972" i="44"/>
  <c r="D2747" i="44"/>
  <c r="B2748" i="44"/>
  <c r="B2797" i="44"/>
  <c r="D2796" i="44"/>
  <c r="B1964" i="44"/>
  <c r="D1963" i="44"/>
  <c r="B1659" i="44"/>
  <c r="D1658" i="44"/>
  <c r="D649" i="44"/>
  <c r="D646" i="44"/>
  <c r="B650" i="44"/>
  <c r="D645" i="44"/>
  <c r="D648" i="44"/>
  <c r="D647" i="44"/>
  <c r="B2521" i="44"/>
  <c r="D2520" i="44"/>
  <c r="B2089" i="44"/>
  <c r="D2088" i="44"/>
  <c r="D3064" i="44"/>
  <c r="B3065" i="44"/>
  <c r="B2490" i="44"/>
  <c r="D2489" i="44"/>
  <c r="D2202" i="44"/>
  <c r="B2203" i="44"/>
  <c r="B1789" i="44"/>
  <c r="D1788" i="44"/>
  <c r="D2730" i="44"/>
  <c r="B2731" i="44"/>
  <c r="B2380" i="44"/>
  <c r="D2379" i="44"/>
  <c r="D2538" i="44"/>
  <c r="B2539" i="44"/>
  <c r="D2009" i="44"/>
  <c r="B2010" i="44"/>
  <c r="B2154" i="44"/>
  <c r="D2153" i="44"/>
  <c r="B2028" i="44"/>
  <c r="D2027" i="44"/>
  <c r="B2765" i="44"/>
  <c r="D2764" i="44"/>
  <c r="D1592" i="44"/>
  <c r="B1593" i="44"/>
  <c r="D2873" i="44"/>
  <c r="B2874" i="44"/>
  <c r="D2698" i="44"/>
  <c r="B2699" i="44"/>
  <c r="B2507" i="44"/>
  <c r="D2506" i="44"/>
  <c r="B2842" i="44"/>
  <c r="D2841" i="44"/>
  <c r="D2426" i="44"/>
  <c r="B2427" i="44"/>
  <c r="D2185" i="44"/>
  <c r="B2186" i="44"/>
  <c r="B2457" i="44"/>
  <c r="D2456" i="44"/>
  <c r="D1816" i="44"/>
  <c r="B1817" i="44"/>
  <c r="D2361" i="44"/>
  <c r="B2362" i="44"/>
  <c r="D2904" i="44"/>
  <c r="B2905" i="44"/>
  <c r="D2137" i="44"/>
  <c r="B2138" i="44"/>
  <c r="B1882" i="44"/>
  <c r="D1881" i="44"/>
  <c r="B2649" i="44"/>
  <c r="D2648" i="44"/>
  <c r="B2348" i="44"/>
  <c r="D2347" i="44"/>
  <c r="D821" i="44"/>
  <c r="D820" i="44"/>
  <c r="B822" i="44"/>
  <c r="D2936" i="44"/>
  <c r="B2937" i="44"/>
  <c r="B1850" i="44"/>
  <c r="D1849" i="44"/>
  <c r="D370" i="44"/>
  <c r="D366" i="44"/>
  <c r="D367" i="44"/>
  <c r="D369" i="44"/>
  <c r="D368" i="44"/>
  <c r="B371" i="44"/>
  <c r="B2266" i="44"/>
  <c r="D2265" i="44"/>
  <c r="B1641" i="44"/>
  <c r="D1640" i="44"/>
  <c r="D2121" i="44"/>
  <c r="B2122" i="44"/>
  <c r="B2588" i="44"/>
  <c r="D2587" i="44"/>
  <c r="B1689" i="44"/>
  <c r="D1688" i="44"/>
  <c r="B1626" i="44"/>
  <c r="D1625" i="44"/>
  <c r="B2075" i="44"/>
  <c r="D2074" i="44"/>
  <c r="D2857" i="44"/>
  <c r="B2858" i="44"/>
  <c r="B2409" i="44"/>
  <c r="D2408" i="44"/>
  <c r="B3050" i="44"/>
  <c r="D3049" i="44"/>
  <c r="B2170" i="44"/>
  <c r="D2169" i="44"/>
  <c r="D2810" i="44"/>
  <c r="B2811" i="44"/>
  <c r="D3081" i="44"/>
  <c r="B3082" i="44"/>
  <c r="D1706" i="44"/>
  <c r="B1707" i="44"/>
  <c r="B1835" i="44"/>
  <c r="D1834" i="44"/>
  <c r="D2553" i="44"/>
  <c r="B2554" i="44"/>
  <c r="D2602" i="44"/>
  <c r="B2603" i="44"/>
  <c r="D2680" i="44"/>
  <c r="B2681" i="44"/>
  <c r="B2218" i="44"/>
  <c r="D2217" i="44"/>
  <c r="D2315" i="44"/>
  <c r="B2316" i="44"/>
  <c r="D586" i="44"/>
  <c r="D587" i="44"/>
  <c r="B588" i="44"/>
  <c r="D3115" i="44"/>
  <c r="B3116" i="44"/>
  <c r="D2956" i="44"/>
  <c r="B2957" i="44"/>
  <c r="B1993" i="44"/>
  <c r="D1992" i="44"/>
  <c r="D1899" i="44"/>
  <c r="B1900" i="44"/>
  <c r="D453" i="44"/>
  <c r="B454" i="44"/>
  <c r="D450" i="44"/>
  <c r="D451" i="44"/>
  <c r="D449" i="44"/>
  <c r="D452" i="44"/>
  <c r="B1917" i="44"/>
  <c r="D1916" i="44"/>
  <c r="D3146" i="44"/>
  <c r="B3147" i="44"/>
  <c r="B2476" i="44"/>
  <c r="D2475" i="44"/>
  <c r="D2444" i="44"/>
  <c r="B2445" i="44"/>
  <c r="D855" i="44"/>
  <c r="D857" i="44"/>
  <c r="D856" i="44"/>
  <c r="B2332" i="44"/>
  <c r="D2331" i="44"/>
  <c r="K52" i="32"/>
  <c r="D95" i="32"/>
  <c r="D387" i="3"/>
  <c r="E118" i="24"/>
  <c r="E93" i="32"/>
  <c r="E183" i="24"/>
  <c r="F427" i="3"/>
  <c r="G427" i="3" s="1"/>
  <c r="F183" i="24" s="1"/>
  <c r="H30" i="32"/>
  <c r="G33" i="32"/>
  <c r="G36" i="32" s="1"/>
  <c r="G37" i="32" s="1"/>
  <c r="E182" i="24"/>
  <c r="F428" i="3"/>
  <c r="G428" i="3" s="1"/>
  <c r="F182" i="24" s="1"/>
  <c r="F114" i="24"/>
  <c r="E384" i="3"/>
  <c r="F89" i="32"/>
  <c r="J11" i="32"/>
  <c r="I13" i="32"/>
  <c r="I15" i="32" s="1"/>
  <c r="I17" i="32" s="1"/>
  <c r="G112" i="24"/>
  <c r="G87" i="32"/>
  <c r="F380" i="3"/>
  <c r="F385" i="3" s="1"/>
  <c r="G378" i="3"/>
  <c r="H88" i="32"/>
  <c r="H379" i="3"/>
  <c r="H113" i="24"/>
  <c r="D525" i="44" l="1"/>
  <c r="D522" i="44"/>
  <c r="D524" i="44"/>
  <c r="D526" i="44"/>
  <c r="B527" i="44"/>
  <c r="D529" i="44" s="1"/>
  <c r="C1074" i="5"/>
  <c r="V809" i="3"/>
  <c r="R104" i="34"/>
  <c r="W807" i="3"/>
  <c r="C1077" i="5" s="1"/>
  <c r="D393" i="3"/>
  <c r="C27" i="5" s="1"/>
  <c r="C20" i="5"/>
  <c r="D101" i="32"/>
  <c r="D127" i="24"/>
  <c r="C114" i="5"/>
  <c r="C128" i="5"/>
  <c r="B1773" i="44"/>
  <c r="D1772" i="44"/>
  <c r="D2666" i="44"/>
  <c r="B2667" i="44"/>
  <c r="B2282" i="44"/>
  <c r="D2281" i="44"/>
  <c r="B2923" i="44"/>
  <c r="D2922" i="44"/>
  <c r="D3018" i="44"/>
  <c r="B3019" i="44"/>
  <c r="A1199" i="5"/>
  <c r="B1200" i="5"/>
  <c r="S1198" i="5"/>
  <c r="M1198" i="5"/>
  <c r="L1198" i="5"/>
  <c r="F1198" i="5"/>
  <c r="H1198" i="5"/>
  <c r="O1198" i="5"/>
  <c r="E1198" i="5"/>
  <c r="G1198" i="5"/>
  <c r="J1198" i="5"/>
  <c r="K1198" i="5"/>
  <c r="T1198" i="5"/>
  <c r="C1198" i="5"/>
  <c r="R1198" i="5"/>
  <c r="D1198" i="5"/>
  <c r="Q1198" i="5"/>
  <c r="N1198" i="5"/>
  <c r="P1198" i="5"/>
  <c r="I1198" i="5"/>
  <c r="G94" i="32"/>
  <c r="G119" i="24"/>
  <c r="D1721" i="44"/>
  <c r="B1722" i="44"/>
  <c r="D2633" i="44"/>
  <c r="B2634" i="44"/>
  <c r="D2044" i="44"/>
  <c r="B2045" i="44"/>
  <c r="B3131" i="44"/>
  <c r="D3130" i="44"/>
  <c r="B3036" i="44"/>
  <c r="D3035" i="44"/>
  <c r="D1802" i="44"/>
  <c r="B1803" i="44"/>
  <c r="B3098" i="44"/>
  <c r="D3097" i="44"/>
  <c r="B1978" i="44"/>
  <c r="D1977" i="44"/>
  <c r="D2297" i="44"/>
  <c r="B2298" i="44"/>
  <c r="B3162" i="44"/>
  <c r="D3161" i="44"/>
  <c r="D2777" i="44"/>
  <c r="B2778" i="44"/>
  <c r="D2106" i="44"/>
  <c r="B2107" i="44"/>
  <c r="B2619" i="44"/>
  <c r="D2618" i="44"/>
  <c r="B2574" i="44"/>
  <c r="D2574" i="44" s="1"/>
  <c r="D2573" i="44"/>
  <c r="B2235" i="44"/>
  <c r="D2234" i="44"/>
  <c r="B1947" i="44"/>
  <c r="D1946" i="44"/>
  <c r="D2827" i="44"/>
  <c r="B2828" i="44"/>
  <c r="D1610" i="44"/>
  <c r="B1611" i="44"/>
  <c r="D2891" i="44"/>
  <c r="B2892" i="44"/>
  <c r="D2251" i="44"/>
  <c r="B2252" i="44"/>
  <c r="D1738" i="44"/>
  <c r="B1739" i="44"/>
  <c r="B2987" i="44"/>
  <c r="D2986" i="44"/>
  <c r="D1930" i="44"/>
  <c r="B1931" i="44"/>
  <c r="B2715" i="44"/>
  <c r="D2714" i="44"/>
  <c r="D3065" i="44"/>
  <c r="B3066" i="44"/>
  <c r="D2748" i="44"/>
  <c r="B2749" i="44"/>
  <c r="D2972" i="44"/>
  <c r="B2973" i="44"/>
  <c r="B3002" i="44"/>
  <c r="D3001" i="44"/>
  <c r="B2058" i="44"/>
  <c r="D2057" i="44"/>
  <c r="D2490" i="44"/>
  <c r="B2491" i="44"/>
  <c r="D2089" i="44"/>
  <c r="B2090" i="44"/>
  <c r="D2521" i="44"/>
  <c r="B2522" i="44"/>
  <c r="B655" i="44"/>
  <c r="D654" i="44"/>
  <c r="D651" i="44"/>
  <c r="D650" i="44"/>
  <c r="D652" i="44"/>
  <c r="D653" i="44"/>
  <c r="B1660" i="44"/>
  <c r="D1659" i="44"/>
  <c r="B532" i="44"/>
  <c r="D530" i="44"/>
  <c r="D528" i="44"/>
  <c r="B1965" i="44"/>
  <c r="D1964" i="44"/>
  <c r="B2798" i="44"/>
  <c r="D2798" i="44" s="1"/>
  <c r="D2797" i="44"/>
  <c r="D2395" i="44"/>
  <c r="B2396" i="44"/>
  <c r="D2203" i="44"/>
  <c r="B2204" i="44"/>
  <c r="D1789" i="44"/>
  <c r="B1790" i="44"/>
  <c r="D1790" i="44" s="1"/>
  <c r="B2958" i="44"/>
  <c r="D2958" i="44" s="1"/>
  <c r="D2957" i="44"/>
  <c r="D3116" i="44"/>
  <c r="B3117" i="44"/>
  <c r="D588" i="44"/>
  <c r="D589" i="44"/>
  <c r="D590" i="44"/>
  <c r="B591" i="44"/>
  <c r="D2218" i="44"/>
  <c r="B2219" i="44"/>
  <c r="D1835" i="44"/>
  <c r="B1836" i="44"/>
  <c r="B2171" i="44"/>
  <c r="D2170" i="44"/>
  <c r="D3050" i="44"/>
  <c r="B3051" i="44"/>
  <c r="D2409" i="44"/>
  <c r="B2410" i="44"/>
  <c r="B2076" i="44"/>
  <c r="D2075" i="44"/>
  <c r="B1627" i="44"/>
  <c r="D1626" i="44"/>
  <c r="D1689" i="44"/>
  <c r="B1690" i="44"/>
  <c r="D2588" i="44"/>
  <c r="B2589" i="44"/>
  <c r="D1641" i="44"/>
  <c r="B1642" i="44"/>
  <c r="B2267" i="44"/>
  <c r="D2266" i="44"/>
  <c r="B1851" i="44"/>
  <c r="D1850" i="44"/>
  <c r="D2138" i="44"/>
  <c r="B2139" i="44"/>
  <c r="D2905" i="44"/>
  <c r="B2906" i="44"/>
  <c r="D2362" i="44"/>
  <c r="B2363" i="44"/>
  <c r="D1817" i="44"/>
  <c r="B1818" i="44"/>
  <c r="D2186" i="44"/>
  <c r="B2187" i="44"/>
  <c r="B2428" i="44"/>
  <c r="D2427" i="44"/>
  <c r="B2700" i="44"/>
  <c r="D2699" i="44"/>
  <c r="B2875" i="44"/>
  <c r="D2874" i="44"/>
  <c r="B1594" i="44"/>
  <c r="D1593" i="44"/>
  <c r="D2010" i="44"/>
  <c r="B2011" i="44"/>
  <c r="B2540" i="44"/>
  <c r="D2539" i="44"/>
  <c r="B2732" i="44"/>
  <c r="D2731" i="44"/>
  <c r="B1994" i="44"/>
  <c r="D1993" i="44"/>
  <c r="D2316" i="44"/>
  <c r="B2317" i="44"/>
  <c r="B2682" i="44"/>
  <c r="D2681" i="44"/>
  <c r="D2603" i="44"/>
  <c r="B2604" i="44"/>
  <c r="B2555" i="44"/>
  <c r="D2554" i="44"/>
  <c r="D1707" i="44"/>
  <c r="B1708" i="44"/>
  <c r="B3083" i="44"/>
  <c r="D3082" i="44"/>
  <c r="B2812" i="44"/>
  <c r="D2811" i="44"/>
  <c r="D2858" i="44"/>
  <c r="B2859" i="44"/>
  <c r="B2123" i="44"/>
  <c r="D2122" i="44"/>
  <c r="D371" i="44"/>
  <c r="B377" i="44"/>
  <c r="D376" i="44"/>
  <c r="D372" i="44"/>
  <c r="D375" i="44"/>
  <c r="D373" i="44"/>
  <c r="D374" i="44"/>
  <c r="B2938" i="44"/>
  <c r="D2937" i="44"/>
  <c r="D822" i="44"/>
  <c r="D823" i="44"/>
  <c r="B824" i="44"/>
  <c r="D2348" i="44"/>
  <c r="B2349" i="44"/>
  <c r="D2649" i="44"/>
  <c r="B2650" i="44"/>
  <c r="B1883" i="44"/>
  <c r="D1882" i="44"/>
  <c r="B2458" i="44"/>
  <c r="D2457" i="44"/>
  <c r="D2842" i="44"/>
  <c r="B2843" i="44"/>
  <c r="B2508" i="44"/>
  <c r="D2507" i="44"/>
  <c r="D2765" i="44"/>
  <c r="B2766" i="44"/>
  <c r="D2766" i="44" s="1"/>
  <c r="B2029" i="44"/>
  <c r="D2028" i="44"/>
  <c r="D2154" i="44"/>
  <c r="B2155" i="44"/>
  <c r="D2380" i="44"/>
  <c r="B2381" i="44"/>
  <c r="B2333" i="44"/>
  <c r="D2332" i="44"/>
  <c r="D2445" i="44"/>
  <c r="B2446" i="44"/>
  <c r="D2446" i="44" s="1"/>
  <c r="D1917" i="44"/>
  <c r="B1918" i="44"/>
  <c r="D1918" i="44" s="1"/>
  <c r="B2477" i="44"/>
  <c r="D2476" i="44"/>
  <c r="B3148" i="44"/>
  <c r="D3147" i="44"/>
  <c r="D458" i="44"/>
  <c r="D459" i="44"/>
  <c r="D456" i="44"/>
  <c r="D457" i="44"/>
  <c r="D455" i="44"/>
  <c r="D454" i="44"/>
  <c r="B460" i="44"/>
  <c r="B1901" i="44"/>
  <c r="D1900" i="44"/>
  <c r="H112" i="24"/>
  <c r="H378" i="3"/>
  <c r="H87" i="32"/>
  <c r="G380" i="3"/>
  <c r="G385" i="3" s="1"/>
  <c r="E387" i="3"/>
  <c r="F93" i="32"/>
  <c r="F118" i="24"/>
  <c r="E95" i="32"/>
  <c r="E121" i="24"/>
  <c r="B445" i="3"/>
  <c r="D185" i="24"/>
  <c r="C445" i="3"/>
  <c r="D445" i="3" s="1"/>
  <c r="G114" i="24"/>
  <c r="G89" i="32"/>
  <c r="F384" i="3"/>
  <c r="I113" i="24"/>
  <c r="I379" i="3"/>
  <c r="I88" i="32"/>
  <c r="K11" i="32"/>
  <c r="J13" i="32"/>
  <c r="J15" i="32" s="1"/>
  <c r="J17" i="32" s="1"/>
  <c r="I30" i="32"/>
  <c r="H33" i="32"/>
  <c r="H36" i="32" s="1"/>
  <c r="H37" i="32" s="1"/>
  <c r="D531" i="44" l="1"/>
  <c r="D527" i="44"/>
  <c r="E127" i="24"/>
  <c r="E101" i="32"/>
  <c r="E393" i="3"/>
  <c r="C34" i="5" s="1"/>
  <c r="C115" i="5"/>
  <c r="C129" i="5"/>
  <c r="B1774" i="44"/>
  <c r="D1774" i="44" s="1"/>
  <c r="D1773" i="44"/>
  <c r="D2667" i="44"/>
  <c r="B2668" i="44"/>
  <c r="D2282" i="44"/>
  <c r="B2283" i="44"/>
  <c r="D2923" i="44"/>
  <c r="B2924" i="44"/>
  <c r="C447" i="3"/>
  <c r="G62" i="25"/>
  <c r="B3020" i="44"/>
  <c r="D3019" i="44"/>
  <c r="A1200" i="5"/>
  <c r="B1201" i="5"/>
  <c r="C1199" i="5"/>
  <c r="S1199" i="5"/>
  <c r="N1199" i="5"/>
  <c r="F1199" i="5"/>
  <c r="J1199" i="5"/>
  <c r="T1199" i="5"/>
  <c r="P1199" i="5"/>
  <c r="I1199" i="5"/>
  <c r="O1199" i="5"/>
  <c r="K1199" i="5"/>
  <c r="Q1199" i="5"/>
  <c r="L1199" i="5"/>
  <c r="D1199" i="5"/>
  <c r="G1199" i="5"/>
  <c r="R1199" i="5"/>
  <c r="H1199" i="5"/>
  <c r="E1199" i="5"/>
  <c r="M1199" i="5"/>
  <c r="H94" i="32"/>
  <c r="H119" i="24"/>
  <c r="D1722" i="44"/>
  <c r="B1723" i="44"/>
  <c r="B2635" i="44"/>
  <c r="D2634" i="44"/>
  <c r="B2046" i="44"/>
  <c r="D2046" i="44" s="1"/>
  <c r="D2045" i="44"/>
  <c r="B3132" i="44"/>
  <c r="D3131" i="44"/>
  <c r="B3037" i="44"/>
  <c r="D3036" i="44"/>
  <c r="B2108" i="44"/>
  <c r="D2107" i="44"/>
  <c r="B2779" i="44"/>
  <c r="D2778" i="44"/>
  <c r="B2299" i="44"/>
  <c r="D2298" i="44"/>
  <c r="B1804" i="44"/>
  <c r="D1803" i="44"/>
  <c r="D2235" i="44"/>
  <c r="B2236" i="44"/>
  <c r="D2619" i="44"/>
  <c r="B2620" i="44"/>
  <c r="B3163" i="44"/>
  <c r="D3162" i="44"/>
  <c r="B1979" i="44"/>
  <c r="D1978" i="44"/>
  <c r="B3099" i="44"/>
  <c r="D3098" i="44"/>
  <c r="D1947" i="44"/>
  <c r="B1948" i="44"/>
  <c r="D2828" i="44"/>
  <c r="B2829" i="44"/>
  <c r="B2893" i="44"/>
  <c r="D2892" i="44"/>
  <c r="D1611" i="44"/>
  <c r="B1612" i="44"/>
  <c r="D1931" i="44"/>
  <c r="B1932" i="44"/>
  <c r="B1740" i="44"/>
  <c r="D1739" i="44"/>
  <c r="B2253" i="44"/>
  <c r="D2252" i="44"/>
  <c r="B2716" i="44"/>
  <c r="D2715" i="44"/>
  <c r="B2988" i="44"/>
  <c r="D2987" i="44"/>
  <c r="D2396" i="44"/>
  <c r="B2397" i="44"/>
  <c r="B2523" i="44"/>
  <c r="D2522" i="44"/>
  <c r="B2091" i="44"/>
  <c r="D2090" i="44"/>
  <c r="B2492" i="44"/>
  <c r="D2491" i="44"/>
  <c r="D2973" i="44"/>
  <c r="B2974" i="44"/>
  <c r="D2974" i="44" s="1"/>
  <c r="B2750" i="44"/>
  <c r="D2750" i="44" s="1"/>
  <c r="D2749" i="44"/>
  <c r="D3066" i="44"/>
  <c r="B3067" i="44"/>
  <c r="B1966" i="44"/>
  <c r="D1966" i="44" s="1"/>
  <c r="D1965" i="44"/>
  <c r="D532" i="44"/>
  <c r="D536" i="44"/>
  <c r="B537" i="44"/>
  <c r="B542" i="44" s="1"/>
  <c r="D535" i="44"/>
  <c r="D533" i="44"/>
  <c r="D534" i="44"/>
  <c r="D1660" i="44"/>
  <c r="B1661" i="44"/>
  <c r="D657" i="44"/>
  <c r="D656" i="44"/>
  <c r="D659" i="44"/>
  <c r="D658" i="44"/>
  <c r="D655" i="44"/>
  <c r="B660" i="44"/>
  <c r="B2059" i="44"/>
  <c r="D2058" i="44"/>
  <c r="D3002" i="44"/>
  <c r="B3003" i="44"/>
  <c r="D2204" i="44"/>
  <c r="B2205" i="44"/>
  <c r="B2382" i="44"/>
  <c r="D2382" i="44" s="1"/>
  <c r="D2381" i="44"/>
  <c r="D2155" i="44"/>
  <c r="B2156" i="44"/>
  <c r="D2843" i="44"/>
  <c r="B2844" i="44"/>
  <c r="B2651" i="44"/>
  <c r="D2650" i="44"/>
  <c r="D2349" i="44"/>
  <c r="B2350" i="44"/>
  <c r="D2350" i="44" s="1"/>
  <c r="B827" i="44"/>
  <c r="D826" i="44"/>
  <c r="D824" i="44"/>
  <c r="D825" i="44"/>
  <c r="B2939" i="44"/>
  <c r="D2938" i="44"/>
  <c r="D381" i="44"/>
  <c r="D378" i="44"/>
  <c r="D377" i="44"/>
  <c r="D380" i="44"/>
  <c r="D379" i="44"/>
  <c r="D382" i="44"/>
  <c r="B383" i="44"/>
  <c r="D2859" i="44"/>
  <c r="B2860" i="44"/>
  <c r="D1708" i="44"/>
  <c r="B1709" i="44"/>
  <c r="D2604" i="44"/>
  <c r="B2605" i="44"/>
  <c r="B2318" i="44"/>
  <c r="D2318" i="44" s="1"/>
  <c r="D2317" i="44"/>
  <c r="D2011" i="44"/>
  <c r="B2012" i="44"/>
  <c r="D2187" i="44"/>
  <c r="B2188" i="44"/>
  <c r="B1819" i="44"/>
  <c r="D1818" i="44"/>
  <c r="B2364" i="44"/>
  <c r="D2363" i="44"/>
  <c r="B2907" i="44"/>
  <c r="D2906" i="44"/>
  <c r="D2139" i="44"/>
  <c r="B2140" i="44"/>
  <c r="B1643" i="44"/>
  <c r="D1642" i="44"/>
  <c r="D2589" i="44"/>
  <c r="B2590" i="44"/>
  <c r="D2590" i="44" s="1"/>
  <c r="D1690" i="44"/>
  <c r="B1691" i="44"/>
  <c r="B2411" i="44"/>
  <c r="D2410" i="44"/>
  <c r="B3052" i="44"/>
  <c r="D3051" i="44"/>
  <c r="D1836" i="44"/>
  <c r="B1837" i="44"/>
  <c r="B2220" i="44"/>
  <c r="D2219" i="44"/>
  <c r="D593" i="44"/>
  <c r="B594" i="44"/>
  <c r="D591" i="44"/>
  <c r="D592" i="44"/>
  <c r="B3118" i="44"/>
  <c r="D3118" i="44" s="1"/>
  <c r="D3117" i="44"/>
  <c r="B2030" i="44"/>
  <c r="D2030" i="44" s="1"/>
  <c r="D2029" i="44"/>
  <c r="D2508" i="44"/>
  <c r="B2509" i="44"/>
  <c r="D2458" i="44"/>
  <c r="B2459" i="44"/>
  <c r="D1883" i="44"/>
  <c r="B1884" i="44"/>
  <c r="D2123" i="44"/>
  <c r="B2124" i="44"/>
  <c r="D2812" i="44"/>
  <c r="B2813" i="44"/>
  <c r="B3084" i="44"/>
  <c r="D3083" i="44"/>
  <c r="D2555" i="44"/>
  <c r="B2556" i="44"/>
  <c r="B2683" i="44"/>
  <c r="D2682" i="44"/>
  <c r="D1994" i="44"/>
  <c r="B1995" i="44"/>
  <c r="B2733" i="44"/>
  <c r="D2732" i="44"/>
  <c r="B2541" i="44"/>
  <c r="D2540" i="44"/>
  <c r="D1594" i="44"/>
  <c r="B1595" i="44"/>
  <c r="D2875" i="44"/>
  <c r="B2876" i="44"/>
  <c r="B2701" i="44"/>
  <c r="D2700" i="44"/>
  <c r="B2429" i="44"/>
  <c r="D2428" i="44"/>
  <c r="D1851" i="44"/>
  <c r="B1852" i="44"/>
  <c r="D2267" i="44"/>
  <c r="B2268" i="44"/>
  <c r="D1627" i="44"/>
  <c r="B1628" i="44"/>
  <c r="B2077" i="44"/>
  <c r="D2076" i="44"/>
  <c r="D2171" i="44"/>
  <c r="B2172" i="44"/>
  <c r="B1902" i="44"/>
  <c r="D1902" i="44" s="1"/>
  <c r="D1901" i="44"/>
  <c r="D460" i="44"/>
  <c r="D461" i="44"/>
  <c r="D464" i="44"/>
  <c r="D463" i="44"/>
  <c r="D465" i="44"/>
  <c r="D462" i="44"/>
  <c r="B466" i="44"/>
  <c r="B3149" i="44"/>
  <c r="D3148" i="44"/>
  <c r="D2477" i="44"/>
  <c r="B2478" i="44"/>
  <c r="D2478" i="44" s="1"/>
  <c r="B2334" i="44"/>
  <c r="D2334" i="44" s="1"/>
  <c r="D2333" i="44"/>
  <c r="G118" i="24"/>
  <c r="F387" i="3"/>
  <c r="G93" i="32"/>
  <c r="J30" i="32"/>
  <c r="I33" i="32"/>
  <c r="I36" i="32" s="1"/>
  <c r="I37" i="32" s="1"/>
  <c r="J88" i="32"/>
  <c r="J379" i="3"/>
  <c r="J113" i="24"/>
  <c r="I87" i="32"/>
  <c r="H380" i="3"/>
  <c r="H385" i="3" s="1"/>
  <c r="I112" i="24"/>
  <c r="I378" i="3"/>
  <c r="B447" i="3"/>
  <c r="B568" i="3" s="1"/>
  <c r="C568" i="3" s="1"/>
  <c r="F62" i="25"/>
  <c r="F95" i="32"/>
  <c r="F121" i="24"/>
  <c r="K13" i="32"/>
  <c r="K15" i="32" s="1"/>
  <c r="K17" i="32" s="1"/>
  <c r="L11" i="32"/>
  <c r="H114" i="24"/>
  <c r="H89" i="32"/>
  <c r="G384" i="3"/>
  <c r="C546" i="44"/>
  <c r="C544" i="44"/>
  <c r="C545" i="44"/>
  <c r="C542" i="44"/>
  <c r="C543" i="44"/>
  <c r="B570" i="3" l="1"/>
  <c r="C570" i="3" s="1"/>
  <c r="D447" i="3"/>
  <c r="D545" i="44"/>
  <c r="F545" i="44" s="1"/>
  <c r="D544" i="44"/>
  <c r="F544" i="44" s="1"/>
  <c r="D546" i="44"/>
  <c r="F546" i="44" s="1"/>
  <c r="D543" i="44"/>
  <c r="F543" i="44" s="1"/>
  <c r="B547" i="44"/>
  <c r="D542" i="44"/>
  <c r="F542" i="44" s="1"/>
  <c r="F127" i="24"/>
  <c r="F101" i="32"/>
  <c r="F393" i="3"/>
  <c r="C41" i="5" s="1"/>
  <c r="C116" i="5"/>
  <c r="C130" i="5"/>
  <c r="B2669" i="44"/>
  <c r="D2668" i="44"/>
  <c r="B2284" i="44"/>
  <c r="D2283" i="44"/>
  <c r="D2924" i="44"/>
  <c r="B2925" i="44"/>
  <c r="D3020" i="44"/>
  <c r="B3021" i="44"/>
  <c r="A1201" i="5"/>
  <c r="B1202" i="5"/>
  <c r="N1200" i="5"/>
  <c r="D1200" i="5"/>
  <c r="R1200" i="5"/>
  <c r="O1200" i="5"/>
  <c r="K1200" i="5"/>
  <c r="Q1200" i="5"/>
  <c r="C1200" i="5"/>
  <c r="M1200" i="5"/>
  <c r="L1200" i="5"/>
  <c r="J1200" i="5"/>
  <c r="P1200" i="5"/>
  <c r="S1200" i="5"/>
  <c r="H1200" i="5"/>
  <c r="I1200" i="5"/>
  <c r="G1200" i="5"/>
  <c r="T1200" i="5"/>
  <c r="F1200" i="5"/>
  <c r="E1200" i="5"/>
  <c r="I94" i="32"/>
  <c r="I119" i="24"/>
  <c r="B1724" i="44"/>
  <c r="D1723" i="44"/>
  <c r="D2635" i="44"/>
  <c r="B2636" i="44"/>
  <c r="D3132" i="44"/>
  <c r="B3133" i="44"/>
  <c r="D3037" i="44"/>
  <c r="B3038" i="44"/>
  <c r="D3038" i="44" s="1"/>
  <c r="B2621" i="44"/>
  <c r="D2620" i="44"/>
  <c r="B2237" i="44"/>
  <c r="D2236" i="44"/>
  <c r="D3099" i="44"/>
  <c r="B3100" i="44"/>
  <c r="B1980" i="44"/>
  <c r="D1979" i="44"/>
  <c r="D3163" i="44"/>
  <c r="B3164" i="44"/>
  <c r="D1804" i="44"/>
  <c r="B1805" i="44"/>
  <c r="B2300" i="44"/>
  <c r="D2299" i="44"/>
  <c r="D2779" i="44"/>
  <c r="B2780" i="44"/>
  <c r="D2108" i="44"/>
  <c r="B2109" i="44"/>
  <c r="D1948" i="44"/>
  <c r="B1949" i="44"/>
  <c r="B2830" i="44"/>
  <c r="D2830" i="44" s="1"/>
  <c r="D2829" i="44"/>
  <c r="B1613" i="44"/>
  <c r="D1612" i="44"/>
  <c r="B2894" i="44"/>
  <c r="D2894" i="44" s="1"/>
  <c r="D2893" i="44"/>
  <c r="B1933" i="44"/>
  <c r="D1932" i="44"/>
  <c r="B2989" i="44"/>
  <c r="D2988" i="44"/>
  <c r="D2716" i="44"/>
  <c r="B2717" i="44"/>
  <c r="B2254" i="44"/>
  <c r="D2254" i="44" s="1"/>
  <c r="D2253" i="44"/>
  <c r="D1740" i="44"/>
  <c r="B1741" i="44"/>
  <c r="B3004" i="44"/>
  <c r="D3003" i="44"/>
  <c r="D664" i="44"/>
  <c r="D665" i="44"/>
  <c r="D661" i="44"/>
  <c r="D663" i="44"/>
  <c r="D662" i="44"/>
  <c r="B666" i="44"/>
  <c r="D660" i="44"/>
  <c r="D1661" i="44"/>
  <c r="B1662" i="44"/>
  <c r="D1662" i="44" s="1"/>
  <c r="D3067" i="44"/>
  <c r="B3068" i="44"/>
  <c r="D2397" i="44"/>
  <c r="B2398" i="44"/>
  <c r="D2398" i="44" s="1"/>
  <c r="D2059" i="44"/>
  <c r="B2060" i="44"/>
  <c r="D538" i="44"/>
  <c r="D539" i="44"/>
  <c r="D537" i="44"/>
  <c r="D540" i="44"/>
  <c r="D541" i="44"/>
  <c r="D2492" i="44"/>
  <c r="B2493" i="44"/>
  <c r="D2091" i="44"/>
  <c r="B2092" i="44"/>
  <c r="B2524" i="44"/>
  <c r="D2523" i="44"/>
  <c r="B2206" i="44"/>
  <c r="D2206" i="44" s="1"/>
  <c r="D2205" i="44"/>
  <c r="B2078" i="44"/>
  <c r="D2078" i="44" s="1"/>
  <c r="D2077" i="44"/>
  <c r="B2430" i="44"/>
  <c r="D2430" i="44" s="1"/>
  <c r="D2429" i="44"/>
  <c r="B2702" i="44"/>
  <c r="D2702" i="44" s="1"/>
  <c r="D2701" i="44"/>
  <c r="B2542" i="44"/>
  <c r="D2542" i="44" s="1"/>
  <c r="D2541" i="44"/>
  <c r="B2734" i="44"/>
  <c r="D2734" i="44" s="1"/>
  <c r="D2733" i="44"/>
  <c r="B2684" i="44"/>
  <c r="D2683" i="44"/>
  <c r="D3084" i="44"/>
  <c r="B3085" i="44"/>
  <c r="B2221" i="44"/>
  <c r="D2220" i="44"/>
  <c r="D3052" i="44"/>
  <c r="B3053" i="44"/>
  <c r="B2412" i="44"/>
  <c r="D2411" i="44"/>
  <c r="B1644" i="44"/>
  <c r="D1643" i="44"/>
  <c r="B2908" i="44"/>
  <c r="D2907" i="44"/>
  <c r="D2364" i="44"/>
  <c r="B2365" i="44"/>
  <c r="D1819" i="44"/>
  <c r="B1820" i="44"/>
  <c r="D2844" i="44"/>
  <c r="B2845" i="44"/>
  <c r="D2156" i="44"/>
  <c r="B2157" i="44"/>
  <c r="B2173" i="44"/>
  <c r="D2172" i="44"/>
  <c r="D1628" i="44"/>
  <c r="B1629" i="44"/>
  <c r="D2268" i="44"/>
  <c r="B2269" i="44"/>
  <c r="B1853" i="44"/>
  <c r="D1852" i="44"/>
  <c r="B2877" i="44"/>
  <c r="D2876" i="44"/>
  <c r="D1595" i="44"/>
  <c r="B1596" i="44"/>
  <c r="B1996" i="44"/>
  <c r="D1995" i="44"/>
  <c r="B2557" i="44"/>
  <c r="D2556" i="44"/>
  <c r="B2814" i="44"/>
  <c r="D2814" i="44" s="1"/>
  <c r="D2813" i="44"/>
  <c r="D2124" i="44"/>
  <c r="B2125" i="44"/>
  <c r="D1884" i="44"/>
  <c r="B1885" i="44"/>
  <c r="D2459" i="44"/>
  <c r="B2460" i="44"/>
  <c r="D2509" i="44"/>
  <c r="B2510" i="44"/>
  <c r="D2510" i="44" s="1"/>
  <c r="D595" i="44"/>
  <c r="D594" i="44"/>
  <c r="D596" i="44"/>
  <c r="B1838" i="44"/>
  <c r="D1838" i="44" s="1"/>
  <c r="D1837" i="44"/>
  <c r="D1691" i="44"/>
  <c r="B1692" i="44"/>
  <c r="D2140" i="44"/>
  <c r="B2141" i="44"/>
  <c r="B2189" i="44"/>
  <c r="D2188" i="44"/>
  <c r="D2012" i="44"/>
  <c r="B2013" i="44"/>
  <c r="B2606" i="44"/>
  <c r="D2606" i="44" s="1"/>
  <c r="D2605" i="44"/>
  <c r="D1709" i="44"/>
  <c r="B1710" i="44"/>
  <c r="D1710" i="44" s="1"/>
  <c r="B2861" i="44"/>
  <c r="D2860" i="44"/>
  <c r="D386" i="44"/>
  <c r="D385" i="44"/>
  <c r="D383" i="44"/>
  <c r="D388" i="44"/>
  <c r="D387" i="44"/>
  <c r="D384" i="44"/>
  <c r="D2939" i="44"/>
  <c r="B2940" i="44"/>
  <c r="D827" i="44"/>
  <c r="D828" i="44"/>
  <c r="D829" i="44"/>
  <c r="B830" i="44"/>
  <c r="D2651" i="44"/>
  <c r="B2652" i="44"/>
  <c r="D469" i="44"/>
  <c r="D468" i="44"/>
  <c r="D471" i="44"/>
  <c r="D466" i="44"/>
  <c r="D467" i="44"/>
  <c r="D470" i="44"/>
  <c r="D3149" i="44"/>
  <c r="B3150" i="44"/>
  <c r="D3150" i="44" s="1"/>
  <c r="G387" i="3"/>
  <c r="H93" i="32"/>
  <c r="H118" i="24"/>
  <c r="L13" i="32"/>
  <c r="L15" i="32" s="1"/>
  <c r="L17" i="32" s="1"/>
  <c r="C20" i="32"/>
  <c r="B456" i="3"/>
  <c r="F64" i="25"/>
  <c r="B518" i="3"/>
  <c r="C518" i="3" s="1"/>
  <c r="I114" i="24"/>
  <c r="I89" i="32"/>
  <c r="H384" i="3"/>
  <c r="C131" i="24"/>
  <c r="C105" i="32"/>
  <c r="K379" i="3"/>
  <c r="J378" i="3"/>
  <c r="C104" i="32" s="1"/>
  <c r="J112" i="24"/>
  <c r="I380" i="3"/>
  <c r="I385" i="3" s="1"/>
  <c r="J87" i="32"/>
  <c r="G95" i="32"/>
  <c r="G121" i="24"/>
  <c r="J33" i="32"/>
  <c r="J36" i="32" s="1"/>
  <c r="J37" i="32" s="1"/>
  <c r="K30" i="32"/>
  <c r="E546" i="44"/>
  <c r="E543" i="44"/>
  <c r="E545" i="44"/>
  <c r="E544" i="44"/>
  <c r="E542" i="44"/>
  <c r="G64" i="25" l="1"/>
  <c r="B572" i="3"/>
  <c r="C572" i="3" s="1"/>
  <c r="G101" i="32"/>
  <c r="G127" i="24"/>
  <c r="G393" i="3"/>
  <c r="H101" i="32" s="1"/>
  <c r="C117" i="5"/>
  <c r="C131" i="5"/>
  <c r="D2669" i="44"/>
  <c r="B2670" i="44"/>
  <c r="D2670" i="44" s="1"/>
  <c r="B2285" i="44"/>
  <c r="D2284" i="44"/>
  <c r="D2925" i="44"/>
  <c r="B2926" i="44"/>
  <c r="D2926" i="44" s="1"/>
  <c r="B520" i="3"/>
  <c r="C520" i="3" s="1"/>
  <c r="D3021" i="44"/>
  <c r="B3022" i="44"/>
  <c r="D3022" i="44" s="1"/>
  <c r="A1202" i="5"/>
  <c r="B1203" i="5"/>
  <c r="O1201" i="5"/>
  <c r="T1201" i="5"/>
  <c r="G1201" i="5"/>
  <c r="K1201" i="5"/>
  <c r="L1201" i="5"/>
  <c r="I1201" i="5"/>
  <c r="H1201" i="5"/>
  <c r="E1201" i="5"/>
  <c r="P1201" i="5"/>
  <c r="J1201" i="5"/>
  <c r="N1201" i="5"/>
  <c r="M1201" i="5"/>
  <c r="C1201" i="5"/>
  <c r="D1201" i="5"/>
  <c r="Q1201" i="5"/>
  <c r="R1201" i="5"/>
  <c r="S1201" i="5"/>
  <c r="F1201" i="5"/>
  <c r="J119" i="24"/>
  <c r="J94" i="32"/>
  <c r="D1724" i="44"/>
  <c r="B1725" i="44"/>
  <c r="D2636" i="44"/>
  <c r="B2637" i="44"/>
  <c r="D3133" i="44"/>
  <c r="B3134" i="44"/>
  <c r="D3134" i="44" s="1"/>
  <c r="D2109" i="44"/>
  <c r="B2110" i="44"/>
  <c r="D2110" i="44" s="1"/>
  <c r="B2781" i="44"/>
  <c r="D2780" i="44"/>
  <c r="B1806" i="44"/>
  <c r="D1806" i="44" s="1"/>
  <c r="D1805" i="44"/>
  <c r="D3164" i="44"/>
  <c r="B3165" i="44"/>
  <c r="B3101" i="44"/>
  <c r="D3100" i="44"/>
  <c r="D2300" i="44"/>
  <c r="B2301" i="44"/>
  <c r="D1980" i="44"/>
  <c r="B1981" i="44"/>
  <c r="D2237" i="44"/>
  <c r="B2238" i="44"/>
  <c r="D2238" i="44" s="1"/>
  <c r="B2622" i="44"/>
  <c r="D2622" i="44" s="1"/>
  <c r="D2621" i="44"/>
  <c r="D1949" i="44"/>
  <c r="B1950" i="44"/>
  <c r="D1950" i="44" s="1"/>
  <c r="B1614" i="44"/>
  <c r="D1614" i="44" s="1"/>
  <c r="D1613" i="44"/>
  <c r="B1742" i="44"/>
  <c r="D1742" i="44" s="1"/>
  <c r="D1741" i="44"/>
  <c r="B2718" i="44"/>
  <c r="D2718" i="44" s="1"/>
  <c r="D2717" i="44"/>
  <c r="B2990" i="44"/>
  <c r="D2990" i="44" s="1"/>
  <c r="D2989" i="44"/>
  <c r="B1934" i="44"/>
  <c r="D1934" i="44" s="1"/>
  <c r="D1933" i="44"/>
  <c r="D2524" i="44"/>
  <c r="B2525" i="44"/>
  <c r="B672" i="44"/>
  <c r="D668" i="44"/>
  <c r="D669" i="44"/>
  <c r="D666" i="44"/>
  <c r="D671" i="44"/>
  <c r="D670" i="44"/>
  <c r="D667" i="44"/>
  <c r="D2092" i="44"/>
  <c r="B2093" i="44"/>
  <c r="D2493" i="44"/>
  <c r="B2494" i="44"/>
  <c r="D2494" i="44" s="1"/>
  <c r="B553" i="44"/>
  <c r="D551" i="44"/>
  <c r="D552" i="44"/>
  <c r="D549" i="44"/>
  <c r="D547" i="44"/>
  <c r="D548" i="44"/>
  <c r="D550" i="44"/>
  <c r="D2060" i="44"/>
  <c r="B2061" i="44"/>
  <c r="B3069" i="44"/>
  <c r="D3068" i="44"/>
  <c r="B3005" i="44"/>
  <c r="D3004" i="44"/>
  <c r="B2461" i="44"/>
  <c r="D2460" i="44"/>
  <c r="B2126" i="44"/>
  <c r="D2126" i="44" s="1"/>
  <c r="D2125" i="44"/>
  <c r="D2269" i="44"/>
  <c r="B2270" i="44"/>
  <c r="D2270" i="44" s="1"/>
  <c r="B1630" i="44"/>
  <c r="D1630" i="44" s="1"/>
  <c r="D1629" i="44"/>
  <c r="D2157" i="44"/>
  <c r="B2158" i="44"/>
  <c r="D2158" i="44" s="1"/>
  <c r="B1821" i="44"/>
  <c r="D1820" i="44"/>
  <c r="B2366" i="44"/>
  <c r="D2366" i="44" s="1"/>
  <c r="D2365" i="44"/>
  <c r="B3086" i="44"/>
  <c r="D3086" i="44" s="1"/>
  <c r="D3085" i="44"/>
  <c r="D2861" i="44"/>
  <c r="B2862" i="44"/>
  <c r="D2862" i="44" s="1"/>
  <c r="D2189" i="44"/>
  <c r="B2190" i="44"/>
  <c r="D2190" i="44" s="1"/>
  <c r="B1886" i="44"/>
  <c r="D1886" i="44" s="1"/>
  <c r="D1885" i="44"/>
  <c r="D1596" i="44"/>
  <c r="B1597" i="44"/>
  <c r="D2845" i="44"/>
  <c r="B2846" i="44"/>
  <c r="D2846" i="44" s="1"/>
  <c r="D3053" i="44"/>
  <c r="B3054" i="44"/>
  <c r="D3054" i="44" s="1"/>
  <c r="B2653" i="44"/>
  <c r="D2652" i="44"/>
  <c r="D832" i="44"/>
  <c r="D831" i="44"/>
  <c r="D830" i="44"/>
  <c r="D2940" i="44"/>
  <c r="B2941" i="44"/>
  <c r="D2013" i="44"/>
  <c r="B2014" i="44"/>
  <c r="D2014" i="44" s="1"/>
  <c r="B2142" i="44"/>
  <c r="D2142" i="44" s="1"/>
  <c r="D2141" i="44"/>
  <c r="D1692" i="44"/>
  <c r="B1693" i="44"/>
  <c r="D2557" i="44"/>
  <c r="B2558" i="44"/>
  <c r="D2558" i="44" s="1"/>
  <c r="D1996" i="44"/>
  <c r="B1997" i="44"/>
  <c r="B2878" i="44"/>
  <c r="D2878" i="44" s="1"/>
  <c r="D2877" i="44"/>
  <c r="D1853" i="44"/>
  <c r="B1854" i="44"/>
  <c r="D1854" i="44" s="1"/>
  <c r="B2174" i="44"/>
  <c r="D2174" i="44" s="1"/>
  <c r="D2173" i="44"/>
  <c r="D2908" i="44"/>
  <c r="B2909" i="44"/>
  <c r="B1645" i="44"/>
  <c r="D1644" i="44"/>
  <c r="B2413" i="44"/>
  <c r="D2412" i="44"/>
  <c r="D2221" i="44"/>
  <c r="B2222" i="44"/>
  <c r="D2222" i="44" s="1"/>
  <c r="B2685" i="44"/>
  <c r="D2684" i="44"/>
  <c r="J114" i="24"/>
  <c r="J89" i="32"/>
  <c r="I384" i="3"/>
  <c r="L30" i="32"/>
  <c r="K33" i="32"/>
  <c r="K36" i="32" s="1"/>
  <c r="K37" i="32" s="1"/>
  <c r="B458" i="3"/>
  <c r="B822" i="3"/>
  <c r="D20" i="32"/>
  <c r="C22" i="32"/>
  <c r="C24" i="32" s="1"/>
  <c r="C26" i="32" s="1"/>
  <c r="H121" i="24"/>
  <c r="H95" i="32"/>
  <c r="C130" i="24"/>
  <c r="J380" i="3"/>
  <c r="J385" i="3" s="1"/>
  <c r="K378" i="3"/>
  <c r="L379" i="3"/>
  <c r="D105" i="32"/>
  <c r="D131" i="24"/>
  <c r="I93" i="32"/>
  <c r="H387" i="3"/>
  <c r="I118" i="24"/>
  <c r="B574" i="3" l="1"/>
  <c r="C574" i="3" s="1"/>
  <c r="C48" i="5"/>
  <c r="G395" i="3"/>
  <c r="H127" i="24"/>
  <c r="H393" i="3"/>
  <c r="C55" i="5" s="1"/>
  <c r="C118" i="5"/>
  <c r="C132" i="5"/>
  <c r="B2286" i="44"/>
  <c r="D2286" i="44" s="1"/>
  <c r="D2285" i="44"/>
  <c r="B522" i="3"/>
  <c r="A1203" i="5"/>
  <c r="B1204" i="5"/>
  <c r="R1202" i="5"/>
  <c r="M1202" i="5"/>
  <c r="H1202" i="5"/>
  <c r="T1202" i="5"/>
  <c r="L1202" i="5"/>
  <c r="F1202" i="5"/>
  <c r="N1202" i="5"/>
  <c r="D1202" i="5"/>
  <c r="J1202" i="5"/>
  <c r="E1202" i="5"/>
  <c r="P1202" i="5"/>
  <c r="S1202" i="5"/>
  <c r="K1202" i="5"/>
  <c r="C1202" i="5"/>
  <c r="I1202" i="5"/>
  <c r="O1202" i="5"/>
  <c r="G1202" i="5"/>
  <c r="Q1202" i="5"/>
  <c r="C137" i="24"/>
  <c r="C111" i="32"/>
  <c r="D1725" i="44"/>
  <c r="B1726" i="44"/>
  <c r="D1726" i="44" s="1"/>
  <c r="B460" i="3"/>
  <c r="B462" i="3" s="1"/>
  <c r="K1581" i="44"/>
  <c r="F1581" i="44" s="1"/>
  <c r="B2638" i="44"/>
  <c r="D2638" i="44" s="1"/>
  <c r="D2637" i="44"/>
  <c r="D1981" i="44"/>
  <c r="B1982" i="44"/>
  <c r="D1982" i="44" s="1"/>
  <c r="D2301" i="44"/>
  <c r="B2302" i="44"/>
  <c r="D2302" i="44" s="1"/>
  <c r="B3166" i="44"/>
  <c r="D3166" i="44" s="1"/>
  <c r="D3165" i="44"/>
  <c r="D3101" i="44"/>
  <c r="B3102" i="44"/>
  <c r="D3102" i="44" s="1"/>
  <c r="D2781" i="44"/>
  <c r="B2782" i="44"/>
  <c r="D2782" i="44" s="1"/>
  <c r="B2062" i="44"/>
  <c r="D2062" i="44" s="1"/>
  <c r="D2061" i="44"/>
  <c r="D554" i="44"/>
  <c r="D557" i="44"/>
  <c r="D558" i="44"/>
  <c r="B559" i="44"/>
  <c r="D556" i="44"/>
  <c r="D553" i="44"/>
  <c r="D555" i="44"/>
  <c r="D2525" i="44"/>
  <c r="B2526" i="44"/>
  <c r="D2526" i="44" s="1"/>
  <c r="B3006" i="44"/>
  <c r="D3006" i="44" s="1"/>
  <c r="D3005" i="44"/>
  <c r="B3070" i="44"/>
  <c r="D3070" i="44" s="1"/>
  <c r="D3069" i="44"/>
  <c r="D2093" i="44"/>
  <c r="B2094" i="44"/>
  <c r="D2094" i="44" s="1"/>
  <c r="D672" i="44"/>
  <c r="D677" i="44"/>
  <c r="D673" i="44"/>
  <c r="D676" i="44"/>
  <c r="D674" i="44"/>
  <c r="D675" i="44"/>
  <c r="B2686" i="44"/>
  <c r="D2686" i="44" s="1"/>
  <c r="D2685" i="44"/>
  <c r="D2413" i="44"/>
  <c r="B2414" i="44"/>
  <c r="D2414" i="44" s="1"/>
  <c r="B1646" i="44"/>
  <c r="D1646" i="44" s="1"/>
  <c r="D1645" i="44"/>
  <c r="B1598" i="44"/>
  <c r="D1598" i="44" s="1"/>
  <c r="D1597" i="44"/>
  <c r="B2910" i="44"/>
  <c r="D2910" i="44" s="1"/>
  <c r="D2909" i="44"/>
  <c r="B1998" i="44"/>
  <c r="D1998" i="44" s="1"/>
  <c r="D1997" i="44"/>
  <c r="B1694" i="44"/>
  <c r="D1694" i="44" s="1"/>
  <c r="D1693" i="44"/>
  <c r="D2941" i="44"/>
  <c r="B2942" i="44"/>
  <c r="D2942" i="44" s="1"/>
  <c r="B2654" i="44"/>
  <c r="D2654" i="44" s="1"/>
  <c r="D2653" i="44"/>
  <c r="B1822" i="44"/>
  <c r="D1822" i="44" s="1"/>
  <c r="D1821" i="44"/>
  <c r="B2462" i="44"/>
  <c r="D2462" i="44" s="1"/>
  <c r="D2461" i="44"/>
  <c r="D22" i="32"/>
  <c r="D24" i="32" s="1"/>
  <c r="D26" i="32" s="1"/>
  <c r="E20" i="32"/>
  <c r="J93" i="32"/>
  <c r="J118" i="24"/>
  <c r="I387" i="3"/>
  <c r="M379" i="3"/>
  <c r="E131" i="24"/>
  <c r="E105" i="32"/>
  <c r="J384" i="3"/>
  <c r="C106" i="32"/>
  <c r="C132" i="24"/>
  <c r="I121" i="24"/>
  <c r="I95" i="32"/>
  <c r="D104" i="32"/>
  <c r="D130" i="24"/>
  <c r="L378" i="3"/>
  <c r="K380" i="3"/>
  <c r="K385" i="3" s="1"/>
  <c r="L33" i="32"/>
  <c r="L36" i="32" s="1"/>
  <c r="L37" i="32" s="1"/>
  <c r="C40" i="32"/>
  <c r="B576" i="3" l="1"/>
  <c r="C576" i="3" s="1"/>
  <c r="C522" i="3"/>
  <c r="G528" i="3"/>
  <c r="B523" i="3" s="1"/>
  <c r="C523" i="3" s="1"/>
  <c r="F147" i="24"/>
  <c r="I101" i="32"/>
  <c r="I127" i="24"/>
  <c r="I393" i="3"/>
  <c r="C62" i="5" s="1"/>
  <c r="C119" i="5"/>
  <c r="C133" i="5"/>
  <c r="C212" i="5"/>
  <c r="A1204" i="5"/>
  <c r="B1205" i="5"/>
  <c r="G1203" i="5"/>
  <c r="P1203" i="5"/>
  <c r="D1203" i="5"/>
  <c r="T1203" i="5"/>
  <c r="Q1203" i="5"/>
  <c r="K1203" i="5"/>
  <c r="R1203" i="5"/>
  <c r="N1203" i="5"/>
  <c r="F1203" i="5"/>
  <c r="E1203" i="5"/>
  <c r="J1203" i="5"/>
  <c r="O1203" i="5"/>
  <c r="S1203" i="5"/>
  <c r="L1203" i="5"/>
  <c r="H1203" i="5"/>
  <c r="I1203" i="5"/>
  <c r="C1203" i="5"/>
  <c r="M1203" i="5"/>
  <c r="D137" i="24"/>
  <c r="D111" i="32"/>
  <c r="E1581" i="44"/>
  <c r="A1581" i="44" s="1"/>
  <c r="F809" i="3"/>
  <c r="E1569" i="44" s="1"/>
  <c r="A1569" i="44" s="1"/>
  <c r="D561" i="44"/>
  <c r="D559" i="44"/>
  <c r="D563" i="44"/>
  <c r="D562" i="44"/>
  <c r="D564" i="44"/>
  <c r="D560" i="44"/>
  <c r="J387" i="3"/>
  <c r="C110" i="32"/>
  <c r="C136" i="24"/>
  <c r="F131" i="24"/>
  <c r="F105" i="32"/>
  <c r="N379" i="3"/>
  <c r="C43" i="32"/>
  <c r="C46" i="32" s="1"/>
  <c r="C47" i="32" s="1"/>
  <c r="D40" i="32"/>
  <c r="K384" i="3"/>
  <c r="D132" i="24"/>
  <c r="D106" i="32"/>
  <c r="J95" i="32"/>
  <c r="J121" i="24"/>
  <c r="F20" i="32"/>
  <c r="E22" i="32"/>
  <c r="E24" i="32" s="1"/>
  <c r="E26" i="32" s="1"/>
  <c r="M378" i="3"/>
  <c r="E104" i="32"/>
  <c r="E130" i="24"/>
  <c r="L380" i="3"/>
  <c r="L385" i="3" s="1"/>
  <c r="B464" i="3"/>
  <c r="B658" i="3"/>
  <c r="B661" i="3" s="1"/>
  <c r="B662" i="3" s="1"/>
  <c r="F810" i="3"/>
  <c r="E1570" i="44" s="1"/>
  <c r="A1570" i="44" s="1"/>
  <c r="G68" i="25" l="1"/>
  <c r="J101" i="32"/>
  <c r="J127" i="24"/>
  <c r="J393" i="3"/>
  <c r="C69" i="5" s="1"/>
  <c r="C120" i="5"/>
  <c r="C134" i="5"/>
  <c r="A1205" i="5"/>
  <c r="B1206" i="5"/>
  <c r="G1204" i="5"/>
  <c r="L1204" i="5"/>
  <c r="R1204" i="5"/>
  <c r="N1204" i="5"/>
  <c r="H1204" i="5"/>
  <c r="E1204" i="5"/>
  <c r="I1204" i="5"/>
  <c r="P1204" i="5"/>
  <c r="C1204" i="5"/>
  <c r="O1204" i="5"/>
  <c r="J1204" i="5"/>
  <c r="D1204" i="5"/>
  <c r="F1204" i="5"/>
  <c r="K1204" i="5"/>
  <c r="Q1204" i="5"/>
  <c r="T1204" i="5"/>
  <c r="S1204" i="5"/>
  <c r="M1204" i="5"/>
  <c r="E111" i="32"/>
  <c r="E137" i="24"/>
  <c r="B473" i="3"/>
  <c r="F811" i="3"/>
  <c r="E1571" i="44" s="1"/>
  <c r="A1571" i="44" s="1"/>
  <c r="G20" i="32"/>
  <c r="G22" i="32" s="1"/>
  <c r="G24" i="32" s="1"/>
  <c r="G26" i="32" s="1"/>
  <c r="F22" i="32"/>
  <c r="F24" i="32" s="1"/>
  <c r="F26" i="32" s="1"/>
  <c r="K387" i="3"/>
  <c r="B396" i="3" s="1"/>
  <c r="D136" i="24"/>
  <c r="D110" i="32"/>
  <c r="O379" i="3"/>
  <c r="G131" i="24"/>
  <c r="G105" i="32"/>
  <c r="E40" i="32"/>
  <c r="D43" i="32"/>
  <c r="D46" i="32" s="1"/>
  <c r="D47" i="32" s="1"/>
  <c r="F130" i="24"/>
  <c r="F104" i="32"/>
  <c r="M380" i="3"/>
  <c r="M385" i="3" s="1"/>
  <c r="N378" i="3"/>
  <c r="C112" i="32"/>
  <c r="C139" i="24"/>
  <c r="E106" i="32"/>
  <c r="L384" i="3"/>
  <c r="E132" i="24"/>
  <c r="C118" i="32" l="1"/>
  <c r="K393" i="3"/>
  <c r="D112" i="32"/>
  <c r="C121" i="5"/>
  <c r="C135" i="5"/>
  <c r="A1206" i="5"/>
  <c r="B1207" i="5"/>
  <c r="L1205" i="5"/>
  <c r="F1205" i="5"/>
  <c r="G1205" i="5"/>
  <c r="C1205" i="5"/>
  <c r="O1205" i="5"/>
  <c r="P1205" i="5"/>
  <c r="K1205" i="5"/>
  <c r="N1205" i="5"/>
  <c r="Q1205" i="5"/>
  <c r="I1205" i="5"/>
  <c r="D1205" i="5"/>
  <c r="E1205" i="5"/>
  <c r="H1205" i="5"/>
  <c r="R1205" i="5"/>
  <c r="M1205" i="5"/>
  <c r="T1205" i="5"/>
  <c r="J1205" i="5"/>
  <c r="S1205" i="5"/>
  <c r="F111" i="32"/>
  <c r="F137" i="24"/>
  <c r="C197" i="5"/>
  <c r="E73" i="32"/>
  <c r="O378" i="3"/>
  <c r="N380" i="3"/>
  <c r="N385" i="3" s="1"/>
  <c r="G130" i="24"/>
  <c r="G104" i="32"/>
  <c r="L387" i="3"/>
  <c r="E110" i="32"/>
  <c r="E136" i="24"/>
  <c r="H131" i="24"/>
  <c r="P379" i="3"/>
  <c r="H105" i="32"/>
  <c r="D139" i="24"/>
  <c r="B506" i="3"/>
  <c r="E48" i="24"/>
  <c r="F69" i="25"/>
  <c r="F106" i="32"/>
  <c r="F132" i="24"/>
  <c r="M384" i="3"/>
  <c r="F40" i="32"/>
  <c r="E43" i="32"/>
  <c r="E46" i="32" s="1"/>
  <c r="E47" i="32" s="1"/>
  <c r="C145" i="24"/>
  <c r="L393" i="3" l="1"/>
  <c r="E112" i="32"/>
  <c r="C76" i="5"/>
  <c r="D118" i="32"/>
  <c r="C122" i="5"/>
  <c r="C136" i="5"/>
  <c r="A1207" i="5"/>
  <c r="B1208" i="5"/>
  <c r="R1206" i="5"/>
  <c r="K1206" i="5"/>
  <c r="M1206" i="5"/>
  <c r="I1206" i="5"/>
  <c r="N1206" i="5"/>
  <c r="T1206" i="5"/>
  <c r="S1206" i="5"/>
  <c r="P1206" i="5"/>
  <c r="E1206" i="5"/>
  <c r="D1206" i="5"/>
  <c r="J1206" i="5"/>
  <c r="O1206" i="5"/>
  <c r="Q1206" i="5"/>
  <c r="H1206" i="5"/>
  <c r="G1206" i="5"/>
  <c r="L1206" i="5"/>
  <c r="C1206" i="5"/>
  <c r="F1206" i="5"/>
  <c r="G111" i="32"/>
  <c r="G137" i="24"/>
  <c r="M387" i="3"/>
  <c r="F110" i="32"/>
  <c r="F136" i="24"/>
  <c r="D145" i="24"/>
  <c r="C143" i="5"/>
  <c r="I105" i="32"/>
  <c r="I131" i="24"/>
  <c r="B615" i="3"/>
  <c r="B618" i="3" s="1"/>
  <c r="B581" i="3" s="1"/>
  <c r="B640" i="3"/>
  <c r="B643" i="3" s="1"/>
  <c r="F96" i="25"/>
  <c r="B508" i="3"/>
  <c r="B510" i="3" s="1"/>
  <c r="B702" i="3" s="1"/>
  <c r="E53" i="24"/>
  <c r="E78" i="32"/>
  <c r="E139" i="24"/>
  <c r="G106" i="32"/>
  <c r="G132" i="24"/>
  <c r="N384" i="3"/>
  <c r="F43" i="32"/>
  <c r="F46" i="32" s="1"/>
  <c r="F47" i="32" s="1"/>
  <c r="G40" i="32"/>
  <c r="G43" i="32" s="1"/>
  <c r="G46" i="32" s="1"/>
  <c r="G47" i="32" s="1"/>
  <c r="O380" i="3"/>
  <c r="O385" i="3" s="1"/>
  <c r="H104" i="32"/>
  <c r="H130" i="24"/>
  <c r="P378" i="3"/>
  <c r="M393" i="3" l="1"/>
  <c r="F112" i="32"/>
  <c r="C83" i="5"/>
  <c r="E118" i="32"/>
  <c r="C123" i="5"/>
  <c r="C137" i="5"/>
  <c r="A1208" i="5"/>
  <c r="B1209" i="5"/>
  <c r="J1207" i="5"/>
  <c r="L1207" i="5"/>
  <c r="K1207" i="5"/>
  <c r="O1207" i="5"/>
  <c r="F1207" i="5"/>
  <c r="I1207" i="5"/>
  <c r="T1207" i="5"/>
  <c r="G1207" i="5"/>
  <c r="R1207" i="5"/>
  <c r="C1207" i="5"/>
  <c r="D1207" i="5"/>
  <c r="H1207" i="5"/>
  <c r="S1207" i="5"/>
  <c r="N1207" i="5"/>
  <c r="E1207" i="5"/>
  <c r="M1207" i="5"/>
  <c r="P1207" i="5"/>
  <c r="Q1207" i="5"/>
  <c r="H137" i="24"/>
  <c r="H111" i="32"/>
  <c r="AD708" i="3"/>
  <c r="AB708" i="3"/>
  <c r="AE708" i="3"/>
  <c r="AC708" i="3"/>
  <c r="I104" i="32"/>
  <c r="I130" i="24"/>
  <c r="P380" i="3"/>
  <c r="P385" i="3" s="1"/>
  <c r="G110" i="32"/>
  <c r="G136" i="24"/>
  <c r="N387" i="3"/>
  <c r="B531" i="3"/>
  <c r="C531" i="3" s="1"/>
  <c r="F396" i="3"/>
  <c r="D149" i="24"/>
  <c r="D121" i="32"/>
  <c r="E145" i="24"/>
  <c r="B828" i="3"/>
  <c r="F98" i="25"/>
  <c r="B620" i="3"/>
  <c r="C207" i="5"/>
  <c r="C208" i="5"/>
  <c r="E55" i="24"/>
  <c r="C1073" i="5"/>
  <c r="E80" i="32"/>
  <c r="O384" i="3"/>
  <c r="H132" i="24"/>
  <c r="H106" i="32"/>
  <c r="B651" i="3"/>
  <c r="F139" i="24"/>
  <c r="E37" i="43" l="1"/>
  <c r="N393" i="3"/>
  <c r="G112" i="32"/>
  <c r="C90" i="5"/>
  <c r="F118" i="32"/>
  <c r="C124" i="5"/>
  <c r="G396" i="3"/>
  <c r="F121" i="32" s="1"/>
  <c r="C145" i="5"/>
  <c r="C138" i="5"/>
  <c r="C209" i="5"/>
  <c r="E38" i="43"/>
  <c r="A1209" i="5"/>
  <c r="B1210" i="5"/>
  <c r="I1208" i="5"/>
  <c r="T1208" i="5"/>
  <c r="K1208" i="5"/>
  <c r="R1208" i="5"/>
  <c r="S1208" i="5"/>
  <c r="Q1208" i="5"/>
  <c r="N1208" i="5"/>
  <c r="G1208" i="5"/>
  <c r="E1208" i="5"/>
  <c r="M1208" i="5"/>
  <c r="C1208" i="5"/>
  <c r="D1208" i="5"/>
  <c r="P1208" i="5"/>
  <c r="F1208" i="5"/>
  <c r="J1208" i="5"/>
  <c r="L1208" i="5"/>
  <c r="O1208" i="5"/>
  <c r="H1208" i="5"/>
  <c r="C6" i="5"/>
  <c r="I111" i="32"/>
  <c r="I137" i="24"/>
  <c r="G139" i="24"/>
  <c r="I132" i="24"/>
  <c r="P384" i="3"/>
  <c r="I106" i="32"/>
  <c r="F145" i="24"/>
  <c r="E618" i="3"/>
  <c r="D60" i="32" s="1"/>
  <c r="C815" i="3"/>
  <c r="AD715" i="3"/>
  <c r="AB766" i="3"/>
  <c r="AE724" i="3"/>
  <c r="AB806" i="3"/>
  <c r="AC727" i="3"/>
  <c r="AB784" i="3"/>
  <c r="AB773" i="3"/>
  <c r="AC780" i="3"/>
  <c r="AB803" i="3"/>
  <c r="AD767" i="3"/>
  <c r="AB788" i="3"/>
  <c r="AB754" i="3"/>
  <c r="AC716" i="3"/>
  <c r="AD734" i="3"/>
  <c r="AC803" i="3"/>
  <c r="AD737" i="3"/>
  <c r="AB725" i="3"/>
  <c r="AD778" i="3"/>
  <c r="AD736" i="3"/>
  <c r="AE730" i="3"/>
  <c r="AD745" i="3"/>
  <c r="AD781" i="3"/>
  <c r="AE725" i="3"/>
  <c r="AC779" i="3"/>
  <c r="AC733" i="3"/>
  <c r="AD783" i="3"/>
  <c r="AD716" i="3"/>
  <c r="AB770" i="3"/>
  <c r="AE793" i="3"/>
  <c r="AC720" i="3"/>
  <c r="AE753" i="3"/>
  <c r="AE739" i="3"/>
  <c r="AB724" i="3"/>
  <c r="AB748" i="3"/>
  <c r="AD757" i="3"/>
  <c r="AE774" i="3"/>
  <c r="AB752" i="3"/>
  <c r="AB785" i="3"/>
  <c r="AB742" i="3"/>
  <c r="AD775" i="3"/>
  <c r="AC774" i="3"/>
  <c r="AB790" i="3"/>
  <c r="AD795" i="3"/>
  <c r="AB778" i="3"/>
  <c r="AE778" i="3"/>
  <c r="AE794" i="3"/>
  <c r="AD747" i="3"/>
  <c r="AD776" i="3"/>
  <c r="AE797" i="3"/>
  <c r="AD723" i="3"/>
  <c r="AD714" i="3"/>
  <c r="AC805" i="3"/>
  <c r="AB783" i="3"/>
  <c r="AB799" i="3"/>
  <c r="AB730" i="3"/>
  <c r="AD752" i="3"/>
  <c r="AB787" i="3"/>
  <c r="AB726" i="3"/>
  <c r="AB793" i="3"/>
  <c r="AC743" i="3"/>
  <c r="AE769" i="3"/>
  <c r="AD786" i="3"/>
  <c r="AC782" i="3"/>
  <c r="AB733" i="3"/>
  <c r="AD784" i="3"/>
  <c r="AE745" i="3"/>
  <c r="AD742" i="3"/>
  <c r="AE714" i="3"/>
  <c r="AC799" i="3"/>
  <c r="AE729" i="3"/>
  <c r="AC788" i="3"/>
  <c r="AD746" i="3"/>
  <c r="AE795" i="3"/>
  <c r="AC734" i="3"/>
  <c r="AB759" i="3"/>
  <c r="AE721" i="3"/>
  <c r="AE773" i="3"/>
  <c r="AE798" i="3"/>
  <c r="AC778" i="3"/>
  <c r="AE755" i="3"/>
  <c r="AC744" i="3"/>
  <c r="AE728" i="3"/>
  <c r="AD717" i="3"/>
  <c r="AE762" i="3"/>
  <c r="AB736" i="3"/>
  <c r="AB763" i="3"/>
  <c r="AE741" i="3"/>
  <c r="AB746" i="3"/>
  <c r="AC770" i="3"/>
  <c r="AD721" i="3"/>
  <c r="AB781" i="3"/>
  <c r="AE801" i="3"/>
  <c r="AD804" i="3"/>
  <c r="AC759" i="3"/>
  <c r="AD741" i="3"/>
  <c r="AE785" i="3"/>
  <c r="AD774" i="3"/>
  <c r="AD730" i="3"/>
  <c r="AC796" i="3"/>
  <c r="AC735" i="3"/>
  <c r="AD792" i="3"/>
  <c r="AB738" i="3"/>
  <c r="AC766" i="3"/>
  <c r="AB717" i="3"/>
  <c r="AD799" i="3"/>
  <c r="AE777" i="3"/>
  <c r="AE780" i="3"/>
  <c r="AE709" i="3"/>
  <c r="AD788" i="3"/>
  <c r="AE743" i="3"/>
  <c r="AD803" i="3"/>
  <c r="AD748" i="3"/>
  <c r="AE763" i="3"/>
  <c r="AE740" i="3"/>
  <c r="AD782" i="3"/>
  <c r="AD800" i="3"/>
  <c r="AE796" i="3"/>
  <c r="AD732" i="3"/>
  <c r="AC773" i="3"/>
  <c r="AD712" i="3"/>
  <c r="AD772" i="3"/>
  <c r="AE789" i="3"/>
  <c r="AE738" i="3"/>
  <c r="AE747" i="3"/>
  <c r="AC800" i="3"/>
  <c r="AB712" i="3"/>
  <c r="AE717" i="3"/>
  <c r="AD761" i="3"/>
  <c r="AE782" i="3"/>
  <c r="AC711" i="3"/>
  <c r="AC754" i="3"/>
  <c r="AB758" i="3"/>
  <c r="AD724" i="3"/>
  <c r="AC740" i="3"/>
  <c r="AB775" i="3"/>
  <c r="AE805" i="3"/>
  <c r="AB774" i="3"/>
  <c r="AE776" i="3"/>
  <c r="AB776" i="3"/>
  <c r="AC741" i="3"/>
  <c r="AE726" i="3"/>
  <c r="AC736" i="3"/>
  <c r="AD728" i="3"/>
  <c r="AB753" i="3"/>
  <c r="AC729" i="3"/>
  <c r="AE790" i="3"/>
  <c r="AC769" i="3"/>
  <c r="AB768" i="3"/>
  <c r="AB755" i="3"/>
  <c r="AB747" i="3"/>
  <c r="AB782" i="3"/>
  <c r="AB720" i="3"/>
  <c r="AB789" i="3"/>
  <c r="AD787" i="3"/>
  <c r="AE767" i="3"/>
  <c r="AE713" i="3"/>
  <c r="AC742" i="3"/>
  <c r="AC730" i="3"/>
  <c r="AE759" i="3"/>
  <c r="AE754" i="3"/>
  <c r="AD785" i="3"/>
  <c r="AE718" i="3"/>
  <c r="AB711" i="3"/>
  <c r="AB744" i="3"/>
  <c r="AD768" i="3"/>
  <c r="AD726" i="3"/>
  <c r="AB797" i="3"/>
  <c r="AE752" i="3"/>
  <c r="AE746" i="3"/>
  <c r="AB716" i="3"/>
  <c r="AC806" i="3"/>
  <c r="AD711" i="3"/>
  <c r="AC792" i="3"/>
  <c r="AD790" i="3"/>
  <c r="AB794" i="3"/>
  <c r="AD762" i="3"/>
  <c r="AE731" i="3"/>
  <c r="AC787" i="3"/>
  <c r="AD789" i="3"/>
  <c r="AC786" i="3"/>
  <c r="AE722" i="3"/>
  <c r="AC775" i="3"/>
  <c r="AC721" i="3"/>
  <c r="AB765" i="3"/>
  <c r="AB760" i="3"/>
  <c r="AC732" i="3"/>
  <c r="AB777" i="3"/>
  <c r="AC745" i="3"/>
  <c r="AE727" i="3"/>
  <c r="AC801" i="3"/>
  <c r="AB715" i="3"/>
  <c r="AD739" i="3"/>
  <c r="AB804" i="3"/>
  <c r="AD763" i="3"/>
  <c r="AE802" i="3"/>
  <c r="AE720" i="3"/>
  <c r="AD720" i="3"/>
  <c r="AD805" i="3"/>
  <c r="AE775" i="3"/>
  <c r="AB727" i="3"/>
  <c r="AB801" i="3"/>
  <c r="AC724" i="3"/>
  <c r="AD794" i="3"/>
  <c r="AB739" i="3"/>
  <c r="AB718" i="3"/>
  <c r="AC719" i="3"/>
  <c r="AD801" i="3"/>
  <c r="AE712" i="3"/>
  <c r="AD758" i="3"/>
  <c r="AB764" i="3"/>
  <c r="AB767" i="3"/>
  <c r="AC761" i="3"/>
  <c r="AB745" i="3"/>
  <c r="AC794" i="3"/>
  <c r="AC723" i="3"/>
  <c r="AD738" i="3"/>
  <c r="AC784" i="3"/>
  <c r="AE749" i="3"/>
  <c r="AB737" i="3"/>
  <c r="AD769" i="3"/>
  <c r="AC737" i="3"/>
  <c r="AE791" i="3"/>
  <c r="AE766" i="3"/>
  <c r="AC791" i="3"/>
  <c r="AB761" i="3"/>
  <c r="AB731" i="3"/>
  <c r="AE735" i="3"/>
  <c r="AD773" i="3"/>
  <c r="AC717" i="3"/>
  <c r="AE803" i="3"/>
  <c r="AE792" i="3"/>
  <c r="AE806" i="3"/>
  <c r="AC804" i="3"/>
  <c r="AB805" i="3"/>
  <c r="AC764" i="3"/>
  <c r="AC781" i="3"/>
  <c r="AD779" i="3"/>
  <c r="AD722" i="3"/>
  <c r="AB710" i="3"/>
  <c r="AB709" i="3"/>
  <c r="AC739" i="3"/>
  <c r="AC725" i="3"/>
  <c r="AD797" i="3"/>
  <c r="AE748" i="3"/>
  <c r="AE757" i="3"/>
  <c r="AD718" i="3"/>
  <c r="AE732" i="3"/>
  <c r="AE719" i="3"/>
  <c r="AD709" i="3"/>
  <c r="AD802" i="3"/>
  <c r="AC798" i="3"/>
  <c r="AB721" i="3"/>
  <c r="AE781" i="3"/>
  <c r="AC751" i="3"/>
  <c r="AE786" i="3"/>
  <c r="AB771" i="3"/>
  <c r="AC710" i="3"/>
  <c r="AB729" i="3"/>
  <c r="AC714" i="3"/>
  <c r="AD806" i="3"/>
  <c r="AE751" i="3"/>
  <c r="AE761" i="3"/>
  <c r="AE734" i="3"/>
  <c r="AE711" i="3"/>
  <c r="AB714" i="3"/>
  <c r="AD754" i="3"/>
  <c r="AD727" i="3"/>
  <c r="AC718" i="3"/>
  <c r="AC748" i="3"/>
  <c r="AC789" i="3"/>
  <c r="AB800" i="3"/>
  <c r="AE744" i="3"/>
  <c r="AE779" i="3"/>
  <c r="AC790" i="3"/>
  <c r="AD798" i="3"/>
  <c r="AB734" i="3"/>
  <c r="AD731" i="3"/>
  <c r="AC760" i="3"/>
  <c r="AD753" i="3"/>
  <c r="AB792" i="3"/>
  <c r="AD733" i="3"/>
  <c r="AB802" i="3"/>
  <c r="AB743" i="3"/>
  <c r="AE788" i="3"/>
  <c r="AE799" i="3"/>
  <c r="AE760" i="3"/>
  <c r="AD749" i="3"/>
  <c r="AB798" i="3"/>
  <c r="AE800" i="3"/>
  <c r="AB757" i="3"/>
  <c r="AE756" i="3"/>
  <c r="AE784" i="3"/>
  <c r="AC747" i="3"/>
  <c r="AD755" i="3"/>
  <c r="AD750" i="3"/>
  <c r="AD743" i="3"/>
  <c r="AB719" i="3"/>
  <c r="AC793" i="3"/>
  <c r="AE733" i="3"/>
  <c r="AD729" i="3"/>
  <c r="AE771" i="3"/>
  <c r="AC750" i="3"/>
  <c r="AE758" i="3"/>
  <c r="AB795" i="3"/>
  <c r="AC768" i="3"/>
  <c r="AC785" i="3"/>
  <c r="AD766" i="3"/>
  <c r="AB750" i="3"/>
  <c r="AD719" i="3"/>
  <c r="AD770" i="3"/>
  <c r="AE783" i="3"/>
  <c r="AE750" i="3"/>
  <c r="AD713" i="3"/>
  <c r="AC758" i="3"/>
  <c r="AB780" i="3"/>
  <c r="AC762" i="3"/>
  <c r="AE787" i="3"/>
  <c r="AB796" i="3"/>
  <c r="AE710" i="3"/>
  <c r="AC765" i="3"/>
  <c r="AC753" i="3"/>
  <c r="AC777" i="3"/>
  <c r="AB772" i="3"/>
  <c r="AE770" i="3"/>
  <c r="AD760" i="3"/>
  <c r="AD777" i="3"/>
  <c r="AD765" i="3"/>
  <c r="AC767" i="3"/>
  <c r="AE804" i="3"/>
  <c r="AC802" i="3"/>
  <c r="AC771" i="3"/>
  <c r="AC749" i="3"/>
  <c r="AE737" i="3"/>
  <c r="AE768" i="3"/>
  <c r="AD759" i="3"/>
  <c r="AD744" i="3"/>
  <c r="AE742" i="3"/>
  <c r="AC712" i="3"/>
  <c r="AB728" i="3"/>
  <c r="AD793" i="3"/>
  <c r="AB723" i="3"/>
  <c r="AC728" i="3"/>
  <c r="AB740" i="3"/>
  <c r="AB732" i="3"/>
  <c r="AB786" i="3"/>
  <c r="AC722" i="3"/>
  <c r="AD780" i="3"/>
  <c r="AD771" i="3"/>
  <c r="AC752" i="3"/>
  <c r="AB762" i="3"/>
  <c r="AB751" i="3"/>
  <c r="AD740" i="3"/>
  <c r="AD764" i="3"/>
  <c r="AE715" i="3"/>
  <c r="AB741" i="3"/>
  <c r="AB791" i="3"/>
  <c r="AB713" i="3"/>
  <c r="AE772" i="3"/>
  <c r="AE723" i="3"/>
  <c r="AC757" i="3"/>
  <c r="AC776" i="3"/>
  <c r="AD710" i="3"/>
  <c r="AC797" i="3"/>
  <c r="AC755" i="3"/>
  <c r="AC715" i="3"/>
  <c r="AB749" i="3"/>
  <c r="AC738" i="3"/>
  <c r="AC746" i="3"/>
  <c r="AD735" i="3"/>
  <c r="AC763" i="3"/>
  <c r="AE736" i="3"/>
  <c r="AE716" i="3"/>
  <c r="AD756" i="3"/>
  <c r="AD791" i="3"/>
  <c r="AC726" i="3"/>
  <c r="AC756" i="3"/>
  <c r="AB779" i="3"/>
  <c r="AB722" i="3"/>
  <c r="AC772" i="3"/>
  <c r="AD751" i="3"/>
  <c r="AE765" i="3"/>
  <c r="AE764" i="3"/>
  <c r="AB769" i="3"/>
  <c r="AC783" i="3"/>
  <c r="AD796" i="3"/>
  <c r="AC713" i="3"/>
  <c r="AC709" i="3"/>
  <c r="AC795" i="3"/>
  <c r="AC731" i="3"/>
  <c r="AB756" i="3"/>
  <c r="AB735" i="3"/>
  <c r="AD725" i="3"/>
  <c r="H136" i="24"/>
  <c r="O387" i="3"/>
  <c r="H110" i="32"/>
  <c r="H78" i="25" l="1"/>
  <c r="B610" i="3"/>
  <c r="O393" i="3"/>
  <c r="H112" i="32"/>
  <c r="C97" i="5"/>
  <c r="G118" i="32"/>
  <c r="F149" i="24"/>
  <c r="C125" i="5"/>
  <c r="C139" i="5"/>
  <c r="A1210" i="5"/>
  <c r="B1211" i="5"/>
  <c r="T1209" i="5"/>
  <c r="K1209" i="5"/>
  <c r="S1209" i="5"/>
  <c r="P1209" i="5"/>
  <c r="D1209" i="5"/>
  <c r="Q1209" i="5"/>
  <c r="R1209" i="5"/>
  <c r="F1209" i="5"/>
  <c r="E1209" i="5"/>
  <c r="J1209" i="5"/>
  <c r="O1209" i="5"/>
  <c r="M1209" i="5"/>
  <c r="I1209" i="5"/>
  <c r="C1209" i="5"/>
  <c r="L1209" i="5"/>
  <c r="H1209" i="5"/>
  <c r="N1209" i="5"/>
  <c r="G1209" i="5"/>
  <c r="AC807" i="3"/>
  <c r="AB807" i="3"/>
  <c r="AE807" i="3"/>
  <c r="AD807" i="3"/>
  <c r="D70" i="24"/>
  <c r="H139" i="24"/>
  <c r="G145" i="24"/>
  <c r="P387" i="3"/>
  <c r="B397" i="3" s="1"/>
  <c r="I110" i="32"/>
  <c r="I136" i="24"/>
  <c r="C762" i="5" l="1"/>
  <c r="C627" i="3"/>
  <c r="B611" i="3"/>
  <c r="D611" i="3" s="1"/>
  <c r="E611" i="3" s="1"/>
  <c r="P393" i="3"/>
  <c r="I112" i="32"/>
  <c r="C104" i="5"/>
  <c r="H118" i="32"/>
  <c r="C126" i="5"/>
  <c r="C140" i="5"/>
  <c r="A1211" i="5"/>
  <c r="B1212" i="5"/>
  <c r="L1210" i="5"/>
  <c r="D1210" i="5"/>
  <c r="Q1210" i="5"/>
  <c r="S1210" i="5"/>
  <c r="J1210" i="5"/>
  <c r="K1210" i="5"/>
  <c r="C1210" i="5"/>
  <c r="P1210" i="5"/>
  <c r="H1210" i="5"/>
  <c r="N1210" i="5"/>
  <c r="M1210" i="5"/>
  <c r="G1210" i="5"/>
  <c r="O1210" i="5"/>
  <c r="E1210" i="5"/>
  <c r="T1210" i="5"/>
  <c r="I1210" i="5"/>
  <c r="R1210" i="5"/>
  <c r="F1210" i="5"/>
  <c r="I139" i="24"/>
  <c r="H145" i="24"/>
  <c r="C630" i="3" l="1"/>
  <c r="D59" i="32" s="1"/>
  <c r="G80" i="32"/>
  <c r="G53" i="24"/>
  <c r="G55" i="24"/>
  <c r="G78" i="32"/>
  <c r="C111" i="5"/>
  <c r="I118" i="32"/>
  <c r="C144" i="5"/>
  <c r="C141" i="5"/>
  <c r="E1211" i="5"/>
  <c r="Q1211" i="5"/>
  <c r="F1211" i="5"/>
  <c r="J1211" i="5"/>
  <c r="G1211" i="5"/>
  <c r="R1211" i="5"/>
  <c r="S1211" i="5"/>
  <c r="P1211" i="5"/>
  <c r="K1211" i="5"/>
  <c r="D1211" i="5"/>
  <c r="N1211" i="5"/>
  <c r="H1211" i="5"/>
  <c r="C1211" i="5"/>
  <c r="O1211" i="5"/>
  <c r="M1211" i="5"/>
  <c r="L1211" i="5"/>
  <c r="T1211" i="5"/>
  <c r="I1211" i="5"/>
  <c r="A1212" i="5"/>
  <c r="B1213" i="5"/>
  <c r="I145" i="24"/>
  <c r="D69" i="24" l="1"/>
  <c r="F1212" i="5"/>
  <c r="L1212" i="5"/>
  <c r="D1212" i="5"/>
  <c r="G1212" i="5"/>
  <c r="K1212" i="5"/>
  <c r="J1212" i="5"/>
  <c r="H1212" i="5"/>
  <c r="O1212" i="5"/>
  <c r="I1212" i="5"/>
  <c r="P1212" i="5"/>
  <c r="T1212" i="5"/>
  <c r="N1212" i="5"/>
  <c r="R1212" i="5"/>
  <c r="S1212" i="5"/>
  <c r="C1212" i="5"/>
  <c r="Q1212" i="5"/>
  <c r="E1212" i="5"/>
  <c r="M1212" i="5"/>
  <c r="A1213" i="5"/>
  <c r="B1214" i="5"/>
  <c r="D122" i="32"/>
  <c r="D150" i="24"/>
  <c r="F397" i="3"/>
  <c r="G397" i="3" l="1"/>
  <c r="C146" i="5"/>
  <c r="M1213" i="5"/>
  <c r="L1213" i="5"/>
  <c r="J1213" i="5"/>
  <c r="P1213" i="5"/>
  <c r="E1213" i="5"/>
  <c r="F1213" i="5"/>
  <c r="G1213" i="5"/>
  <c r="S1213" i="5"/>
  <c r="R1213" i="5"/>
  <c r="K1213" i="5"/>
  <c r="O1213" i="5"/>
  <c r="T1213" i="5"/>
  <c r="C1213" i="5"/>
  <c r="H1213" i="5"/>
  <c r="D1213" i="5"/>
  <c r="Q1213" i="5"/>
  <c r="I1213" i="5"/>
  <c r="N1213" i="5"/>
  <c r="A1214" i="5"/>
  <c r="B1215" i="5"/>
  <c r="F150" i="24" l="1"/>
  <c r="F122" i="32"/>
  <c r="A1215" i="5"/>
  <c r="B1216" i="5"/>
  <c r="O1214" i="5"/>
  <c r="I1214" i="5"/>
  <c r="N1214" i="5"/>
  <c r="K1214" i="5"/>
  <c r="T1214" i="5"/>
  <c r="H1214" i="5"/>
  <c r="J1214" i="5"/>
  <c r="D1214" i="5"/>
  <c r="G1214" i="5"/>
  <c r="M1214" i="5"/>
  <c r="F1214" i="5"/>
  <c r="C1214" i="5"/>
  <c r="Q1214" i="5"/>
  <c r="E1214" i="5"/>
  <c r="P1214" i="5"/>
  <c r="S1214" i="5"/>
  <c r="R1214" i="5"/>
  <c r="L1214" i="5"/>
  <c r="A1216" i="5" l="1"/>
  <c r="B1217" i="5"/>
  <c r="D1215" i="5"/>
  <c r="K1215" i="5"/>
  <c r="S1215" i="5"/>
  <c r="Q1215" i="5"/>
  <c r="H1215" i="5"/>
  <c r="J1215" i="5"/>
  <c r="L1215" i="5"/>
  <c r="P1215" i="5"/>
  <c r="M1215" i="5"/>
  <c r="C1215" i="5"/>
  <c r="G1215" i="5"/>
  <c r="R1215" i="5"/>
  <c r="T1215" i="5"/>
  <c r="F1215" i="5"/>
  <c r="N1215" i="5"/>
  <c r="E1215" i="5"/>
  <c r="O1215" i="5"/>
  <c r="I1215" i="5"/>
  <c r="A1217" i="5" l="1"/>
  <c r="B1218" i="5"/>
  <c r="I1216" i="5"/>
  <c r="K1216" i="5"/>
  <c r="G1216" i="5"/>
  <c r="P1216" i="5"/>
  <c r="T1216" i="5"/>
  <c r="J1216" i="5"/>
  <c r="R1216" i="5"/>
  <c r="S1216" i="5"/>
  <c r="D1216" i="5"/>
  <c r="Q1216" i="5"/>
  <c r="N1216" i="5"/>
  <c r="O1216" i="5"/>
  <c r="L1216" i="5"/>
  <c r="M1216" i="5"/>
  <c r="H1216" i="5"/>
  <c r="F1216" i="5"/>
  <c r="C1216" i="5"/>
  <c r="E1216" i="5"/>
  <c r="A1218" i="5" l="1"/>
  <c r="B1219" i="5"/>
  <c r="N1217" i="5"/>
  <c r="I1217" i="5"/>
  <c r="T1217" i="5"/>
  <c r="C1217" i="5"/>
  <c r="G1217" i="5"/>
  <c r="O1217" i="5"/>
  <c r="J1217" i="5"/>
  <c r="D1217" i="5"/>
  <c r="H1217" i="5"/>
  <c r="M1217" i="5"/>
  <c r="S1217" i="5"/>
  <c r="L1217" i="5"/>
  <c r="R1217" i="5"/>
  <c r="P1217" i="5"/>
  <c r="K1217" i="5"/>
  <c r="Q1217" i="5"/>
  <c r="F1217" i="5"/>
  <c r="E1217" i="5"/>
  <c r="A1219" i="5" l="1"/>
  <c r="B1220" i="5"/>
  <c r="T1218" i="5"/>
  <c r="N1218" i="5"/>
  <c r="R1218" i="5"/>
  <c r="I1218" i="5"/>
  <c r="O1218" i="5"/>
  <c r="D1218" i="5"/>
  <c r="L1218" i="5"/>
  <c r="F1218" i="5"/>
  <c r="Q1218" i="5"/>
  <c r="C1218" i="5"/>
  <c r="S1218" i="5"/>
  <c r="G1218" i="5"/>
  <c r="M1218" i="5"/>
  <c r="E1218" i="5"/>
  <c r="K1218" i="5"/>
  <c r="P1218" i="5"/>
  <c r="H1218" i="5"/>
  <c r="J1218" i="5"/>
  <c r="A1220" i="5" l="1"/>
  <c r="B1221" i="5"/>
  <c r="H1219" i="5"/>
  <c r="P1219" i="5"/>
  <c r="M1219" i="5"/>
  <c r="J1219" i="5"/>
  <c r="E1219" i="5"/>
  <c r="D1219" i="5"/>
  <c r="R1219" i="5"/>
  <c r="F1219" i="5"/>
  <c r="G1219" i="5"/>
  <c r="N1219" i="5"/>
  <c r="O1219" i="5"/>
  <c r="C1219" i="5"/>
  <c r="L1219" i="5"/>
  <c r="T1219" i="5"/>
  <c r="K1219" i="5"/>
  <c r="Q1219" i="5"/>
  <c r="I1219" i="5"/>
  <c r="S1219" i="5"/>
  <c r="A1221" i="5" l="1"/>
  <c r="B1222" i="5"/>
  <c r="E1220" i="5"/>
  <c r="I1220" i="5"/>
  <c r="S1220" i="5"/>
  <c r="O1220" i="5"/>
  <c r="J1220" i="5"/>
  <c r="T1220" i="5"/>
  <c r="D1220" i="5"/>
  <c r="P1220" i="5"/>
  <c r="G1220" i="5"/>
  <c r="Q1220" i="5"/>
  <c r="F1220" i="5"/>
  <c r="L1220" i="5"/>
  <c r="M1220" i="5"/>
  <c r="N1220" i="5"/>
  <c r="R1220" i="5"/>
  <c r="C1220" i="5"/>
  <c r="H1220" i="5"/>
  <c r="K1220" i="5"/>
  <c r="A1222" i="5" l="1"/>
  <c r="B1223" i="5"/>
  <c r="Q1221" i="5"/>
  <c r="R1221" i="5"/>
  <c r="C1221" i="5"/>
  <c r="M1221" i="5"/>
  <c r="H1221" i="5"/>
  <c r="J1221" i="5"/>
  <c r="S1221" i="5"/>
  <c r="P1221" i="5"/>
  <c r="E1221" i="5"/>
  <c r="N1221" i="5"/>
  <c r="F1221" i="5"/>
  <c r="I1221" i="5"/>
  <c r="L1221" i="5"/>
  <c r="T1221" i="5"/>
  <c r="K1221" i="5"/>
  <c r="G1221" i="5"/>
  <c r="O1221" i="5"/>
  <c r="D1221" i="5"/>
  <c r="A1223" i="5" l="1"/>
  <c r="B1224" i="5"/>
  <c r="F1222" i="5"/>
  <c r="D1222" i="5"/>
  <c r="P1222" i="5"/>
  <c r="G1222" i="5"/>
  <c r="M1222" i="5"/>
  <c r="C1222" i="5"/>
  <c r="Q1222" i="5"/>
  <c r="J1222" i="5"/>
  <c r="O1222" i="5"/>
  <c r="K1222" i="5"/>
  <c r="L1222" i="5"/>
  <c r="S1222" i="5"/>
  <c r="T1222" i="5"/>
  <c r="I1222" i="5"/>
  <c r="R1222" i="5"/>
  <c r="E1222" i="5"/>
  <c r="N1222" i="5"/>
  <c r="H1222" i="5"/>
  <c r="A1224" i="5" l="1"/>
  <c r="B1225" i="5"/>
  <c r="T1223" i="5"/>
  <c r="H1223" i="5"/>
  <c r="N1223" i="5"/>
  <c r="G1223" i="5"/>
  <c r="C1223" i="5"/>
  <c r="L1223" i="5"/>
  <c r="P1223" i="5"/>
  <c r="K1223" i="5"/>
  <c r="F1223" i="5"/>
  <c r="D1223" i="5"/>
  <c r="R1223" i="5"/>
  <c r="S1223" i="5"/>
  <c r="J1223" i="5"/>
  <c r="O1223" i="5"/>
  <c r="M1223" i="5"/>
  <c r="Q1223" i="5"/>
  <c r="I1223" i="5"/>
  <c r="E1223" i="5"/>
  <c r="A1225" i="5" l="1"/>
  <c r="B1226" i="5"/>
  <c r="Q1224" i="5"/>
  <c r="T1224" i="5"/>
  <c r="R1224" i="5"/>
  <c r="I1224" i="5"/>
  <c r="L1224" i="5"/>
  <c r="H1224" i="5"/>
  <c r="N1224" i="5"/>
  <c r="D1224" i="5"/>
  <c r="S1224" i="5"/>
  <c r="F1224" i="5"/>
  <c r="E1224" i="5"/>
  <c r="C1224" i="5"/>
  <c r="G1224" i="5"/>
  <c r="O1224" i="5"/>
  <c r="M1224" i="5"/>
  <c r="K1224" i="5"/>
  <c r="J1224" i="5"/>
  <c r="P1224" i="5"/>
  <c r="A1226" i="5" l="1"/>
  <c r="B1227" i="5"/>
  <c r="O1225" i="5"/>
  <c r="H1225" i="5"/>
  <c r="D1225" i="5"/>
  <c r="L1225" i="5"/>
  <c r="S1225" i="5"/>
  <c r="T1225" i="5"/>
  <c r="P1225" i="5"/>
  <c r="J1225" i="5"/>
  <c r="N1225" i="5"/>
  <c r="I1225" i="5"/>
  <c r="C1225" i="5"/>
  <c r="F1225" i="5"/>
  <c r="K1225" i="5"/>
  <c r="Q1225" i="5"/>
  <c r="M1225" i="5"/>
  <c r="E1225" i="5"/>
  <c r="R1225" i="5"/>
  <c r="G1225" i="5"/>
  <c r="A1227" i="5" l="1"/>
  <c r="B1228" i="5"/>
  <c r="I1226" i="5"/>
  <c r="H1226" i="5"/>
  <c r="O1226" i="5"/>
  <c r="R1226" i="5"/>
  <c r="P1226" i="5"/>
  <c r="Q1226" i="5"/>
  <c r="T1226" i="5"/>
  <c r="G1226" i="5"/>
  <c r="K1226" i="5"/>
  <c r="D1226" i="5"/>
  <c r="S1226" i="5"/>
  <c r="N1226" i="5"/>
  <c r="J1226" i="5"/>
  <c r="M1226" i="5"/>
  <c r="F1226" i="5"/>
  <c r="C1226" i="5"/>
  <c r="L1226" i="5"/>
  <c r="E1226" i="5"/>
  <c r="A1228" i="5" l="1"/>
  <c r="B1229" i="5"/>
  <c r="P1227" i="5"/>
  <c r="R1227" i="5"/>
  <c r="O1227" i="5"/>
  <c r="M1227" i="5"/>
  <c r="D1227" i="5"/>
  <c r="N1227" i="5"/>
  <c r="T1227" i="5"/>
  <c r="C1227" i="5"/>
  <c r="K1227" i="5"/>
  <c r="E1227" i="5"/>
  <c r="H1227" i="5"/>
  <c r="Q1227" i="5"/>
  <c r="I1227" i="5"/>
  <c r="G1227" i="5"/>
  <c r="S1227" i="5"/>
  <c r="F1227" i="5"/>
  <c r="J1227" i="5"/>
  <c r="L1227" i="5"/>
  <c r="A1229" i="5" l="1"/>
  <c r="B1230" i="5"/>
  <c r="T1228" i="5"/>
  <c r="P1228" i="5"/>
  <c r="G1228" i="5"/>
  <c r="I1228" i="5"/>
  <c r="N1228" i="5"/>
  <c r="L1228" i="5"/>
  <c r="Q1228" i="5"/>
  <c r="K1228" i="5"/>
  <c r="M1228" i="5"/>
  <c r="S1228" i="5"/>
  <c r="R1228" i="5"/>
  <c r="E1228" i="5"/>
  <c r="H1228" i="5"/>
  <c r="O1228" i="5"/>
  <c r="J1228" i="5"/>
  <c r="D1228" i="5"/>
  <c r="F1228" i="5"/>
  <c r="C1228" i="5"/>
  <c r="A1230" i="5" l="1"/>
  <c r="B1231" i="5"/>
  <c r="R1229" i="5"/>
  <c r="C1229" i="5"/>
  <c r="S1229" i="5"/>
  <c r="E1229" i="5"/>
  <c r="Q1229" i="5"/>
  <c r="F1229" i="5"/>
  <c r="L1229" i="5"/>
  <c r="H1229" i="5"/>
  <c r="J1229" i="5"/>
  <c r="G1229" i="5"/>
  <c r="P1229" i="5"/>
  <c r="T1229" i="5"/>
  <c r="K1229" i="5"/>
  <c r="N1229" i="5"/>
  <c r="O1229" i="5"/>
  <c r="I1229" i="5"/>
  <c r="D1229" i="5"/>
  <c r="M1229" i="5"/>
  <c r="A1231" i="5" l="1"/>
  <c r="B1232" i="5"/>
  <c r="H1230" i="5"/>
  <c r="I1230" i="5"/>
  <c r="P1230" i="5"/>
  <c r="R1230" i="5"/>
  <c r="K1230" i="5"/>
  <c r="S1230" i="5"/>
  <c r="T1230" i="5"/>
  <c r="E1230" i="5"/>
  <c r="Q1230" i="5"/>
  <c r="M1230" i="5"/>
  <c r="J1230" i="5"/>
  <c r="G1230" i="5"/>
  <c r="L1230" i="5"/>
  <c r="C1230" i="5"/>
  <c r="N1230" i="5"/>
  <c r="F1230" i="5"/>
  <c r="O1230" i="5"/>
  <c r="D1230" i="5"/>
  <c r="A1232" i="5" l="1"/>
  <c r="B1233" i="5"/>
  <c r="J1231" i="5"/>
  <c r="R1231" i="5"/>
  <c r="G1231" i="5"/>
  <c r="N1231" i="5"/>
  <c r="F1231" i="5"/>
  <c r="I1231" i="5"/>
  <c r="L1231" i="5"/>
  <c r="C1231" i="5"/>
  <c r="D1231" i="5"/>
  <c r="S1231" i="5"/>
  <c r="E1231" i="5"/>
  <c r="M1231" i="5"/>
  <c r="T1231" i="5"/>
  <c r="K1231" i="5"/>
  <c r="H1231" i="5"/>
  <c r="O1231" i="5"/>
  <c r="P1231" i="5"/>
  <c r="Q1231" i="5"/>
  <c r="A1233" i="5" l="1"/>
  <c r="B1234" i="5"/>
  <c r="D1232" i="5"/>
  <c r="E1232" i="5"/>
  <c r="C1232" i="5"/>
  <c r="R1232" i="5"/>
  <c r="G1232" i="5"/>
  <c r="K1232" i="5"/>
  <c r="L1232" i="5"/>
  <c r="F1232" i="5"/>
  <c r="H1232" i="5"/>
  <c r="T1232" i="5"/>
  <c r="O1232" i="5"/>
  <c r="Q1232" i="5"/>
  <c r="P1232" i="5"/>
  <c r="I1232" i="5"/>
  <c r="N1232" i="5"/>
  <c r="M1232" i="5"/>
  <c r="S1232" i="5"/>
  <c r="J1232" i="5"/>
  <c r="A1234" i="5" l="1"/>
  <c r="B1235" i="5"/>
  <c r="H1233" i="5"/>
  <c r="K1233" i="5"/>
  <c r="N1233" i="5"/>
  <c r="T1233" i="5"/>
  <c r="Q1233" i="5"/>
  <c r="I1233" i="5"/>
  <c r="S1233" i="5"/>
  <c r="C1233" i="5"/>
  <c r="J1233" i="5"/>
  <c r="F1233" i="5"/>
  <c r="L1233" i="5"/>
  <c r="D1233" i="5"/>
  <c r="M1233" i="5"/>
  <c r="P1233" i="5"/>
  <c r="O1233" i="5"/>
  <c r="E1233" i="5"/>
  <c r="G1233" i="5"/>
  <c r="R1233" i="5"/>
  <c r="A1235" i="5" l="1"/>
  <c r="B1236" i="5"/>
  <c r="K1234" i="5"/>
  <c r="N1234" i="5"/>
  <c r="H1234" i="5"/>
  <c r="Q1234" i="5"/>
  <c r="I1234" i="5"/>
  <c r="D1234" i="5"/>
  <c r="L1234" i="5"/>
  <c r="F1234" i="5"/>
  <c r="P1234" i="5"/>
  <c r="O1234" i="5"/>
  <c r="E1234" i="5"/>
  <c r="G1234" i="5"/>
  <c r="S1234" i="5"/>
  <c r="M1234" i="5"/>
  <c r="C1234" i="5"/>
  <c r="R1234" i="5"/>
  <c r="T1234" i="5"/>
  <c r="J1234" i="5"/>
  <c r="A1236" i="5" l="1"/>
  <c r="B1237" i="5"/>
  <c r="J1235" i="5"/>
  <c r="H1235" i="5"/>
  <c r="I1235" i="5"/>
  <c r="K1235" i="5"/>
  <c r="O1235" i="5"/>
  <c r="P1235" i="5"/>
  <c r="S1235" i="5"/>
  <c r="D1235" i="5"/>
  <c r="G1235" i="5"/>
  <c r="R1235" i="5"/>
  <c r="L1235" i="5"/>
  <c r="F1235" i="5"/>
  <c r="T1235" i="5"/>
  <c r="E1235" i="5"/>
  <c r="M1235" i="5"/>
  <c r="Q1235" i="5"/>
  <c r="C1235" i="5"/>
  <c r="N1235" i="5"/>
  <c r="A1237" i="5" l="1"/>
  <c r="B1238" i="5"/>
  <c r="G1236" i="5"/>
  <c r="L1236" i="5"/>
  <c r="K1236" i="5"/>
  <c r="H1236" i="5"/>
  <c r="P1236" i="5"/>
  <c r="S1236" i="5"/>
  <c r="D1236" i="5"/>
  <c r="C1236" i="5"/>
  <c r="R1236" i="5"/>
  <c r="J1236" i="5"/>
  <c r="T1236" i="5"/>
  <c r="F1236" i="5"/>
  <c r="O1236" i="5"/>
  <c r="Q1236" i="5"/>
  <c r="E1236" i="5"/>
  <c r="I1236" i="5"/>
  <c r="M1236" i="5"/>
  <c r="N1236" i="5"/>
  <c r="A1238" i="5" l="1"/>
  <c r="B1239" i="5"/>
  <c r="P1237" i="5"/>
  <c r="D1237" i="5"/>
  <c r="E1237" i="5"/>
  <c r="F1237" i="5"/>
  <c r="M1237" i="5"/>
  <c r="C1237" i="5"/>
  <c r="L1237" i="5"/>
  <c r="R1237" i="5"/>
  <c r="J1237" i="5"/>
  <c r="N1237" i="5"/>
  <c r="K1237" i="5"/>
  <c r="G1237" i="5"/>
  <c r="O1237" i="5"/>
  <c r="T1237" i="5"/>
  <c r="I1237" i="5"/>
  <c r="S1237" i="5"/>
  <c r="H1237" i="5"/>
  <c r="Q1237" i="5"/>
  <c r="A1239" i="5" l="1"/>
  <c r="B1240" i="5"/>
  <c r="Q1238" i="5"/>
  <c r="M1238" i="5"/>
  <c r="D1238" i="5"/>
  <c r="E1238" i="5"/>
  <c r="L1238" i="5"/>
  <c r="G1238" i="5"/>
  <c r="P1238" i="5"/>
  <c r="O1238" i="5"/>
  <c r="K1238" i="5"/>
  <c r="J1238" i="5"/>
  <c r="N1238" i="5"/>
  <c r="H1238" i="5"/>
  <c r="T1238" i="5"/>
  <c r="R1238" i="5"/>
  <c r="S1238" i="5"/>
  <c r="I1238" i="5"/>
  <c r="C1238" i="5"/>
  <c r="F1238" i="5"/>
  <c r="A1240" i="5" l="1"/>
  <c r="B1241" i="5"/>
  <c r="D1239" i="5"/>
  <c r="I1239" i="5"/>
  <c r="R1239" i="5"/>
  <c r="G1239" i="5"/>
  <c r="Q1239" i="5"/>
  <c r="M1239" i="5"/>
  <c r="C1239" i="5"/>
  <c r="L1239" i="5"/>
  <c r="N1239" i="5"/>
  <c r="F1239" i="5"/>
  <c r="P1239" i="5"/>
  <c r="S1239" i="5"/>
  <c r="J1239" i="5"/>
  <c r="E1239" i="5"/>
  <c r="O1239" i="5"/>
  <c r="K1239" i="5"/>
  <c r="T1239" i="5"/>
  <c r="H1239" i="5"/>
  <c r="E1240" i="5" l="1"/>
  <c r="T1240" i="5"/>
  <c r="R1240" i="5"/>
  <c r="I1240" i="5"/>
  <c r="N1240" i="5"/>
  <c r="O1240" i="5"/>
  <c r="F1240" i="5"/>
  <c r="Q1240" i="5"/>
  <c r="P1240" i="5"/>
  <c r="M1240" i="5"/>
  <c r="J1240" i="5"/>
  <c r="S1240" i="5"/>
  <c r="G1240" i="5"/>
  <c r="C1240" i="5"/>
  <c r="L1240" i="5"/>
  <c r="H1240" i="5"/>
  <c r="D1240" i="5"/>
  <c r="K1240" i="5"/>
  <c r="A1241" i="5"/>
  <c r="B1242" i="5"/>
  <c r="A1242" i="5" l="1"/>
  <c r="B1243" i="5"/>
  <c r="T1241" i="5"/>
  <c r="S1241" i="5"/>
  <c r="Q1241" i="5"/>
  <c r="E1241" i="5"/>
  <c r="C1241" i="5"/>
  <c r="I1241" i="5"/>
  <c r="M1241" i="5"/>
  <c r="D1241" i="5"/>
  <c r="O1241" i="5"/>
  <c r="L1241" i="5"/>
  <c r="H1241" i="5"/>
  <c r="F1241" i="5"/>
  <c r="K1241" i="5"/>
  <c r="R1241" i="5"/>
  <c r="J1241" i="5"/>
  <c r="P1241" i="5"/>
  <c r="N1241" i="5"/>
  <c r="G1241" i="5"/>
  <c r="A1243" i="5" l="1"/>
  <c r="B1244" i="5"/>
  <c r="D1242" i="5"/>
  <c r="R1242" i="5"/>
  <c r="M1242" i="5"/>
  <c r="P1242" i="5"/>
  <c r="K1242" i="5"/>
  <c r="G1242" i="5"/>
  <c r="S1242" i="5"/>
  <c r="F1242" i="5"/>
  <c r="Q1242" i="5"/>
  <c r="H1242" i="5"/>
  <c r="O1242" i="5"/>
  <c r="L1242" i="5"/>
  <c r="J1242" i="5"/>
  <c r="C1242" i="5"/>
  <c r="N1242" i="5"/>
  <c r="T1242" i="5"/>
  <c r="I1242" i="5"/>
  <c r="E1242" i="5"/>
  <c r="A1244" i="5" l="1"/>
  <c r="B1245" i="5"/>
  <c r="L1243" i="5"/>
  <c r="D1243" i="5"/>
  <c r="I1243" i="5"/>
  <c r="M1243" i="5"/>
  <c r="S1243" i="5"/>
  <c r="G1243" i="5"/>
  <c r="K1243" i="5"/>
  <c r="F1243" i="5"/>
  <c r="O1243" i="5"/>
  <c r="N1243" i="5"/>
  <c r="H1243" i="5"/>
  <c r="E1243" i="5"/>
  <c r="Q1243" i="5"/>
  <c r="J1243" i="5"/>
  <c r="C1243" i="5"/>
  <c r="R1243" i="5"/>
  <c r="P1243" i="5"/>
  <c r="T1243" i="5"/>
  <c r="A1245" i="5" l="1"/>
  <c r="B1246" i="5"/>
  <c r="R1244" i="5"/>
  <c r="I1244" i="5"/>
  <c r="N1244" i="5"/>
  <c r="Q1244" i="5"/>
  <c r="F1244" i="5"/>
  <c r="T1244" i="5"/>
  <c r="M1244" i="5"/>
  <c r="E1244" i="5"/>
  <c r="S1244" i="5"/>
  <c r="J1244" i="5"/>
  <c r="P1244" i="5"/>
  <c r="H1244" i="5"/>
  <c r="C1244" i="5"/>
  <c r="O1244" i="5"/>
  <c r="L1244" i="5"/>
  <c r="D1244" i="5"/>
  <c r="K1244" i="5"/>
  <c r="G1244" i="5"/>
  <c r="A1246" i="5" l="1"/>
  <c r="B1247" i="5"/>
  <c r="C1245" i="5"/>
  <c r="O1245" i="5"/>
  <c r="Q1245" i="5"/>
  <c r="K1245" i="5"/>
  <c r="F1245" i="5"/>
  <c r="T1245" i="5"/>
  <c r="M1245" i="5"/>
  <c r="N1245" i="5"/>
  <c r="P1245" i="5"/>
  <c r="S1245" i="5"/>
  <c r="G1245" i="5"/>
  <c r="R1245" i="5"/>
  <c r="H1245" i="5"/>
  <c r="D1245" i="5"/>
  <c r="I1245" i="5"/>
  <c r="J1245" i="5"/>
  <c r="L1245" i="5"/>
  <c r="E1245" i="5"/>
  <c r="A1247" i="5" l="1"/>
  <c r="B1248" i="5"/>
  <c r="D1246" i="5"/>
  <c r="S1246" i="5"/>
  <c r="P1246" i="5"/>
  <c r="C1246" i="5"/>
  <c r="T1246" i="5"/>
  <c r="H1246" i="5"/>
  <c r="F1246" i="5"/>
  <c r="I1246" i="5"/>
  <c r="E1246" i="5"/>
  <c r="J1246" i="5"/>
  <c r="Q1246" i="5"/>
  <c r="G1246" i="5"/>
  <c r="K1246" i="5"/>
  <c r="M1246" i="5"/>
  <c r="L1246" i="5"/>
  <c r="R1246" i="5"/>
  <c r="N1246" i="5"/>
  <c r="O1246" i="5"/>
  <c r="A1248" i="5" l="1"/>
  <c r="B1249" i="5"/>
  <c r="P1247" i="5"/>
  <c r="D1247" i="5"/>
  <c r="Q1247" i="5"/>
  <c r="F1247" i="5"/>
  <c r="E1247" i="5"/>
  <c r="O1247" i="5"/>
  <c r="T1247" i="5"/>
  <c r="K1247" i="5"/>
  <c r="I1247" i="5"/>
  <c r="J1247" i="5"/>
  <c r="S1247" i="5"/>
  <c r="R1247" i="5"/>
  <c r="H1247" i="5"/>
  <c r="N1247" i="5"/>
  <c r="C1247" i="5"/>
  <c r="L1247" i="5"/>
  <c r="G1247" i="5"/>
  <c r="M1247" i="5"/>
  <c r="A1249" i="5" l="1"/>
  <c r="B1250" i="5"/>
  <c r="J1248" i="5"/>
  <c r="L1248" i="5"/>
  <c r="M1248" i="5"/>
  <c r="I1248" i="5"/>
  <c r="E1248" i="5"/>
  <c r="Q1248" i="5"/>
  <c r="K1248" i="5"/>
  <c r="O1248" i="5"/>
  <c r="H1248" i="5"/>
  <c r="T1248" i="5"/>
  <c r="R1248" i="5"/>
  <c r="F1248" i="5"/>
  <c r="S1248" i="5"/>
  <c r="C1248" i="5"/>
  <c r="P1248" i="5"/>
  <c r="N1248" i="5"/>
  <c r="G1248" i="5"/>
  <c r="D1248" i="5"/>
  <c r="A1250" i="5" l="1"/>
  <c r="B1251" i="5"/>
  <c r="L1249" i="5"/>
  <c r="H1249" i="5"/>
  <c r="I1249" i="5"/>
  <c r="T1249" i="5"/>
  <c r="G1249" i="5"/>
  <c r="F1249" i="5"/>
  <c r="K1249" i="5"/>
  <c r="Q1249" i="5"/>
  <c r="O1249" i="5"/>
  <c r="M1249" i="5"/>
  <c r="P1249" i="5"/>
  <c r="J1249" i="5"/>
  <c r="N1249" i="5"/>
  <c r="S1249" i="5"/>
  <c r="E1249" i="5"/>
  <c r="R1249" i="5"/>
  <c r="D1249" i="5"/>
  <c r="C1249" i="5"/>
  <c r="A1251" i="5" l="1"/>
  <c r="B1252" i="5"/>
  <c r="S1250" i="5"/>
  <c r="H1250" i="5"/>
  <c r="K1250" i="5"/>
  <c r="O1250" i="5"/>
  <c r="Q1250" i="5"/>
  <c r="F1250" i="5"/>
  <c r="M1250" i="5"/>
  <c r="G1250" i="5"/>
  <c r="C1250" i="5"/>
  <c r="E1250" i="5"/>
  <c r="J1250" i="5"/>
  <c r="N1250" i="5"/>
  <c r="I1250" i="5"/>
  <c r="T1250" i="5"/>
  <c r="R1250" i="5"/>
  <c r="D1250" i="5"/>
  <c r="L1250" i="5"/>
  <c r="P1250" i="5"/>
  <c r="A1252" i="5" l="1"/>
  <c r="B1253" i="5"/>
  <c r="C1251" i="5"/>
  <c r="S1251" i="5"/>
  <c r="F1251" i="5"/>
  <c r="O1251" i="5"/>
  <c r="J1251" i="5"/>
  <c r="T1251" i="5"/>
  <c r="L1251" i="5"/>
  <c r="H1251" i="5"/>
  <c r="E1251" i="5"/>
  <c r="M1251" i="5"/>
  <c r="P1251" i="5"/>
  <c r="D1251" i="5"/>
  <c r="K1251" i="5"/>
  <c r="R1251" i="5"/>
  <c r="G1251" i="5"/>
  <c r="I1251" i="5"/>
  <c r="N1251" i="5"/>
  <c r="Q1251" i="5"/>
  <c r="A1253" i="5" l="1"/>
  <c r="B1254" i="5"/>
  <c r="E1252" i="5"/>
  <c r="F1252" i="5"/>
  <c r="J1252" i="5"/>
  <c r="G1252" i="5"/>
  <c r="D1252" i="5"/>
  <c r="L1252" i="5"/>
  <c r="Q1252" i="5"/>
  <c r="C1252" i="5"/>
  <c r="K1252" i="5"/>
  <c r="P1252" i="5"/>
  <c r="N1252" i="5"/>
  <c r="S1252" i="5"/>
  <c r="H1252" i="5"/>
  <c r="M1252" i="5"/>
  <c r="O1252" i="5"/>
  <c r="I1252" i="5"/>
  <c r="T1252" i="5"/>
  <c r="R1252" i="5"/>
  <c r="A1254" i="5" l="1"/>
  <c r="B1255" i="5"/>
  <c r="I1253" i="5"/>
  <c r="M1253" i="5"/>
  <c r="P1253" i="5"/>
  <c r="S1253" i="5"/>
  <c r="C1253" i="5"/>
  <c r="G1253" i="5"/>
  <c r="J1253" i="5"/>
  <c r="E1253" i="5"/>
  <c r="T1253" i="5"/>
  <c r="N1253" i="5"/>
  <c r="D1253" i="5"/>
  <c r="R1253" i="5"/>
  <c r="H1253" i="5"/>
  <c r="O1253" i="5"/>
  <c r="F1253" i="5"/>
  <c r="L1253" i="5"/>
  <c r="Q1253" i="5"/>
  <c r="K1253" i="5"/>
  <c r="A1255" i="5" l="1"/>
  <c r="B1256" i="5"/>
  <c r="N1254" i="5"/>
  <c r="O1254" i="5"/>
  <c r="M1254" i="5"/>
  <c r="J1254" i="5"/>
  <c r="E1254" i="5"/>
  <c r="Q1254" i="5"/>
  <c r="L1254" i="5"/>
  <c r="R1254" i="5"/>
  <c r="C1254" i="5"/>
  <c r="D1254" i="5"/>
  <c r="P1254" i="5"/>
  <c r="S1254" i="5"/>
  <c r="T1254" i="5"/>
  <c r="K1254" i="5"/>
  <c r="F1254" i="5"/>
  <c r="I1254" i="5"/>
  <c r="H1254" i="5"/>
  <c r="G1254" i="5"/>
  <c r="A1256" i="5" l="1"/>
  <c r="B1257" i="5"/>
  <c r="N1255" i="5"/>
  <c r="D1255" i="5"/>
  <c r="S1255" i="5"/>
  <c r="M1255" i="5"/>
  <c r="J1255" i="5"/>
  <c r="Q1255" i="5"/>
  <c r="R1255" i="5"/>
  <c r="E1255" i="5"/>
  <c r="H1255" i="5"/>
  <c r="O1255" i="5"/>
  <c r="I1255" i="5"/>
  <c r="K1255" i="5"/>
  <c r="P1255" i="5"/>
  <c r="C1255" i="5"/>
  <c r="T1255" i="5"/>
  <c r="F1255" i="5"/>
  <c r="L1255" i="5"/>
  <c r="G1255" i="5"/>
  <c r="A1257" i="5" l="1"/>
  <c r="B1258" i="5"/>
  <c r="K1256" i="5"/>
  <c r="P1256" i="5"/>
  <c r="H1256" i="5"/>
  <c r="J1256" i="5"/>
  <c r="M1256" i="5"/>
  <c r="N1256" i="5"/>
  <c r="E1256" i="5"/>
  <c r="F1256" i="5"/>
  <c r="C1256" i="5"/>
  <c r="R1256" i="5"/>
  <c r="G1256" i="5"/>
  <c r="Q1256" i="5"/>
  <c r="L1256" i="5"/>
  <c r="S1256" i="5"/>
  <c r="O1256" i="5"/>
  <c r="I1256" i="5"/>
  <c r="T1256" i="5"/>
  <c r="D1256" i="5"/>
  <c r="A1258" i="5" l="1"/>
  <c r="B1259" i="5"/>
  <c r="S1257" i="5"/>
  <c r="D1257" i="5"/>
  <c r="O1257" i="5"/>
  <c r="P1257" i="5"/>
  <c r="L1257" i="5"/>
  <c r="G1257" i="5"/>
  <c r="H1257" i="5"/>
  <c r="K1257" i="5"/>
  <c r="C1257" i="5"/>
  <c r="N1257" i="5"/>
  <c r="E1257" i="5"/>
  <c r="M1257" i="5"/>
  <c r="J1257" i="5"/>
  <c r="F1257" i="5"/>
  <c r="I1257" i="5"/>
  <c r="T1257" i="5"/>
  <c r="Q1257" i="5"/>
  <c r="R1257" i="5"/>
  <c r="A1259" i="5" l="1"/>
  <c r="B1260" i="5"/>
  <c r="O1258" i="5"/>
  <c r="K1258" i="5"/>
  <c r="N1258" i="5"/>
  <c r="S1258" i="5"/>
  <c r="R1258" i="5"/>
  <c r="L1258" i="5"/>
  <c r="P1258" i="5"/>
  <c r="E1258" i="5"/>
  <c r="J1258" i="5"/>
  <c r="T1258" i="5"/>
  <c r="F1258" i="5"/>
  <c r="I1258" i="5"/>
  <c r="D1258" i="5"/>
  <c r="H1258" i="5"/>
  <c r="G1258" i="5"/>
  <c r="M1258" i="5"/>
  <c r="C1258" i="5"/>
  <c r="Q1258" i="5"/>
  <c r="A1260" i="5" l="1"/>
  <c r="B1261" i="5"/>
  <c r="S1259" i="5"/>
  <c r="T1259" i="5"/>
  <c r="C1259" i="5"/>
  <c r="J1259" i="5"/>
  <c r="P1259" i="5"/>
  <c r="E1259" i="5"/>
  <c r="O1259" i="5"/>
  <c r="D1259" i="5"/>
  <c r="G1259" i="5"/>
  <c r="N1259" i="5"/>
  <c r="K1259" i="5"/>
  <c r="Q1259" i="5"/>
  <c r="F1259" i="5"/>
  <c r="M1259" i="5"/>
  <c r="R1259" i="5"/>
  <c r="H1259" i="5"/>
  <c r="L1259" i="5"/>
  <c r="I1259" i="5"/>
  <c r="A1261" i="5" l="1"/>
  <c r="B1262" i="5"/>
  <c r="P1260" i="5"/>
  <c r="F1260" i="5"/>
  <c r="R1260" i="5"/>
  <c r="M1260" i="5"/>
  <c r="H1260" i="5"/>
  <c r="I1260" i="5"/>
  <c r="D1260" i="5"/>
  <c r="T1260" i="5"/>
  <c r="Q1260" i="5"/>
  <c r="K1260" i="5"/>
  <c r="G1260" i="5"/>
  <c r="L1260" i="5"/>
  <c r="S1260" i="5"/>
  <c r="C1260" i="5"/>
  <c r="N1260" i="5"/>
  <c r="E1260" i="5"/>
  <c r="O1260" i="5"/>
  <c r="J1260" i="5"/>
  <c r="A1262" i="5" l="1"/>
  <c r="B1263" i="5"/>
  <c r="D1261" i="5"/>
  <c r="E1261" i="5"/>
  <c r="S1261" i="5"/>
  <c r="K1261" i="5"/>
  <c r="Q1261" i="5"/>
  <c r="R1261" i="5"/>
  <c r="J1261" i="5"/>
  <c r="F1261" i="5"/>
  <c r="O1261" i="5"/>
  <c r="P1261" i="5"/>
  <c r="T1261" i="5"/>
  <c r="N1261" i="5"/>
  <c r="M1261" i="5"/>
  <c r="H1261" i="5"/>
  <c r="L1261" i="5"/>
  <c r="C1261" i="5"/>
  <c r="I1261" i="5"/>
  <c r="G1261" i="5"/>
  <c r="A1263" i="5" l="1"/>
  <c r="B1264" i="5"/>
  <c r="J1262" i="5"/>
  <c r="Q1262" i="5"/>
  <c r="K1262" i="5"/>
  <c r="T1262" i="5"/>
  <c r="D1262" i="5"/>
  <c r="N1262" i="5"/>
  <c r="S1262" i="5"/>
  <c r="E1262" i="5"/>
  <c r="C1262" i="5"/>
  <c r="I1262" i="5"/>
  <c r="L1262" i="5"/>
  <c r="P1262" i="5"/>
  <c r="O1262" i="5"/>
  <c r="H1262" i="5"/>
  <c r="R1262" i="5"/>
  <c r="F1262" i="5"/>
  <c r="M1262" i="5"/>
  <c r="G1262" i="5"/>
  <c r="A1264" i="5" l="1"/>
  <c r="B1265" i="5"/>
  <c r="G1263" i="5"/>
  <c r="R1263" i="5"/>
  <c r="E1263" i="5"/>
  <c r="Q1263" i="5"/>
  <c r="M1263" i="5"/>
  <c r="K1263" i="5"/>
  <c r="F1263" i="5"/>
  <c r="O1263" i="5"/>
  <c r="J1263" i="5"/>
  <c r="H1263" i="5"/>
  <c r="D1263" i="5"/>
  <c r="L1263" i="5"/>
  <c r="T1263" i="5"/>
  <c r="N1263" i="5"/>
  <c r="S1263" i="5"/>
  <c r="I1263" i="5"/>
  <c r="C1263" i="5"/>
  <c r="P1263" i="5"/>
  <c r="A1265" i="5" l="1"/>
  <c r="B1266" i="5"/>
  <c r="L1264" i="5"/>
  <c r="S1264" i="5"/>
  <c r="Q1264" i="5"/>
  <c r="P1264" i="5"/>
  <c r="O1264" i="5"/>
  <c r="H1264" i="5"/>
  <c r="M1264" i="5"/>
  <c r="N1264" i="5"/>
  <c r="J1264" i="5"/>
  <c r="T1264" i="5"/>
  <c r="F1264" i="5"/>
  <c r="D1264" i="5"/>
  <c r="E1264" i="5"/>
  <c r="G1264" i="5"/>
  <c r="I1264" i="5"/>
  <c r="C1264" i="5"/>
  <c r="K1264" i="5"/>
  <c r="R1264" i="5"/>
  <c r="A1266" i="5" l="1"/>
  <c r="B1267" i="5"/>
  <c r="K1265" i="5"/>
  <c r="Q1265" i="5"/>
  <c r="L1265" i="5"/>
  <c r="P1265" i="5"/>
  <c r="T1265" i="5"/>
  <c r="I1265" i="5"/>
  <c r="R1265" i="5"/>
  <c r="E1265" i="5"/>
  <c r="J1265" i="5"/>
  <c r="N1265" i="5"/>
  <c r="S1265" i="5"/>
  <c r="O1265" i="5"/>
  <c r="C1265" i="5"/>
  <c r="M1265" i="5"/>
  <c r="D1265" i="5"/>
  <c r="H1265" i="5"/>
  <c r="G1265" i="5"/>
  <c r="F1265" i="5"/>
  <c r="A1267" i="5" l="1"/>
  <c r="B1268" i="5"/>
  <c r="T1266" i="5"/>
  <c r="C1266" i="5"/>
  <c r="Q1266" i="5"/>
  <c r="H1266" i="5"/>
  <c r="M1266" i="5"/>
  <c r="P1266" i="5"/>
  <c r="R1266" i="5"/>
  <c r="K1266" i="5"/>
  <c r="S1266" i="5"/>
  <c r="N1266" i="5"/>
  <c r="D1266" i="5"/>
  <c r="I1266" i="5"/>
  <c r="F1266" i="5"/>
  <c r="J1266" i="5"/>
  <c r="G1266" i="5"/>
  <c r="L1266" i="5"/>
  <c r="O1266" i="5"/>
  <c r="E1266" i="5"/>
  <c r="A1268" i="5" l="1"/>
  <c r="B1269" i="5"/>
  <c r="C1267" i="5"/>
  <c r="E1267" i="5"/>
  <c r="T1267" i="5"/>
  <c r="G1267" i="5"/>
  <c r="I1267" i="5"/>
  <c r="D1267" i="5"/>
  <c r="K1267" i="5"/>
  <c r="O1267" i="5"/>
  <c r="N1267" i="5"/>
  <c r="Q1267" i="5"/>
  <c r="L1267" i="5"/>
  <c r="R1267" i="5"/>
  <c r="H1267" i="5"/>
  <c r="P1267" i="5"/>
  <c r="S1267" i="5"/>
  <c r="M1267" i="5"/>
  <c r="F1267" i="5"/>
  <c r="J1267" i="5"/>
  <c r="A1269" i="5" l="1"/>
  <c r="B1270" i="5"/>
  <c r="F1268" i="5"/>
  <c r="G1268" i="5"/>
  <c r="K1268" i="5"/>
  <c r="E1268" i="5"/>
  <c r="I1268" i="5"/>
  <c r="H1268" i="5"/>
  <c r="R1268" i="5"/>
  <c r="O1268" i="5"/>
  <c r="Q1268" i="5"/>
  <c r="S1268" i="5"/>
  <c r="D1268" i="5"/>
  <c r="C1268" i="5"/>
  <c r="T1268" i="5"/>
  <c r="N1268" i="5"/>
  <c r="M1268" i="5"/>
  <c r="J1268" i="5"/>
  <c r="P1268" i="5"/>
  <c r="L1268" i="5"/>
  <c r="A1270" i="5" l="1"/>
  <c r="B1271" i="5"/>
  <c r="E1269" i="5"/>
  <c r="H1269" i="5"/>
  <c r="F1269" i="5"/>
  <c r="J1269" i="5"/>
  <c r="R1269" i="5"/>
  <c r="I1269" i="5"/>
  <c r="L1269" i="5"/>
  <c r="D1269" i="5"/>
  <c r="K1269" i="5"/>
  <c r="S1269" i="5"/>
  <c r="N1269" i="5"/>
  <c r="M1269" i="5"/>
  <c r="G1269" i="5"/>
  <c r="C1269" i="5"/>
  <c r="T1269" i="5"/>
  <c r="P1269" i="5"/>
  <c r="Q1269" i="5"/>
  <c r="O1269" i="5"/>
  <c r="A1271" i="5" l="1"/>
  <c r="B1272" i="5"/>
  <c r="K1270" i="5"/>
  <c r="P1270" i="5"/>
  <c r="I1270" i="5"/>
  <c r="J1270" i="5"/>
  <c r="Q1270" i="5"/>
  <c r="R1270" i="5"/>
  <c r="D1270" i="5"/>
  <c r="S1270" i="5"/>
  <c r="M1270" i="5"/>
  <c r="H1270" i="5"/>
  <c r="O1270" i="5"/>
  <c r="T1270" i="5"/>
  <c r="L1270" i="5"/>
  <c r="C1270" i="5"/>
  <c r="G1270" i="5"/>
  <c r="N1270" i="5"/>
  <c r="F1270" i="5"/>
  <c r="E1270" i="5"/>
  <c r="A1272" i="5" l="1"/>
  <c r="B1273" i="5"/>
  <c r="R1271" i="5"/>
  <c r="H1271" i="5"/>
  <c r="J1271" i="5"/>
  <c r="M1271" i="5"/>
  <c r="S1271" i="5"/>
  <c r="D1271" i="5"/>
  <c r="G1271" i="5"/>
  <c r="O1271" i="5"/>
  <c r="K1271" i="5"/>
  <c r="C1271" i="5"/>
  <c r="E1271" i="5"/>
  <c r="T1271" i="5"/>
  <c r="I1271" i="5"/>
  <c r="Q1271" i="5"/>
  <c r="N1271" i="5"/>
  <c r="L1271" i="5"/>
  <c r="P1271" i="5"/>
  <c r="F1271" i="5"/>
  <c r="A1273" i="5" l="1"/>
  <c r="B1274" i="5"/>
  <c r="H1272" i="5"/>
  <c r="T1272" i="5"/>
  <c r="J1272" i="5"/>
  <c r="S1272" i="5"/>
  <c r="Q1272" i="5"/>
  <c r="L1272" i="5"/>
  <c r="K1272" i="5"/>
  <c r="M1272" i="5"/>
  <c r="N1272" i="5"/>
  <c r="F1272" i="5"/>
  <c r="D1272" i="5"/>
  <c r="G1272" i="5"/>
  <c r="E1272" i="5"/>
  <c r="I1272" i="5"/>
  <c r="P1272" i="5"/>
  <c r="C1272" i="5"/>
  <c r="R1272" i="5"/>
  <c r="O1272" i="5"/>
  <c r="A1274" i="5" l="1"/>
  <c r="B1275" i="5"/>
  <c r="H1273" i="5"/>
  <c r="J1273" i="5"/>
  <c r="F1273" i="5"/>
  <c r="E1273" i="5"/>
  <c r="N1273" i="5"/>
  <c r="D1273" i="5"/>
  <c r="C1273" i="5"/>
  <c r="P1273" i="5"/>
  <c r="M1273" i="5"/>
  <c r="G1273" i="5"/>
  <c r="T1273" i="5"/>
  <c r="L1273" i="5"/>
  <c r="K1273" i="5"/>
  <c r="S1273" i="5"/>
  <c r="Q1273" i="5"/>
  <c r="O1273" i="5"/>
  <c r="I1273" i="5"/>
  <c r="R1273" i="5"/>
  <c r="A1275" i="5" l="1"/>
  <c r="B1276" i="5"/>
  <c r="N1274" i="5"/>
  <c r="L1274" i="5"/>
  <c r="G1274" i="5"/>
  <c r="D1274" i="5"/>
  <c r="P1274" i="5"/>
  <c r="R1274" i="5"/>
  <c r="S1274" i="5"/>
  <c r="I1274" i="5"/>
  <c r="K1274" i="5"/>
  <c r="M1274" i="5"/>
  <c r="J1274" i="5"/>
  <c r="C1274" i="5"/>
  <c r="F1274" i="5"/>
  <c r="O1274" i="5"/>
  <c r="T1274" i="5"/>
  <c r="Q1274" i="5"/>
  <c r="H1274" i="5"/>
  <c r="E1274" i="5"/>
  <c r="A1276" i="5" l="1"/>
  <c r="B1277" i="5"/>
  <c r="D1275" i="5"/>
  <c r="L1275" i="5"/>
  <c r="Q1275" i="5"/>
  <c r="N1275" i="5"/>
  <c r="M1275" i="5"/>
  <c r="G1275" i="5"/>
  <c r="S1275" i="5"/>
  <c r="R1275" i="5"/>
  <c r="J1275" i="5"/>
  <c r="I1275" i="5"/>
  <c r="K1275" i="5"/>
  <c r="E1275" i="5"/>
  <c r="C1275" i="5"/>
  <c r="P1275" i="5"/>
  <c r="T1275" i="5"/>
  <c r="O1275" i="5"/>
  <c r="H1275" i="5"/>
  <c r="F1275" i="5"/>
  <c r="A1277" i="5" l="1"/>
  <c r="B1278" i="5"/>
  <c r="D1276" i="5"/>
  <c r="L1276" i="5"/>
  <c r="R1276" i="5"/>
  <c r="M1276" i="5"/>
  <c r="K1276" i="5"/>
  <c r="Q1276" i="5"/>
  <c r="G1276" i="5"/>
  <c r="F1276" i="5"/>
  <c r="C1276" i="5"/>
  <c r="I1276" i="5"/>
  <c r="T1276" i="5"/>
  <c r="H1276" i="5"/>
  <c r="J1276" i="5"/>
  <c r="N1276" i="5"/>
  <c r="O1276" i="5"/>
  <c r="P1276" i="5"/>
  <c r="S1276" i="5"/>
  <c r="E1276" i="5"/>
  <c r="A1278" i="5" l="1"/>
  <c r="B1279" i="5"/>
  <c r="L1277" i="5"/>
  <c r="M1277" i="5"/>
  <c r="E1277" i="5"/>
  <c r="J1277" i="5"/>
  <c r="I1277" i="5"/>
  <c r="D1277" i="5"/>
  <c r="K1277" i="5"/>
  <c r="Q1277" i="5"/>
  <c r="N1277" i="5"/>
  <c r="T1277" i="5"/>
  <c r="G1277" i="5"/>
  <c r="P1277" i="5"/>
  <c r="R1277" i="5"/>
  <c r="O1277" i="5"/>
  <c r="F1277" i="5"/>
  <c r="H1277" i="5"/>
  <c r="S1277" i="5"/>
  <c r="C1277" i="5"/>
  <c r="A1279" i="5" l="1"/>
  <c r="B1280" i="5"/>
  <c r="L1278" i="5"/>
  <c r="C1278" i="5"/>
  <c r="E1278" i="5"/>
  <c r="Q1278" i="5"/>
  <c r="M1278" i="5"/>
  <c r="R1278" i="5"/>
  <c r="I1278" i="5"/>
  <c r="G1278" i="5"/>
  <c r="H1278" i="5"/>
  <c r="T1278" i="5"/>
  <c r="F1278" i="5"/>
  <c r="K1278" i="5"/>
  <c r="D1278" i="5"/>
  <c r="S1278" i="5"/>
  <c r="P1278" i="5"/>
  <c r="O1278" i="5"/>
  <c r="J1278" i="5"/>
  <c r="N1278" i="5"/>
  <c r="A1280" i="5" l="1"/>
  <c r="B1281" i="5"/>
  <c r="R1279" i="5"/>
  <c r="N1279" i="5"/>
  <c r="J1279" i="5"/>
  <c r="D1279" i="5"/>
  <c r="M1279" i="5"/>
  <c r="O1279" i="5"/>
  <c r="C1279" i="5"/>
  <c r="Q1279" i="5"/>
  <c r="G1279" i="5"/>
  <c r="K1279" i="5"/>
  <c r="L1279" i="5"/>
  <c r="E1279" i="5"/>
  <c r="I1279" i="5"/>
  <c r="H1279" i="5"/>
  <c r="F1279" i="5"/>
  <c r="P1279" i="5"/>
  <c r="S1279" i="5"/>
  <c r="T1279" i="5"/>
  <c r="F121" i="44"/>
  <c r="A121" i="44" s="1"/>
  <c r="F122" i="44"/>
  <c r="F127" i="44"/>
  <c r="F124" i="44"/>
  <c r="F125" i="44"/>
  <c r="F123" i="44"/>
  <c r="F126" i="44"/>
  <c r="A1281" i="5" l="1"/>
  <c r="B1282" i="5"/>
  <c r="S1280" i="5"/>
  <c r="D1280" i="5"/>
  <c r="K1280" i="5"/>
  <c r="G1280" i="5"/>
  <c r="R1280" i="5"/>
  <c r="L1280" i="5"/>
  <c r="O1280" i="5"/>
  <c r="I1280" i="5"/>
  <c r="E1280" i="5"/>
  <c r="Q1280" i="5"/>
  <c r="M1280" i="5"/>
  <c r="J1280" i="5"/>
  <c r="T1280" i="5"/>
  <c r="F1280" i="5"/>
  <c r="N1280" i="5"/>
  <c r="H1280" i="5"/>
  <c r="C1280" i="5"/>
  <c r="P1280" i="5"/>
  <c r="A1282" i="5" l="1"/>
  <c r="B1283" i="5"/>
  <c r="K1281" i="5"/>
  <c r="F1281" i="5"/>
  <c r="E1281" i="5"/>
  <c r="P1281" i="5"/>
  <c r="D1281" i="5"/>
  <c r="N1281" i="5"/>
  <c r="R1281" i="5"/>
  <c r="O1281" i="5"/>
  <c r="J1281" i="5"/>
  <c r="L1281" i="5"/>
  <c r="C1281" i="5"/>
  <c r="Q1281" i="5"/>
  <c r="G1281" i="5"/>
  <c r="I1281" i="5"/>
  <c r="M1281" i="5"/>
  <c r="S1281" i="5"/>
  <c r="T1281" i="5"/>
  <c r="H1281" i="5"/>
  <c r="A1283" i="5" l="1"/>
  <c r="B1284" i="5"/>
  <c r="N1282" i="5"/>
  <c r="C1282" i="5"/>
  <c r="J1282" i="5"/>
  <c r="H1282" i="5"/>
  <c r="P1282" i="5"/>
  <c r="L1282" i="5"/>
  <c r="E1282" i="5"/>
  <c r="M1282" i="5"/>
  <c r="R1282" i="5"/>
  <c r="K1282" i="5"/>
  <c r="Q1282" i="5"/>
  <c r="S1282" i="5"/>
  <c r="I1282" i="5"/>
  <c r="D1282" i="5"/>
  <c r="O1282" i="5"/>
  <c r="T1282" i="5"/>
  <c r="G1282" i="5"/>
  <c r="F1282" i="5"/>
  <c r="A1284" i="5" l="1"/>
  <c r="B1285" i="5"/>
  <c r="I1283" i="5"/>
  <c r="J1283" i="5"/>
  <c r="E1283" i="5"/>
  <c r="O1283" i="5"/>
  <c r="M1283" i="5"/>
  <c r="Q1283" i="5"/>
  <c r="S1283" i="5"/>
  <c r="D1283" i="5"/>
  <c r="R1283" i="5"/>
  <c r="K1283" i="5"/>
  <c r="H1283" i="5"/>
  <c r="F1283" i="5"/>
  <c r="N1283" i="5"/>
  <c r="T1283" i="5"/>
  <c r="C1283" i="5"/>
  <c r="L1283" i="5"/>
  <c r="G1283" i="5"/>
  <c r="P1283" i="5"/>
  <c r="A1285" i="5" l="1"/>
  <c r="B1286" i="5"/>
  <c r="A1286" i="5" s="1"/>
  <c r="M1284" i="5"/>
  <c r="N1284" i="5"/>
  <c r="D1284" i="5"/>
  <c r="F1284" i="5"/>
  <c r="O1284" i="5"/>
  <c r="L1284" i="5"/>
  <c r="I1284" i="5"/>
  <c r="C1284" i="5"/>
  <c r="G1284" i="5"/>
  <c r="Q1284" i="5"/>
  <c r="J1284" i="5"/>
  <c r="T1284" i="5"/>
  <c r="R1284" i="5"/>
  <c r="K1284" i="5"/>
  <c r="S1284" i="5"/>
  <c r="E1284" i="5"/>
  <c r="H1284" i="5"/>
  <c r="P1284" i="5"/>
  <c r="R1286" i="5" l="1"/>
  <c r="Q1286" i="5"/>
  <c r="J1286" i="5"/>
  <c r="O1286" i="5"/>
  <c r="D1286" i="5"/>
  <c r="P1286" i="5"/>
  <c r="E1286" i="5"/>
  <c r="S1286" i="5"/>
  <c r="M1286" i="5"/>
  <c r="K1286" i="5"/>
  <c r="T1286" i="5"/>
  <c r="C1286" i="5"/>
  <c r="L1286" i="5"/>
  <c r="I1286" i="5"/>
  <c r="G1286" i="5"/>
  <c r="N1286" i="5"/>
  <c r="H1286" i="5"/>
  <c r="F1286" i="5"/>
  <c r="D1285" i="5"/>
  <c r="K1285" i="5"/>
  <c r="F1285" i="5"/>
  <c r="H1285" i="5"/>
  <c r="S1285" i="5"/>
  <c r="C1285" i="5"/>
  <c r="J1285" i="5"/>
  <c r="Q1285" i="5"/>
  <c r="M1285" i="5"/>
  <c r="O1285" i="5"/>
  <c r="G1285" i="5"/>
  <c r="R1285" i="5"/>
  <c r="P1285" i="5"/>
  <c r="I1285" i="5"/>
  <c r="L1285" i="5"/>
  <c r="T1285" i="5"/>
  <c r="N1285" i="5"/>
  <c r="E1285" i="5"/>
  <c r="G1568" i="44" l="1"/>
  <c r="G1569" i="44" s="1"/>
  <c r="G1570" i="44" s="1"/>
  <c r="G1571" i="44" s="1"/>
  <c r="G1572" i="44" s="1"/>
  <c r="G1573" i="44" s="1"/>
  <c r="G1574" i="44" s="1"/>
  <c r="G1575" i="44" s="1"/>
  <c r="G1576" i="44" s="1"/>
  <c r="G1577" i="44" s="1"/>
  <c r="G1578" i="44" s="1"/>
  <c r="G1579" i="44" s="1"/>
  <c r="G1580" i="44" s="1"/>
  <c r="G1581" i="44" s="1"/>
  <c r="G1582" i="44" s="1"/>
  <c r="G1105" i="44" l="1"/>
  <c r="G1106" i="44" s="1"/>
  <c r="G1107" i="44" s="1"/>
  <c r="G1108" i="44" s="1"/>
  <c r="G1109" i="44" s="1"/>
  <c r="G1110" i="44" s="1"/>
  <c r="G1111" i="44" s="1"/>
  <c r="G1112" i="44" s="1"/>
  <c r="G1113" i="44" s="1"/>
  <c r="G1114" i="44" s="1"/>
  <c r="G1115" i="44" s="1"/>
  <c r="G1116" i="44" s="1"/>
  <c r="G1117" i="44" s="1"/>
  <c r="G1118" i="44" s="1"/>
  <c r="G1119" i="44" s="1"/>
  <c r="G1120" i="44" s="1"/>
  <c r="G1121" i="44" s="1"/>
  <c r="G1122" i="44" s="1"/>
  <c r="G1123" i="44" s="1"/>
  <c r="G1124" i="44" s="1"/>
  <c r="G1125" i="44" s="1"/>
  <c r="G1126" i="44" s="1"/>
  <c r="G1127" i="44" s="1"/>
  <c r="G1128" i="44" s="1"/>
  <c r="G1129" i="44" s="1"/>
  <c r="G1130" i="44" s="1"/>
  <c r="G1131" i="44" s="1"/>
  <c r="G1132" i="44" s="1"/>
  <c r="G1133" i="44" s="1"/>
  <c r="L1134" i="44" l="1"/>
  <c r="F1134" i="44" l="1"/>
  <c r="D1135" i="44" l="1"/>
  <c r="L1135" i="44" s="1"/>
  <c r="F1135" i="44"/>
  <c r="D1136" i="44" l="1"/>
  <c r="L1136" i="44" s="1"/>
  <c r="D1137" i="44" l="1"/>
  <c r="L1137" i="44" s="1"/>
  <c r="F1138" i="44" l="1"/>
  <c r="A1138" i="44" s="1"/>
  <c r="S396" i="3" l="1"/>
  <c r="S397" i="3" s="1"/>
  <c r="S398" i="3" l="1"/>
  <c r="T396" i="3" s="1"/>
  <c r="T397" i="3" s="1"/>
  <c r="T398" i="3" l="1"/>
  <c r="U396" i="3" s="1"/>
  <c r="U397" i="3" s="1"/>
  <c r="U398" i="3" l="1"/>
  <c r="V396" i="3" s="1"/>
  <c r="V397" i="3" s="1"/>
  <c r="V398" i="3" l="1"/>
  <c r="W396" i="3" s="1"/>
  <c r="W397" i="3" s="1"/>
  <c r="W398" i="3" l="1"/>
  <c r="X396" i="3" s="1"/>
  <c r="X397" i="3" s="1"/>
  <c r="X398" i="3" l="1"/>
  <c r="Y396" i="3" s="1"/>
  <c r="Y397" i="3" s="1"/>
  <c r="Y398" i="3" l="1"/>
  <c r="Z396" i="3" s="1"/>
  <c r="Z397" i="3" s="1"/>
  <c r="Z398" i="3" l="1"/>
  <c r="AA396" i="3" s="1"/>
  <c r="AA397" i="3" s="1"/>
  <c r="AA398" i="3" l="1"/>
  <c r="AB396" i="3" s="1"/>
  <c r="AB397" i="3" s="1"/>
  <c r="AB398" i="3" l="1"/>
  <c r="AC396" i="3" s="1"/>
  <c r="AC397" i="3" s="1"/>
  <c r="AC398" i="3" l="1"/>
  <c r="AD396" i="3" s="1"/>
  <c r="AD397" i="3" s="1"/>
  <c r="AD398" i="3" l="1"/>
  <c r="AE396" i="3" s="1"/>
  <c r="AE397" i="3" s="1"/>
  <c r="AE398" i="3" l="1"/>
  <c r="AF396" i="3" s="1"/>
  <c r="AF397" i="3" s="1"/>
  <c r="AF398" i="3" l="1"/>
  <c r="A15" i="21" l="1"/>
  <c r="G120" i="32" l="1"/>
  <c r="G148" i="24"/>
  <c r="F894" i="3" l="1"/>
  <c r="F902" i="3"/>
  <c r="F942" i="3"/>
  <c r="F919" i="3"/>
  <c r="F937" i="3"/>
  <c r="F892" i="3"/>
  <c r="F933" i="3"/>
  <c r="F896" i="3"/>
  <c r="F906" i="3"/>
  <c r="F917" i="3"/>
  <c r="F923" i="3"/>
  <c r="F931" i="3"/>
  <c r="F900" i="3"/>
  <c r="F944" i="3"/>
  <c r="F898" i="3"/>
  <c r="F908" i="3"/>
  <c r="F946" i="3"/>
  <c r="F945" i="3"/>
  <c r="F911" i="3"/>
  <c r="F909" i="3"/>
  <c r="F905" i="3"/>
  <c r="F927" i="3"/>
  <c r="F916" i="3"/>
  <c r="F914" i="3"/>
  <c r="F936" i="3"/>
  <c r="F943" i="3"/>
  <c r="F907" i="3"/>
  <c r="F903" i="3"/>
  <c r="F913" i="3"/>
  <c r="F947" i="3"/>
  <c r="F925" i="3"/>
  <c r="F934" i="3"/>
  <c r="F904" i="3"/>
  <c r="F910" i="3"/>
  <c r="F924" i="3"/>
  <c r="F920" i="3"/>
  <c r="F928" i="3"/>
  <c r="F941" i="3"/>
  <c r="F901" i="3"/>
  <c r="F921" i="3"/>
  <c r="F897" i="3"/>
  <c r="F929" i="3"/>
  <c r="F893" i="3"/>
  <c r="F891" i="3"/>
  <c r="F912" i="3"/>
  <c r="F938" i="3"/>
  <c r="F922" i="3"/>
  <c r="F926" i="3"/>
  <c r="F939" i="3"/>
  <c r="F899" i="3"/>
  <c r="F915" i="3"/>
  <c r="F895" i="3"/>
  <c r="F918" i="3"/>
  <c r="F932" i="3"/>
  <c r="F890" i="3"/>
  <c r="F940" i="3"/>
  <c r="F930" i="3"/>
  <c r="F935" i="3"/>
  <c r="H186" i="32" l="1"/>
  <c r="G248" i="24"/>
  <c r="H922" i="3"/>
  <c r="H202" i="32"/>
  <c r="H938" i="3"/>
  <c r="G264" i="24"/>
  <c r="H191" i="32"/>
  <c r="H927" i="3"/>
  <c r="G253" i="24"/>
  <c r="H176" i="32"/>
  <c r="G238" i="24"/>
  <c r="H912" i="3"/>
  <c r="H905" i="3"/>
  <c r="G231" i="24"/>
  <c r="H169" i="32"/>
  <c r="H164" i="32"/>
  <c r="H900" i="3"/>
  <c r="G226" i="24"/>
  <c r="H201" i="32"/>
  <c r="H937" i="3"/>
  <c r="G263" i="24"/>
  <c r="G221" i="24"/>
  <c r="H159" i="32"/>
  <c r="H895" i="3"/>
  <c r="H155" i="32"/>
  <c r="H891" i="3"/>
  <c r="G217" i="24"/>
  <c r="H184" i="32"/>
  <c r="G246" i="24"/>
  <c r="H920" i="3"/>
  <c r="H167" i="32"/>
  <c r="G229" i="24"/>
  <c r="H903" i="3"/>
  <c r="H173" i="32"/>
  <c r="H909" i="3"/>
  <c r="G235" i="24"/>
  <c r="G257" i="24"/>
  <c r="H931" i="3"/>
  <c r="H195" i="32"/>
  <c r="H183" i="32"/>
  <c r="G245" i="24"/>
  <c r="H919" i="3"/>
  <c r="H165" i="32"/>
  <c r="H901" i="3"/>
  <c r="G227" i="24"/>
  <c r="H196" i="32"/>
  <c r="H932" i="3"/>
  <c r="G258" i="24"/>
  <c r="G273" i="24"/>
  <c r="H211" i="32"/>
  <c r="H947" i="3"/>
  <c r="G239" i="24"/>
  <c r="H913" i="3"/>
  <c r="H177" i="32"/>
  <c r="H179" i="32"/>
  <c r="H915" i="3"/>
  <c r="G241" i="24"/>
  <c r="H893" i="3"/>
  <c r="G219" i="24"/>
  <c r="H157" i="32"/>
  <c r="G250" i="24"/>
  <c r="H924" i="3"/>
  <c r="H188" i="32"/>
  <c r="G233" i="24"/>
  <c r="H907" i="3"/>
  <c r="H171" i="32"/>
  <c r="G237" i="24"/>
  <c r="H175" i="32"/>
  <c r="H911" i="3"/>
  <c r="H187" i="32"/>
  <c r="H923" i="3"/>
  <c r="G249" i="24"/>
  <c r="G268" i="24"/>
  <c r="H206" i="32"/>
  <c r="H942" i="3"/>
  <c r="G255" i="24"/>
  <c r="H929" i="3"/>
  <c r="H193" i="32"/>
  <c r="H944" i="3"/>
  <c r="H208" i="32"/>
  <c r="G270" i="24"/>
  <c r="H918" i="3"/>
  <c r="G244" i="24"/>
  <c r="H182" i="32"/>
  <c r="G225" i="24"/>
  <c r="H163" i="32"/>
  <c r="H899" i="3"/>
  <c r="H943" i="3"/>
  <c r="H207" i="32"/>
  <c r="G269" i="24"/>
  <c r="H181" i="32"/>
  <c r="H917" i="3"/>
  <c r="G243" i="24"/>
  <c r="H930" i="3"/>
  <c r="H194" i="32"/>
  <c r="G256" i="24"/>
  <c r="H203" i="32"/>
  <c r="H939" i="3"/>
  <c r="G265" i="24"/>
  <c r="G223" i="24"/>
  <c r="H897" i="3"/>
  <c r="H161" i="32"/>
  <c r="H904" i="3"/>
  <c r="G230" i="24"/>
  <c r="H168" i="32"/>
  <c r="G262" i="24"/>
  <c r="H200" i="32"/>
  <c r="H936" i="3"/>
  <c r="H946" i="3"/>
  <c r="G272" i="24"/>
  <c r="H210" i="32"/>
  <c r="H906" i="3"/>
  <c r="H170" i="32"/>
  <c r="G232" i="24"/>
  <c r="H894" i="3"/>
  <c r="H158" i="32"/>
  <c r="G220" i="24"/>
  <c r="H890" i="3"/>
  <c r="G216" i="24"/>
  <c r="H154" i="32"/>
  <c r="H925" i="3"/>
  <c r="G251" i="24"/>
  <c r="H189" i="32"/>
  <c r="H205" i="32"/>
  <c r="H941" i="3"/>
  <c r="G267" i="24"/>
  <c r="G254" i="24"/>
  <c r="H928" i="3"/>
  <c r="H192" i="32"/>
  <c r="G261" i="24"/>
  <c r="H935" i="3"/>
  <c r="H199" i="32"/>
  <c r="G236" i="24"/>
  <c r="H174" i="32"/>
  <c r="H910" i="3"/>
  <c r="H209" i="32"/>
  <c r="G271" i="24"/>
  <c r="H945" i="3"/>
  <c r="H902" i="3"/>
  <c r="G228" i="24"/>
  <c r="H166" i="32"/>
  <c r="H204" i="32"/>
  <c r="G266" i="24"/>
  <c r="H940" i="3"/>
  <c r="H926" i="3"/>
  <c r="G252" i="24"/>
  <c r="H190" i="32"/>
  <c r="H185" i="32"/>
  <c r="G247" i="24"/>
  <c r="H921" i="3"/>
  <c r="H934" i="3"/>
  <c r="G260" i="24"/>
  <c r="H198" i="32"/>
  <c r="H178" i="32"/>
  <c r="G240" i="24"/>
  <c r="H914" i="3"/>
  <c r="H908" i="3"/>
  <c r="G234" i="24"/>
  <c r="H172" i="32"/>
  <c r="G222" i="24"/>
  <c r="H896" i="3"/>
  <c r="H160" i="32"/>
  <c r="H916" i="3"/>
  <c r="G242" i="24"/>
  <c r="H180" i="32"/>
  <c r="H898" i="3"/>
  <c r="G224" i="24"/>
  <c r="H162" i="32"/>
  <c r="H197" i="32"/>
  <c r="H933" i="3"/>
  <c r="G259" i="24"/>
  <c r="G218" i="24"/>
  <c r="H892" i="3"/>
  <c r="H156" i="32"/>
  <c r="I232" i="24" l="1"/>
  <c r="J170" i="32"/>
  <c r="J207" i="32"/>
  <c r="I269" i="24"/>
  <c r="I241" i="24"/>
  <c r="J179" i="32"/>
  <c r="I221" i="24"/>
  <c r="J159" i="32"/>
  <c r="I253" i="24"/>
  <c r="J191" i="32"/>
  <c r="J172" i="32"/>
  <c r="I234" i="24"/>
  <c r="J168" i="32"/>
  <c r="I230" i="24"/>
  <c r="J163" i="32"/>
  <c r="I225" i="24"/>
  <c r="I270" i="24"/>
  <c r="J208" i="32"/>
  <c r="J187" i="32"/>
  <c r="I249" i="24"/>
  <c r="I258" i="24"/>
  <c r="J196" i="32"/>
  <c r="I218" i="24"/>
  <c r="J156" i="32"/>
  <c r="I250" i="24"/>
  <c r="J188" i="32"/>
  <c r="J184" i="32"/>
  <c r="I246" i="24"/>
  <c r="I242" i="24"/>
  <c r="J180" i="32"/>
  <c r="J166" i="32"/>
  <c r="I228" i="24"/>
  <c r="I261" i="24"/>
  <c r="J199" i="32"/>
  <c r="I267" i="24"/>
  <c r="J205" i="32"/>
  <c r="I272" i="24"/>
  <c r="J210" i="32"/>
  <c r="I223" i="24"/>
  <c r="J161" i="32"/>
  <c r="I255" i="24"/>
  <c r="J193" i="32"/>
  <c r="I237" i="24"/>
  <c r="J175" i="32"/>
  <c r="J177" i="32"/>
  <c r="I239" i="24"/>
  <c r="I231" i="24"/>
  <c r="J169" i="32"/>
  <c r="J202" i="32"/>
  <c r="I264" i="24"/>
  <c r="I216" i="24"/>
  <c r="J154" i="32"/>
  <c r="I256" i="24"/>
  <c r="J194" i="32"/>
  <c r="J195" i="32"/>
  <c r="I257" i="24"/>
  <c r="I259" i="24"/>
  <c r="J197" i="32"/>
  <c r="J209" i="32"/>
  <c r="I271" i="24"/>
  <c r="J200" i="32"/>
  <c r="I262" i="24"/>
  <c r="J181" i="32"/>
  <c r="I243" i="24"/>
  <c r="I227" i="24"/>
  <c r="J165" i="32"/>
  <c r="I263" i="24"/>
  <c r="J201" i="32"/>
  <c r="J176" i="32"/>
  <c r="I238" i="24"/>
  <c r="J162" i="32"/>
  <c r="I224" i="24"/>
  <c r="I247" i="24"/>
  <c r="J185" i="32"/>
  <c r="I220" i="24"/>
  <c r="J158" i="32"/>
  <c r="I268" i="24"/>
  <c r="J206" i="32"/>
  <c r="I273" i="24"/>
  <c r="J211" i="32"/>
  <c r="J173" i="32"/>
  <c r="I235" i="24"/>
  <c r="J186" i="32"/>
  <c r="I248" i="24"/>
  <c r="I240" i="24"/>
  <c r="J178" i="32"/>
  <c r="J160" i="32"/>
  <c r="I222" i="24"/>
  <c r="I252" i="24"/>
  <c r="J190" i="32"/>
  <c r="J204" i="32"/>
  <c r="I266" i="24"/>
  <c r="I254" i="24"/>
  <c r="J192" i="32"/>
  <c r="J203" i="32"/>
  <c r="I265" i="24"/>
  <c r="J182" i="32"/>
  <c r="I244" i="24"/>
  <c r="J157" i="32"/>
  <c r="I219" i="24"/>
  <c r="J183" i="32"/>
  <c r="I245" i="24"/>
  <c r="J155" i="32"/>
  <c r="I217" i="24"/>
  <c r="J198" i="32"/>
  <c r="I260" i="24"/>
  <c r="I236" i="24"/>
  <c r="J174" i="32"/>
  <c r="J189" i="32"/>
  <c r="I251" i="24"/>
  <c r="I233" i="24"/>
  <c r="J171" i="32"/>
  <c r="I229" i="24"/>
  <c r="J167" i="32"/>
  <c r="I226" i="24"/>
  <c r="J164" i="32"/>
  <c r="B524" i="3" l="1"/>
  <c r="B526" i="3" s="1"/>
  <c r="C524" i="3" l="1"/>
  <c r="C198" i="5"/>
  <c r="C526" i="3"/>
  <c r="B560" i="3" l="1"/>
  <c r="F73" i="32"/>
  <c r="F48" i="24"/>
  <c r="G69" i="25"/>
  <c r="B561" i="3" l="1"/>
  <c r="C210" i="5"/>
  <c r="B627" i="3"/>
  <c r="B829" i="3"/>
  <c r="F57" i="32" l="1"/>
  <c r="D561" i="3"/>
  <c r="E561" i="3" s="1"/>
  <c r="G56" i="32" s="1"/>
  <c r="C213" i="5"/>
  <c r="B840" i="3"/>
  <c r="B851" i="3"/>
  <c r="D908" i="5" s="1"/>
  <c r="B853" i="3"/>
  <c r="D910" i="5" s="1"/>
  <c r="B837" i="3"/>
  <c r="F53" i="24"/>
  <c r="G96" i="25"/>
  <c r="F78" i="32"/>
  <c r="G98" i="25"/>
  <c r="B630" i="3"/>
  <c r="F55" i="24"/>
  <c r="F80" i="32"/>
  <c r="G841" i="3" l="1"/>
  <c r="D907" i="5"/>
  <c r="E617" i="3"/>
  <c r="E39" i="43"/>
  <c r="E57" i="43" s="1"/>
  <c r="E58" i="43" s="1"/>
  <c r="C211" i="5"/>
  <c r="G842" i="3"/>
  <c r="D116" i="25" s="1"/>
  <c r="D909" i="5"/>
  <c r="B644" i="3" l="1"/>
  <c r="B645" i="3" s="1"/>
  <c r="B647" i="3" s="1"/>
  <c r="B650" i="3" s="1"/>
  <c r="B652" i="3" s="1"/>
  <c r="D56" i="32"/>
  <c r="B580" i="3"/>
  <c r="B582" i="3" s="1"/>
  <c r="B477" i="3"/>
  <c r="F74" i="25" s="1"/>
  <c r="B530" i="3"/>
  <c r="D66" i="24"/>
  <c r="B621" i="3"/>
  <c r="H74" i="25"/>
  <c r="D68" i="24"/>
  <c r="D58" i="32"/>
  <c r="G845" i="3"/>
  <c r="D120" i="25" s="1"/>
  <c r="D115" i="25"/>
  <c r="B532" i="3" l="1"/>
  <c r="C530" i="3"/>
  <c r="E619" i="3"/>
  <c r="D61" i="32" s="1"/>
  <c r="E620" i="3"/>
  <c r="F620" i="3" s="1"/>
  <c r="G620" i="3" s="1"/>
  <c r="E74" i="24" s="1"/>
  <c r="D71" i="24"/>
  <c r="B655" i="3"/>
  <c r="B664" i="3" s="1"/>
  <c r="B666" i="3" s="1"/>
  <c r="B478" i="3"/>
  <c r="F75" i="25" s="1"/>
  <c r="H75" i="25"/>
  <c r="B584" i="3"/>
  <c r="B656" i="3" l="1"/>
  <c r="B534" i="3"/>
  <c r="C532" i="3"/>
  <c r="G75" i="25" s="1"/>
  <c r="D73" i="24"/>
  <c r="B480" i="3"/>
  <c r="E74" i="32" s="1"/>
  <c r="D62" i="32"/>
  <c r="C204" i="5"/>
  <c r="E622" i="3"/>
  <c r="D75" i="24" s="1"/>
  <c r="G214" i="24"/>
  <c r="H888" i="3"/>
  <c r="H152" i="32"/>
  <c r="G215" i="24"/>
  <c r="H153" i="32"/>
  <c r="H889" i="3"/>
  <c r="E49" i="24" l="1"/>
  <c r="C200" i="5"/>
  <c r="C534" i="3"/>
  <c r="C199" i="5"/>
  <c r="F78" i="25"/>
  <c r="D64" i="32"/>
  <c r="I214" i="24"/>
  <c r="J152" i="32"/>
  <c r="J153" i="32"/>
  <c r="I215" i="24"/>
  <c r="F49" i="24" l="1"/>
  <c r="F74" i="32"/>
  <c r="G78" i="25"/>
  <c r="C26" i="44"/>
  <c r="E754" i="44"/>
  <c r="E355" i="44"/>
  <c r="C1896" i="44"/>
  <c r="H3087" i="44"/>
  <c r="E996" i="44"/>
  <c r="E1840" i="44"/>
  <c r="H2064" i="44"/>
  <c r="E508" i="44"/>
  <c r="C2829" i="44"/>
  <c r="C2485" i="44"/>
  <c r="I1647" i="44"/>
  <c r="C1900" i="44"/>
  <c r="C1773" i="44"/>
  <c r="C92" i="44"/>
  <c r="E2136" i="44"/>
  <c r="C2047" i="44"/>
  <c r="H1716" i="44"/>
  <c r="E599" i="44"/>
  <c r="H1836" i="44"/>
  <c r="E1671" i="44"/>
  <c r="C2146" i="44"/>
  <c r="E2011" i="44"/>
  <c r="E2253" i="44"/>
  <c r="H3141" i="44"/>
  <c r="E2276" i="44"/>
  <c r="C1808" i="44"/>
  <c r="H1623" i="44"/>
  <c r="E3439" i="44"/>
  <c r="H2411" i="44"/>
  <c r="H1691" i="44"/>
  <c r="E2967" i="44"/>
  <c r="E2298" i="44"/>
  <c r="E3064" i="44"/>
  <c r="E2090" i="44"/>
  <c r="C2128" i="44"/>
  <c r="I2111" i="44"/>
  <c r="H2001" i="44"/>
  <c r="C3165" i="44"/>
  <c r="C1696" i="44"/>
  <c r="C1784" i="44"/>
  <c r="C2326" i="44"/>
  <c r="C3408" i="44"/>
  <c r="E24" i="44"/>
  <c r="C2665" i="44"/>
  <c r="C1919" i="44"/>
  <c r="C617" i="44"/>
  <c r="H1622" i="44"/>
  <c r="E270" i="44"/>
  <c r="H2378" i="44"/>
  <c r="C2136" i="44"/>
  <c r="E3052" i="44"/>
  <c r="E1591" i="44"/>
  <c r="E2002" i="44"/>
  <c r="H3076" i="44"/>
  <c r="H2947" i="44"/>
  <c r="C1616" i="44"/>
  <c r="H3132" i="44"/>
  <c r="H1749" i="44"/>
  <c r="C987" i="44"/>
  <c r="C2505" i="44"/>
  <c r="C2679" i="44"/>
  <c r="C640" i="44"/>
  <c r="E3056" i="44"/>
  <c r="C1781" i="44"/>
  <c r="E1771" i="44"/>
  <c r="E999" i="44"/>
  <c r="E628" i="44"/>
  <c r="E400" i="44"/>
  <c r="E2891" i="44"/>
  <c r="C1050" i="44"/>
  <c r="C578" i="44"/>
  <c r="H2053" i="44"/>
  <c r="H3028" i="44"/>
  <c r="H3131" i="44"/>
  <c r="E2128" i="44"/>
  <c r="C2890" i="44"/>
  <c r="C397" i="44"/>
  <c r="C996" i="44"/>
  <c r="C2344" i="44"/>
  <c r="C2360" i="44"/>
  <c r="C2261" i="44"/>
  <c r="H1833" i="44"/>
  <c r="C2834" i="44"/>
  <c r="E3147" i="44"/>
  <c r="E699" i="44"/>
  <c r="C988" i="44"/>
  <c r="C1685" i="44"/>
  <c r="C898" i="44"/>
  <c r="E727" i="44"/>
  <c r="E588" i="44"/>
  <c r="E872" i="44"/>
  <c r="C360" i="44"/>
  <c r="H1961" i="44"/>
  <c r="E1059" i="44"/>
  <c r="H2641" i="44"/>
  <c r="C2551" i="44"/>
  <c r="C2547" i="44"/>
  <c r="E317" i="44"/>
  <c r="C847" i="44"/>
  <c r="H2878" i="44"/>
  <c r="C377" i="44"/>
  <c r="E336" i="44"/>
  <c r="E416" i="44"/>
  <c r="E2435" i="44"/>
  <c r="H2627" i="44"/>
  <c r="E690" i="44"/>
  <c r="H932" i="44"/>
  <c r="E2524" i="44"/>
  <c r="C1664" i="44"/>
  <c r="E1825" i="44"/>
  <c r="H1765" i="44"/>
  <c r="E2469" i="44"/>
  <c r="C1889" i="44"/>
  <c r="E1751" i="44"/>
  <c r="C1068" i="44"/>
  <c r="C2157" i="44"/>
  <c r="E2933" i="44"/>
  <c r="E1063" i="44"/>
  <c r="C2608" i="44"/>
  <c r="C2260" i="44"/>
  <c r="H2426" i="44"/>
  <c r="C1012" i="44"/>
  <c r="I2239" i="44"/>
  <c r="E3063" i="44"/>
  <c r="C1023" i="44"/>
  <c r="C688" i="44"/>
  <c r="C1622" i="44"/>
  <c r="E2064" i="44"/>
  <c r="E361" i="44"/>
  <c r="H2380" i="44"/>
  <c r="E581" i="44"/>
  <c r="H2152" i="44"/>
  <c r="H2029" i="44"/>
  <c r="H2768" i="44"/>
  <c r="E3418" i="44"/>
  <c r="H2633" i="44"/>
  <c r="C62" i="44"/>
  <c r="C3113" i="44"/>
  <c r="H1953" i="44"/>
  <c r="C15" i="44"/>
  <c r="C1861" i="44"/>
  <c r="C622" i="44"/>
  <c r="C2173" i="44"/>
  <c r="E2605" i="44"/>
  <c r="H2239" i="44"/>
  <c r="H2497" i="44"/>
  <c r="E354" i="44"/>
  <c r="H1725" i="44"/>
  <c r="H2879" i="44"/>
  <c r="C2773" i="44"/>
  <c r="H1602" i="44"/>
  <c r="E3022" i="44"/>
  <c r="C2043" i="44"/>
  <c r="E2720" i="44"/>
  <c r="C905" i="44"/>
  <c r="C2004" i="44"/>
  <c r="H1922" i="44"/>
  <c r="H2083" i="44"/>
  <c r="E2701" i="44"/>
  <c r="E2695" i="44"/>
  <c r="C2920" i="44"/>
  <c r="C2401" i="44"/>
  <c r="H2589" i="44"/>
  <c r="C57" i="44"/>
  <c r="C3065" i="44"/>
  <c r="C2387" i="44"/>
  <c r="E2393" i="44"/>
  <c r="C523" i="44"/>
  <c r="E679" i="44"/>
  <c r="C612" i="44"/>
  <c r="E80" i="44"/>
  <c r="E1909" i="44"/>
  <c r="E1029" i="44"/>
  <c r="E1047" i="44"/>
  <c r="C2083" i="44"/>
  <c r="H2203" i="44"/>
  <c r="E627" i="44"/>
  <c r="H2840" i="44"/>
  <c r="H1599" i="44"/>
  <c r="C2233" i="44"/>
  <c r="H2109" i="44"/>
  <c r="C2996" i="44"/>
  <c r="H1683" i="44"/>
  <c r="E2850" i="44"/>
  <c r="H2210" i="44"/>
  <c r="C2791" i="44"/>
  <c r="E1974" i="44"/>
  <c r="I1919" i="44"/>
  <c r="E1091" i="44"/>
  <c r="E3038" i="44"/>
  <c r="E2533" i="44"/>
  <c r="C1694" i="44"/>
  <c r="C72" i="44"/>
  <c r="H1605" i="44"/>
  <c r="C1025" i="44"/>
  <c r="H2813" i="44"/>
  <c r="C846" i="44"/>
  <c r="C2104" i="44"/>
  <c r="H2701" i="44"/>
  <c r="C1588" i="44"/>
  <c r="H2956" i="44"/>
  <c r="E434" i="44"/>
  <c r="E1602" i="44"/>
  <c r="E1769" i="44"/>
  <c r="C2584" i="44"/>
  <c r="H2542" i="44"/>
  <c r="C435" i="44"/>
  <c r="H1713" i="44"/>
  <c r="C2115" i="44"/>
  <c r="E2493" i="44"/>
  <c r="C2928" i="44"/>
  <c r="E1073" i="44"/>
  <c r="C2580" i="44"/>
  <c r="C2788" i="44"/>
  <c r="H3147" i="44"/>
  <c r="C1888" i="44"/>
  <c r="C1687" i="44"/>
  <c r="C1697" i="44"/>
  <c r="C2673" i="44"/>
  <c r="C2661" i="44"/>
  <c r="E2449" i="44"/>
  <c r="C2578" i="44"/>
  <c r="C2998" i="44"/>
  <c r="H1898" i="44"/>
  <c r="H2427" i="44"/>
  <c r="E1908" i="44"/>
  <c r="H2290" i="44"/>
  <c r="C1532" i="44"/>
  <c r="C3015" i="44"/>
  <c r="H2499" i="44"/>
  <c r="C2067" i="44"/>
  <c r="H2473" i="44"/>
  <c r="E2901" i="44"/>
  <c r="E708" i="44"/>
  <c r="H2437" i="44"/>
  <c r="E725" i="44"/>
  <c r="H2393" i="44"/>
  <c r="H2347" i="44"/>
  <c r="E78" i="44"/>
  <c r="H2965" i="44"/>
  <c r="H3078" i="44"/>
  <c r="E1687" i="44"/>
  <c r="E1817" i="44"/>
  <c r="C1790" i="44"/>
  <c r="C1742" i="44"/>
  <c r="C625" i="44"/>
  <c r="E646" i="44"/>
  <c r="H3127" i="44"/>
  <c r="C2190" i="44"/>
  <c r="E58" i="44"/>
  <c r="C664" i="44"/>
  <c r="H3037" i="44"/>
  <c r="E493" i="44"/>
  <c r="H2505" i="44"/>
  <c r="H1996" i="44"/>
  <c r="E3388" i="44"/>
  <c r="E2547" i="44"/>
  <c r="E2295" i="44"/>
  <c r="E511" i="44"/>
  <c r="C2468" i="44"/>
  <c r="C726" i="44"/>
  <c r="C947" i="44"/>
  <c r="E2923" i="44"/>
  <c r="E642" i="44"/>
  <c r="C2966" i="44"/>
  <c r="C2262" i="44"/>
  <c r="E2048" i="44"/>
  <c r="H1590" i="44"/>
  <c r="E3384" i="44"/>
  <c r="E3076" i="44"/>
  <c r="E559" i="44"/>
  <c r="C1818" i="44"/>
  <c r="E1544" i="44"/>
  <c r="H1929" i="44"/>
  <c r="C1673" i="44"/>
  <c r="E198" i="44"/>
  <c r="E1534" i="44"/>
  <c r="H2795" i="44"/>
  <c r="H2828" i="44"/>
  <c r="E536" i="44"/>
  <c r="C1016" i="44"/>
  <c r="E1680" i="44"/>
  <c r="H2280" i="44"/>
  <c r="C1985" i="44"/>
  <c r="C2099" i="44"/>
  <c r="E1709" i="44"/>
  <c r="E2782" i="44"/>
  <c r="E2836" i="44"/>
  <c r="C305" i="44"/>
  <c r="E1008" i="44"/>
  <c r="E1044" i="44"/>
  <c r="E840" i="44"/>
  <c r="H2967" i="44"/>
  <c r="H2556" i="44"/>
  <c r="H2609" i="44"/>
  <c r="E2126" i="44"/>
  <c r="C3109" i="44"/>
  <c r="E369" i="44"/>
  <c r="C2726" i="44"/>
  <c r="C2922" i="44"/>
  <c r="H2765" i="44"/>
  <c r="H3081" i="44"/>
  <c r="I1983" i="44"/>
  <c r="I2175" i="44"/>
  <c r="C1810" i="44"/>
  <c r="C2202" i="44"/>
  <c r="H1665" i="44"/>
  <c r="C2048" i="44"/>
  <c r="E2518" i="44"/>
  <c r="E160" i="44"/>
  <c r="C1744" i="44"/>
  <c r="H2009" i="44"/>
  <c r="E589" i="44"/>
  <c r="C868" i="44"/>
  <c r="C2410" i="44"/>
  <c r="E2753" i="44"/>
  <c r="H1781" i="44"/>
  <c r="H2683" i="44"/>
  <c r="C852" i="44"/>
  <c r="E674" i="44"/>
  <c r="I2415" i="44"/>
  <c r="E813" i="44"/>
  <c r="C2762" i="44"/>
  <c r="E2250" i="44"/>
  <c r="E2619" i="44"/>
  <c r="C79" i="44"/>
  <c r="E670" i="44"/>
  <c r="E2358" i="44"/>
  <c r="E987" i="44"/>
  <c r="E2146" i="44"/>
  <c r="C2101" i="44"/>
  <c r="C809" i="44"/>
  <c r="H1758" i="44"/>
  <c r="C2662" i="44"/>
  <c r="E484" i="44"/>
  <c r="C1675" i="44"/>
  <c r="C3392" i="44"/>
  <c r="H1983" i="44"/>
  <c r="E2887" i="44"/>
  <c r="C3425" i="44"/>
  <c r="C2899" i="44"/>
  <c r="C2674" i="44"/>
  <c r="E1987" i="44"/>
  <c r="H2479" i="44"/>
  <c r="E1611" i="44"/>
  <c r="H2047" i="44"/>
  <c r="C1084" i="44"/>
  <c r="H1671" i="44"/>
  <c r="C908" i="44"/>
  <c r="I180" i="44"/>
  <c r="C1832" i="44"/>
  <c r="C388" i="44"/>
  <c r="C1029" i="44"/>
  <c r="E821" i="44"/>
  <c r="H2684" i="44"/>
  <c r="C705" i="44"/>
  <c r="H2635" i="44"/>
  <c r="E3164" i="44"/>
  <c r="C2214" i="44"/>
  <c r="C1908" i="44"/>
  <c r="H1734" i="44"/>
  <c r="C2023" i="44"/>
  <c r="E2246" i="44"/>
  <c r="C390" i="44"/>
  <c r="E3441" i="44"/>
  <c r="C2375" i="44"/>
  <c r="C3064" i="44"/>
  <c r="C2296" i="44"/>
  <c r="C1027" i="44"/>
  <c r="E1898" i="44"/>
  <c r="E2947" i="44"/>
  <c r="C2258" i="44"/>
  <c r="E832" i="44"/>
  <c r="H1869" i="44"/>
  <c r="H2888" i="44"/>
  <c r="H2744" i="44"/>
  <c r="C2475" i="44"/>
  <c r="C1945" i="44"/>
  <c r="C576" i="44"/>
  <c r="H2670" i="44"/>
  <c r="E2860" i="44"/>
  <c r="C1652" i="44"/>
  <c r="C1632" i="44"/>
  <c r="C503" i="44"/>
  <c r="C909" i="44"/>
  <c r="C1805" i="44"/>
  <c r="E1041" i="44"/>
  <c r="E2102" i="44"/>
  <c r="E1697" i="44"/>
  <c r="C1043" i="44"/>
  <c r="C392" i="44"/>
  <c r="E483" i="44"/>
  <c r="C111" i="44"/>
  <c r="C2965" i="44"/>
  <c r="C2624" i="44"/>
  <c r="E2284" i="44"/>
  <c r="E2645" i="44"/>
  <c r="H1693" i="44"/>
  <c r="C2474" i="44"/>
  <c r="C1990" i="44"/>
  <c r="H2508" i="44"/>
  <c r="E2729" i="44"/>
  <c r="C1829" i="44"/>
  <c r="H2460" i="44"/>
  <c r="E360" i="44"/>
  <c r="C528" i="44"/>
  <c r="C2929" i="44"/>
  <c r="C1597" i="44"/>
  <c r="E1715" i="44"/>
  <c r="C1974" i="44"/>
  <c r="E2853" i="44"/>
  <c r="E2491" i="44"/>
  <c r="E2424" i="44"/>
  <c r="C2610" i="44"/>
  <c r="C2265" i="44"/>
  <c r="E279" i="44"/>
  <c r="E732" i="44"/>
  <c r="E2502" i="44"/>
  <c r="C690" i="44"/>
  <c r="E443" i="44"/>
  <c r="E1847" i="44"/>
  <c r="C2228" i="44"/>
  <c r="H2677" i="44"/>
  <c r="C2467" i="44"/>
  <c r="E168" i="44"/>
  <c r="H2262" i="44"/>
  <c r="H1917" i="44"/>
  <c r="C626" i="44"/>
  <c r="C1788" i="44"/>
  <c r="C264" i="44"/>
  <c r="H2188" i="44"/>
  <c r="C3384" i="44"/>
  <c r="C2217" i="44"/>
  <c r="C2021" i="44"/>
  <c r="H1772" i="44"/>
  <c r="I162" i="44"/>
  <c r="C3058" i="44"/>
  <c r="C2222" i="44"/>
  <c r="E2835" i="44"/>
  <c r="H2371" i="44"/>
  <c r="H2572" i="44"/>
  <c r="H1811" i="44"/>
  <c r="E2389" i="44"/>
  <c r="C680" i="44"/>
  <c r="C2391" i="44"/>
  <c r="C650" i="44"/>
  <c r="E2061" i="44"/>
  <c r="C2720" i="44"/>
  <c r="C2024" i="44"/>
  <c r="K1135" i="44"/>
  <c r="I2671" i="44"/>
  <c r="H1992" i="44"/>
  <c r="C756" i="44"/>
  <c r="H1752" i="44"/>
  <c r="H2061" i="44"/>
  <c r="H2118" i="44"/>
  <c r="C753" i="44"/>
  <c r="C1609" i="44"/>
  <c r="H974" i="44"/>
  <c r="E2258" i="44"/>
  <c r="C3448" i="44"/>
  <c r="C3057" i="44"/>
  <c r="H2087" i="44"/>
  <c r="E1955" i="44"/>
  <c r="C2691" i="44"/>
  <c r="C1725" i="44"/>
  <c r="E736" i="44"/>
  <c r="H196" i="44"/>
  <c r="C2469" i="44"/>
  <c r="H3088" i="44"/>
  <c r="C603" i="44"/>
  <c r="E2257" i="44"/>
  <c r="E622" i="44"/>
  <c r="E2924" i="44"/>
  <c r="E2204" i="44"/>
  <c r="C2779" i="44"/>
  <c r="H1728" i="44"/>
  <c r="H3050" i="44"/>
  <c r="C1693" i="44"/>
  <c r="I2479" i="44"/>
  <c r="E2227" i="44"/>
  <c r="C2171" i="44"/>
  <c r="H2971" i="44"/>
  <c r="I2303" i="44"/>
  <c r="H1628" i="44"/>
  <c r="I1871" i="44"/>
  <c r="C2338" i="44"/>
  <c r="C2897" i="44"/>
  <c r="C984" i="44"/>
  <c r="E2802" i="44"/>
  <c r="E248" i="44"/>
  <c r="E2008" i="44"/>
  <c r="E869" i="44"/>
  <c r="E2582" i="44"/>
  <c r="H934" i="44"/>
  <c r="E2523" i="44"/>
  <c r="E640" i="44"/>
  <c r="C977" i="44"/>
  <c r="H2020" i="44"/>
  <c r="H2300" i="44"/>
  <c r="E2186" i="44"/>
  <c r="C349" i="44"/>
  <c r="E1726" i="44"/>
  <c r="C3099" i="44"/>
  <c r="C1738" i="44"/>
  <c r="C2690" i="44"/>
  <c r="E787" i="44"/>
  <c r="H2903" i="44"/>
  <c r="E623" i="44"/>
  <c r="H2600" i="44"/>
  <c r="E665" i="44"/>
  <c r="E1971" i="44"/>
  <c r="E319" i="44"/>
  <c r="H2435" i="44"/>
  <c r="H2823" i="44"/>
  <c r="H2404" i="44"/>
  <c r="C2508" i="44"/>
  <c r="E2713" i="44"/>
  <c r="E1031" i="44"/>
  <c r="C1003" i="44"/>
  <c r="E1899" i="44"/>
  <c r="E473" i="44"/>
  <c r="H3053" i="44"/>
  <c r="H3110" i="44"/>
  <c r="C2863" i="44"/>
  <c r="E3154" i="44"/>
  <c r="H2433" i="44"/>
  <c r="E819" i="44"/>
  <c r="E2689" i="44"/>
  <c r="E2464" i="44"/>
  <c r="C2132" i="44"/>
  <c r="E693" i="44"/>
  <c r="H1914" i="44"/>
  <c r="C2862" i="44"/>
  <c r="C1521" i="44"/>
  <c r="E586" i="44"/>
  <c r="E2576" i="44"/>
  <c r="E2356" i="44"/>
  <c r="C220" i="44"/>
  <c r="C1932" i="44"/>
  <c r="E3447" i="44"/>
  <c r="E898" i="44"/>
  <c r="C1535" i="44"/>
  <c r="H1955" i="44"/>
  <c r="C2156" i="44"/>
  <c r="H3125" i="44"/>
  <c r="E2584" i="44"/>
  <c r="E1880" i="44"/>
  <c r="E526" i="44"/>
  <c r="E864" i="44"/>
  <c r="H3011" i="44"/>
  <c r="C631" i="44"/>
  <c r="H2735" i="44"/>
  <c r="C2999" i="44"/>
  <c r="C504" i="44"/>
  <c r="C424" i="44"/>
  <c r="C1054" i="44"/>
  <c r="H2800" i="44"/>
  <c r="C2799" i="44"/>
  <c r="C107" i="44"/>
  <c r="C794" i="44"/>
  <c r="C2501" i="44"/>
  <c r="E995" i="44"/>
  <c r="E1588" i="44"/>
  <c r="C906" i="44"/>
  <c r="C2623" i="44"/>
  <c r="C666" i="44"/>
  <c r="E2429" i="44"/>
  <c r="H2050" i="44"/>
  <c r="E2738" i="44"/>
  <c r="C262" i="44"/>
  <c r="E3375" i="44"/>
  <c r="C115" i="44"/>
  <c r="I2895" i="44"/>
  <c r="E3166" i="44"/>
  <c r="E1539" i="44"/>
  <c r="H2496" i="44"/>
  <c r="H1882" i="44"/>
  <c r="C3413" i="44"/>
  <c r="C611" i="44"/>
  <c r="C2183" i="44"/>
  <c r="E2385" i="44"/>
  <c r="E1931" i="44"/>
  <c r="C2479" i="44"/>
  <c r="E152" i="44"/>
  <c r="E757" i="44"/>
  <c r="C2300" i="44"/>
  <c r="C649" i="44"/>
  <c r="C1593" i="44"/>
  <c r="H2069" i="44"/>
  <c r="C1663" i="44"/>
  <c r="C600" i="44"/>
  <c r="H1583" i="44"/>
  <c r="E2883" i="44"/>
  <c r="E625" i="44"/>
  <c r="H2577" i="44"/>
  <c r="C1917" i="44"/>
  <c r="E904" i="44"/>
  <c r="C1717" i="44"/>
  <c r="H2257" i="44"/>
  <c r="H2242" i="44"/>
  <c r="E84" i="44"/>
  <c r="C2500" i="44"/>
  <c r="C1528" i="44"/>
  <c r="E154" i="44"/>
  <c r="C893" i="44"/>
  <c r="E2392" i="44"/>
  <c r="E3035" i="44"/>
  <c r="C471" i="44"/>
  <c r="C10" i="44"/>
  <c r="E2803" i="44"/>
  <c r="H2310" i="44"/>
  <c r="C1540" i="44"/>
  <c r="E859" i="44"/>
  <c r="E825" i="44"/>
  <c r="H2425" i="44"/>
  <c r="C1929" i="44"/>
  <c r="C1684" i="44"/>
  <c r="H971" i="44"/>
  <c r="E2812" i="44"/>
  <c r="E1773" i="44"/>
  <c r="E2827" i="44"/>
  <c r="H1785" i="44"/>
  <c r="H1748" i="44"/>
  <c r="E1784" i="44"/>
  <c r="E440" i="44"/>
  <c r="E1934" i="44"/>
  <c r="E2588" i="44"/>
  <c r="H2645" i="44"/>
  <c r="E2339" i="44"/>
  <c r="E2833" i="44"/>
  <c r="C2395" i="44"/>
  <c r="E1643" i="44"/>
  <c r="C1839" i="44"/>
  <c r="E140" i="44"/>
  <c r="H3150" i="44"/>
  <c r="E2935" i="44"/>
  <c r="E826" i="44"/>
  <c r="H2802" i="44"/>
  <c r="E2994" i="44"/>
  <c r="C1910" i="44"/>
  <c r="E2494" i="44"/>
  <c r="C1982" i="44"/>
  <c r="E2065" i="44"/>
  <c r="C3153" i="44"/>
  <c r="E2865" i="44"/>
  <c r="E2312" i="44"/>
  <c r="E378" i="44"/>
  <c r="E327" i="44"/>
  <c r="H1947" i="44"/>
  <c r="H2325" i="44"/>
  <c r="E975" i="44"/>
  <c r="E82" i="44"/>
  <c r="C1739" i="44"/>
  <c r="C1715" i="44"/>
  <c r="C2219" i="44"/>
  <c r="C1871" i="44"/>
  <c r="E1737" i="44"/>
  <c r="E895" i="44"/>
  <c r="H2382" i="44"/>
  <c r="C2744" i="44"/>
  <c r="C524" i="44"/>
  <c r="C1076" i="44"/>
  <c r="C144" i="44"/>
  <c r="E2820" i="44"/>
  <c r="C572" i="44"/>
  <c r="C1630" i="44"/>
  <c r="C2919" i="44"/>
  <c r="C3101" i="44"/>
  <c r="C336" i="44"/>
  <c r="E2664" i="44"/>
  <c r="E1732" i="44"/>
  <c r="E1595" i="44"/>
  <c r="E108" i="44"/>
  <c r="E927" i="44"/>
  <c r="E1723" i="44"/>
  <c r="H2920" i="44"/>
  <c r="E392" i="44"/>
  <c r="I1743" i="44"/>
  <c r="E1646" i="44"/>
  <c r="E2824" i="44"/>
  <c r="C2722" i="44"/>
  <c r="H2120" i="44"/>
  <c r="E490" i="44"/>
  <c r="C771" i="44"/>
  <c r="C451" i="44"/>
  <c r="C1950" i="44"/>
  <c r="C938" i="44"/>
  <c r="H1820" i="44"/>
  <c r="C2766" i="44"/>
  <c r="E445" i="44"/>
  <c r="H1586" i="44"/>
  <c r="H2660" i="44"/>
  <c r="E2169" i="44"/>
  <c r="E788" i="44"/>
  <c r="H2886" i="44"/>
  <c r="H2908" i="44"/>
  <c r="C537" i="44"/>
  <c r="C2174" i="44"/>
  <c r="E158" i="44"/>
  <c r="H2912" i="44"/>
  <c r="H2692" i="44"/>
  <c r="C2151" i="44"/>
  <c r="E2165" i="44"/>
  <c r="C2582" i="44"/>
  <c r="E412" i="44"/>
  <c r="E2890" i="44"/>
  <c r="I2543" i="44"/>
  <c r="H2570" i="44"/>
  <c r="H2030" i="44"/>
  <c r="C2738" i="44"/>
  <c r="C407" i="44"/>
  <c r="C697" i="44"/>
  <c r="E2314" i="44"/>
  <c r="E2941" i="44"/>
  <c r="H2521" i="44"/>
  <c r="E304" i="44"/>
  <c r="H2544" i="44"/>
  <c r="C550" i="44"/>
  <c r="H1631" i="44"/>
  <c r="E1061" i="44"/>
  <c r="H1768" i="44"/>
  <c r="C3435" i="44"/>
  <c r="C2406" i="44"/>
  <c r="C671" i="44"/>
  <c r="C2739" i="44"/>
  <c r="H1653" i="44"/>
  <c r="E2948" i="44"/>
  <c r="H2727" i="44"/>
  <c r="E2904" i="44"/>
  <c r="C372" i="44"/>
  <c r="C2491" i="44"/>
  <c r="C2409" i="44"/>
  <c r="E338" i="44"/>
  <c r="H2417" i="44"/>
  <c r="E1708" i="44"/>
  <c r="C2294" i="44"/>
  <c r="C3134" i="44"/>
  <c r="C727" i="44"/>
  <c r="E2794" i="44"/>
  <c r="C841" i="44"/>
  <c r="C575" i="44"/>
  <c r="E2693" i="44"/>
  <c r="E1835" i="44"/>
  <c r="E1962" i="44"/>
  <c r="C103" i="44"/>
  <c r="H2073" i="44"/>
  <c r="H2507" i="44"/>
  <c r="H2574" i="44"/>
  <c r="E2283" i="44"/>
  <c r="C3443" i="44"/>
  <c r="E122" i="44"/>
  <c r="E875" i="44"/>
  <c r="C3014" i="44"/>
  <c r="H2915" i="44"/>
  <c r="E1700" i="44"/>
  <c r="E2050" i="44"/>
  <c r="H2959" i="44"/>
  <c r="C2269" i="44"/>
  <c r="I1679" i="44"/>
  <c r="H2463" i="44"/>
  <c r="C1714" i="44"/>
  <c r="H2932" i="44"/>
  <c r="H2067" i="44"/>
  <c r="E2982" i="44"/>
  <c r="H3107" i="44"/>
  <c r="E2177" i="44"/>
  <c r="C1635" i="44"/>
  <c r="E1918" i="44"/>
  <c r="H3043" i="44"/>
  <c r="E510" i="44"/>
  <c r="C2644" i="44"/>
  <c r="E2893" i="44"/>
  <c r="C814" i="44"/>
  <c r="E2293" i="44"/>
  <c r="C1968" i="44"/>
  <c r="E3003" i="44"/>
  <c r="E1649" i="44"/>
  <c r="E2818" i="44"/>
  <c r="E823" i="44"/>
  <c r="H3042" i="44"/>
  <c r="E844" i="44"/>
  <c r="J1134" i="44"/>
  <c r="E2706" i="44"/>
  <c r="H1759" i="44"/>
  <c r="C1760" i="44"/>
  <c r="E930" i="44"/>
  <c r="H1751" i="44"/>
  <c r="I196" i="44"/>
  <c r="C2736" i="44"/>
  <c r="E2368" i="44"/>
  <c r="E2076" i="44"/>
  <c r="I2335" i="44"/>
  <c r="E2412" i="44"/>
  <c r="C2861" i="44"/>
  <c r="C800" i="44"/>
  <c r="C1799" i="44"/>
  <c r="C430" i="44"/>
  <c r="H979" i="44"/>
  <c r="E2888" i="44"/>
  <c r="C2423" i="44"/>
  <c r="C2916" i="44"/>
  <c r="K1137" i="44"/>
  <c r="C142" i="44"/>
  <c r="H1906" i="44"/>
  <c r="C368" i="44"/>
  <c r="C1625" i="44"/>
  <c r="E2515" i="44"/>
  <c r="E563" i="44"/>
  <c r="E1093" i="44"/>
  <c r="I3007" i="44"/>
  <c r="E2354" i="44"/>
  <c r="C691" i="44"/>
  <c r="H2962" i="44"/>
  <c r="E2955" i="44"/>
  <c r="H1868" i="44"/>
  <c r="C1037" i="44"/>
  <c r="H2839" i="44"/>
  <c r="C2626" i="44"/>
  <c r="H1761" i="44"/>
  <c r="E2070" i="44"/>
  <c r="E2085" i="44"/>
  <c r="C2993" i="44"/>
  <c r="E861" i="44"/>
  <c r="H3151" i="44"/>
  <c r="C1608" i="44"/>
  <c r="C2616" i="44"/>
  <c r="C2245" i="44"/>
  <c r="C892" i="44"/>
  <c r="C1647" i="44"/>
  <c r="C334" i="44"/>
  <c r="E2017" i="44"/>
  <c r="H1687" i="44"/>
  <c r="E2977" i="44"/>
  <c r="E2364" i="44"/>
  <c r="E836" i="44"/>
  <c r="H2129" i="44"/>
  <c r="C2771" i="44"/>
  <c r="E3149" i="44"/>
  <c r="C652" i="44"/>
  <c r="E315" i="44"/>
  <c r="E409" i="44"/>
  <c r="C939" i="44"/>
  <c r="H1794" i="44"/>
  <c r="E877" i="44"/>
  <c r="C2359" i="44"/>
  <c r="E657" i="44"/>
  <c r="C2633" i="44"/>
  <c r="E380" i="44"/>
  <c r="E2613" i="44"/>
  <c r="C535" i="44"/>
  <c r="C2825" i="44"/>
  <c r="C2244" i="44"/>
  <c r="C1522" i="44"/>
  <c r="C1083" i="44"/>
  <c r="H2110" i="44"/>
  <c r="C860" i="44"/>
  <c r="C1137" i="44"/>
  <c r="E3112" i="44"/>
  <c r="H1807" i="44"/>
  <c r="E1957" i="44"/>
  <c r="C1750" i="44"/>
  <c r="E652" i="44"/>
  <c r="H2753" i="44"/>
  <c r="E1774" i="44"/>
  <c r="H935" i="44"/>
  <c r="C907" i="44"/>
  <c r="C2241" i="44"/>
  <c r="H2250" i="44"/>
  <c r="C2504" i="44"/>
  <c r="H2725" i="44"/>
  <c r="I2847" i="44"/>
  <c r="E605" i="44"/>
  <c r="C2055" i="44"/>
  <c r="E1818" i="44"/>
  <c r="C2481" i="44"/>
  <c r="H3164" i="44"/>
  <c r="E2397" i="44"/>
  <c r="E2717" i="44"/>
  <c r="C1659" i="44"/>
  <c r="E2216" i="44"/>
  <c r="H2881" i="44"/>
  <c r="E587" i="44"/>
  <c r="C2452" i="44"/>
  <c r="H2302" i="44"/>
  <c r="H2663" i="44"/>
  <c r="C573" i="44"/>
  <c r="E1969" i="44"/>
  <c r="E2195" i="44"/>
  <c r="C2698" i="44"/>
  <c r="E3060" i="44"/>
  <c r="C306" i="44"/>
  <c r="E2538" i="44"/>
  <c r="C2991" i="44"/>
  <c r="C2198" i="44"/>
  <c r="C1960" i="44"/>
  <c r="H1815" i="44"/>
  <c r="E2055" i="44"/>
  <c r="C973" i="44"/>
  <c r="E951" i="44"/>
  <c r="C356" i="44"/>
  <c r="H1584" i="44"/>
  <c r="E1666" i="44"/>
  <c r="H2939" i="44"/>
  <c r="C591" i="44"/>
  <c r="C586" i="44"/>
  <c r="C307" i="44"/>
  <c r="C1713" i="44"/>
  <c r="C1751" i="44"/>
  <c r="C355" i="44"/>
  <c r="C1870" i="44"/>
  <c r="H2102" i="44"/>
  <c r="E371" i="44"/>
  <c r="E430" i="44"/>
  <c r="H1648" i="44"/>
  <c r="E2201" i="44"/>
  <c r="E2641" i="44"/>
  <c r="E530" i="44"/>
  <c r="C69" i="44"/>
  <c r="H2271" i="44"/>
  <c r="H1954" i="44"/>
  <c r="E1750" i="44"/>
  <c r="I2047" i="44"/>
  <c r="C553" i="44"/>
  <c r="H1638" i="44"/>
  <c r="C634" i="44"/>
  <c r="C2472" i="44"/>
  <c r="H1688" i="44"/>
  <c r="C803" i="44"/>
  <c r="C2554" i="44"/>
  <c r="C2428" i="44"/>
  <c r="E720" i="44"/>
  <c r="C952" i="44"/>
  <c r="I3023" i="44"/>
  <c r="I174" i="44"/>
  <c r="E855" i="44"/>
  <c r="E1941" i="44"/>
  <c r="E2800" i="44"/>
  <c r="E1837" i="44"/>
  <c r="E390" i="44"/>
  <c r="H1849" i="44"/>
  <c r="E2597" i="44"/>
  <c r="E3411" i="44"/>
  <c r="C2042" i="44"/>
  <c r="H1632" i="44"/>
  <c r="C1070" i="44"/>
  <c r="E72" i="44"/>
  <c r="H2902" i="44"/>
  <c r="C1732" i="44"/>
  <c r="C2181" i="44"/>
  <c r="H2051" i="44"/>
  <c r="C2405" i="44"/>
  <c r="C2596" i="44"/>
  <c r="H2357" i="44"/>
  <c r="H3157" i="44"/>
  <c r="E2265" i="44"/>
  <c r="E2517" i="44"/>
  <c r="H2893" i="44"/>
  <c r="C1703" i="44"/>
  <c r="E2946" i="44"/>
  <c r="C1931" i="44"/>
  <c r="C2416" i="44"/>
  <c r="H3149" i="44"/>
  <c r="H2055" i="44"/>
  <c r="C2464" i="44"/>
  <c r="C2864" i="44"/>
  <c r="E411" i="44"/>
  <c r="E2043" i="44"/>
  <c r="E206" i="44"/>
  <c r="H3104" i="44"/>
  <c r="C2281" i="44"/>
  <c r="E1618" i="44"/>
  <c r="H2301" i="44"/>
  <c r="I166" i="44"/>
  <c r="E989" i="44"/>
  <c r="E1976" i="44"/>
  <c r="I156" i="44"/>
  <c r="E910" i="44"/>
  <c r="C3120" i="44"/>
  <c r="H2454" i="44"/>
  <c r="H2395" i="44"/>
  <c r="C505" i="44"/>
  <c r="C2243" i="44"/>
  <c r="C534" i="44"/>
  <c r="C2418" i="44"/>
  <c r="H2865" i="44"/>
  <c r="H2995" i="44"/>
  <c r="H2183" i="44"/>
  <c r="H2246" i="44"/>
  <c r="H2666" i="44"/>
  <c r="H2385" i="44"/>
  <c r="E1548" i="44"/>
  <c r="C2216" i="44"/>
  <c r="C2278" i="44"/>
  <c r="E2650" i="44"/>
  <c r="E2796" i="44"/>
  <c r="H925" i="44"/>
  <c r="H3031" i="44"/>
  <c r="C2746" i="44"/>
  <c r="E2492" i="44"/>
  <c r="H2779" i="44"/>
  <c r="H2430" i="44"/>
  <c r="H1888" i="44"/>
  <c r="H2006" i="44"/>
  <c r="E3416" i="44"/>
  <c r="C1650" i="44"/>
  <c r="E856" i="44"/>
  <c r="C2149" i="44"/>
  <c r="C2399" i="44"/>
  <c r="H2549" i="44"/>
  <c r="C755" i="44"/>
  <c r="H3138" i="44"/>
  <c r="H1660" i="44"/>
  <c r="H2015" i="44"/>
  <c r="E1816" i="44"/>
  <c r="E2505" i="44"/>
  <c r="H2108" i="44"/>
  <c r="E873" i="44"/>
  <c r="H2849" i="44"/>
  <c r="E1776" i="44"/>
  <c r="C940" i="44"/>
  <c r="E2520" i="44"/>
  <c r="E2477" i="44"/>
  <c r="H2124" i="44"/>
  <c r="E565" i="44"/>
  <c r="E256" i="44"/>
  <c r="E267" i="44"/>
  <c r="E1864" i="44"/>
  <c r="E2109" i="44"/>
  <c r="C71" i="44"/>
  <c r="H1778" i="44"/>
  <c r="H1925" i="44"/>
  <c r="H2323" i="44"/>
  <c r="H2192" i="44"/>
  <c r="H2376" i="44"/>
  <c r="C2775" i="44"/>
  <c r="C2557" i="44"/>
  <c r="H2363" i="44"/>
  <c r="E3136" i="44"/>
  <c r="H3016" i="44"/>
  <c r="H2580" i="44"/>
  <c r="E3050" i="44"/>
  <c r="C1595" i="44"/>
  <c r="C1657" i="44"/>
  <c r="C2837" i="44"/>
  <c r="E3127" i="44"/>
  <c r="H2644" i="44"/>
  <c r="C796" i="44"/>
  <c r="E1621" i="44"/>
  <c r="C606" i="44"/>
  <c r="H2741" i="44"/>
  <c r="E428" i="44"/>
  <c r="E2053" i="44"/>
  <c r="E1897" i="44"/>
  <c r="E2329" i="44"/>
  <c r="C301" i="44"/>
  <c r="E2968" i="44"/>
  <c r="E2171" i="44"/>
  <c r="E2135" i="44"/>
  <c r="H2471" i="44"/>
  <c r="E2026" i="44"/>
  <c r="E2764" i="44"/>
  <c r="E326" i="44"/>
  <c r="H1764" i="44"/>
  <c r="H2234" i="44"/>
  <c r="C2334" i="44"/>
  <c r="H1711" i="44"/>
  <c r="C457" i="44"/>
  <c r="C515" i="44"/>
  <c r="E478" i="44"/>
  <c r="H2631" i="44"/>
  <c r="E1556" i="44"/>
  <c r="C1836" i="44"/>
  <c r="E755" i="44"/>
  <c r="E2437" i="44"/>
  <c r="E2107" i="44"/>
  <c r="C1648" i="44"/>
  <c r="C1778" i="44"/>
  <c r="E1607" i="44"/>
  <c r="H2830" i="44"/>
  <c r="H1721" i="44"/>
  <c r="C2645" i="44"/>
  <c r="C2700" i="44"/>
  <c r="E111" i="44"/>
  <c r="E305" i="44"/>
  <c r="E2181" i="44"/>
  <c r="E30" i="44"/>
  <c r="C1674" i="44"/>
  <c r="E1060" i="44"/>
  <c r="H2500" i="44"/>
  <c r="C456" i="44"/>
  <c r="E2422" i="44"/>
  <c r="E323" i="44"/>
  <c r="E2761" i="44"/>
  <c r="H2535" i="44"/>
  <c r="E2778" i="44"/>
  <c r="C1600" i="44"/>
  <c r="E2410" i="44"/>
  <c r="H2720" i="44"/>
  <c r="E1721" i="44"/>
  <c r="C878" i="44"/>
  <c r="C2280" i="44"/>
  <c r="E1042" i="44"/>
  <c r="C2036" i="44"/>
  <c r="H2410" i="44"/>
  <c r="E517" i="44"/>
  <c r="C3027" i="44"/>
  <c r="E28" i="44"/>
  <c r="H2988" i="44"/>
  <c r="C3164" i="44"/>
  <c r="C1044" i="44"/>
  <c r="C402" i="44"/>
  <c r="C829" i="44"/>
  <c r="E3142" i="44"/>
  <c r="E968" i="44"/>
  <c r="E1853" i="44"/>
  <c r="C2949" i="44"/>
  <c r="C2573" i="44"/>
  <c r="H2782" i="44"/>
  <c r="E465" i="44"/>
  <c r="E3412" i="44"/>
  <c r="E2005" i="44"/>
  <c r="C3141" i="44"/>
  <c r="C1004" i="44"/>
  <c r="E413" i="44"/>
  <c r="E793" i="44"/>
  <c r="C2185" i="44"/>
  <c r="C493" i="44"/>
  <c r="E2170" i="44"/>
  <c r="C518" i="44"/>
  <c r="C687" i="44"/>
  <c r="E427" i="44"/>
  <c r="E3393" i="44"/>
  <c r="C376" i="44"/>
  <c r="C822" i="44"/>
  <c r="H1834" i="44"/>
  <c r="C2677" i="44"/>
  <c r="E2370" i="44"/>
  <c r="E2119" i="44"/>
  <c r="E22" i="44"/>
  <c r="C1823" i="44"/>
  <c r="C903" i="44"/>
  <c r="E2534" i="44"/>
  <c r="C2193" i="44"/>
  <c r="C2790" i="44"/>
  <c r="E924" i="44"/>
  <c r="C1011" i="44"/>
  <c r="E2657" i="44"/>
  <c r="E2953" i="44"/>
  <c r="E2467" i="44"/>
  <c r="E1942" i="44"/>
  <c r="C1633" i="44"/>
  <c r="C2650" i="44"/>
  <c r="I1695" i="44"/>
  <c r="C2289" i="44"/>
  <c r="E2903" i="44"/>
  <c r="H3064" i="44"/>
  <c r="E561" i="44"/>
  <c r="H2846" i="44"/>
  <c r="E2652" i="44"/>
  <c r="C721" i="44"/>
  <c r="H2618" i="44"/>
  <c r="H2076" i="44"/>
  <c r="E3088" i="44"/>
  <c r="E1867" i="44"/>
  <c r="E2144" i="44"/>
  <c r="C2731" i="44"/>
  <c r="C2321" i="44"/>
  <c r="H2970" i="44"/>
  <c r="C1711" i="44"/>
  <c r="E1019" i="44"/>
  <c r="E2682" i="44"/>
  <c r="C1937" i="44"/>
  <c r="C490" i="44"/>
  <c r="C597" i="44"/>
  <c r="C926" i="44"/>
  <c r="C8" i="44"/>
  <c r="E2826" i="44"/>
  <c r="E994" i="44"/>
  <c r="H1928" i="44"/>
  <c r="E2711" i="44"/>
  <c r="C589" i="44"/>
  <c r="C375" i="44"/>
  <c r="H1935" i="44"/>
  <c r="E2421" i="44"/>
  <c r="H2377" i="44"/>
  <c r="C323" i="44"/>
  <c r="E2199" i="44"/>
  <c r="I2271" i="44"/>
  <c r="H1591" i="44"/>
  <c r="H2401" i="44"/>
  <c r="C2290" i="44"/>
  <c r="E558" i="44"/>
  <c r="E266" i="44"/>
  <c r="H2442" i="44"/>
  <c r="E1914" i="44"/>
  <c r="C2367" i="44"/>
  <c r="E2001" i="44"/>
  <c r="E1685" i="44"/>
  <c r="E1638" i="44"/>
  <c r="E2462" i="44"/>
  <c r="C70" i="44"/>
  <c r="H2620" i="44"/>
  <c r="H2002" i="44"/>
  <c r="C2161" i="44"/>
  <c r="H1696" i="44"/>
  <c r="C2018" i="44"/>
  <c r="H2793" i="44"/>
  <c r="C2102" i="44"/>
  <c r="C720" i="44"/>
  <c r="C1700" i="44"/>
  <c r="E2315" i="44"/>
  <c r="C2510" i="44"/>
  <c r="H1718" i="44"/>
  <c r="E2636" i="44"/>
  <c r="C486" i="44"/>
  <c r="E2514" i="44"/>
  <c r="C3123" i="44"/>
  <c r="C2682" i="44"/>
  <c r="E3109" i="44"/>
  <c r="C3000" i="44"/>
  <c r="J1135" i="44"/>
  <c r="C1793" i="44"/>
  <c r="C2960" i="44"/>
  <c r="E221" i="44"/>
  <c r="H2260" i="44"/>
  <c r="H1871" i="44"/>
  <c r="E2540" i="44"/>
  <c r="C2096" i="44"/>
  <c r="E1792" i="44"/>
  <c r="E1788" i="44"/>
  <c r="E2881" i="44"/>
  <c r="C448" i="44"/>
  <c r="C821" i="44"/>
  <c r="E3137" i="44"/>
  <c r="E3132" i="44"/>
  <c r="E1523" i="44"/>
  <c r="C793" i="44"/>
  <c r="C468" i="44"/>
  <c r="C143" i="44"/>
  <c r="C11" i="44"/>
  <c r="C2284" i="44"/>
  <c r="H2450" i="44"/>
  <c r="H3133" i="44"/>
  <c r="E1062" i="44"/>
  <c r="C2721" i="44"/>
  <c r="C2962" i="44"/>
  <c r="H2082" i="44"/>
  <c r="C6" i="44"/>
  <c r="E464" i="44"/>
  <c r="E2770" i="44"/>
  <c r="E247" i="44"/>
  <c r="E1765" i="44"/>
  <c r="E2775" i="44"/>
  <c r="E885" i="44"/>
  <c r="C839" i="44"/>
  <c r="C2070" i="44"/>
  <c r="E767" i="44"/>
  <c r="E1717" i="44"/>
  <c r="E729" i="44"/>
  <c r="E3390" i="44"/>
  <c r="H2088" i="44"/>
  <c r="E2161" i="44"/>
  <c r="C1014" i="44"/>
  <c r="E535" i="44"/>
  <c r="E1995" i="44"/>
  <c r="E650" i="44"/>
  <c r="H2628" i="44"/>
  <c r="C850" i="44"/>
  <c r="E1635" i="44"/>
  <c r="E933" i="44"/>
  <c r="H2835" i="44"/>
  <c r="H2924" i="44"/>
  <c r="E1648" i="44"/>
  <c r="E2781" i="44"/>
  <c r="C500" i="44"/>
  <c r="C2160" i="44"/>
  <c r="C2964" i="44"/>
  <c r="E2229" i="44"/>
  <c r="E432" i="44"/>
  <c r="H1937" i="44"/>
  <c r="E596" i="44"/>
  <c r="C876" i="44"/>
  <c r="C333" i="44"/>
  <c r="E1800" i="44"/>
  <c r="E3158" i="44"/>
  <c r="E2811" i="44"/>
  <c r="E388" i="44"/>
  <c r="C2607" i="44"/>
  <c r="E1612" i="44"/>
  <c r="H1695" i="44"/>
  <c r="H2031" i="44"/>
  <c r="E1939" i="44"/>
  <c r="C2368" i="44"/>
  <c r="E850" i="44"/>
  <c r="E1724" i="44"/>
  <c r="C1036" i="44"/>
  <c r="E1694" i="44"/>
  <c r="C3103" i="44"/>
  <c r="C2495" i="44"/>
  <c r="E1945" i="44"/>
  <c r="E2950" i="44"/>
  <c r="H3119" i="44"/>
  <c r="H2715" i="44"/>
  <c r="H1662" i="44"/>
  <c r="H2622" i="44"/>
  <c r="E2096" i="44"/>
  <c r="E838" i="44"/>
  <c r="E2843" i="44"/>
  <c r="E438" i="44"/>
  <c r="E1802" i="44"/>
  <c r="E280" i="44"/>
  <c r="C2750" i="44"/>
  <c r="C1510" i="44"/>
  <c r="C479" i="44"/>
  <c r="H3121" i="44"/>
  <c r="H1933" i="44"/>
  <c r="C2871" i="44"/>
  <c r="E653" i="44"/>
  <c r="H1832" i="44"/>
  <c r="E1088" i="44"/>
  <c r="E2390" i="44"/>
  <c r="H3163" i="44"/>
  <c r="H2196" i="44"/>
  <c r="E2307" i="44"/>
  <c r="C3046" i="44"/>
  <c r="H2604" i="44"/>
  <c r="H2003" i="44"/>
  <c r="E2185" i="44"/>
  <c r="C3023" i="44"/>
  <c r="H1722" i="44"/>
  <c r="C2397" i="44"/>
  <c r="H2929" i="44"/>
  <c r="E2628" i="44"/>
  <c r="E802" i="44"/>
  <c r="H172" i="44"/>
  <c r="C897" i="44"/>
  <c r="C2886" i="44"/>
  <c r="H2786" i="44"/>
  <c r="H2818" i="44"/>
  <c r="E2868" i="44"/>
  <c r="E202" i="44"/>
  <c r="C512" i="44"/>
  <c r="C2230" i="44"/>
  <c r="C2053" i="44"/>
  <c r="E2972" i="44"/>
  <c r="C2903" i="44"/>
  <c r="E2871" i="44"/>
  <c r="C1665" i="44"/>
  <c r="H194" i="44"/>
  <c r="E2147" i="44"/>
  <c r="H2534" i="44"/>
  <c r="I148" i="44"/>
  <c r="C443" i="44"/>
  <c r="H2457" i="44"/>
  <c r="H2214" i="44"/>
  <c r="E1712" i="44"/>
  <c r="E3095" i="44"/>
  <c r="C480" i="44"/>
  <c r="C2827" i="44"/>
  <c r="I3151" i="44"/>
  <c r="H1678" i="44"/>
  <c r="C1845" i="44"/>
  <c r="C2063" i="44"/>
  <c r="E983" i="44"/>
  <c r="E406" i="44"/>
  <c r="E2088" i="44"/>
  <c r="E908" i="44"/>
  <c r="H3023" i="44"/>
  <c r="C2778" i="44"/>
  <c r="E1925" i="44"/>
  <c r="C832" i="44"/>
  <c r="H2608" i="44"/>
  <c r="C463" i="44"/>
  <c r="C3440" i="44"/>
  <c r="H2702" i="44"/>
  <c r="H1830" i="44"/>
  <c r="H1601" i="44"/>
  <c r="C3137" i="44"/>
  <c r="C2614" i="44"/>
  <c r="C81" i="44"/>
  <c r="C343" i="44"/>
  <c r="C882" i="44"/>
  <c r="E1979" i="44"/>
  <c r="E2019" i="44"/>
  <c r="E607" i="44"/>
  <c r="E2360" i="44"/>
  <c r="C3422" i="44"/>
  <c r="H2209" i="44"/>
  <c r="E306" i="44"/>
  <c r="C3423" i="44"/>
  <c r="C2459" i="44"/>
  <c r="C2404" i="44"/>
  <c r="C5" i="44"/>
  <c r="E3421" i="44"/>
  <c r="E552" i="44"/>
  <c r="H3054" i="44"/>
  <c r="E1813" i="44"/>
  <c r="H2824" i="44"/>
  <c r="H2414" i="44"/>
  <c r="E2873" i="44"/>
  <c r="E403" i="44"/>
  <c r="E397" i="44"/>
  <c r="C1942" i="44"/>
  <c r="E2513" i="44"/>
  <c r="E2885" i="44"/>
  <c r="C3056" i="44"/>
  <c r="C1811" i="44"/>
  <c r="E1758" i="44"/>
  <c r="C51" i="44"/>
  <c r="E278" i="44"/>
  <c r="E1944" i="44"/>
  <c r="E1057" i="44"/>
  <c r="C3139" i="44"/>
  <c r="E1953" i="44"/>
  <c r="H2686" i="44"/>
  <c r="E3446" i="44"/>
  <c r="C2333" i="44"/>
  <c r="E3130" i="44"/>
  <c r="C3019" i="44"/>
  <c r="E2774" i="44"/>
  <c r="E664" i="44"/>
  <c r="E2810" i="44"/>
  <c r="C599" i="44"/>
  <c r="E843" i="44"/>
  <c r="C2918" i="44"/>
  <c r="H2669" i="44"/>
  <c r="C2902" i="44"/>
  <c r="C1052" i="44"/>
  <c r="E2328" i="44"/>
  <c r="C927" i="44"/>
  <c r="H3036" i="44"/>
  <c r="C2126" i="44"/>
  <c r="H1806" i="44"/>
  <c r="H930" i="44"/>
  <c r="H927" i="44"/>
  <c r="C595" i="44"/>
  <c r="C2565" i="44"/>
  <c r="H2799" i="44"/>
  <c r="E2797" i="44"/>
  <c r="H1913" i="44"/>
  <c r="E2202" i="44"/>
  <c r="E2728" i="44"/>
  <c r="H3109" i="44"/>
  <c r="C2625" i="44"/>
  <c r="C2936" i="44"/>
  <c r="H2989" i="44"/>
  <c r="H2510" i="44"/>
  <c r="E685" i="44"/>
  <c r="H3159" i="44"/>
  <c r="H2773" i="44"/>
  <c r="E1767" i="44"/>
  <c r="E1873" i="44"/>
  <c r="C380" i="44"/>
  <c r="H2847" i="44"/>
  <c r="E2849" i="44"/>
  <c r="E2807" i="44"/>
  <c r="C1678" i="44"/>
  <c r="H2689" i="44"/>
  <c r="E2497" i="44"/>
  <c r="E1030" i="44"/>
  <c r="E583" i="44"/>
  <c r="H1757" i="44"/>
  <c r="E1895" i="44"/>
  <c r="C2263" i="44"/>
  <c r="E3392" i="44"/>
  <c r="C1860" i="44"/>
  <c r="H2593" i="44"/>
  <c r="E3019" i="44"/>
  <c r="H2099" i="44"/>
  <c r="H2285" i="44"/>
  <c r="E3049" i="44"/>
  <c r="C2988" i="44"/>
  <c r="C2761" i="44"/>
  <c r="C2084" i="44"/>
  <c r="H1846" i="44"/>
  <c r="C621" i="44"/>
  <c r="I2751" i="44"/>
  <c r="C773" i="44"/>
  <c r="C2963" i="44"/>
  <c r="C643" i="44"/>
  <c r="E314" i="44"/>
  <c r="C2164" i="44"/>
  <c r="C1045" i="44"/>
  <c r="H1825" i="44"/>
  <c r="E1689" i="44"/>
  <c r="I2159" i="44"/>
  <c r="C587" i="44"/>
  <c r="E2046" i="44"/>
  <c r="H1771" i="44"/>
  <c r="H1675" i="44"/>
  <c r="E2208" i="44"/>
  <c r="C2097" i="44"/>
  <c r="E2408" i="44"/>
  <c r="H2153" i="44"/>
  <c r="E991" i="44"/>
  <c r="E1882" i="44"/>
  <c r="C647" i="44"/>
  <c r="E2359" i="44"/>
  <c r="C1031" i="44"/>
  <c r="H1593" i="44"/>
  <c r="E2132" i="44"/>
  <c r="C114" i="44"/>
  <c r="E2157" i="44"/>
  <c r="H1654" i="44"/>
  <c r="C2355" i="44"/>
  <c r="E2931" i="44"/>
  <c r="E1806" i="44"/>
  <c r="C1741" i="44"/>
  <c r="E524" i="44"/>
  <c r="E905" i="44"/>
  <c r="I1727" i="44"/>
  <c r="E1733" i="44"/>
  <c r="C2938" i="44"/>
  <c r="C2382" i="44"/>
  <c r="H3165" i="44"/>
  <c r="H2370" i="44"/>
  <c r="E41" i="44"/>
  <c r="E763" i="44"/>
  <c r="E842" i="44"/>
  <c r="C710" i="44"/>
  <c r="E3442" i="44"/>
  <c r="C465" i="44"/>
  <c r="C3054" i="44"/>
  <c r="E224" i="44"/>
  <c r="C633" i="44"/>
  <c r="C2545" i="44"/>
  <c r="E668" i="44"/>
  <c r="C2250" i="44"/>
  <c r="E2420" i="44"/>
  <c r="C1646" i="44"/>
  <c r="H2656" i="44"/>
  <c r="C3035" i="44"/>
  <c r="H1959" i="44"/>
  <c r="E2740" i="44"/>
  <c r="C2839" i="44"/>
  <c r="H2326" i="44"/>
  <c r="C1804" i="44"/>
  <c r="E148" i="44"/>
  <c r="E1079" i="44"/>
  <c r="C1698" i="44"/>
  <c r="C2232" i="44"/>
  <c r="C602" i="44"/>
  <c r="C1851" i="44"/>
  <c r="I2815" i="44"/>
  <c r="H2897" i="44"/>
  <c r="E498" i="44"/>
  <c r="C1840" i="44"/>
  <c r="C2301" i="44"/>
  <c r="C667" i="44"/>
  <c r="H2488" i="44"/>
  <c r="C2940" i="44"/>
  <c r="C93" i="44"/>
  <c r="C1737" i="44"/>
  <c r="H2026" i="44"/>
  <c r="C315" i="44"/>
  <c r="E2842" i="44"/>
  <c r="H2714" i="44"/>
  <c r="E507" i="44"/>
  <c r="C2680" i="44"/>
  <c r="C455" i="44"/>
  <c r="C441" i="44"/>
  <c r="E1896" i="44"/>
  <c r="C795" i="44"/>
  <c r="C1763" i="44"/>
  <c r="C748" i="44"/>
  <c r="E1900" i="44"/>
  <c r="H970" i="44"/>
  <c r="C2830" i="44"/>
  <c r="E114" i="44"/>
  <c r="C1866" i="44"/>
  <c r="I192" i="44"/>
  <c r="C2507" i="44"/>
  <c r="C2836" i="44"/>
  <c r="C3048" i="44"/>
  <c r="C2772" i="44"/>
  <c r="E2537" i="44"/>
  <c r="H1819" i="44"/>
  <c r="H1729" i="44"/>
  <c r="H3034" i="44"/>
  <c r="C1546" i="44"/>
  <c r="C661" i="44"/>
  <c r="E2785" i="44"/>
  <c r="C2400" i="44"/>
  <c r="C2499" i="44"/>
  <c r="E676" i="44"/>
  <c r="C348" i="44"/>
  <c r="I190" i="44"/>
  <c r="C3033" i="44"/>
  <c r="C52" i="44"/>
  <c r="C1088" i="44"/>
  <c r="C2076" i="44"/>
  <c r="H2224" i="44"/>
  <c r="E609" i="44"/>
  <c r="C1511" i="44"/>
  <c r="H2518" i="44"/>
  <c r="C2061" i="44"/>
  <c r="C2100" i="44"/>
  <c r="E415" i="44"/>
  <c r="C1730" i="44"/>
  <c r="E1956" i="44"/>
  <c r="E2440" i="44"/>
  <c r="C2297" i="44"/>
  <c r="C2718" i="44"/>
  <c r="H1865" i="44"/>
  <c r="H3020" i="44"/>
  <c r="C770" i="44"/>
  <c r="E611" i="44"/>
  <c r="E143" i="44"/>
  <c r="C2005" i="44"/>
  <c r="I2959" i="44"/>
  <c r="H1667" i="44"/>
  <c r="H2039" i="44"/>
  <c r="H3134" i="44"/>
  <c r="E2731" i="44"/>
  <c r="C2848" i="44"/>
  <c r="E2690" i="44"/>
  <c r="H2428" i="44"/>
  <c r="E1094" i="44"/>
  <c r="E1634" i="44"/>
  <c r="C2512" i="44"/>
  <c r="C351" i="44"/>
  <c r="E899" i="44"/>
  <c r="H2867" i="44"/>
  <c r="E2439" i="44"/>
  <c r="E401" i="44"/>
  <c r="E452" i="44"/>
  <c r="H2071" i="44"/>
  <c r="C2439" i="44"/>
  <c r="E2269" i="44"/>
  <c r="C2975" i="44"/>
  <c r="H2698" i="44"/>
  <c r="H2169" i="44"/>
  <c r="H2146" i="44"/>
  <c r="C2946" i="44"/>
  <c r="H2313" i="44"/>
  <c r="H1969" i="44"/>
  <c r="C338" i="44"/>
  <c r="E3008" i="44"/>
  <c r="E2099" i="44"/>
  <c r="C1055" i="44"/>
  <c r="I184" i="44"/>
  <c r="C678" i="44"/>
  <c r="E2674" i="44"/>
  <c r="E2699" i="44"/>
  <c r="H2121" i="44"/>
  <c r="C3091" i="44"/>
  <c r="C2199" i="44"/>
  <c r="E1713" i="44"/>
  <c r="H2922" i="44"/>
  <c r="H2096" i="44"/>
  <c r="E3031" i="44"/>
  <c r="C2111" i="44"/>
  <c r="H2632" i="44"/>
  <c r="E2321" i="44"/>
  <c r="H3067" i="44"/>
  <c r="C2421" i="44"/>
  <c r="I2911" i="44"/>
  <c r="C1524" i="44"/>
  <c r="E662" i="44"/>
  <c r="H1621" i="44"/>
  <c r="C396" i="44"/>
  <c r="H1644" i="44"/>
  <c r="C2039" i="44"/>
  <c r="C2435" i="44"/>
  <c r="E308" i="44"/>
  <c r="C2895" i="44"/>
  <c r="C989" i="44"/>
  <c r="C1543" i="44"/>
  <c r="C2992" i="44"/>
  <c r="C2314" i="44"/>
  <c r="E3057" i="44"/>
  <c r="H1701" i="44"/>
  <c r="E522" i="44"/>
  <c r="D104" i="3"/>
  <c r="E533" i="44"/>
  <c r="C3446" i="44"/>
  <c r="C362" i="44"/>
  <c r="E2164" i="44"/>
  <c r="E624" i="44"/>
  <c r="E2033" i="44"/>
  <c r="C1859" i="44"/>
  <c r="C2901" i="44"/>
  <c r="E2875" i="44"/>
  <c r="H1909" i="44"/>
  <c r="C699" i="44"/>
  <c r="H2652" i="44"/>
  <c r="E2944" i="44"/>
  <c r="C3071" i="44"/>
  <c r="H2341" i="44"/>
  <c r="H1702" i="44"/>
  <c r="E3398" i="44"/>
  <c r="H3122" i="44"/>
  <c r="E1004" i="44"/>
  <c r="E595" i="44"/>
  <c r="C547" i="44"/>
  <c r="C684" i="44"/>
  <c r="E112" i="44"/>
  <c r="H2351" i="44"/>
  <c r="C309" i="44"/>
  <c r="H1864" i="44"/>
  <c r="D113" i="3"/>
  <c r="C1758" i="44"/>
  <c r="E691" i="44"/>
  <c r="H2681" i="44"/>
  <c r="H2205" i="44"/>
  <c r="C3037" i="44"/>
  <c r="H2767" i="44"/>
  <c r="E57" i="44"/>
  <c r="E2310" i="44"/>
  <c r="E1860" i="44"/>
  <c r="H2356" i="44"/>
  <c r="E1010" i="44"/>
  <c r="C1672" i="44"/>
  <c r="E567" i="44"/>
  <c r="C3011" i="44"/>
  <c r="E2791" i="44"/>
  <c r="H2999" i="44"/>
  <c r="E1924" i="44"/>
  <c r="H2862" i="44"/>
  <c r="H2283" i="44"/>
  <c r="H2409" i="44"/>
  <c r="C1689" i="44"/>
  <c r="E1876" i="44"/>
  <c r="C1087" i="44"/>
  <c r="E2821" i="44"/>
  <c r="C3085" i="44"/>
  <c r="E2198" i="44"/>
  <c r="E849" i="44"/>
  <c r="E2106" i="44"/>
  <c r="C630" i="44"/>
  <c r="E500" i="44"/>
  <c r="H2900" i="44"/>
  <c r="H2896" i="44"/>
  <c r="C1719" i="44"/>
  <c r="E2386" i="44"/>
  <c r="H2519" i="44"/>
  <c r="E3118" i="44"/>
  <c r="H1872" i="44"/>
  <c r="E2844" i="44"/>
  <c r="C2925" i="44"/>
  <c r="C3116" i="44"/>
  <c r="H1719" i="44"/>
  <c r="H3080" i="44"/>
  <c r="E1546" i="44"/>
  <c r="C116" i="44"/>
  <c r="E950" i="44"/>
  <c r="H2803" i="44"/>
  <c r="H2018" i="44"/>
  <c r="E408" i="44"/>
  <c r="C3162" i="44"/>
  <c r="C2850" i="44"/>
  <c r="H2809" i="44"/>
  <c r="E2965" i="44"/>
  <c r="C972" i="44"/>
  <c r="H2811" i="44"/>
  <c r="E2573" i="44"/>
  <c r="H2712" i="44"/>
  <c r="E2500" i="44"/>
  <c r="C2179" i="44"/>
  <c r="C1854" i="44"/>
  <c r="C1948" i="44"/>
  <c r="C28" i="44"/>
  <c r="H3012" i="44"/>
  <c r="H3015" i="44"/>
  <c r="C2092" i="44"/>
  <c r="E2244" i="44"/>
  <c r="C1032" i="44"/>
  <c r="E2338" i="44"/>
  <c r="C533" i="44"/>
  <c r="C2873" i="44"/>
  <c r="E880" i="44"/>
  <c r="H2413" i="44"/>
  <c r="E673" i="44"/>
  <c r="E137" i="44"/>
  <c r="E51" i="44"/>
  <c r="E2918" i="44"/>
  <c r="C1868" i="44"/>
  <c r="C885" i="44"/>
  <c r="C502" i="44"/>
  <c r="E505" i="44"/>
  <c r="C2868" i="44"/>
  <c r="E1933" i="44"/>
  <c r="C3151" i="44"/>
  <c r="H2981" i="44"/>
  <c r="C1584" i="44"/>
  <c r="H1620" i="44"/>
  <c r="C2351" i="44"/>
  <c r="H2125" i="44"/>
  <c r="E1000" i="44"/>
  <c r="C3400" i="44"/>
  <c r="C1136" i="44"/>
  <c r="C904" i="44"/>
  <c r="H1839" i="44"/>
  <c r="E3089" i="44"/>
  <c r="H1835" i="44"/>
  <c r="H2688" i="44"/>
  <c r="H3105" i="44"/>
  <c r="H977" i="44"/>
  <c r="C3034" i="44"/>
  <c r="H3039" i="44"/>
  <c r="C3122" i="44"/>
  <c r="H2957" i="44"/>
  <c r="E2716" i="44"/>
  <c r="C653" i="44"/>
  <c r="E2083" i="44"/>
  <c r="H3007" i="44"/>
  <c r="C2930" i="44"/>
  <c r="C1819" i="44"/>
  <c r="E534" i="44"/>
  <c r="E376" i="44"/>
  <c r="E2869" i="44"/>
  <c r="E2624" i="44"/>
  <c r="C1018" i="44"/>
  <c r="H2176" i="44"/>
  <c r="H1672" i="44"/>
  <c r="C567" i="44"/>
  <c r="E2081" i="44"/>
  <c r="H1705" i="44"/>
  <c r="E3419" i="44"/>
  <c r="E2003" i="44"/>
  <c r="C3111" i="44"/>
  <c r="C2642" i="44"/>
  <c r="C1821" i="44"/>
  <c r="E2194" i="44"/>
  <c r="C2811" i="44"/>
  <c r="E669" i="44"/>
  <c r="E2419" i="44"/>
  <c r="C1963" i="44"/>
  <c r="H2097" i="44"/>
  <c r="C411" i="44"/>
  <c r="E2267" i="44"/>
  <c r="E2400" i="44"/>
  <c r="H2189" i="44"/>
  <c r="C2664" i="44"/>
  <c r="H2440" i="44"/>
  <c r="H2308" i="44"/>
  <c r="C3066" i="44"/>
  <c r="C358" i="44"/>
  <c r="E2564" i="44"/>
  <c r="H1792" i="44"/>
  <c r="H3071" i="44"/>
  <c r="H972" i="44"/>
  <c r="E2714" i="44"/>
  <c r="C2255" i="44"/>
  <c r="H2418" i="44"/>
  <c r="E2528" i="44"/>
  <c r="E178" i="44"/>
  <c r="C3036" i="44"/>
  <c r="C2835" i="44"/>
  <c r="H2168" i="44"/>
  <c r="C2870" i="44"/>
  <c r="C1933" i="44"/>
  <c r="E3117" i="44"/>
  <c r="C672" i="44"/>
  <c r="E759" i="44"/>
  <c r="C942" i="44"/>
  <c r="E782" i="44"/>
  <c r="C1918" i="44"/>
  <c r="C2249" i="44"/>
  <c r="E268" i="44"/>
  <c r="C2893" i="44"/>
  <c r="C1882" i="44"/>
  <c r="E2414" i="44"/>
  <c r="C776" i="44"/>
  <c r="E1526" i="44"/>
  <c r="C2859" i="44"/>
  <c r="E347" i="44"/>
  <c r="C120" i="44"/>
  <c r="H3106" i="44"/>
  <c r="E518" i="44"/>
  <c r="H1887" i="44"/>
  <c r="H2621" i="44"/>
  <c r="H2707" i="44"/>
  <c r="C2568" i="44"/>
  <c r="C3009" i="44"/>
  <c r="C2907" i="44"/>
  <c r="C1049" i="44"/>
  <c r="H2251" i="44"/>
  <c r="C1901" i="44"/>
  <c r="C2576" i="44"/>
  <c r="H2228" i="44"/>
  <c r="E2555" i="44"/>
  <c r="C1615" i="44"/>
  <c r="E281" i="44"/>
  <c r="H2949" i="44"/>
  <c r="H2191" i="44"/>
  <c r="H1843" i="44"/>
  <c r="H2672" i="44"/>
  <c r="H1740" i="44"/>
  <c r="H2306" i="44"/>
  <c r="C2489" i="44"/>
  <c r="C3052" i="44"/>
  <c r="H2976" i="44"/>
  <c r="E1990" i="44"/>
  <c r="E792" i="44"/>
  <c r="C1930" i="44"/>
  <c r="E2952" i="44"/>
  <c r="E2617" i="44"/>
  <c r="E2680" i="44"/>
  <c r="C3430" i="44"/>
  <c r="I3119" i="44"/>
  <c r="E377" i="44"/>
  <c r="C752" i="44"/>
  <c r="E2138" i="44"/>
  <c r="E3102" i="44"/>
  <c r="E208" i="44"/>
  <c r="E2638" i="44"/>
  <c r="E2962" i="44"/>
  <c r="C1895" i="44"/>
  <c r="C384" i="44"/>
  <c r="E1590" i="44"/>
  <c r="H1706" i="44"/>
  <c r="C1724" i="44"/>
  <c r="E1628" i="44"/>
  <c r="H3126" i="44"/>
  <c r="C308" i="44"/>
  <c r="C1883" i="44"/>
  <c r="C2832" i="44"/>
  <c r="C1605" i="44"/>
  <c r="C1586" i="44"/>
  <c r="C2443" i="44"/>
  <c r="H2887" i="44"/>
  <c r="C2824" i="44"/>
  <c r="E3394" i="44"/>
  <c r="E1779" i="44"/>
  <c r="C2305" i="44"/>
  <c r="C1090" i="44"/>
  <c r="H1848" i="44"/>
  <c r="D118" i="3"/>
  <c r="H2636" i="44"/>
  <c r="E1783" i="44"/>
  <c r="E2196" i="44"/>
  <c r="H1881" i="44"/>
  <c r="E2987" i="44"/>
  <c r="H2785" i="44"/>
  <c r="C804" i="44"/>
  <c r="C2417" i="44"/>
  <c r="E2766" i="44"/>
  <c r="C2218" i="44"/>
  <c r="H2776" i="44"/>
  <c r="C1759" i="44"/>
  <c r="C2976" i="44"/>
  <c r="C12" i="44"/>
  <c r="C1073" i="44"/>
  <c r="C1048" i="44"/>
  <c r="C2706" i="44"/>
  <c r="H1790" i="44"/>
  <c r="E1584" i="44"/>
  <c r="C3127" i="44"/>
  <c r="E1614" i="44"/>
  <c r="C734" i="44"/>
  <c r="C1653" i="44"/>
  <c r="C2617" i="44"/>
  <c r="E246" i="44"/>
  <c r="E548" i="44"/>
  <c r="E1852" i="44"/>
  <c r="C2141" i="44"/>
  <c r="I2287" i="44"/>
  <c r="H2617" i="44"/>
  <c r="E2852" i="44"/>
  <c r="H2027" i="44"/>
  <c r="C648" i="44"/>
  <c r="H1829" i="44"/>
  <c r="H2815" i="44"/>
  <c r="C2369" i="44"/>
  <c r="H1735" i="44"/>
  <c r="E488" i="44"/>
  <c r="C1072" i="44"/>
  <c r="E3145" i="44"/>
  <c r="E83" i="44"/>
  <c r="E1747" i="44"/>
  <c r="E2226" i="44"/>
  <c r="C2264" i="44"/>
  <c r="E2916" i="44"/>
  <c r="E1074" i="44"/>
  <c r="C2033" i="44"/>
  <c r="H2412" i="44"/>
  <c r="E997" i="44"/>
  <c r="C2159" i="44"/>
  <c r="C16" i="44"/>
  <c r="H2060" i="44"/>
  <c r="H1737" i="44"/>
  <c r="E707" i="44"/>
  <c r="E713" i="44"/>
  <c r="E2453" i="44"/>
  <c r="C3132" i="44"/>
  <c r="C3073" i="44"/>
  <c r="C3106" i="44"/>
  <c r="E1552" i="44"/>
  <c r="E2483" i="44"/>
  <c r="C1515" i="44"/>
  <c r="C2414" i="44"/>
  <c r="E2969" i="44"/>
  <c r="H2992" i="44"/>
  <c r="C2299" i="44"/>
  <c r="E3081" i="44"/>
  <c r="C552" i="44"/>
  <c r="C1822" i="44"/>
  <c r="C3068" i="44"/>
  <c r="C2570" i="44"/>
  <c r="C1782" i="44"/>
  <c r="E2162" i="44"/>
  <c r="E2428" i="44"/>
  <c r="H1994" i="44"/>
  <c r="H3063" i="44"/>
  <c r="E2529" i="44"/>
  <c r="H1802" i="44"/>
  <c r="H180" i="44"/>
  <c r="H2304" i="44"/>
  <c r="C1735" i="44"/>
  <c r="E3449" i="44"/>
  <c r="C66" i="44"/>
  <c r="E1878" i="44"/>
  <c r="E1052" i="44"/>
  <c r="E577" i="44"/>
  <c r="C327" i="44"/>
  <c r="D101" i="3"/>
  <c r="H1714" i="44"/>
  <c r="H981" i="44"/>
  <c r="H2311" i="44"/>
  <c r="C2865" i="44"/>
  <c r="H2526" i="44"/>
  <c r="H2832" i="44"/>
  <c r="C802" i="44"/>
  <c r="E2222" i="44"/>
  <c r="E435" i="44"/>
  <c r="C3020" i="44"/>
  <c r="E549" i="44"/>
  <c r="C854" i="44"/>
  <c r="C3076" i="44"/>
  <c r="E3066" i="44"/>
  <c r="C627" i="44"/>
  <c r="E2318" i="44"/>
  <c r="E2380" i="44"/>
  <c r="E2552" i="44"/>
  <c r="H1990" i="44"/>
  <c r="C3377" i="44"/>
  <c r="C2561" i="44"/>
  <c r="H2563" i="44"/>
  <c r="C2330" i="44"/>
  <c r="H1870" i="44"/>
  <c r="E3159" i="44"/>
  <c r="C3406" i="44"/>
  <c r="E2522" i="44"/>
  <c r="H2986" i="44"/>
  <c r="E939" i="44"/>
  <c r="H1585" i="44"/>
  <c r="C1517" i="44"/>
  <c r="H2406" i="44"/>
  <c r="H1966" i="44"/>
  <c r="C1658" i="44"/>
  <c r="C3431" i="44"/>
  <c r="H3068" i="44"/>
  <c r="E597" i="44"/>
  <c r="C2520" i="44"/>
  <c r="E2211" i="44"/>
  <c r="E2071" i="44"/>
  <c r="C1944" i="44"/>
  <c r="C2795" i="44"/>
  <c r="E2710" i="44"/>
  <c r="H2086" i="44"/>
  <c r="H2157" i="44"/>
  <c r="C2379" i="44"/>
  <c r="C2154" i="44"/>
  <c r="E2487" i="44"/>
  <c r="C2320" i="44"/>
  <c r="C797" i="44"/>
  <c r="C482" i="44"/>
  <c r="C1640" i="44"/>
  <c r="C2308" i="44"/>
  <c r="E2702" i="44"/>
  <c r="C695" i="44"/>
  <c r="I158" i="44"/>
  <c r="C679" i="44"/>
  <c r="E2490" i="44"/>
  <c r="E2988" i="44"/>
  <c r="H1989" i="44"/>
  <c r="E2665" i="44"/>
  <c r="E1943" i="44"/>
  <c r="C655" i="44"/>
  <c r="E3079" i="44"/>
  <c r="C1059" i="44"/>
  <c r="C3029" i="44"/>
  <c r="H2065" i="44"/>
  <c r="I3087" i="44"/>
  <c r="H174" i="44"/>
  <c r="E1678" i="44"/>
  <c r="C2393" i="44"/>
  <c r="C2556" i="44"/>
  <c r="H2948" i="44"/>
  <c r="H2472" i="44"/>
  <c r="E817" i="44"/>
  <c r="C1995" i="44"/>
  <c r="E1541" i="44"/>
  <c r="E2973" i="44"/>
  <c r="E2346" i="44"/>
  <c r="E923" i="44"/>
  <c r="C1080" i="44"/>
  <c r="H1679" i="44"/>
  <c r="C2882" i="44"/>
  <c r="E531" i="44"/>
  <c r="H2303" i="44"/>
  <c r="C2621" i="44"/>
  <c r="C1776" i="44"/>
  <c r="E3410" i="44"/>
  <c r="C2429" i="44"/>
  <c r="E3377" i="44"/>
  <c r="E974" i="44"/>
  <c r="E2771" i="44"/>
  <c r="H2237" i="44"/>
  <c r="H2017" i="44"/>
  <c r="C2518" i="44"/>
  <c r="H1744" i="44"/>
  <c r="H2381" i="44"/>
  <c r="H1779" i="44"/>
  <c r="C1827" i="44"/>
  <c r="C3017" i="44"/>
  <c r="H2966" i="44"/>
  <c r="E1850" i="44"/>
  <c r="C2807" i="44"/>
  <c r="I1791" i="44"/>
  <c r="C2589" i="44"/>
  <c r="C1056" i="44"/>
  <c r="C1009" i="44"/>
  <c r="C2656" i="44"/>
  <c r="E2874" i="44"/>
  <c r="E687" i="44"/>
  <c r="E439" i="44"/>
  <c r="E251" i="44"/>
  <c r="E932" i="44"/>
  <c r="C1943" i="44"/>
  <c r="H2664" i="44"/>
  <c r="E351" i="44"/>
  <c r="C2229" i="44"/>
  <c r="H923" i="44"/>
  <c r="C495" i="44"/>
  <c r="C3447" i="44"/>
  <c r="E2565" i="44"/>
  <c r="C881" i="44"/>
  <c r="C817" i="44"/>
  <c r="E2282" i="44"/>
  <c r="H2335" i="44"/>
  <c r="H2372" i="44"/>
  <c r="H2599" i="44"/>
  <c r="E2444" i="44"/>
  <c r="C2028" i="44"/>
  <c r="C674" i="44"/>
  <c r="H2379" i="44"/>
  <c r="H2674" i="44"/>
  <c r="H1876" i="44"/>
  <c r="C2407" i="44"/>
  <c r="H1651" i="44"/>
  <c r="E301" i="44"/>
  <c r="C1091" i="44"/>
  <c r="C782" i="44"/>
  <c r="E2203" i="44"/>
  <c r="E1894" i="44"/>
  <c r="H1940" i="44"/>
  <c r="C1086" i="44"/>
  <c r="E2306" i="44"/>
  <c r="E1932" i="44"/>
  <c r="C1548" i="44"/>
  <c r="C2103" i="44"/>
  <c r="H2940" i="44"/>
  <c r="E1879" i="44"/>
  <c r="H1952" i="44"/>
  <c r="H2194" i="44"/>
  <c r="E731" i="44"/>
  <c r="C477" i="44"/>
  <c r="H1684" i="44"/>
  <c r="C222" i="44"/>
  <c r="E282" i="44"/>
  <c r="H1756" i="44"/>
  <c r="E2662" i="44"/>
  <c r="E785" i="44"/>
  <c r="E3010" i="44"/>
  <c r="E3444" i="44"/>
  <c r="E2776" i="44"/>
  <c r="C1688" i="44"/>
  <c r="H2869" i="44"/>
  <c r="E3152" i="44"/>
  <c r="E1904" i="44"/>
  <c r="H2834" i="44"/>
  <c r="E2614" i="44"/>
  <c r="E1905" i="44"/>
  <c r="E940" i="44"/>
  <c r="E2981" i="44"/>
  <c r="C1001" i="44"/>
  <c r="C325" i="44"/>
  <c r="E1805" i="44"/>
  <c r="H1942" i="44"/>
  <c r="H2531" i="44"/>
  <c r="E1068" i="44"/>
  <c r="E2452" i="44"/>
  <c r="E1675" i="44"/>
  <c r="E1789" i="44"/>
  <c r="C1979" i="44"/>
  <c r="H2349" i="44"/>
  <c r="C3078" i="44"/>
  <c r="H2453" i="44"/>
  <c r="H3094" i="44"/>
  <c r="E1822" i="44"/>
  <c r="H2386" i="44"/>
  <c r="I2527" i="44"/>
  <c r="E2040" i="44"/>
  <c r="E1075" i="44"/>
  <c r="C1897" i="44"/>
  <c r="E688" i="44"/>
  <c r="H3066" i="44"/>
  <c r="E2958" i="44"/>
  <c r="C1884" i="44"/>
  <c r="C379" i="44"/>
  <c r="E2790" i="44"/>
  <c r="C607" i="44"/>
  <c r="H3124" i="44"/>
  <c r="E1690" i="44"/>
  <c r="E2489" i="44"/>
  <c r="E307" i="44"/>
  <c r="E1757" i="44"/>
  <c r="E2622" i="44"/>
  <c r="E3111" i="44"/>
  <c r="H1797" i="44"/>
  <c r="E3121" i="44"/>
  <c r="E2404" i="44"/>
  <c r="E756" i="44"/>
  <c r="E2663" i="44"/>
  <c r="E2187" i="44"/>
  <c r="C2191" i="44"/>
  <c r="C530" i="44"/>
  <c r="C566" i="44"/>
  <c r="E747" i="44"/>
  <c r="H2390" i="44"/>
  <c r="E2626" i="44"/>
  <c r="E2317" i="44"/>
  <c r="E2124" i="44"/>
  <c r="E1033" i="44"/>
  <c r="C733" i="44"/>
  <c r="C1862" i="44"/>
  <c r="C2051" i="44"/>
  <c r="C2983" i="44"/>
  <c r="E2323" i="44"/>
  <c r="E2884" i="44"/>
  <c r="C3100" i="44"/>
  <c r="E337" i="44"/>
  <c r="H2281" i="44"/>
  <c r="E2116" i="44"/>
  <c r="C2446" i="44"/>
  <c r="C861" i="44"/>
  <c r="E631" i="44"/>
  <c r="E1799" i="44"/>
  <c r="C574" i="44"/>
  <c r="E2112" i="44"/>
  <c r="H1883" i="44"/>
  <c r="C1705" i="44"/>
  <c r="H2595" i="44"/>
  <c r="C3379" i="44"/>
  <c r="D115" i="3"/>
  <c r="E3044" i="44"/>
  <c r="E2971" i="44"/>
  <c r="C843" i="44"/>
  <c r="C2927" i="44"/>
  <c r="E389" i="44"/>
  <c r="E1078" i="44"/>
  <c r="C2420" i="44"/>
  <c r="E2787" i="44"/>
  <c r="H2172" i="44"/>
  <c r="E3090" i="44"/>
  <c r="E1537" i="44"/>
  <c r="H2489" i="44"/>
  <c r="C2558" i="44"/>
  <c r="E350" i="44"/>
  <c r="H2128" i="44"/>
  <c r="E3091" i="44"/>
  <c r="E810" i="44"/>
  <c r="E682" i="44"/>
  <c r="C1970" i="44"/>
  <c r="H2486" i="44"/>
  <c r="H2078" i="44"/>
  <c r="E667" i="44"/>
  <c r="E2376" i="44"/>
  <c r="E228" i="44"/>
  <c r="C2139" i="44"/>
  <c r="E5" i="44"/>
  <c r="H2638" i="44"/>
  <c r="C2513" i="44"/>
  <c r="E2793" i="44"/>
  <c r="C3118" i="44"/>
  <c r="H1668" i="44"/>
  <c r="E946" i="44"/>
  <c r="H2718" i="44"/>
  <c r="E2829" i="44"/>
  <c r="H1685" i="44"/>
  <c r="C2349" i="44"/>
  <c r="H2826" i="44"/>
  <c r="C2889" i="44"/>
  <c r="E2936" i="44"/>
  <c r="E2115" i="44"/>
  <c r="E459" i="44"/>
  <c r="E2488" i="44"/>
  <c r="H2650" i="44"/>
  <c r="E423" i="44"/>
  <c r="C1885" i="44"/>
  <c r="C549" i="44"/>
  <c r="E3099" i="44"/>
  <c r="C2904" i="44"/>
  <c r="E2122" i="44"/>
  <c r="E1617" i="44"/>
  <c r="E329" i="44"/>
  <c r="C2493" i="44"/>
  <c r="I3071" i="44"/>
  <c r="C3142" i="44"/>
  <c r="H204" i="44"/>
  <c r="E2353" i="44"/>
  <c r="C1909" i="44"/>
  <c r="E881" i="44"/>
  <c r="H2321" i="44"/>
  <c r="C3004" i="44"/>
  <c r="E696" i="44"/>
  <c r="H2997" i="44"/>
  <c r="H2960" i="44"/>
  <c r="D106" i="3"/>
  <c r="C2853" i="44"/>
  <c r="C1771" i="44"/>
  <c r="H2249" i="44"/>
  <c r="C2471" i="44"/>
  <c r="H2836" i="44"/>
  <c r="E2142" i="44"/>
  <c r="E362" i="44"/>
  <c r="H1931" i="44"/>
  <c r="C536" i="44"/>
  <c r="H1877" i="44"/>
  <c r="E339" i="44"/>
  <c r="H2855" i="44"/>
  <c r="E3013" i="44"/>
  <c r="E2545" i="44"/>
  <c r="E2434" i="44"/>
  <c r="E863" i="44"/>
  <c r="E1037" i="44"/>
  <c r="C1902" i="44"/>
  <c r="E67" i="44"/>
  <c r="C3449" i="44"/>
  <c r="C2657" i="44"/>
  <c r="H2548" i="44"/>
  <c r="C2482" i="44"/>
  <c r="C760" i="44"/>
  <c r="C2167" i="44"/>
  <c r="E734" i="44"/>
  <c r="C2818" i="44"/>
  <c r="H1738" i="44"/>
  <c r="H1855" i="44"/>
  <c r="C1923" i="44"/>
  <c r="E2038" i="44"/>
  <c r="E1035" i="44"/>
  <c r="C557" i="44"/>
  <c r="H1699" i="44"/>
  <c r="E2940" i="44"/>
  <c r="C2210" i="44"/>
  <c r="C1649" i="44"/>
  <c r="E3406" i="44"/>
  <c r="C1671" i="44"/>
  <c r="C2984" i="44"/>
  <c r="E2845" i="44"/>
  <c r="C1935" i="44"/>
  <c r="E2722" i="44"/>
  <c r="H1926" i="44"/>
  <c r="H2253" i="44"/>
  <c r="C3081" i="44"/>
  <c r="E2568" i="44"/>
  <c r="I2063" i="44"/>
  <c r="H1924" i="44"/>
  <c r="H3160" i="44"/>
  <c r="C1061" i="44"/>
  <c r="C2785" i="44"/>
  <c r="H168" i="44"/>
  <c r="C2574" i="44"/>
  <c r="H2532" i="44"/>
  <c r="C2826" i="44"/>
  <c r="H2156" i="44"/>
  <c r="E1838" i="44"/>
  <c r="C2660" i="44"/>
  <c r="H2106" i="44"/>
  <c r="E1958" i="44"/>
  <c r="C2077" i="44"/>
  <c r="E1083" i="44"/>
  <c r="C1791" i="44"/>
  <c r="H2149" i="44"/>
  <c r="E911" i="44"/>
  <c r="E2653" i="44"/>
  <c r="C872" i="44"/>
  <c r="C2590" i="44"/>
  <c r="C580" i="44"/>
  <c r="E1540" i="44"/>
  <c r="E714" i="44"/>
  <c r="H2864" i="44"/>
  <c r="C1591" i="44"/>
  <c r="C1695" i="44"/>
  <c r="H1658" i="44"/>
  <c r="E1683" i="44"/>
  <c r="C139" i="44"/>
  <c r="E871" i="44"/>
  <c r="E2178" i="44"/>
  <c r="C2336" i="44"/>
  <c r="H2853" i="44"/>
  <c r="C1786" i="44"/>
  <c r="H2705" i="44"/>
  <c r="E1668" i="44"/>
  <c r="C3117" i="44"/>
  <c r="C2735" i="44"/>
  <c r="E1002" i="44"/>
  <c r="H2851" i="44"/>
  <c r="E632" i="44"/>
  <c r="C2447" i="44"/>
  <c r="E521" i="44"/>
  <c r="E3058" i="44"/>
  <c r="C2293" i="44"/>
  <c r="C1907" i="44"/>
  <c r="C3159" i="44"/>
  <c r="E925" i="44"/>
  <c r="E3422" i="44"/>
  <c r="C2792" i="44"/>
  <c r="E450" i="44"/>
  <c r="I2879" i="44"/>
  <c r="C1824" i="44"/>
  <c r="H3082" i="44"/>
  <c r="C2592" i="44"/>
  <c r="E540" i="44"/>
  <c r="C985" i="44"/>
  <c r="E2037" i="44"/>
  <c r="E1669" i="44"/>
  <c r="C2879" i="44"/>
  <c r="C2425" i="44"/>
  <c r="C1645" i="44"/>
  <c r="C1878" i="44"/>
  <c r="C2822" i="44"/>
  <c r="C83" i="44"/>
  <c r="C3437" i="44"/>
  <c r="C473" i="44"/>
  <c r="C1891" i="44"/>
  <c r="E2092" i="44"/>
  <c r="H2263" i="44"/>
  <c r="E19" i="44"/>
  <c r="C2740" i="44"/>
  <c r="E791" i="44"/>
  <c r="C521" i="44"/>
  <c r="C3001" i="44"/>
  <c r="C1651" i="44"/>
  <c r="H1617" i="44"/>
  <c r="E2846" i="44"/>
  <c r="H1803" i="44"/>
  <c r="C1876" i="44"/>
  <c r="H2016" i="44"/>
  <c r="H2843" i="44"/>
  <c r="E573" i="44"/>
  <c r="C3104" i="44"/>
  <c r="C2494" i="44"/>
  <c r="C928" i="44"/>
  <c r="E2718" i="44"/>
  <c r="E3161" i="44"/>
  <c r="H2612" i="44"/>
  <c r="H1682" i="44"/>
  <c r="C1619" i="44"/>
  <c r="C243" i="44"/>
  <c r="C1755" i="44"/>
  <c r="E2964" i="44"/>
  <c r="E470" i="44"/>
  <c r="H2850" i="44"/>
  <c r="H2687" i="44"/>
  <c r="E2854" i="44"/>
  <c r="C2045" i="44"/>
  <c r="C632" i="44"/>
  <c r="H2068" i="44"/>
  <c r="E938" i="44"/>
  <c r="C2702" i="44"/>
  <c r="E2621" i="44"/>
  <c r="I2223" i="44"/>
  <c r="H1973" i="44"/>
  <c r="H1652" i="44"/>
  <c r="C2866" i="44"/>
  <c r="E2245" i="44"/>
  <c r="E1023" i="44"/>
  <c r="E564" i="44"/>
  <c r="C1958" i="44"/>
  <c r="E1753" i="44"/>
  <c r="I2383" i="44"/>
  <c r="H210" i="44"/>
  <c r="H2991" i="44"/>
  <c r="C1660" i="44"/>
  <c r="E529" i="44"/>
  <c r="C2891" i="44"/>
  <c r="C2695" i="44"/>
  <c r="C1877" i="44"/>
  <c r="E3047" i="44"/>
  <c r="C2595" i="44"/>
  <c r="E3417" i="44"/>
  <c r="C3025" i="44"/>
  <c r="E2683" i="44"/>
  <c r="C2307" i="44"/>
  <c r="C73" i="44"/>
  <c r="C3115" i="44"/>
  <c r="C2759" i="44"/>
  <c r="E2446" i="44"/>
  <c r="E3025" i="44"/>
  <c r="E1819" i="44"/>
  <c r="E1046" i="44"/>
  <c r="C2082" i="44"/>
  <c r="E1734" i="44"/>
  <c r="H2204" i="44"/>
  <c r="E1720" i="44"/>
  <c r="C35" i="44"/>
  <c r="C657" i="44"/>
  <c r="C3086" i="44"/>
  <c r="H1879" i="44"/>
  <c r="C3432" i="44"/>
  <c r="C2311" i="44"/>
  <c r="E421" i="44"/>
  <c r="C1637" i="44"/>
  <c r="E2078" i="44"/>
  <c r="H2131" i="44"/>
  <c r="E2546" i="44"/>
  <c r="C970" i="44"/>
  <c r="C366" i="44"/>
  <c r="H2528" i="44"/>
  <c r="E3423" i="44"/>
  <c r="E1064" i="44"/>
  <c r="C2858" i="44"/>
  <c r="H2974" i="44"/>
  <c r="C3157" i="44"/>
  <c r="E2377" i="44"/>
  <c r="E661" i="44"/>
  <c r="E2532" i="44"/>
  <c r="E633" i="44"/>
  <c r="C3080" i="44"/>
  <c r="C992" i="44"/>
  <c r="C442" i="44"/>
  <c r="H2954" i="44"/>
  <c r="E3093" i="44"/>
  <c r="C1506" i="44"/>
  <c r="H2369" i="44"/>
  <c r="E61" i="44"/>
  <c r="E2739" i="44"/>
  <c r="C2955" i="44"/>
  <c r="E66" i="44"/>
  <c r="H2190" i="44"/>
  <c r="C623" i="44"/>
  <c r="C1849" i="44"/>
  <c r="E433" i="44"/>
  <c r="C1000" i="44"/>
  <c r="H2095" i="44"/>
  <c r="C2466" i="44"/>
  <c r="C1541" i="44"/>
  <c r="E2240" i="44"/>
  <c r="H1690" i="44"/>
  <c r="E2340" i="44"/>
  <c r="H2980" i="44"/>
  <c r="E3409" i="44"/>
  <c r="H1754" i="44"/>
  <c r="H2870" i="44"/>
  <c r="C476" i="44"/>
  <c r="C790" i="44"/>
  <c r="C2436" i="44"/>
  <c r="C1826" i="44"/>
  <c r="E2553" i="44"/>
  <c r="C3098" i="44"/>
  <c r="C2247" i="44"/>
  <c r="C2124" i="44"/>
  <c r="E2443" i="44"/>
  <c r="C2049" i="44"/>
  <c r="H3062" i="44"/>
  <c r="C3386" i="44"/>
  <c r="H2557" i="44"/>
  <c r="H2269" i="44"/>
  <c r="E3028" i="44"/>
  <c r="H2012" i="44"/>
  <c r="C702" i="44"/>
  <c r="E1032" i="44"/>
  <c r="E2272" i="44"/>
  <c r="H1645" i="44"/>
  <c r="C2071" i="44"/>
  <c r="I182" i="44"/>
  <c r="E1786" i="44"/>
  <c r="H2899" i="44"/>
  <c r="H2273" i="44"/>
  <c r="E333" i="44"/>
  <c r="C2564" i="44"/>
  <c r="C2823" i="44"/>
  <c r="C2332" i="44"/>
  <c r="E1051" i="44"/>
  <c r="C1082" i="44"/>
  <c r="C2752" i="44"/>
  <c r="E2417" i="44"/>
  <c r="C1921" i="44"/>
  <c r="I2639" i="44"/>
  <c r="E399" i="44"/>
  <c r="H2449" i="44"/>
  <c r="I1583" i="44"/>
  <c r="E124" i="44"/>
  <c r="E2441" i="44"/>
  <c r="H2307" i="44"/>
  <c r="C427" i="44"/>
  <c r="C2572" i="44"/>
  <c r="C605" i="44"/>
  <c r="H2365" i="44"/>
  <c r="H1755" i="44"/>
  <c r="E768" i="44"/>
  <c r="C2327" i="44"/>
  <c r="C2234" i="44"/>
  <c r="C2620" i="44"/>
  <c r="I2143" i="44"/>
  <c r="E626" i="44"/>
  <c r="H1960" i="44"/>
  <c r="C2847" i="44"/>
  <c r="H2174" i="44"/>
  <c r="H2673" i="44"/>
  <c r="H1592" i="44"/>
  <c r="C1712" i="44"/>
  <c r="C1946" i="44"/>
  <c r="C3158" i="44"/>
  <c r="E1984" i="44"/>
  <c r="C1969" i="44"/>
  <c r="C511" i="44"/>
  <c r="E643" i="44"/>
  <c r="E2556" i="44"/>
  <c r="E2606" i="44"/>
  <c r="E641" i="44"/>
  <c r="H182" i="44"/>
  <c r="C2453" i="44"/>
  <c r="C1033" i="44"/>
  <c r="C2224" i="44"/>
  <c r="E972" i="44"/>
  <c r="C2105" i="44"/>
  <c r="C2148" i="44"/>
  <c r="C431" i="44"/>
  <c r="H2752" i="44"/>
  <c r="H1773" i="44"/>
  <c r="H2229" i="44"/>
  <c r="E3382" i="44"/>
  <c r="E562" i="44"/>
  <c r="H1965" i="44"/>
  <c r="E2299" i="44"/>
  <c r="C3149" i="44"/>
  <c r="C2440" i="44"/>
  <c r="H1747" i="44"/>
  <c r="E1921" i="44"/>
  <c r="C221" i="44"/>
  <c r="C1603" i="44"/>
  <c r="H1999" i="44"/>
  <c r="E2361" i="44"/>
  <c r="H2766" i="44"/>
  <c r="H1907" i="44"/>
  <c r="H2181" i="44"/>
  <c r="H2230" i="44"/>
  <c r="E1741" i="44"/>
  <c r="C2995" i="44"/>
  <c r="E1912" i="44"/>
  <c r="H2885" i="44"/>
  <c r="H1655" i="44"/>
  <c r="E497" i="44"/>
  <c r="E2160" i="44"/>
  <c r="C780" i="44"/>
  <c r="E1038" i="44"/>
  <c r="E1833" i="44"/>
  <c r="C1728" i="44"/>
  <c r="E894" i="44"/>
  <c r="E901" i="44"/>
  <c r="H2944" i="44"/>
  <c r="C896" i="44"/>
  <c r="H3161" i="44"/>
  <c r="E2007" i="44"/>
  <c r="C2627" i="44"/>
  <c r="E2242" i="44"/>
  <c r="E1703" i="44"/>
  <c r="E2296" i="44"/>
  <c r="C2884" i="44"/>
  <c r="E3139" i="44"/>
  <c r="C3376" i="44"/>
  <c r="E616" i="44"/>
  <c r="H2990" i="44"/>
  <c r="C2768" i="44"/>
  <c r="E2369" i="44"/>
  <c r="C1867" i="44"/>
  <c r="H2529" i="44"/>
  <c r="E2870" i="44"/>
  <c r="E2291" i="44"/>
  <c r="H2625" i="44"/>
  <c r="C1075" i="44"/>
  <c r="E2813" i="44"/>
  <c r="C807" i="44"/>
  <c r="H2859" i="44"/>
  <c r="E1655" i="44"/>
  <c r="H2647" i="44"/>
  <c r="E1613" i="44"/>
  <c r="H1880" i="44"/>
  <c r="H2155" i="44"/>
  <c r="H2180" i="44"/>
  <c r="H1978" i="44"/>
  <c r="H928" i="44"/>
  <c r="C2941" i="44"/>
  <c r="C1841" i="44"/>
  <c r="E2920" i="44"/>
  <c r="H2978" i="44"/>
  <c r="E275" i="44"/>
  <c r="C2032" i="44"/>
  <c r="C2798" i="44"/>
  <c r="E2697" i="44"/>
  <c r="C1585" i="44"/>
  <c r="C778" i="44"/>
  <c r="E2344" i="44"/>
  <c r="H2540" i="44"/>
  <c r="H2675" i="44"/>
  <c r="C2068" i="44"/>
  <c r="E2023" i="44"/>
  <c r="E612" i="44"/>
  <c r="H2527" i="44"/>
  <c r="C2760" i="44"/>
  <c r="C3093" i="44"/>
  <c r="H2268" i="44"/>
  <c r="C2878" i="44"/>
  <c r="H2770" i="44"/>
  <c r="H3100" i="44"/>
  <c r="H1625" i="44"/>
  <c r="E2932" i="44"/>
  <c r="E2851" i="44"/>
  <c r="H2590" i="44"/>
  <c r="E1637" i="44"/>
  <c r="H3079" i="44"/>
  <c r="C1538" i="44"/>
  <c r="C1886" i="44"/>
  <c r="E1738" i="44"/>
  <c r="C395" i="44"/>
  <c r="H2923" i="44"/>
  <c r="H1795" i="44"/>
  <c r="E1926" i="44"/>
  <c r="E818" i="44"/>
  <c r="E2789" i="44"/>
  <c r="E414" i="44"/>
  <c r="C2113" i="44"/>
  <c r="C2091" i="44"/>
  <c r="E359" i="44"/>
  <c r="H3092" i="44"/>
  <c r="C2324" i="44"/>
  <c r="H2231" i="44"/>
  <c r="H1964" i="44"/>
  <c r="C548" i="44"/>
  <c r="C2450" i="44"/>
  <c r="H1724" i="44"/>
  <c r="H2721" i="44"/>
  <c r="E1515" i="44"/>
  <c r="H2760" i="44"/>
  <c r="C2038" i="44"/>
  <c r="E2231" i="44"/>
  <c r="H2738" i="44"/>
  <c r="C2737" i="44"/>
  <c r="E1797" i="44"/>
  <c r="H2820" i="44"/>
  <c r="H2821" i="44"/>
  <c r="E903" i="44"/>
  <c r="C1984" i="44"/>
  <c r="C1008" i="44"/>
  <c r="E424" i="44"/>
  <c r="C2328" i="44"/>
  <c r="C2020" i="44"/>
  <c r="I200" i="44"/>
  <c r="C2384" i="44"/>
  <c r="E52" i="44"/>
  <c r="C2806" i="44"/>
  <c r="C986" i="44"/>
  <c r="E2457" i="44"/>
  <c r="H2797" i="44"/>
  <c r="E858" i="44"/>
  <c r="C1794" i="44"/>
  <c r="E227" i="44"/>
  <c r="H2421" i="44"/>
  <c r="C837" i="44"/>
  <c r="E2809" i="44"/>
  <c r="E2173" i="44"/>
  <c r="H2331" i="44"/>
  <c r="H2583" i="44"/>
  <c r="H3153" i="44"/>
  <c r="C2980" i="44"/>
  <c r="E2084" i="44"/>
  <c r="H2945" i="44"/>
  <c r="I2207" i="44"/>
  <c r="C3391" i="44"/>
  <c r="C2803" i="44"/>
  <c r="H2696" i="44"/>
  <c r="H2072" i="44"/>
  <c r="E1996" i="44"/>
  <c r="C2544" i="44"/>
  <c r="I164" i="44"/>
  <c r="E1696" i="44"/>
  <c r="E2139" i="44"/>
  <c r="C2242" i="44"/>
  <c r="E225" i="44"/>
  <c r="C2025" i="44"/>
  <c r="H2299" i="44"/>
  <c r="H2914" i="44"/>
  <c r="C2711" i="44"/>
  <c r="C1797" i="44"/>
  <c r="E1511" i="44"/>
  <c r="H3146" i="44"/>
  <c r="I2127" i="44"/>
  <c r="H2291" i="44"/>
  <c r="E316" i="44"/>
  <c r="H1903" i="44"/>
  <c r="H2353" i="44"/>
  <c r="E2675" i="44"/>
  <c r="C1887" i="44"/>
  <c r="H2318" i="44"/>
  <c r="E1026" i="44"/>
  <c r="E760" i="44"/>
  <c r="H3117" i="44"/>
  <c r="E3396" i="44"/>
  <c r="E460" i="44"/>
  <c r="C2987" i="44"/>
  <c r="C499" i="44"/>
  <c r="E1836" i="44"/>
  <c r="H2034" i="44"/>
  <c r="E2010" i="44"/>
  <c r="E2382" i="44"/>
  <c r="H3057" i="44"/>
  <c r="C1833" i="44"/>
  <c r="I176" i="44"/>
  <c r="E2381" i="44"/>
  <c r="E2912" i="44"/>
  <c r="C1590" i="44"/>
  <c r="E334" i="44"/>
  <c r="H3144" i="44"/>
  <c r="E1636" i="44"/>
  <c r="H1910" i="44"/>
  <c r="H2682" i="44"/>
  <c r="C717" i="44"/>
  <c r="C923" i="44"/>
  <c r="H2653" i="44"/>
  <c r="E2551" i="44"/>
  <c r="E766" i="44"/>
  <c r="E909" i="44"/>
  <c r="E2754" i="44"/>
  <c r="H2182" i="44"/>
  <c r="C1971" i="44"/>
  <c r="E364" i="44"/>
  <c r="C2094" i="44"/>
  <c r="H2708" i="44"/>
  <c r="E2507" i="44"/>
  <c r="E2644" i="44"/>
  <c r="E9" i="44"/>
  <c r="C2431" i="44"/>
  <c r="E2724" i="44"/>
  <c r="H1821" i="44"/>
  <c r="H2221" i="44"/>
  <c r="H3019" i="44"/>
  <c r="H2373" i="44"/>
  <c r="E593" i="44"/>
  <c r="E1604" i="44"/>
  <c r="H2588" i="44"/>
  <c r="E3380" i="44"/>
  <c r="H2926" i="44"/>
  <c r="H2615" i="44"/>
  <c r="E618" i="44"/>
  <c r="H1826" i="44"/>
  <c r="C1069" i="44"/>
  <c r="H2810" i="44"/>
  <c r="I2495" i="44"/>
  <c r="H1886" i="44"/>
  <c r="C3426" i="44"/>
  <c r="E322" i="44"/>
  <c r="H2011" i="44"/>
  <c r="C478" i="44"/>
  <c r="C2977" i="44"/>
  <c r="C3124" i="44"/>
  <c r="E2676" i="44"/>
  <c r="H2045" i="44"/>
  <c r="E2213" i="44"/>
  <c r="C2316" i="44"/>
  <c r="H1612" i="44"/>
  <c r="C1642" i="44"/>
  <c r="H2170" i="44"/>
  <c r="C2239" i="44"/>
  <c r="C1955" i="44"/>
  <c r="C1924" i="44"/>
  <c r="C2163" i="44"/>
  <c r="E2985" i="44"/>
  <c r="C1707" i="44"/>
  <c r="E176" i="44"/>
  <c r="C452" i="44"/>
  <c r="E854" i="44"/>
  <c r="C3140" i="44"/>
  <c r="E2110" i="44"/>
  <c r="H2925" i="44"/>
  <c r="E697" i="44"/>
  <c r="C686" i="44"/>
  <c r="H2873" i="44"/>
  <c r="H975" i="44"/>
  <c r="C3156" i="44"/>
  <c r="C538" i="44"/>
  <c r="C1661" i="44"/>
  <c r="C2612" i="44"/>
  <c r="C1639" i="44"/>
  <c r="C2908" i="44"/>
  <c r="C2935" i="44"/>
  <c r="C2831" i="44"/>
  <c r="E1600" i="44"/>
  <c r="H1646" i="44"/>
  <c r="H1614" i="44"/>
  <c r="C3129" i="44"/>
  <c r="E761" i="44"/>
  <c r="E2861" i="44"/>
  <c r="C1953" i="44"/>
  <c r="H2719" i="44"/>
  <c r="E2758" i="44"/>
  <c r="H2167" i="44"/>
  <c r="C2155" i="44"/>
  <c r="C2341" i="44"/>
  <c r="C2266" i="44"/>
  <c r="C138" i="44"/>
  <c r="E977" i="44"/>
  <c r="C993" i="44"/>
  <c r="E705" i="44"/>
  <c r="H2186" i="44"/>
  <c r="E2598" i="44"/>
  <c r="H2173" i="44"/>
  <c r="E2712" i="44"/>
  <c r="H2921" i="44"/>
  <c r="H2117" i="44"/>
  <c r="H3099" i="44"/>
  <c r="E1005" i="44"/>
  <c r="E2510" i="44"/>
  <c r="C2123" i="44"/>
  <c r="C2636" i="44"/>
  <c r="E1815" i="44"/>
  <c r="C55" i="44"/>
  <c r="E3029" i="44"/>
  <c r="H1633" i="44"/>
  <c r="C2503" i="44"/>
  <c r="C1701" i="44"/>
  <c r="E480" i="44"/>
  <c r="C2426" i="44"/>
  <c r="E812" i="44"/>
  <c r="C2696" i="44"/>
  <c r="H2522" i="44"/>
  <c r="J1136" i="44"/>
  <c r="H2466" i="44"/>
  <c r="E2075" i="44"/>
  <c r="E575" i="44"/>
  <c r="E2217" i="44"/>
  <c r="C2134" i="44"/>
  <c r="E3378" i="44"/>
  <c r="C337" i="44"/>
  <c r="C371" i="44"/>
  <c r="C3095" i="44"/>
  <c r="C2669" i="44"/>
  <c r="E1719" i="44"/>
  <c r="E1028" i="44"/>
  <c r="E1688" i="44"/>
  <c r="I2255" i="44"/>
  <c r="E489" i="44"/>
  <c r="H3049" i="44"/>
  <c r="E381" i="44"/>
  <c r="E2000" i="44"/>
  <c r="E893" i="44"/>
  <c r="E2784" i="44"/>
  <c r="C1656" i="44"/>
  <c r="C2933" i="44"/>
  <c r="H2616" i="44"/>
  <c r="H2871" i="44"/>
  <c r="E601" i="44"/>
  <c r="E2292" i="44"/>
  <c r="C527" i="44"/>
  <c r="H2567" i="44"/>
  <c r="I168" i="44"/>
  <c r="H2905" i="44"/>
  <c r="H2963" i="44"/>
  <c r="E2592" i="44"/>
  <c r="C1954" i="44"/>
  <c r="H1774" i="44"/>
  <c r="E2450" i="44"/>
  <c r="C2934" i="44"/>
  <c r="C2796" i="44"/>
  <c r="H2533" i="44"/>
  <c r="E1007" i="44"/>
  <c r="C2655" i="44"/>
  <c r="C2952" i="44"/>
  <c r="C1956" i="44"/>
  <c r="C2354" i="44"/>
  <c r="E2567" i="44"/>
  <c r="C3026" i="44"/>
  <c r="C1623" i="44"/>
  <c r="H2405" i="44"/>
  <c r="E2363" i="44"/>
  <c r="H2623" i="44"/>
  <c r="H1892" i="44"/>
  <c r="I178" i="44"/>
  <c r="E2970" i="44"/>
  <c r="E1555" i="44"/>
  <c r="E796" i="44"/>
  <c r="C1894" i="44"/>
  <c r="E1728" i="44"/>
  <c r="H2566" i="44"/>
  <c r="E8" i="44"/>
  <c r="E1608" i="44"/>
  <c r="E1017" i="44"/>
  <c r="C929" i="44"/>
  <c r="H2972" i="44"/>
  <c r="E3001" i="44"/>
  <c r="C998" i="44"/>
  <c r="E375" i="44"/>
  <c r="C1733" i="44"/>
  <c r="E2741" i="44"/>
  <c r="C2195" i="44"/>
  <c r="C1768" i="44"/>
  <c r="E569" i="44"/>
  <c r="E578" i="44"/>
  <c r="E325" i="44"/>
  <c r="H188" i="44"/>
  <c r="C1792" i="44"/>
  <c r="E3125" i="44"/>
  <c r="C2116" i="44"/>
  <c r="E449" i="44"/>
  <c r="C875" i="44"/>
  <c r="H1639" i="44"/>
  <c r="C3041" i="44"/>
  <c r="C2528" i="44"/>
  <c r="E2906" i="44"/>
  <c r="E31" i="44"/>
  <c r="C2270" i="44"/>
  <c r="E2587" i="44"/>
  <c r="E1972" i="44"/>
  <c r="H2745" i="44"/>
  <c r="C454" i="44"/>
  <c r="E272" i="44"/>
  <c r="H1789" i="44"/>
  <c r="E3376" i="44"/>
  <c r="C1620" i="44"/>
  <c r="C894" i="44"/>
  <c r="E2704" i="44"/>
  <c r="C1030" i="44"/>
  <c r="H1647" i="44"/>
  <c r="C3028" i="44"/>
  <c r="C1655" i="44"/>
  <c r="C2085" i="44"/>
  <c r="E1902" i="44"/>
  <c r="C2476" i="44"/>
  <c r="I154" i="44"/>
  <c r="E2954" i="44"/>
  <c r="E986" i="44"/>
  <c r="E200" i="44"/>
  <c r="C2011" i="44"/>
  <c r="H2804" i="44"/>
  <c r="E572" i="44"/>
  <c r="H1813" i="44"/>
  <c r="E2087" i="44"/>
  <c r="E3402" i="44"/>
  <c r="E1067" i="44"/>
  <c r="I2031" i="44"/>
  <c r="E851" i="44"/>
  <c r="C501" i="44"/>
  <c r="E2256" i="44"/>
  <c r="C461" i="44"/>
  <c r="E2978" i="44"/>
  <c r="E1740" i="44"/>
  <c r="E2261" i="44"/>
  <c r="C1949" i="44"/>
  <c r="C937" i="44"/>
  <c r="E3445" i="44"/>
  <c r="C2525" i="44"/>
  <c r="H2814" i="44"/>
  <c r="E2658" i="44"/>
  <c r="H2561" i="44"/>
  <c r="E2336" i="44"/>
  <c r="C2177" i="44"/>
  <c r="C2843" i="44"/>
  <c r="C2777" i="44"/>
  <c r="C660" i="44"/>
  <c r="H198" i="44"/>
  <c r="C2591" i="44"/>
  <c r="E2691" i="44"/>
  <c r="H926" i="44"/>
  <c r="E2726" i="44"/>
  <c r="H2854" i="44"/>
  <c r="H2366" i="44"/>
  <c r="C2609" i="44"/>
  <c r="C3424" i="44"/>
  <c r="C3411" i="44"/>
  <c r="H2729" i="44"/>
  <c r="E724" i="44"/>
  <c r="C2781" i="44"/>
  <c r="H3155" i="44"/>
  <c r="E250" i="44"/>
  <c r="E2765" i="44"/>
  <c r="H2969" i="44"/>
  <c r="H2465" i="44"/>
  <c r="C685" i="44"/>
  <c r="C2366" i="44"/>
  <c r="E649" i="44"/>
  <c r="E617" i="44"/>
  <c r="H924" i="44"/>
  <c r="I150" i="44"/>
  <c r="C2394" i="44"/>
  <c r="C2663" i="44"/>
  <c r="E2980" i="44"/>
  <c r="C2539" i="44"/>
  <c r="E482" i="44"/>
  <c r="E828" i="44"/>
  <c r="C1952" i="44"/>
  <c r="C2118" i="44"/>
  <c r="C2911" i="44"/>
  <c r="C21" i="44"/>
  <c r="C2144" i="44"/>
  <c r="C689" i="44"/>
  <c r="H2352" i="44"/>
  <c r="C2569" i="44"/>
  <c r="E1966" i="44"/>
  <c r="H2777" i="44"/>
  <c r="E2219" i="44"/>
  <c r="E2375" i="44"/>
  <c r="E576" i="44"/>
  <c r="C3075" i="44"/>
  <c r="C806" i="44"/>
  <c r="H2333" i="44"/>
  <c r="H1588" i="44"/>
  <c r="C1736" i="44"/>
  <c r="E2133" i="44"/>
  <c r="C3395" i="44"/>
  <c r="E417" i="44"/>
  <c r="E2673" i="44"/>
  <c r="C1035" i="44"/>
  <c r="C1599" i="44"/>
  <c r="E2905" i="44"/>
  <c r="C3166" i="44"/>
  <c r="E683" i="44"/>
  <c r="E472" i="44"/>
  <c r="C759" i="44"/>
  <c r="C1766" i="44"/>
  <c r="H1972" i="44"/>
  <c r="C1880" i="44"/>
  <c r="C2782" i="44"/>
  <c r="H3077" i="44"/>
  <c r="E320" i="44"/>
  <c r="C2786" i="44"/>
  <c r="C2008" i="44"/>
  <c r="H1746" i="44"/>
  <c r="E138" i="44"/>
  <c r="E262" i="44"/>
  <c r="E837" i="44"/>
  <c r="E2051" i="44"/>
  <c r="C2454" i="44"/>
  <c r="C974" i="44"/>
  <c r="E93" i="44"/>
  <c r="C1680" i="44"/>
  <c r="E2405" i="44"/>
  <c r="H1874" i="44"/>
  <c r="I1839" i="44"/>
  <c r="H2223" i="44"/>
  <c r="E499" i="44"/>
  <c r="C728" i="44"/>
  <c r="H2841" i="44"/>
  <c r="E658" i="44"/>
  <c r="C64" i="44"/>
  <c r="C59" i="44"/>
  <c r="C2187" i="44"/>
  <c r="H3154" i="44"/>
  <c r="H2910" i="44"/>
  <c r="E913" i="44"/>
  <c r="E1761" i="44"/>
  <c r="E2862" i="44"/>
  <c r="E730" i="44"/>
  <c r="E2152" i="44"/>
  <c r="E226" i="44"/>
  <c r="H2023" i="44"/>
  <c r="E1677" i="44"/>
  <c r="E1698" i="44"/>
  <c r="C520" i="44"/>
  <c r="C540" i="44"/>
  <c r="E2281" i="44"/>
  <c r="C314" i="44"/>
  <c r="C2371" i="44"/>
  <c r="E2130" i="44"/>
  <c r="H1804" i="44"/>
  <c r="C2815" i="44"/>
  <c r="C2854" i="44"/>
  <c r="H2101" i="44"/>
  <c r="C1709" i="44"/>
  <c r="H2444" i="44"/>
  <c r="C716" i="44"/>
  <c r="I2975" i="44"/>
  <c r="C831" i="44"/>
  <c r="H1715" i="44"/>
  <c r="C2461" i="44"/>
  <c r="C2072" i="44"/>
  <c r="C2356" i="44"/>
  <c r="E3074" i="44"/>
  <c r="C2874" i="44"/>
  <c r="E2465" i="44"/>
  <c r="C719" i="44"/>
  <c r="H2613" i="44"/>
  <c r="C1554" i="44"/>
  <c r="E3018" i="44"/>
  <c r="I2079" i="44"/>
  <c r="E1527" i="44"/>
  <c r="C7" i="44"/>
  <c r="H2455" i="44"/>
  <c r="C948" i="44"/>
  <c r="C475" i="44"/>
  <c r="H1857" i="44"/>
  <c r="E123" i="44"/>
  <c r="C2667" i="44"/>
  <c r="E368" i="44"/>
  <c r="H2805" i="44"/>
  <c r="E1832" i="44"/>
  <c r="H1637" i="44"/>
  <c r="E346" i="44"/>
  <c r="E1009" i="44"/>
  <c r="E1997" i="44"/>
  <c r="C2392" i="44"/>
  <c r="C3145" i="44"/>
  <c r="H2594" i="44"/>
  <c r="H2324" i="44"/>
  <c r="C2560" i="44"/>
  <c r="H1837" i="44"/>
  <c r="E1525" i="44"/>
  <c r="E2176" i="44"/>
  <c r="E2290" i="44"/>
  <c r="C405" i="44"/>
  <c r="C484" i="44"/>
  <c r="C725" i="44"/>
  <c r="D105" i="3"/>
  <c r="H1891" i="44"/>
  <c r="H2576" i="44"/>
  <c r="H1831" i="44"/>
  <c r="I1951" i="44"/>
  <c r="E2460" i="44"/>
  <c r="I2767" i="44"/>
  <c r="C2396" i="44"/>
  <c r="C1920" i="44"/>
  <c r="H2941" i="44"/>
  <c r="C554" i="44"/>
  <c r="H2794" i="44"/>
  <c r="H1936" i="44"/>
  <c r="E984" i="44"/>
  <c r="E321" i="44"/>
  <c r="E1846" i="44"/>
  <c r="E1803" i="44"/>
  <c r="C3083" i="44"/>
  <c r="E2430" i="44"/>
  <c r="E1601" i="44"/>
  <c r="E1869" i="44"/>
  <c r="E2264" i="44"/>
  <c r="E3116" i="44"/>
  <c r="C815" i="44"/>
  <c r="H2212" i="44"/>
  <c r="C2713" i="44"/>
  <c r="C709" i="44"/>
  <c r="H3041" i="44"/>
  <c r="C833" i="44"/>
  <c r="C2012" i="44"/>
  <c r="E2828" i="44"/>
  <c r="C1065" i="44"/>
  <c r="E829" i="44"/>
  <c r="C912" i="44"/>
  <c r="C3375" i="44"/>
  <c r="H206" i="44"/>
  <c r="C2942" i="44"/>
  <c r="H2541" i="44"/>
  <c r="C2699" i="44"/>
  <c r="C840" i="44"/>
  <c r="I194" i="44"/>
  <c r="E2374" i="44"/>
  <c r="H2762" i="44"/>
  <c r="H2511" i="44"/>
  <c r="C2536" i="44"/>
  <c r="C2968" i="44"/>
  <c r="C3055" i="44"/>
  <c r="E2957" i="44"/>
  <c r="C1545" i="44"/>
  <c r="C635" i="44"/>
  <c r="H1777" i="44"/>
  <c r="C1583" i="44"/>
  <c r="C2745" i="44"/>
  <c r="C1740" i="44"/>
  <c r="C1869" i="44"/>
  <c r="H1618" i="44"/>
  <c r="C3070" i="44"/>
  <c r="I3103" i="44"/>
  <c r="E2145" i="44"/>
  <c r="C761" i="44"/>
  <c r="H1589" i="44"/>
  <c r="E2066" i="44"/>
  <c r="E2679" i="44"/>
  <c r="E1586" i="44"/>
  <c r="E2418" i="44"/>
  <c r="H3040" i="44"/>
  <c r="E2848" i="44"/>
  <c r="E2398" i="44"/>
  <c r="C244" i="44"/>
  <c r="C2208" i="44"/>
  <c r="H2272" i="44"/>
  <c r="C3016" i="44"/>
  <c r="C401" i="44"/>
  <c r="E795" i="44"/>
  <c r="H2476" i="44"/>
  <c r="E610" i="44"/>
  <c r="E978" i="44"/>
  <c r="H2424" i="44"/>
  <c r="E1554" i="44"/>
  <c r="C2271" i="44"/>
  <c r="H2747" i="44"/>
  <c r="H2874" i="44"/>
  <c r="C1926" i="44"/>
  <c r="E2349" i="44"/>
  <c r="H2709" i="44"/>
  <c r="H2202" i="44"/>
  <c r="E1553" i="44"/>
  <c r="H1967" i="44"/>
  <c r="E3448" i="44"/>
  <c r="C2002" i="44"/>
  <c r="C2639" i="44"/>
  <c r="H2141" i="44"/>
  <c r="C2488" i="44"/>
  <c r="H2248" i="44"/>
  <c r="H2375" i="44"/>
  <c r="H1911" i="44"/>
  <c r="E1020" i="44"/>
  <c r="E2485" i="44"/>
  <c r="C1594" i="44"/>
  <c r="C2285" i="44"/>
  <c r="C651" i="44"/>
  <c r="I210" i="44"/>
  <c r="E1542" i="44"/>
  <c r="C1643" i="44"/>
  <c r="E943" i="44"/>
  <c r="H2985" i="44"/>
  <c r="C2343" i="44"/>
  <c r="E2745" i="44"/>
  <c r="C2127" i="44"/>
  <c r="C3417" i="44"/>
  <c r="E790" i="44"/>
  <c r="C1516" i="44"/>
  <c r="C2019" i="44"/>
  <c r="E2232" i="44"/>
  <c r="E2471" i="44"/>
  <c r="E447" i="44"/>
  <c r="E1889" i="44"/>
  <c r="E2200" i="44"/>
  <c r="C1026" i="44"/>
  <c r="H1681" i="44"/>
  <c r="C3144" i="44"/>
  <c r="C950" i="44"/>
  <c r="H2094" i="44"/>
  <c r="C2309" i="44"/>
  <c r="E258" i="44"/>
  <c r="C564" i="44"/>
  <c r="C2770" i="44"/>
  <c r="E365" i="44"/>
  <c r="H2338" i="44"/>
  <c r="C1618" i="44"/>
  <c r="H2739" i="44"/>
  <c r="E1650" i="44"/>
  <c r="H2461" i="44"/>
  <c r="C1017" i="44"/>
  <c r="C346" i="44"/>
  <c r="E547" i="44"/>
  <c r="C620" i="44"/>
  <c r="H1730" i="44"/>
  <c r="E870" i="44"/>
  <c r="C677" i="44"/>
  <c r="C3412" i="44"/>
  <c r="E2602" i="44"/>
  <c r="H1700" i="44"/>
  <c r="H1944" i="44"/>
  <c r="H2502" i="44"/>
  <c r="H1780" i="44"/>
  <c r="C2205" i="44"/>
  <c r="C2445" i="44"/>
  <c r="C1690" i="44"/>
  <c r="C2484" i="44"/>
  <c r="H1912" i="44"/>
  <c r="E441" i="44"/>
  <c r="E2436" i="44"/>
  <c r="E2668" i="44"/>
  <c r="C313" i="44"/>
  <c r="E973" i="44"/>
  <c r="C834" i="44"/>
  <c r="E2859" i="44"/>
  <c r="H968" i="44"/>
  <c r="H2403" i="44"/>
  <c r="C2950" i="44"/>
  <c r="C701" i="44"/>
  <c r="E2925" i="44"/>
  <c r="H3120" i="44"/>
  <c r="E515" i="44"/>
  <c r="H2642" i="44"/>
  <c r="H2391" i="44"/>
  <c r="C2347" i="44"/>
  <c r="C2125" i="44"/>
  <c r="H2935" i="44"/>
  <c r="H1951" i="44"/>
  <c r="H2951" i="44"/>
  <c r="H1895" i="44"/>
  <c r="H2731" i="44"/>
  <c r="H2092" i="44"/>
  <c r="C78" i="44"/>
  <c r="E1040" i="44"/>
  <c r="H1649" i="44"/>
  <c r="I1999" i="44"/>
  <c r="C2851" i="44"/>
  <c r="H1889" i="44"/>
  <c r="H2543" i="44"/>
  <c r="C2852" i="44"/>
  <c r="E1937" i="44"/>
  <c r="C82" i="44"/>
  <c r="C2007" i="44"/>
  <c r="E1066" i="44"/>
  <c r="C359" i="44"/>
  <c r="E230" i="44"/>
  <c r="C2168" i="44"/>
  <c r="C562" i="44"/>
  <c r="C1005" i="44"/>
  <c r="H2163" i="44"/>
  <c r="E1948" i="44"/>
  <c r="H1900" i="44"/>
  <c r="H1587" i="44"/>
  <c r="H1809" i="44"/>
  <c r="E2499" i="44"/>
  <c r="E579" i="44"/>
  <c r="C665" i="44"/>
  <c r="I206" i="44"/>
  <c r="E3146" i="44"/>
  <c r="H2199" i="44"/>
  <c r="C2849" i="44"/>
  <c r="E2899" i="44"/>
  <c r="C2724" i="44"/>
  <c r="E2509" i="44"/>
  <c r="E1587" i="44"/>
  <c r="H2090" i="44"/>
  <c r="E1848" i="44"/>
  <c r="H3137" i="44"/>
  <c r="H2728" i="44"/>
  <c r="H1741" i="44"/>
  <c r="E1013" i="44"/>
  <c r="C1702" i="44"/>
  <c r="H1867" i="44"/>
  <c r="C2064" i="44"/>
  <c r="H2396" i="44"/>
  <c r="H2184" i="44"/>
  <c r="E1692" i="44"/>
  <c r="C2881" i="44"/>
  <c r="E2631" i="44"/>
  <c r="H162" i="44"/>
  <c r="C2120" i="44"/>
  <c r="C522" i="44"/>
  <c r="H2742" i="44"/>
  <c r="E2316" i="44"/>
  <c r="H2389" i="44"/>
  <c r="E614" i="44"/>
  <c r="C1983" i="44"/>
  <c r="E2224" i="44"/>
  <c r="E2983" i="44"/>
  <c r="C2926" i="44"/>
  <c r="E758" i="44"/>
  <c r="E1963" i="44"/>
  <c r="C331" i="44"/>
  <c r="E3046" i="44"/>
  <c r="H1707" i="44"/>
  <c r="E2822" i="44"/>
  <c r="C2972" i="44"/>
  <c r="E2180" i="44"/>
  <c r="C2689" i="44"/>
  <c r="H2254" i="44"/>
  <c r="C609" i="44"/>
  <c r="C3419" i="44"/>
  <c r="H2909" i="44"/>
  <c r="E1507" i="44"/>
  <c r="E2334" i="44"/>
  <c r="E2072" i="44"/>
  <c r="C1787" i="44"/>
  <c r="H2545" i="44"/>
  <c r="E1787" i="44"/>
  <c r="E1512" i="44"/>
  <c r="H2750" i="44"/>
  <c r="E2461" i="44"/>
  <c r="H1784" i="44"/>
  <c r="C1692" i="44"/>
  <c r="C2581" i="44"/>
  <c r="C2747" i="44"/>
  <c r="E2020" i="44"/>
  <c r="E2526" i="44"/>
  <c r="C2403" i="44"/>
  <c r="E2839" i="44"/>
  <c r="C749" i="44"/>
  <c r="H2085" i="44"/>
  <c r="C884" i="44"/>
  <c r="H1873" i="44"/>
  <c r="E2922" i="44"/>
  <c r="C2816" i="44"/>
  <c r="E2705" i="44"/>
  <c r="C2517" i="44"/>
  <c r="C1063" i="44"/>
  <c r="C60" i="44"/>
  <c r="C2365" i="44"/>
  <c r="E2320" i="44"/>
  <c r="C3107" i="44"/>
  <c r="H2592" i="44"/>
  <c r="E591" i="44"/>
  <c r="C1721" i="44"/>
  <c r="C2883" i="44"/>
  <c r="E827" i="44"/>
  <c r="C1899" i="44"/>
  <c r="H2144" i="44"/>
  <c r="H2074" i="44"/>
  <c r="H3162" i="44"/>
  <c r="H2179" i="44"/>
  <c r="C353" i="44"/>
  <c r="H2907" i="44"/>
  <c r="H1977" i="44"/>
  <c r="E1978" i="44"/>
  <c r="E107" i="44"/>
  <c r="E2640" i="44"/>
  <c r="E3162" i="44"/>
  <c r="E345" i="44"/>
  <c r="C765" i="44"/>
  <c r="E1518" i="44"/>
  <c r="E2432" i="44"/>
  <c r="H2025" i="44"/>
  <c r="H2319" i="44"/>
  <c r="H2961" i="44"/>
  <c r="C1753" i="44"/>
  <c r="C559" i="44"/>
  <c r="H1674" i="44"/>
  <c r="H2123" i="44"/>
  <c r="H2629" i="44"/>
  <c r="H2327" i="44"/>
  <c r="C2363" i="44"/>
  <c r="C2749" i="44"/>
  <c r="E2960" i="44"/>
  <c r="C2135" i="44"/>
  <c r="E1610" i="44"/>
  <c r="C1518" i="44"/>
  <c r="C2748" i="44"/>
  <c r="C2335" i="44"/>
  <c r="C1670" i="44"/>
  <c r="H1642" i="44"/>
  <c r="C594" i="44"/>
  <c r="H1840" i="44"/>
  <c r="C724" i="44"/>
  <c r="H2844" i="44"/>
  <c r="C816" i="44"/>
  <c r="C2093" i="44"/>
  <c r="H1932" i="44"/>
  <c r="E1749" i="44"/>
  <c r="C628" i="44"/>
  <c r="H3032" i="44"/>
  <c r="C3438" i="44"/>
  <c r="C1731" i="44"/>
  <c r="H1885" i="44"/>
  <c r="E3077" i="44"/>
  <c r="E1705" i="44"/>
  <c r="H2697" i="44"/>
  <c r="E1970" i="44"/>
  <c r="C830" i="44"/>
  <c r="I2319" i="44"/>
  <c r="C398" i="44"/>
  <c r="E1605" i="44"/>
  <c r="C2006" i="44"/>
  <c r="E1890" i="44"/>
  <c r="C2254" i="44"/>
  <c r="C357" i="44"/>
  <c r="E655" i="44"/>
  <c r="E2937" i="44"/>
  <c r="C3007" i="44"/>
  <c r="E162" i="44"/>
  <c r="C1764" i="44"/>
  <c r="E896" i="44"/>
  <c r="E2593" i="44"/>
  <c r="E638" i="44"/>
  <c r="C883" i="44"/>
  <c r="C1020" i="44"/>
  <c r="C2186" i="44"/>
  <c r="C2364" i="44"/>
  <c r="H982" i="44"/>
  <c r="C682" i="44"/>
  <c r="H1643" i="44"/>
  <c r="H2171" i="44"/>
  <c r="H2419" i="44"/>
  <c r="E70" i="44"/>
  <c r="E580" i="44"/>
  <c r="C1093" i="44"/>
  <c r="C3152" i="44"/>
  <c r="H2646" i="44"/>
  <c r="H2275" i="44"/>
  <c r="C2130" i="44"/>
  <c r="E2804" i="44"/>
  <c r="E2599" i="44"/>
  <c r="C2509" i="44"/>
  <c r="C2438" i="44"/>
  <c r="E834" i="44"/>
  <c r="E2571" i="44"/>
  <c r="C899" i="44"/>
  <c r="E3113" i="44"/>
  <c r="E13" i="44"/>
  <c r="E902" i="44"/>
  <c r="H2464" i="44"/>
  <c r="H2451" i="44"/>
  <c r="C2114" i="44"/>
  <c r="E2045" i="44"/>
  <c r="C1913" i="44"/>
  <c r="E695" i="44"/>
  <c r="E3011" i="44"/>
  <c r="C2451" i="44"/>
  <c r="C2413" i="44"/>
  <c r="H2193" i="44"/>
  <c r="E764" i="44"/>
  <c r="E3129" i="44"/>
  <c r="E2506" i="44"/>
  <c r="E937" i="44"/>
  <c r="H2596" i="44"/>
  <c r="C982" i="44"/>
  <c r="E2557" i="44"/>
  <c r="I2783" i="44"/>
  <c r="E1520" i="44"/>
  <c r="H2936" i="44"/>
  <c r="C866" i="44"/>
  <c r="E860" i="44"/>
  <c r="E1980" i="44"/>
  <c r="C3381" i="44"/>
  <c r="H1686" i="44"/>
  <c r="C311" i="44"/>
  <c r="E634" i="44"/>
  <c r="C813" i="44"/>
  <c r="C2056" i="44"/>
  <c r="C2789" i="44"/>
  <c r="H2723" i="44"/>
  <c r="E2646" i="44"/>
  <c r="C85" i="44"/>
  <c r="C3044" i="44"/>
  <c r="C2129" i="44"/>
  <c r="E570" i="44"/>
  <c r="E779" i="44"/>
  <c r="H2070" i="44"/>
  <c r="H2122" i="44"/>
  <c r="H2812" i="44"/>
  <c r="E659" i="44"/>
  <c r="E2004" i="44"/>
  <c r="E318" i="44"/>
  <c r="E1991" i="44"/>
  <c r="E97" i="44"/>
  <c r="E332" i="44"/>
  <c r="E2388" i="44"/>
  <c r="H2783" i="44"/>
  <c r="E2241" i="44"/>
  <c r="H2901" i="44"/>
  <c r="C2237" i="44"/>
  <c r="E1798" i="44"/>
  <c r="E2163" i="44"/>
  <c r="E1585" i="44"/>
  <c r="C3049" i="44"/>
  <c r="H2552" i="44"/>
  <c r="H1938" i="44"/>
  <c r="E878" i="44"/>
  <c r="H2145" i="44"/>
  <c r="C791" i="44"/>
  <c r="C2794" i="44"/>
  <c r="E2302" i="44"/>
  <c r="E2902" i="44"/>
  <c r="C365" i="44"/>
  <c r="C113" i="44"/>
  <c r="E931" i="44"/>
  <c r="E928" i="44"/>
  <c r="H2244" i="44"/>
  <c r="E2808" i="44"/>
  <c r="C1610" i="44"/>
  <c r="C3143" i="44"/>
  <c r="C2074" i="44"/>
  <c r="C2708" i="44"/>
  <c r="C2086" i="44"/>
  <c r="E2548" i="44"/>
  <c r="H2093" i="44"/>
  <c r="E2470" i="44"/>
  <c r="E1530" i="44"/>
  <c r="C394" i="44"/>
  <c r="C1042" i="44"/>
  <c r="C571" i="44"/>
  <c r="E2156" i="44"/>
  <c r="E2581" i="44"/>
  <c r="C2659" i="44"/>
  <c r="C1019" i="44"/>
  <c r="E3123" i="44"/>
  <c r="H2565" i="44"/>
  <c r="E79" i="44"/>
  <c r="E3005" i="44"/>
  <c r="H2005" i="44"/>
  <c r="E1538" i="44"/>
  <c r="H2217" i="44"/>
  <c r="C2319" i="44"/>
  <c r="E491" i="44"/>
  <c r="H2226" i="44"/>
  <c r="C772" i="44"/>
  <c r="E944" i="44"/>
  <c r="E3143" i="44"/>
  <c r="I202" i="44"/>
  <c r="E568" i="44"/>
  <c r="C999" i="44"/>
  <c r="E2531" i="44"/>
  <c r="C517" i="44"/>
  <c r="I1663" i="44"/>
  <c r="E1730" i="44"/>
  <c r="E654" i="44"/>
  <c r="E3138" i="44"/>
  <c r="C1814" i="44"/>
  <c r="C931" i="44"/>
  <c r="H969" i="44"/>
  <c r="H2539" i="44"/>
  <c r="E1003" i="44"/>
  <c r="H1694" i="44"/>
  <c r="H2695" i="44"/>
  <c r="H1769" i="44"/>
  <c r="C2714" i="44"/>
  <c r="C2017" i="44"/>
  <c r="C2654" i="44"/>
  <c r="E2504" i="44"/>
  <c r="C1047" i="44"/>
  <c r="E2236" i="44"/>
  <c r="E3030" i="44"/>
  <c r="E313" i="44"/>
  <c r="E1082" i="44"/>
  <c r="I1807" i="44"/>
  <c r="C3077" i="44"/>
  <c r="E2755" i="44"/>
  <c r="C2295" i="44"/>
  <c r="E604" i="44"/>
  <c r="C2947" i="44"/>
  <c r="H3048" i="44"/>
  <c r="C2523" i="44"/>
  <c r="E1901" i="44"/>
  <c r="E2179" i="44"/>
  <c r="H2368" i="44"/>
  <c r="E556" i="44"/>
  <c r="E2416" i="44"/>
  <c r="H2492" i="44"/>
  <c r="E2018" i="44"/>
  <c r="C3069" i="44"/>
  <c r="E42" i="44"/>
  <c r="E2600" i="44"/>
  <c r="H2133" i="44"/>
  <c r="H2052" i="44"/>
  <c r="E506" i="44"/>
  <c r="H2164" i="44"/>
  <c r="C1676" i="44"/>
  <c r="C2979" i="44"/>
  <c r="I1935" i="44"/>
  <c r="C2994" i="44"/>
  <c r="C2170" i="44"/>
  <c r="H160" i="44"/>
  <c r="E420" i="44"/>
  <c r="E1893" i="44"/>
  <c r="E461" i="44"/>
  <c r="C2490" i="44"/>
  <c r="H2270" i="44"/>
  <c r="H2880" i="44"/>
  <c r="C1512" i="44"/>
  <c r="C874" i="44"/>
  <c r="H2103" i="44"/>
  <c r="H1596" i="44"/>
  <c r="E803" i="44"/>
  <c r="C2223" i="44"/>
  <c r="H1770" i="44"/>
  <c r="E26" i="44"/>
  <c r="H3136" i="44"/>
  <c r="C1513" i="44"/>
  <c r="E952" i="44"/>
  <c r="E269" i="44"/>
  <c r="H3135" i="44"/>
  <c r="H1656" i="44"/>
  <c r="C2424" i="44"/>
  <c r="C3061" i="44"/>
  <c r="C1816" i="44"/>
  <c r="E3065" i="44"/>
  <c r="H3090" i="44"/>
  <c r="C3043" i="44"/>
  <c r="H937" i="44"/>
  <c r="C531" i="44"/>
  <c r="H3097" i="44"/>
  <c r="E3391" i="44"/>
  <c r="E2569" i="44"/>
  <c r="H2852" i="44"/>
  <c r="H1984" i="44"/>
  <c r="H1861" i="44"/>
  <c r="E2062" i="44"/>
  <c r="H2358" i="44"/>
  <c r="C844" i="44"/>
  <c r="E260" i="44"/>
  <c r="E1845" i="44"/>
  <c r="C2226" i="44"/>
  <c r="H3005" i="44"/>
  <c r="H2754" i="44"/>
  <c r="C901" i="44"/>
  <c r="I2447" i="44"/>
  <c r="E1992" i="44"/>
  <c r="I2927" i="44"/>
  <c r="C3089" i="44"/>
  <c r="C2638" i="44"/>
  <c r="E2237" i="44"/>
  <c r="C2458" i="44"/>
  <c r="C310" i="44"/>
  <c r="E418" i="44"/>
  <c r="C1780" i="44"/>
  <c r="E2915" i="44"/>
  <c r="C58" i="44"/>
  <c r="I188" i="44"/>
  <c r="E2832" i="44"/>
  <c r="C2178" i="44"/>
  <c r="C2422" i="44"/>
  <c r="H2038" i="44"/>
  <c r="H2755" i="44"/>
  <c r="H1890" i="44"/>
  <c r="E2350" i="44"/>
  <c r="E2473" i="44"/>
  <c r="H3013" i="44"/>
  <c r="E1735" i="44"/>
  <c r="H1726" i="44"/>
  <c r="E2014" i="44"/>
  <c r="I1759" i="44"/>
  <c r="C2496" i="44"/>
  <c r="E2882" i="44"/>
  <c r="E694" i="44"/>
  <c r="C2370" i="44"/>
  <c r="E2235" i="44"/>
  <c r="E1547" i="44"/>
  <c r="E2669" i="44"/>
  <c r="C995" i="44"/>
  <c r="E2016" i="44"/>
  <c r="C2611" i="44"/>
  <c r="C1053" i="44"/>
  <c r="E2342" i="44"/>
  <c r="H1866" i="44"/>
  <c r="E947" i="44"/>
  <c r="E3106" i="44"/>
  <c r="H2042" i="44"/>
  <c r="C3445" i="44"/>
  <c r="C3131" i="44"/>
  <c r="E458" i="44"/>
  <c r="C2246" i="44"/>
  <c r="E2167" i="44"/>
  <c r="C1939" i="44"/>
  <c r="H2579" i="44"/>
  <c r="C1769" i="44"/>
  <c r="C1777" i="44"/>
  <c r="E3405" i="44"/>
  <c r="E2560" i="44"/>
  <c r="E1670" i="44"/>
  <c r="C1852" i="44"/>
  <c r="H2626" i="44"/>
  <c r="E560" i="44"/>
  <c r="H2658" i="44"/>
  <c r="H1720" i="44"/>
  <c r="H1979" i="44"/>
  <c r="E2013" i="44"/>
  <c r="C924" i="44"/>
  <c r="E2974" i="44"/>
  <c r="C2683" i="44"/>
  <c r="E2059" i="44"/>
  <c r="C2119" i="44"/>
  <c r="E2091" i="44"/>
  <c r="E331" i="44"/>
  <c r="H3145" i="44"/>
  <c r="H2491" i="44"/>
  <c r="H2737" i="44"/>
  <c r="C945" i="44"/>
  <c r="H1677" i="44"/>
  <c r="C2723" i="44"/>
  <c r="E2942" i="44"/>
  <c r="E3407" i="44"/>
  <c r="H3045" i="44"/>
  <c r="C1060" i="44"/>
  <c r="H1816" i="44"/>
  <c r="C3072" i="44"/>
  <c r="H2397" i="44"/>
  <c r="C2809" i="44"/>
  <c r="C3032" i="44"/>
  <c r="C785" i="44"/>
  <c r="E2120" i="44"/>
  <c r="E3385" i="44"/>
  <c r="E1820" i="44"/>
  <c r="C300" i="44"/>
  <c r="C425" i="44"/>
  <c r="E2082" i="44"/>
  <c r="E2574" i="44"/>
  <c r="C1509" i="44"/>
  <c r="E2993" i="44"/>
  <c r="E2727" i="44"/>
  <c r="C675" i="44"/>
  <c r="E2089" i="44"/>
  <c r="E703" i="44"/>
  <c r="E486" i="44"/>
  <c r="E2841" i="44"/>
  <c r="E6" i="44"/>
  <c r="E2872" i="44"/>
  <c r="H1921" i="44"/>
  <c r="C867" i="44"/>
  <c r="H3038" i="44"/>
  <c r="H2345" i="44"/>
  <c r="E629" i="44"/>
  <c r="C2165" i="44"/>
  <c r="H1760" i="44"/>
  <c r="C2841" i="44"/>
  <c r="C2743" i="44"/>
  <c r="E263" i="44"/>
  <c r="C941" i="44"/>
  <c r="C601" i="44"/>
  <c r="C423" i="44"/>
  <c r="C2022" i="44"/>
  <c r="C2555" i="44"/>
  <c r="C2001" i="44"/>
  <c r="C2632" i="44"/>
  <c r="C2666" i="44"/>
  <c r="C2197" i="44"/>
  <c r="E348" i="44"/>
  <c r="C1606" i="44"/>
  <c r="E274" i="44"/>
  <c r="H2059" i="44"/>
  <c r="E2379" i="44"/>
  <c r="H3123" i="44"/>
  <c r="E2035" i="44"/>
  <c r="C1628" i="44"/>
  <c r="C2732" i="44"/>
  <c r="C1761" i="44"/>
  <c r="E660" i="44"/>
  <c r="H2916" i="44"/>
  <c r="C1803" i="44"/>
  <c r="C2340" i="44"/>
  <c r="C2954" i="44"/>
  <c r="E2118" i="44"/>
  <c r="H1650" i="44"/>
  <c r="H2946" i="44"/>
  <c r="H3139" i="44"/>
  <c r="H2671" i="44"/>
  <c r="H2494" i="44"/>
  <c r="E3437" i="44"/>
  <c r="E3082" i="44"/>
  <c r="C406" i="44"/>
  <c r="C2900" i="44"/>
  <c r="E1849" i="44"/>
  <c r="E3034" i="44"/>
  <c r="C374" i="44"/>
  <c r="C393" i="44"/>
  <c r="E487" i="44"/>
  <c r="C1767" i="44"/>
  <c r="C23" i="44"/>
  <c r="H2367" i="44"/>
  <c r="C2282" i="44"/>
  <c r="E474" i="44"/>
  <c r="E1085" i="44"/>
  <c r="C1523" i="44"/>
  <c r="E2762" i="44"/>
  <c r="E405" i="44"/>
  <c r="E1657" i="44"/>
  <c r="H3096" i="44"/>
  <c r="H2536" i="44"/>
  <c r="E2773" i="44"/>
  <c r="E2867" i="44"/>
  <c r="E1781" i="44"/>
  <c r="H2680" i="44"/>
  <c r="H1664" i="44"/>
  <c r="C2840" i="44"/>
  <c r="E1960" i="44"/>
  <c r="H3143" i="44"/>
  <c r="H2035" i="44"/>
  <c r="C1807" i="44"/>
  <c r="H1788" i="44"/>
  <c r="E249" i="44"/>
  <c r="C363" i="44"/>
  <c r="C2619" i="44"/>
  <c r="E2648" i="44"/>
  <c r="H1987" i="44"/>
  <c r="C1058" i="44"/>
  <c r="E709" i="44"/>
  <c r="H2054" i="44"/>
  <c r="E2034" i="44"/>
  <c r="E386" i="44"/>
  <c r="C2727" i="44"/>
  <c r="H1727" i="44"/>
  <c r="H2036" i="44"/>
  <c r="E448" i="44"/>
  <c r="C735" i="44"/>
  <c r="E1812" i="44"/>
  <c r="C2487" i="44"/>
  <c r="C3030" i="44"/>
  <c r="E3096" i="44"/>
  <c r="E1676" i="44"/>
  <c r="I1887" i="44"/>
  <c r="C2448" i="44"/>
  <c r="E2168" i="44"/>
  <c r="H1783" i="44"/>
  <c r="C117" i="44"/>
  <c r="C2860" i="44"/>
  <c r="C2675" i="44"/>
  <c r="E2313" i="44"/>
  <c r="E2708" i="44"/>
  <c r="C3039" i="44"/>
  <c r="E630" i="44"/>
  <c r="E752" i="44"/>
  <c r="E2806" i="44"/>
  <c r="C2000" i="44"/>
  <c r="H2132" i="44"/>
  <c r="C2906" i="44"/>
  <c r="C1034" i="44"/>
  <c r="C2733" i="44"/>
  <c r="H1894" i="44"/>
  <c r="C2147" i="44"/>
  <c r="E2496" i="44"/>
  <c r="C2248" i="44"/>
  <c r="E2228" i="44"/>
  <c r="H2178" i="44"/>
  <c r="C2764" i="44"/>
  <c r="C736" i="44"/>
  <c r="E666" i="44"/>
  <c r="E551" i="44"/>
  <c r="H2399" i="44"/>
  <c r="C2587" i="44"/>
  <c r="E1856" i="44"/>
  <c r="E2949" i="44"/>
  <c r="C3416" i="44"/>
  <c r="C2376" i="44"/>
  <c r="H2000" i="44"/>
  <c r="H2798" i="44"/>
  <c r="C1555" i="44"/>
  <c r="C1789" i="44"/>
  <c r="E1011" i="44"/>
  <c r="C3442" i="44"/>
  <c r="E2158" i="44"/>
  <c r="E2030" i="44"/>
  <c r="C3126" i="44"/>
  <c r="C2956" i="44"/>
  <c r="E3157" i="44"/>
  <c r="H2206" i="44"/>
  <c r="H2659" i="44"/>
  <c r="E2825" i="44"/>
  <c r="H2562" i="44"/>
  <c r="C2180" i="44"/>
  <c r="H2937" i="44"/>
  <c r="E99" i="44"/>
  <c r="H1893" i="44"/>
  <c r="C1772" i="44"/>
  <c r="C693" i="44"/>
  <c r="H3027" i="44"/>
  <c r="K1134" i="44"/>
  <c r="H2216" i="44"/>
  <c r="C2532" i="44"/>
  <c r="C3097" i="44"/>
  <c r="C1662" i="44"/>
  <c r="H2882" i="44"/>
  <c r="E1087" i="44"/>
  <c r="E1069" i="44"/>
  <c r="C2515" i="44"/>
  <c r="C2694" i="44"/>
  <c r="H1946" i="44"/>
  <c r="E2311" i="44"/>
  <c r="E1640" i="44"/>
  <c r="C1837" i="44"/>
  <c r="C2755" i="44"/>
  <c r="E3430" i="44"/>
  <c r="C68" i="44"/>
  <c r="C319" i="44"/>
  <c r="C2040" i="44"/>
  <c r="I2367" i="44"/>
  <c r="H2080" i="44"/>
  <c r="H2062" i="44"/>
  <c r="E2777" i="44"/>
  <c r="I2575" i="44"/>
  <c r="H2431" i="44"/>
  <c r="C1024" i="44"/>
  <c r="E1770" i="44"/>
  <c r="C22" i="44"/>
  <c r="C2412" i="44"/>
  <c r="H2049" i="44"/>
  <c r="E1796" i="44"/>
  <c r="C2206" i="44"/>
  <c r="H1763" i="44"/>
  <c r="C880" i="44"/>
  <c r="E105" i="44"/>
  <c r="C944" i="44"/>
  <c r="C645" i="44"/>
  <c r="H2998" i="44"/>
  <c r="E516" i="44"/>
  <c r="H2332" i="44"/>
  <c r="C1941" i="44"/>
  <c r="C707" i="44"/>
  <c r="C1542" i="44"/>
  <c r="H2468" i="44"/>
  <c r="H2207" i="44"/>
  <c r="H2113" i="44"/>
  <c r="E21" i="44"/>
  <c r="C1081" i="44"/>
  <c r="H3055" i="44"/>
  <c r="C1617" i="44"/>
  <c r="E1874" i="44"/>
  <c r="C1723" i="44"/>
  <c r="C367" i="44"/>
  <c r="E190" i="44"/>
  <c r="E2637" i="44"/>
  <c r="H1884" i="44"/>
  <c r="E10" i="44"/>
  <c r="C2774" i="44"/>
  <c r="E2647" i="44"/>
  <c r="E391" i="44"/>
  <c r="E1027" i="44"/>
  <c r="H2927" i="44"/>
  <c r="E3053" i="44"/>
  <c r="C2821" i="44"/>
  <c r="C1601" i="44"/>
  <c r="C1729" i="44"/>
  <c r="E182" i="44"/>
  <c r="C777" i="44"/>
  <c r="C2701" i="44"/>
  <c r="C2953" i="44"/>
  <c r="H976" i="44"/>
  <c r="E1793" i="44"/>
  <c r="H1956" i="44"/>
  <c r="C1957" i="44"/>
  <c r="E2150" i="44"/>
  <c r="H2515" i="44"/>
  <c r="H2058" i="44"/>
  <c r="E689" i="44"/>
  <c r="E444" i="44"/>
  <c r="H2716" i="44"/>
  <c r="H1742" i="44"/>
  <c r="H2456" i="44"/>
  <c r="E929" i="44"/>
  <c r="C526" i="44"/>
  <c r="E574" i="44"/>
  <c r="C25" i="44"/>
  <c r="H2024" i="44"/>
  <c r="C718" i="44"/>
  <c r="H2550" i="44"/>
  <c r="E804" i="44"/>
  <c r="H2289" i="44"/>
  <c r="C2346" i="44"/>
  <c r="E2210" i="44"/>
  <c r="C2909" i="44"/>
  <c r="H1847" i="44"/>
  <c r="E2294" i="44"/>
  <c r="E156" i="44"/>
  <c r="C561" i="44"/>
  <c r="H2710" i="44"/>
  <c r="H2791" i="44"/>
  <c r="E1729" i="44"/>
  <c r="E2114" i="44"/>
  <c r="E1533" i="44"/>
  <c r="C80" i="44"/>
  <c r="E125" i="44"/>
  <c r="H2330" i="44"/>
  <c r="C2559" i="44"/>
  <c r="C2810" i="44"/>
  <c r="C2802" i="44"/>
  <c r="E857" i="44"/>
  <c r="C2122" i="44"/>
  <c r="C1999" i="44"/>
  <c r="E2721" i="44"/>
  <c r="H2177" i="44"/>
  <c r="C2212" i="44"/>
  <c r="E1065" i="44"/>
  <c r="C369" i="44"/>
  <c r="C784" i="44"/>
  <c r="E1731" i="44"/>
  <c r="C870" i="44"/>
  <c r="C823" i="44"/>
  <c r="C1549" i="44"/>
  <c r="E2039" i="44"/>
  <c r="E17" i="44"/>
  <c r="E429" i="44"/>
  <c r="E2577" i="44"/>
  <c r="C1757" i="44"/>
  <c r="H208" i="44"/>
  <c r="H1814" i="44"/>
  <c r="C902" i="44"/>
  <c r="E2073" i="44"/>
  <c r="H2105" i="44"/>
  <c r="H2578" i="44"/>
  <c r="C29" i="44"/>
  <c r="E2387" i="44"/>
  <c r="H2942" i="44"/>
  <c r="E2913" i="44"/>
  <c r="H2261" i="44"/>
  <c r="C563" i="44"/>
  <c r="C3150" i="44"/>
  <c r="C2869" i="44"/>
  <c r="E512" i="44"/>
  <c r="C2381" i="44"/>
  <c r="E1673" i="44"/>
  <c r="H2819" i="44"/>
  <c r="E1667" i="44"/>
  <c r="C2252" i="44"/>
  <c r="C2719" i="44"/>
  <c r="H2137" i="44"/>
  <c r="E2113" i="44"/>
  <c r="C3387" i="44"/>
  <c r="E2270" i="44"/>
  <c r="C1828" i="44"/>
  <c r="E1644" i="44"/>
  <c r="H2848" i="44"/>
  <c r="C3050" i="44"/>
  <c r="C2550" i="44"/>
  <c r="E2907" i="44"/>
  <c r="E402" i="44"/>
  <c r="C2030" i="44"/>
  <c r="E783" i="44"/>
  <c r="E3033" i="44"/>
  <c r="C2763" i="44"/>
  <c r="E2286" i="44"/>
  <c r="C754" i="44"/>
  <c r="C104" i="44"/>
  <c r="E479" i="44"/>
  <c r="C412" i="44"/>
  <c r="E127" i="44"/>
  <c r="H1597" i="44"/>
  <c r="C668" i="44"/>
  <c r="C3022" i="44"/>
  <c r="H2523" i="44"/>
  <c r="H3148" i="44"/>
  <c r="C428" i="44"/>
  <c r="E775" i="44"/>
  <c r="E2012" i="44"/>
  <c r="C1962" i="44"/>
  <c r="E3115" i="44"/>
  <c r="C2629" i="44"/>
  <c r="E1830" i="44"/>
  <c r="C1770" i="44"/>
  <c r="C2027" i="44"/>
  <c r="H2107" i="44"/>
  <c r="H1704" i="44"/>
  <c r="H2247" i="44"/>
  <c r="E2140" i="44"/>
  <c r="H1858" i="44"/>
  <c r="H2158" i="44"/>
  <c r="E3413" i="44"/>
  <c r="H2104" i="44"/>
  <c r="E648" i="44"/>
  <c r="C779" i="44"/>
  <c r="E65" i="44"/>
  <c r="E2212" i="44"/>
  <c r="C2969" i="44"/>
  <c r="C819" i="44"/>
  <c r="E1965" i="44"/>
  <c r="I1967" i="44"/>
  <c r="C2238" i="44"/>
  <c r="C2329" i="44"/>
  <c r="H2043" i="44"/>
  <c r="H1635" i="44"/>
  <c r="C983" i="44"/>
  <c r="E2456" i="44"/>
  <c r="C604" i="44"/>
  <c r="E81" i="44"/>
  <c r="E798" i="44"/>
  <c r="H2480" i="44"/>
  <c r="E2989" i="44"/>
  <c r="E372" i="44"/>
  <c r="H2469" i="44"/>
  <c r="E2056" i="44"/>
  <c r="E700" i="44"/>
  <c r="C1726" i="44"/>
  <c r="C2686" i="44"/>
  <c r="E2756" i="44"/>
  <c r="H2690" i="44"/>
  <c r="I2991" i="44"/>
  <c r="E3100" i="44"/>
  <c r="C2158" i="44"/>
  <c r="C1843" i="44"/>
  <c r="H1853" i="44"/>
  <c r="C419" i="44"/>
  <c r="H2066" i="44"/>
  <c r="E3027" i="44"/>
  <c r="E1018" i="44"/>
  <c r="H2467" i="44"/>
  <c r="H3158" i="44"/>
  <c r="C1041" i="44"/>
  <c r="C2373" i="44"/>
  <c r="E1862" i="44"/>
  <c r="C1589" i="44"/>
  <c r="E1510" i="44"/>
  <c r="C1951" i="44"/>
  <c r="C2411" i="44"/>
  <c r="E1055" i="44"/>
  <c r="C403" i="44"/>
  <c r="C2855" i="44"/>
  <c r="H1793" i="44"/>
  <c r="E2277" i="44"/>
  <c r="C2251" i="44"/>
  <c r="H3025" i="44"/>
  <c r="C3396" i="44"/>
  <c r="H2890" i="44"/>
  <c r="E2643" i="44"/>
  <c r="H2197" i="44"/>
  <c r="H2322" i="44"/>
  <c r="E773" i="44"/>
  <c r="C3135" i="44"/>
  <c r="E1811" i="44"/>
  <c r="H2227" i="44"/>
  <c r="H2979" i="44"/>
  <c r="C2549" i="44"/>
  <c r="E706" i="44"/>
  <c r="E2857" i="44"/>
  <c r="E1834" i="44"/>
  <c r="E2067" i="44"/>
  <c r="C2776" i="44"/>
  <c r="C639" i="44"/>
  <c r="E1986" i="44"/>
  <c r="I172" i="44"/>
  <c r="E2327" i="44"/>
  <c r="E1981" i="44"/>
  <c r="E1968" i="44"/>
  <c r="E934" i="44"/>
  <c r="C532" i="44"/>
  <c r="E3080" i="44"/>
  <c r="E867" i="44"/>
  <c r="C514" i="44"/>
  <c r="C826" i="44"/>
  <c r="C2172" i="44"/>
  <c r="E3026" i="44"/>
  <c r="E3021" i="44"/>
  <c r="H1680" i="44"/>
  <c r="C2605" i="44"/>
  <c r="C2600" i="44"/>
  <c r="C858" i="44"/>
  <c r="E2921" i="44"/>
  <c r="H2150" i="44"/>
  <c r="E2451" i="44"/>
  <c r="E1071" i="44"/>
  <c r="H2236" i="44"/>
  <c r="C1911" i="44"/>
  <c r="C792" i="44"/>
  <c r="E1877" i="44"/>
  <c r="E1827" i="44"/>
  <c r="I2719" i="44"/>
  <c r="C2014" i="44"/>
  <c r="C27" i="44"/>
  <c r="H1604" i="44"/>
  <c r="E2544" i="44"/>
  <c r="E92" i="44"/>
  <c r="C1874" i="44"/>
  <c r="C2331" i="44"/>
  <c r="E476" i="44"/>
  <c r="E2723" i="44"/>
  <c r="H2175" i="44"/>
  <c r="E2117" i="44"/>
  <c r="H2019" i="44"/>
  <c r="E2830" i="44"/>
  <c r="H2312" i="44"/>
  <c r="C2784" i="44"/>
  <c r="C2415" i="44"/>
  <c r="H2796" i="44"/>
  <c r="E1660" i="44"/>
  <c r="E2768" i="44"/>
  <c r="E2289" i="44"/>
  <c r="H2517" i="44"/>
  <c r="E2549" i="44"/>
  <c r="C541" i="44"/>
  <c r="C2931" i="44"/>
  <c r="E2332" i="44"/>
  <c r="E2610" i="44"/>
  <c r="H1791" i="44"/>
  <c r="H2904" i="44"/>
  <c r="H1971" i="44"/>
  <c r="H3000" i="44"/>
  <c r="C2948" i="44"/>
  <c r="C494" i="44"/>
  <c r="H1998" i="44"/>
  <c r="C2917" i="44"/>
  <c r="H2487" i="44"/>
  <c r="E675" i="44"/>
  <c r="E2373" i="44"/>
  <c r="C969" i="44"/>
  <c r="C3092" i="44"/>
  <c r="E2819" i="44"/>
  <c r="E98" i="44"/>
  <c r="H1609" i="44"/>
  <c r="E1056" i="44"/>
  <c r="C417" i="44"/>
  <c r="C2579" i="44"/>
  <c r="E663" i="44"/>
  <c r="H2554" i="44"/>
  <c r="C1614" i="44"/>
  <c r="C2377" i="44"/>
  <c r="E1707" i="44"/>
  <c r="C2357" i="44"/>
  <c r="H2266" i="44"/>
  <c r="E2692" i="44"/>
  <c r="H2232" i="44"/>
  <c r="C1795" i="44"/>
  <c r="C2914" i="44"/>
  <c r="C2814" i="44"/>
  <c r="C2527" i="44"/>
  <c r="H2817" i="44"/>
  <c r="C2630" i="44"/>
  <c r="C447" i="44"/>
  <c r="C2894" i="44"/>
  <c r="C2982" i="44"/>
  <c r="E2052" i="44"/>
  <c r="C1550" i="44"/>
  <c r="E3403" i="44"/>
  <c r="H2423" i="44"/>
  <c r="H2568" i="44"/>
  <c r="E2752" i="44"/>
  <c r="C344" i="44"/>
  <c r="C1627" i="44"/>
  <c r="C3155" i="44"/>
  <c r="E222" i="44"/>
  <c r="E139" i="44"/>
  <c r="H2571" i="44"/>
  <c r="E1522" i="44"/>
  <c r="H2743" i="44"/>
  <c r="E2151" i="44"/>
  <c r="E1589" i="44"/>
  <c r="H1824" i="44"/>
  <c r="C2291" i="44"/>
  <c r="E2917" i="44"/>
  <c r="C2671" i="44"/>
  <c r="E2757" i="44"/>
  <c r="E2963" i="44"/>
  <c r="H1801" i="44"/>
  <c r="H2225" i="44"/>
  <c r="C3059" i="44"/>
  <c r="E2566" i="44"/>
  <c r="C1066" i="44"/>
  <c r="E907" i="44"/>
  <c r="C1987" i="44"/>
  <c r="E2976" i="44"/>
  <c r="E1828" i="44"/>
  <c r="E2331" i="44"/>
  <c r="E223" i="44"/>
  <c r="C1745" i="44"/>
  <c r="H2243" i="44"/>
  <c r="E1036" i="44"/>
  <c r="C775" i="44"/>
  <c r="H1838" i="44"/>
  <c r="H1980" i="44"/>
  <c r="H1630" i="44"/>
  <c r="C2337" i="44"/>
  <c r="C642" i="44"/>
  <c r="C2563" i="44"/>
  <c r="C2649" i="44"/>
  <c r="C1536" i="44"/>
  <c r="E1764" i="44"/>
  <c r="H2857" i="44"/>
  <c r="H2919" i="44"/>
  <c r="E1907" i="44"/>
  <c r="E1090" i="44"/>
  <c r="H2143" i="44"/>
  <c r="C2828" i="44"/>
  <c r="C1525" i="44"/>
  <c r="E2407" i="44"/>
  <c r="C2225" i="44"/>
  <c r="C382" i="44"/>
  <c r="E728" i="44"/>
  <c r="H2774" i="44"/>
  <c r="C895" i="44"/>
  <c r="C1873" i="44"/>
  <c r="H2342" i="44"/>
  <c r="C730" i="44"/>
  <c r="C768" i="44"/>
  <c r="E2455" i="44"/>
  <c r="C616" i="44"/>
  <c r="E2182" i="44"/>
  <c r="H2490" i="44"/>
  <c r="E527" i="44"/>
  <c r="H2422" i="44"/>
  <c r="E1632" i="44"/>
  <c r="C583" i="44"/>
  <c r="E1865" i="44"/>
  <c r="H190" i="44"/>
  <c r="E853" i="44"/>
  <c r="C2492" i="44"/>
  <c r="E1913" i="44"/>
  <c r="H176" i="44"/>
  <c r="C2131" i="44"/>
  <c r="H2748" i="44"/>
  <c r="C1857" i="44"/>
  <c r="E1982" i="44"/>
  <c r="E532" i="44"/>
  <c r="H2091" i="44"/>
  <c r="H2845" i="44"/>
  <c r="H2977" i="44"/>
  <c r="H2587" i="44"/>
  <c r="C96" i="44"/>
  <c r="C935" i="44"/>
  <c r="H2165" i="44"/>
  <c r="H2509" i="44"/>
  <c r="H1600" i="44"/>
  <c r="E2123" i="44"/>
  <c r="C555" i="44"/>
  <c r="I2399" i="44"/>
  <c r="E1959" i="44"/>
  <c r="C2268" i="44"/>
  <c r="E2131" i="44"/>
  <c r="H2898" i="44"/>
  <c r="E467" i="44"/>
  <c r="C1991" i="44"/>
  <c r="H2538" i="44"/>
  <c r="C588" i="44"/>
  <c r="C2543" i="44"/>
  <c r="E1722" i="44"/>
  <c r="E2630" i="44"/>
  <c r="C2997" i="44"/>
  <c r="E194" i="44"/>
  <c r="C9" i="44"/>
  <c r="H1745" i="44"/>
  <c r="H1939" i="44"/>
  <c r="H1731" i="44"/>
  <c r="E1794" i="44"/>
  <c r="C1922" i="44"/>
  <c r="C2522" i="44"/>
  <c r="C799" i="44"/>
  <c r="C1547" i="44"/>
  <c r="C2606" i="44"/>
  <c r="C751" i="44"/>
  <c r="C302" i="44"/>
  <c r="C2062" i="44"/>
  <c r="C42" i="44"/>
  <c r="C2456" i="44"/>
  <c r="E3094" i="44"/>
  <c r="H2387" i="44"/>
  <c r="E1993" i="44"/>
  <c r="C2846" i="44"/>
  <c r="H1733" i="44"/>
  <c r="C2961" i="44"/>
  <c r="E1086" i="44"/>
  <c r="E2685" i="44"/>
  <c r="C497" i="44"/>
  <c r="C2138" i="44"/>
  <c r="C551" i="44"/>
  <c r="E1619" i="44"/>
  <c r="E2763" i="44"/>
  <c r="E494" i="44"/>
  <c r="E1633" i="44"/>
  <c r="E2060" i="44"/>
  <c r="C1094" i="44"/>
  <c r="E3051" i="44"/>
  <c r="C2707" i="44"/>
  <c r="E502" i="44"/>
  <c r="C1813" i="44"/>
  <c r="C968" i="44"/>
  <c r="C808" i="44"/>
  <c r="H2112" i="44"/>
  <c r="E2516" i="44"/>
  <c r="E555" i="44"/>
  <c r="C1089" i="44"/>
  <c r="H2279" i="44"/>
  <c r="C2958" i="44"/>
  <c r="E721" i="44"/>
  <c r="I1711" i="44"/>
  <c r="E1532" i="44"/>
  <c r="C17" i="44"/>
  <c r="H2278" i="44"/>
  <c r="H2619" i="44"/>
  <c r="E2341" i="44"/>
  <c r="H1798" i="44"/>
  <c r="E456" i="44"/>
  <c r="H2655" i="44"/>
  <c r="C615" i="44"/>
  <c r="C510" i="44"/>
  <c r="H1673" i="44"/>
  <c r="E509" i="44"/>
  <c r="H2235" i="44"/>
  <c r="H3114" i="44"/>
  <c r="C2687" i="44"/>
  <c r="H2520" i="44"/>
  <c r="C3415" i="44"/>
  <c r="H2953" i="44"/>
  <c r="E3017" i="44"/>
  <c r="C1051" i="44"/>
  <c r="H2359" i="44"/>
  <c r="E3386" i="44"/>
  <c r="H2398" i="44"/>
  <c r="H2501" i="44"/>
  <c r="E2301" i="44"/>
  <c r="C1013" i="44"/>
  <c r="C1801" i="44"/>
  <c r="C1785" i="44"/>
  <c r="C13" i="44"/>
  <c r="C722" i="44"/>
  <c r="E3040" i="44"/>
  <c r="C332" i="44"/>
  <c r="C2924" i="44"/>
  <c r="C851" i="44"/>
  <c r="C2095" i="44"/>
  <c r="H2958" i="44"/>
  <c r="C818" i="44"/>
  <c r="E835" i="44"/>
  <c r="E1739" i="44"/>
  <c r="C2303" i="44"/>
  <c r="E701" i="44"/>
  <c r="C2310" i="44"/>
  <c r="E603" i="44"/>
  <c r="C2317" i="44"/>
  <c r="E1528" i="44"/>
  <c r="E749" i="44"/>
  <c r="C1085" i="44"/>
  <c r="H1692" i="44"/>
  <c r="H2475" i="44"/>
  <c r="H2711" i="44"/>
  <c r="C1893" i="44"/>
  <c r="E772" i="44"/>
  <c r="E3042" i="44"/>
  <c r="E370" i="44"/>
  <c r="E1662" i="44"/>
  <c r="C732" i="44"/>
  <c r="C420" i="44"/>
  <c r="E2297" i="44"/>
  <c r="C112" i="44"/>
  <c r="E2273" i="44"/>
  <c r="E2801" i="44"/>
  <c r="C2277" i="44"/>
  <c r="E637" i="44"/>
  <c r="C98" i="44"/>
  <c r="E504" i="44"/>
  <c r="C723" i="44"/>
  <c r="C2434" i="44"/>
  <c r="C391" i="44"/>
  <c r="E2148" i="44"/>
  <c r="E1883" i="44"/>
  <c r="E330" i="44"/>
  <c r="E2263" i="44"/>
  <c r="E2611" i="44"/>
  <c r="C339" i="44"/>
  <c r="H1595" i="44"/>
  <c r="E914" i="44"/>
  <c r="E980" i="44"/>
  <c r="C474" i="44"/>
  <c r="E1081" i="44"/>
  <c r="E1954" i="44"/>
  <c r="E3105" i="44"/>
  <c r="E3108" i="44"/>
  <c r="E1780" i="44"/>
  <c r="C1544" i="44"/>
  <c r="H2662" i="44"/>
  <c r="E3061" i="44"/>
  <c r="C2876" i="44"/>
  <c r="H1982" i="44"/>
  <c r="H2195" i="44"/>
  <c r="H2089" i="44"/>
  <c r="H1863" i="44"/>
  <c r="E2121" i="44"/>
  <c r="H1908" i="44"/>
  <c r="E3037" i="44"/>
  <c r="H2950" i="44"/>
  <c r="H2993" i="44"/>
  <c r="E503" i="44"/>
  <c r="H3130" i="44"/>
  <c r="E436" i="44"/>
  <c r="E116" i="44"/>
  <c r="E2362" i="44"/>
  <c r="C2182" i="44"/>
  <c r="H1812" i="44"/>
  <c r="E1975" i="44"/>
  <c r="H1827" i="44"/>
  <c r="C364" i="44"/>
  <c r="C2192" i="44"/>
  <c r="H2115" i="44"/>
  <c r="H2614" i="44"/>
  <c r="H1598" i="44"/>
  <c r="E3107" i="44"/>
  <c r="C2542" i="44"/>
  <c r="C3114" i="44"/>
  <c r="C2470" i="44"/>
  <c r="E94" i="44"/>
  <c r="H2560" i="44"/>
  <c r="E888" i="44"/>
  <c r="C488" i="44"/>
  <c r="H2317" i="44"/>
  <c r="E2866" i="44"/>
  <c r="C2350" i="44"/>
  <c r="H1841" i="44"/>
  <c r="E1949" i="44"/>
  <c r="C1906" i="44"/>
  <c r="C783" i="44"/>
  <c r="E2737" i="44"/>
  <c r="E1718" i="44"/>
  <c r="H2827" i="44"/>
  <c r="C2009" i="44"/>
  <c r="C1881" i="44"/>
  <c r="H3069" i="44"/>
  <c r="E1744" i="44"/>
  <c r="C2386" i="44"/>
  <c r="C2541" i="44"/>
  <c r="C24" i="44"/>
  <c r="E1829" i="44"/>
  <c r="C1683" i="44"/>
  <c r="C569" i="44"/>
  <c r="E2365" i="44"/>
  <c r="H1851" i="44"/>
  <c r="C2951" i="44"/>
  <c r="H2348" i="44"/>
  <c r="H2446" i="44"/>
  <c r="C312" i="44"/>
  <c r="E186" i="44"/>
  <c r="H1916" i="44"/>
  <c r="E2996" i="44"/>
  <c r="E2215" i="44"/>
  <c r="H2046" i="44"/>
  <c r="H2676" i="44"/>
  <c r="I1615" i="44"/>
  <c r="E1077" i="44"/>
  <c r="H2724" i="44"/>
  <c r="C1986" i="44"/>
  <c r="H2512" i="44"/>
  <c r="C1686" i="44"/>
  <c r="C842" i="44"/>
  <c r="C2221" i="44"/>
  <c r="C2078" i="44"/>
  <c r="C2562" i="44"/>
  <c r="E1039" i="44"/>
  <c r="C849" i="44"/>
  <c r="E839" i="44"/>
  <c r="C2729" i="44"/>
  <c r="C2529" i="44"/>
  <c r="E164" i="44"/>
  <c r="C979" i="44"/>
  <c r="E2154" i="44"/>
  <c r="C1748" i="44"/>
  <c r="H2114" i="44"/>
  <c r="C460" i="44"/>
  <c r="H1800" i="44"/>
  <c r="H3089" i="44"/>
  <c r="E3084" i="44"/>
  <c r="E1645" i="44"/>
  <c r="H3024" i="44"/>
  <c r="H2831" i="44"/>
  <c r="C930" i="44"/>
  <c r="H2730" i="44"/>
  <c r="E422" i="44"/>
  <c r="C2728" i="44"/>
  <c r="C598" i="44"/>
  <c r="H2211" i="44"/>
  <c r="C2912" i="44"/>
  <c r="C608" i="44"/>
  <c r="I1599" i="44"/>
  <c r="H3152" i="44"/>
  <c r="C1747" i="44"/>
  <c r="E2589" i="44"/>
  <c r="H933" i="44"/>
  <c r="C3084" i="44"/>
  <c r="H2837" i="44"/>
  <c r="H2416" i="44"/>
  <c r="E2197" i="44"/>
  <c r="H1904" i="44"/>
  <c r="C1916" i="44"/>
  <c r="E2908" i="44"/>
  <c r="H2240" i="44"/>
  <c r="E1870" i="44"/>
  <c r="C1592" i="44"/>
  <c r="C2974" i="44"/>
  <c r="C2757" i="44"/>
  <c r="E2153" i="44"/>
  <c r="C421" i="44"/>
  <c r="H1810" i="44"/>
  <c r="E243" i="44"/>
  <c r="E2476" i="44"/>
  <c r="H1958" i="44"/>
  <c r="I2655" i="44"/>
  <c r="E2025" i="44"/>
  <c r="C2388" i="44"/>
  <c r="E1665" i="44"/>
  <c r="C2653" i="44"/>
  <c r="C2323" i="44"/>
  <c r="E2137" i="44"/>
  <c r="I170" i="44"/>
  <c r="E3043" i="44"/>
  <c r="E1814" i="44"/>
  <c r="H1930" i="44"/>
  <c r="H1626" i="44"/>
  <c r="H2968" i="44"/>
  <c r="C2937" i="44"/>
  <c r="C2688" i="44"/>
  <c r="H1610" i="44"/>
  <c r="E1782" i="44"/>
  <c r="E2220" i="44"/>
  <c r="E602" i="44"/>
  <c r="E3070" i="44"/>
  <c r="C2844" i="44"/>
  <c r="E3156" i="44"/>
  <c r="I1775" i="44"/>
  <c r="H1606" i="44"/>
  <c r="E1642" i="44"/>
  <c r="E2266" i="44"/>
  <c r="C711" i="44"/>
  <c r="E606" i="44"/>
  <c r="C762" i="44"/>
  <c r="E2252" i="44"/>
  <c r="E780" i="44"/>
  <c r="E866" i="44"/>
  <c r="H3101" i="44"/>
  <c r="E2558" i="44"/>
  <c r="E539" i="44"/>
  <c r="H1988" i="44"/>
  <c r="H3102" i="44"/>
  <c r="C1708" i="44"/>
  <c r="C105" i="44"/>
  <c r="H2667" i="44"/>
  <c r="C835" i="44"/>
  <c r="C713" i="44"/>
  <c r="C568" i="44"/>
  <c r="H2267" i="44"/>
  <c r="E2355" i="44"/>
  <c r="C2717" i="44"/>
  <c r="H2126" i="44"/>
  <c r="C1679" i="44"/>
  <c r="E466" i="44"/>
  <c r="C2073" i="44"/>
  <c r="E68" i="44"/>
  <c r="E1699" i="44"/>
  <c r="H2343" i="44"/>
  <c r="E2155" i="44"/>
  <c r="H2934" i="44"/>
  <c r="C2109" i="44"/>
  <c r="H2315" i="44"/>
  <c r="C2967" i="44"/>
  <c r="E1923" i="44"/>
  <c r="E841" i="44"/>
  <c r="E2877" i="44"/>
  <c r="E1089" i="44"/>
  <c r="E1006" i="44"/>
  <c r="I198" i="44"/>
  <c r="C342" i="44"/>
  <c r="C445" i="44"/>
  <c r="E324" i="44"/>
  <c r="C2530" i="44"/>
  <c r="E1509" i="44"/>
  <c r="H2350" i="44"/>
  <c r="E396" i="44"/>
  <c r="E2956" i="44"/>
  <c r="C1812" i="44"/>
  <c r="E1998" i="44"/>
  <c r="C978" i="44"/>
  <c r="H2004" i="44"/>
  <c r="C1967" i="44"/>
  <c r="D112" i="3"/>
  <c r="E1804" i="44"/>
  <c r="H2736" i="44"/>
  <c r="E2433" i="44"/>
  <c r="C3390" i="44"/>
  <c r="E303" i="44"/>
  <c r="E2280" i="44"/>
  <c r="C856" i="44"/>
  <c r="C700" i="44"/>
  <c r="C1934" i="44"/>
  <c r="I2095" i="44"/>
  <c r="C100" i="44"/>
  <c r="E71" i="44"/>
  <c r="H3113" i="44"/>
  <c r="E2141" i="44"/>
  <c r="H1676" i="44"/>
  <c r="E300" i="44"/>
  <c r="E1872" i="44"/>
  <c r="E2642" i="44"/>
  <c r="C2583" i="44"/>
  <c r="C1654" i="44"/>
  <c r="E259" i="44"/>
  <c r="C3138" i="44"/>
  <c r="C2681" i="44"/>
  <c r="E1592" i="44"/>
  <c r="E363" i="44"/>
  <c r="H3029" i="44"/>
  <c r="E2700" i="44"/>
  <c r="C581" i="44"/>
  <c r="C2498" i="44"/>
  <c r="H1897" i="44"/>
  <c r="C2283" i="44"/>
  <c r="H2784" i="44"/>
  <c r="E1519" i="44"/>
  <c r="C2215" i="44"/>
  <c r="C936" i="44"/>
  <c r="I208" i="44"/>
  <c r="H1712" i="44"/>
  <c r="C2079" i="44"/>
  <c r="C766" i="44"/>
  <c r="H2287" i="44"/>
  <c r="C2640" i="44"/>
  <c r="E3148" i="44"/>
  <c r="E1843" i="44"/>
  <c r="C3418" i="44"/>
  <c r="H1934" i="44"/>
  <c r="E1681" i="44"/>
  <c r="C1872" i="44"/>
  <c r="C3414" i="44"/>
  <c r="H2081" i="44"/>
  <c r="C2110" i="44"/>
  <c r="E496" i="44"/>
  <c r="E2454" i="44"/>
  <c r="E1910" i="44"/>
  <c r="E468" i="44"/>
  <c r="E2730" i="44"/>
  <c r="E2352" i="44"/>
  <c r="E1022" i="44"/>
  <c r="H2891" i="44"/>
  <c r="E2795" i="44"/>
  <c r="E2651" i="44"/>
  <c r="H2630" i="44"/>
  <c r="H2781" i="44"/>
  <c r="C19" i="44"/>
  <c r="E1736" i="44"/>
  <c r="H2996" i="44"/>
  <c r="C2613" i="44"/>
  <c r="C386" i="44"/>
  <c r="C2046" i="44"/>
  <c r="D107" i="3"/>
  <c r="C2648" i="44"/>
  <c r="C3444" i="44"/>
  <c r="E142" i="44"/>
  <c r="C641" i="44"/>
  <c r="C3047" i="44"/>
  <c r="C2506" i="44"/>
  <c r="E2603" i="44"/>
  <c r="E398" i="44"/>
  <c r="H2316" i="44"/>
  <c r="E276" i="44"/>
  <c r="H3003" i="44"/>
  <c r="H3093" i="44"/>
  <c r="E3389" i="44"/>
  <c r="C2820" i="44"/>
  <c r="E2190" i="44"/>
  <c r="E718" i="44"/>
  <c r="C933" i="44"/>
  <c r="E244" i="44"/>
  <c r="C3003" i="44"/>
  <c r="H2258" i="44"/>
  <c r="H2154" i="44"/>
  <c r="C2372" i="44"/>
  <c r="E1710" i="44"/>
  <c r="H2842" i="44"/>
  <c r="E2897" i="44"/>
  <c r="E806" i="44"/>
  <c r="H1878" i="44"/>
  <c r="E118" i="44"/>
  <c r="E2725" i="44"/>
  <c r="C2339" i="44"/>
  <c r="E2732" i="44"/>
  <c r="E2590" i="44"/>
  <c r="H1842" i="44"/>
  <c r="D117" i="3"/>
  <c r="E357" i="44"/>
  <c r="H2564" i="44"/>
  <c r="E2251" i="44"/>
  <c r="H2057" i="44"/>
  <c r="E2193" i="44"/>
  <c r="H2220" i="44"/>
  <c r="C1010" i="44"/>
  <c r="H1594" i="44"/>
  <c r="H2559" i="44"/>
  <c r="E3068" i="44"/>
  <c r="C3161" i="44"/>
  <c r="E523" i="44"/>
  <c r="E820" i="44"/>
  <c r="C1507" i="44"/>
  <c r="E1886" i="44"/>
  <c r="E2458" i="44"/>
  <c r="C820" i="44"/>
  <c r="E254" i="44"/>
  <c r="E726" i="44"/>
  <c r="H200" i="44"/>
  <c r="H2483" i="44"/>
  <c r="E343" i="44"/>
  <c r="C450" i="44"/>
  <c r="C3090" i="44"/>
  <c r="E34" i="44"/>
  <c r="C519" i="44"/>
  <c r="H2441" i="44"/>
  <c r="C991" i="44"/>
  <c r="E2659" i="44"/>
  <c r="C3060" i="44"/>
  <c r="H1817" i="44"/>
  <c r="E1745" i="44"/>
  <c r="C429" i="44"/>
  <c r="H2222" i="44"/>
  <c r="C692" i="44"/>
  <c r="C1006" i="44"/>
  <c r="C2797" i="44"/>
  <c r="C2288" i="44"/>
  <c r="C1875" i="44"/>
  <c r="C2059" i="44"/>
  <c r="E39" i="44"/>
  <c r="C1981" i="44"/>
  <c r="C1964" i="44"/>
  <c r="H2478" i="44"/>
  <c r="H2780" i="44"/>
  <c r="E781" i="44"/>
  <c r="I152" i="44"/>
  <c r="C1699" i="44"/>
  <c r="E501" i="44"/>
  <c r="H2201" i="44"/>
  <c r="H2296" i="44"/>
  <c r="I3039" i="44"/>
  <c r="E2798" i="44"/>
  <c r="E1606" i="44"/>
  <c r="E2990" i="44"/>
  <c r="C2604" i="44"/>
  <c r="C415" i="44"/>
  <c r="E2125" i="44"/>
  <c r="C824" i="44"/>
  <c r="C694" i="44"/>
  <c r="E639" i="44"/>
  <c r="C1526" i="44"/>
  <c r="C857" i="44"/>
  <c r="C1846" i="44"/>
  <c r="E1824" i="44"/>
  <c r="H2474" i="44"/>
  <c r="H2198" i="44"/>
  <c r="E2749" i="44"/>
  <c r="E382" i="44"/>
  <c r="C408" i="44"/>
  <c r="C304" i="44"/>
  <c r="E1625" i="44"/>
  <c r="C2813" i="44"/>
  <c r="E2481" i="44"/>
  <c r="C3407" i="44"/>
  <c r="C3102" i="44"/>
  <c r="C1028" i="44"/>
  <c r="H1919" i="44"/>
  <c r="E770" i="44"/>
  <c r="E2262" i="44"/>
  <c r="C2787" i="44"/>
  <c r="E2660" i="44"/>
  <c r="H2339" i="44"/>
  <c r="E271" i="44"/>
  <c r="C1638" i="44"/>
  <c r="E2627" i="44"/>
  <c r="H2354" i="44"/>
  <c r="E2736" i="44"/>
  <c r="E678" i="44"/>
  <c r="C2176" i="44"/>
  <c r="C2588" i="44"/>
  <c r="E3015" i="44"/>
  <c r="E2667" i="44"/>
  <c r="E748" i="44"/>
  <c r="E1529" i="44"/>
  <c r="E2744" i="44"/>
  <c r="E848" i="44"/>
  <c r="H3115" i="44"/>
  <c r="C560" i="44"/>
  <c r="I3135" i="44"/>
  <c r="C507" i="44"/>
  <c r="C1863" i="44"/>
  <c r="H2930" i="44"/>
  <c r="H3052" i="44"/>
  <c r="E104" i="44"/>
  <c r="I2943" i="44"/>
  <c r="C3383" i="44"/>
  <c r="C2971" i="44"/>
  <c r="C828" i="44"/>
  <c r="C446" i="44"/>
  <c r="H2077" i="44"/>
  <c r="E2300" i="44"/>
  <c r="E2995" i="44"/>
  <c r="E3397" i="44"/>
  <c r="C2273" i="44"/>
  <c r="H2448" i="44"/>
  <c r="C1092" i="44"/>
  <c r="E1916" i="44"/>
  <c r="C439" i="44"/>
  <c r="E2594" i="44"/>
  <c r="C910" i="44"/>
  <c r="C2050" i="44"/>
  <c r="H1905" i="44"/>
  <c r="E120" i="44"/>
  <c r="H3006" i="44"/>
  <c r="E383" i="44"/>
  <c r="E1725" i="44"/>
  <c r="H3021" i="44"/>
  <c r="E2999" i="44"/>
  <c r="C432" i="44"/>
  <c r="E2562" i="44"/>
  <c r="H2297" i="44"/>
  <c r="E2939" i="44"/>
  <c r="E2254" i="44"/>
  <c r="E733" i="44"/>
  <c r="H2402" i="44"/>
  <c r="C2041" i="44"/>
  <c r="C3147" i="44"/>
  <c r="C2634" i="44"/>
  <c r="C508" i="44"/>
  <c r="C1626" i="44"/>
  <c r="E711" i="44"/>
  <c r="E2371" i="44"/>
  <c r="E2579" i="44"/>
  <c r="C1722" i="44"/>
  <c r="H2116" i="44"/>
  <c r="E3165" i="44"/>
  <c r="C838" i="44"/>
  <c r="C1858" i="44"/>
  <c r="E2572" i="44"/>
  <c r="H2983" i="44"/>
  <c r="C410" i="44"/>
  <c r="C491" i="44"/>
  <c r="H3098" i="44"/>
  <c r="E541" i="44"/>
  <c r="C418" i="44"/>
  <c r="C2817" i="44"/>
  <c r="H1640" i="44"/>
  <c r="H2040" i="44"/>
  <c r="E3072" i="44"/>
  <c r="C2511" i="44"/>
  <c r="H1732" i="44"/>
  <c r="E1768" i="44"/>
  <c r="H2014" i="44"/>
  <c r="C2433" i="44"/>
  <c r="H2245" i="44"/>
  <c r="E830" i="44"/>
  <c r="H1636" i="44"/>
  <c r="H929" i="44"/>
  <c r="E1947" i="44"/>
  <c r="E341" i="44"/>
  <c r="I2351" i="44"/>
  <c r="C1691" i="44"/>
  <c r="H1703" i="44"/>
  <c r="H3065" i="44"/>
  <c r="E2174" i="44"/>
  <c r="C656" i="44"/>
  <c r="E2322" i="44"/>
  <c r="C1668" i="44"/>
  <c r="C2502" i="44"/>
  <c r="E2225" i="44"/>
  <c r="H186" i="44"/>
  <c r="E3012" i="44"/>
  <c r="E1994" i="44"/>
  <c r="C590" i="44"/>
  <c r="H3033" i="44"/>
  <c r="E1664" i="44"/>
  <c r="E717" i="44"/>
  <c r="H1856" i="44"/>
  <c r="E886" i="44"/>
  <c r="C373" i="44"/>
  <c r="C2986" i="44"/>
  <c r="C2256" i="44"/>
  <c r="E2093" i="44"/>
  <c r="E2394" i="44"/>
  <c r="C3397" i="44"/>
  <c r="H2643" i="44"/>
  <c r="E582" i="44"/>
  <c r="E2951" i="44"/>
  <c r="E2604" i="44"/>
  <c r="H1862" i="44"/>
  <c r="E1752" i="44"/>
  <c r="C3021" i="44"/>
  <c r="E789" i="44"/>
  <c r="H2361" i="44"/>
  <c r="H3073" i="44"/>
  <c r="H1762" i="44"/>
  <c r="C2716" i="44"/>
  <c r="E777" i="44"/>
  <c r="C492" i="44"/>
  <c r="E2580" i="44"/>
  <c r="C2108" i="44"/>
  <c r="C2678" i="44"/>
  <c r="E25" i="44"/>
  <c r="E2633" i="44"/>
  <c r="E816" i="44"/>
  <c r="H2761" i="44"/>
  <c r="E1514" i="44"/>
  <c r="C2137" i="44"/>
  <c r="E2709" i="44"/>
  <c r="K1136" i="44"/>
  <c r="E1742" i="44"/>
  <c r="E2069" i="44"/>
  <c r="E2750" i="44"/>
  <c r="I2511" i="44"/>
  <c r="C951" i="44"/>
  <c r="E2684" i="44"/>
  <c r="C946" i="44"/>
  <c r="C433" i="44"/>
  <c r="E2243" i="44"/>
  <c r="H2147" i="44"/>
  <c r="E3163" i="44"/>
  <c r="H2477" i="44"/>
  <c r="E2838" i="44"/>
  <c r="H2008" i="44"/>
  <c r="C887" i="44"/>
  <c r="C2060" i="44"/>
  <c r="C352" i="44"/>
  <c r="E993" i="44"/>
  <c r="C2145" i="44"/>
  <c r="C558" i="44"/>
  <c r="C1834" i="44"/>
  <c r="E1598" i="44"/>
  <c r="C2805" i="44"/>
  <c r="C3008" i="44"/>
  <c r="H2764" i="44"/>
  <c r="H2292" i="44"/>
  <c r="E3067" i="44"/>
  <c r="E2892" i="44"/>
  <c r="E242" i="44"/>
  <c r="E3114" i="44"/>
  <c r="C2538" i="44"/>
  <c r="E2104" i="44"/>
  <c r="E7" i="44"/>
  <c r="C1864" i="44"/>
  <c r="H2917" i="44"/>
  <c r="H1818" i="44"/>
  <c r="H192" i="44"/>
  <c r="C3378" i="44"/>
  <c r="C2089" i="44"/>
  <c r="H178" i="44"/>
  <c r="I1855" i="44"/>
  <c r="E3092" i="44"/>
  <c r="H2447" i="44"/>
  <c r="C3067" i="44"/>
  <c r="E1622" i="44"/>
  <c r="E126" i="44"/>
  <c r="C2753" i="44"/>
  <c r="E3426" i="44"/>
  <c r="H2537" i="44"/>
  <c r="E1531" i="44"/>
  <c r="C2793" i="44"/>
  <c r="H2022" i="44"/>
  <c r="H2493" i="44"/>
  <c r="E344" i="44"/>
  <c r="C2801" i="44"/>
  <c r="C1796" i="44"/>
  <c r="H2218" i="44"/>
  <c r="C1039" i="44"/>
  <c r="E2221" i="44"/>
  <c r="E29" i="44"/>
  <c r="C2769" i="44"/>
  <c r="C303" i="44"/>
  <c r="E651" i="44"/>
  <c r="C2842" i="44"/>
  <c r="H2100" i="44"/>
  <c r="E2482" i="44"/>
  <c r="C2052" i="44"/>
  <c r="C997" i="44"/>
  <c r="H2816" i="44"/>
  <c r="H1970" i="44"/>
  <c r="E2554" i="44"/>
  <c r="C619" i="44"/>
  <c r="E868" i="44"/>
  <c r="E3014" i="44"/>
  <c r="E1024" i="44"/>
  <c r="C2593" i="44"/>
  <c r="C2204" i="44"/>
  <c r="E265" i="44"/>
  <c r="H2383" i="44"/>
  <c r="D114" i="3"/>
  <c r="E115" i="44"/>
  <c r="E3155" i="44"/>
  <c r="C787" i="44"/>
  <c r="H2160" i="44"/>
  <c r="C1815" i="44"/>
  <c r="E1627" i="44"/>
  <c r="C2800" i="44"/>
  <c r="E2409" i="44"/>
  <c r="E367" i="44"/>
  <c r="C2275" i="44"/>
  <c r="H2679" i="44"/>
  <c r="E2480" i="44"/>
  <c r="E419" i="44"/>
  <c r="E387" i="44"/>
  <c r="H2252" i="44"/>
  <c r="E3126" i="44"/>
  <c r="E170" i="44"/>
  <c r="H2758" i="44"/>
  <c r="H2364" i="44"/>
  <c r="H2481" i="44"/>
  <c r="H2913" i="44"/>
  <c r="E2188" i="44"/>
  <c r="C2257" i="44"/>
  <c r="H2657" i="44"/>
  <c r="C1520" i="44"/>
  <c r="E2864" i="44"/>
  <c r="I2831" i="44"/>
  <c r="C3045" i="44"/>
  <c r="E1809" i="44"/>
  <c r="H2498" i="44"/>
  <c r="H2429" i="44"/>
  <c r="H3103" i="44"/>
  <c r="C825" i="44"/>
  <c r="C855" i="44"/>
  <c r="E1550" i="44"/>
  <c r="H3035" i="44"/>
  <c r="C2292" i="44"/>
  <c r="C381" i="44"/>
  <c r="C2460" i="44"/>
  <c r="H3166" i="44"/>
  <c r="E776" i="44"/>
  <c r="I204" i="44"/>
  <c r="E2308" i="44"/>
  <c r="H2007" i="44"/>
  <c r="H3085" i="44"/>
  <c r="E1021" i="44"/>
  <c r="H3051" i="44"/>
  <c r="E774" i="44"/>
  <c r="C3385" i="44"/>
  <c r="H2135" i="44"/>
  <c r="E3434" i="44"/>
  <c r="C2069" i="44"/>
  <c r="H2420" i="44"/>
  <c r="E1961" i="44"/>
  <c r="H1844" i="44"/>
  <c r="E1651" i="44"/>
  <c r="E2028" i="44"/>
  <c r="C2923" i="44"/>
  <c r="H2265" i="44"/>
  <c r="E2536" i="44"/>
  <c r="C3006" i="44"/>
  <c r="C663" i="44"/>
  <c r="C2106" i="44"/>
  <c r="E3101" i="44"/>
  <c r="E485" i="44"/>
  <c r="H2021" i="44"/>
  <c r="C913" i="44"/>
  <c r="C3119" i="44"/>
  <c r="C387" i="44"/>
  <c r="E410" i="44"/>
  <c r="C1743" i="44"/>
  <c r="H2822" i="44"/>
  <c r="C2697" i="44"/>
  <c r="C2712" i="44"/>
  <c r="E1790" i="44"/>
  <c r="H3047" i="44"/>
  <c r="H3086" i="44"/>
  <c r="C577" i="44"/>
  <c r="E2384" i="44"/>
  <c r="E113" i="44"/>
  <c r="E3141" i="44"/>
  <c r="C1961" i="44"/>
  <c r="H3074" i="44"/>
  <c r="C2910" i="44"/>
  <c r="E2834" i="44"/>
  <c r="C2546" i="44"/>
  <c r="H1787" i="44"/>
  <c r="E229" i="44"/>
  <c r="E1545" i="44"/>
  <c r="C2267" i="44"/>
  <c r="E379" i="44"/>
  <c r="I2559" i="44"/>
  <c r="C1980" i="44"/>
  <c r="E2503" i="44"/>
  <c r="I2703" i="44"/>
  <c r="E1841" i="44"/>
  <c r="C1783" i="44"/>
  <c r="H2241" i="44"/>
  <c r="E2681" i="44"/>
  <c r="H3112" i="44"/>
  <c r="E1911" i="44"/>
  <c r="E2601" i="44"/>
  <c r="E2378" i="44"/>
  <c r="C3012" i="44"/>
  <c r="C2872" i="44"/>
  <c r="H1627" i="44"/>
  <c r="E1536" i="44"/>
  <c r="C2211" i="44"/>
  <c r="E141" i="44"/>
  <c r="E1714" i="44"/>
  <c r="E119" i="44"/>
  <c r="E2501" i="44"/>
  <c r="E585" i="44"/>
  <c r="E1656" i="44"/>
  <c r="I2191" i="44"/>
  <c r="H164" i="44"/>
  <c r="C593" i="44"/>
  <c r="C106" i="44"/>
  <c r="E442" i="44"/>
  <c r="E3086" i="44"/>
  <c r="C932" i="44"/>
  <c r="C614" i="44"/>
  <c r="H2233" i="44"/>
  <c r="E1938" i="44"/>
  <c r="H2584" i="44"/>
  <c r="E407" i="44"/>
  <c r="C516" i="44"/>
  <c r="H1786" i="44"/>
  <c r="H2139" i="44"/>
  <c r="C321" i="44"/>
  <c r="E1025" i="44"/>
  <c r="C3402" i="44"/>
  <c r="C2601" i="44"/>
  <c r="H2706" i="44"/>
  <c r="E3000" i="44"/>
  <c r="C2943" i="44"/>
  <c r="E2466" i="44"/>
  <c r="C758" i="44"/>
  <c r="E481" i="44"/>
  <c r="E2635" i="44"/>
  <c r="E608" i="44"/>
  <c r="C2845" i="44"/>
  <c r="C836" i="44"/>
  <c r="E621" i="44"/>
  <c r="E2324" i="44"/>
  <c r="E1844" i="44"/>
  <c r="E277" i="44"/>
  <c r="C629" i="44"/>
  <c r="C2175" i="44"/>
  <c r="E613" i="44"/>
  <c r="C341" i="44"/>
  <c r="C1903" i="44"/>
  <c r="C712" i="44"/>
  <c r="E988" i="44"/>
  <c r="C67" i="44"/>
  <c r="C2819" i="44"/>
  <c r="C764" i="44"/>
  <c r="C2693" i="44"/>
  <c r="C2978" i="44"/>
  <c r="H1782" i="44"/>
  <c r="C1988" i="44"/>
  <c r="C873" i="44"/>
  <c r="C3128" i="44"/>
  <c r="E3415" i="44"/>
  <c r="E2929" i="44"/>
  <c r="E35" i="44"/>
  <c r="E537" i="44"/>
  <c r="C2585" i="44"/>
  <c r="C437" i="44"/>
  <c r="E2423" i="44"/>
  <c r="C2276" i="44"/>
  <c r="E96" i="44"/>
  <c r="E2057" i="44"/>
  <c r="C1634" i="44"/>
  <c r="C1989" i="44"/>
  <c r="E2259" i="44"/>
  <c r="E44" i="44"/>
  <c r="C385" i="44"/>
  <c r="E11" i="44"/>
  <c r="C786" i="44"/>
  <c r="H2434" i="44"/>
  <c r="C1844" i="44"/>
  <c r="C1046" i="44"/>
  <c r="E1922" i="44"/>
  <c r="C2240" i="44"/>
  <c r="C3421" i="44"/>
  <c r="H3075" i="44"/>
  <c r="E784" i="44"/>
  <c r="H2336" i="44"/>
  <c r="C3405" i="44"/>
  <c r="H2445" i="44"/>
  <c r="H1775" i="44"/>
  <c r="H2829" i="44"/>
  <c r="C2804" i="44"/>
  <c r="C2957" i="44"/>
  <c r="E592" i="44"/>
  <c r="E2189" i="44"/>
  <c r="E2678" i="44"/>
  <c r="C2035" i="44"/>
  <c r="C2715" i="44"/>
  <c r="E2285" i="44"/>
  <c r="E2938" i="44"/>
  <c r="C3040" i="44"/>
  <c r="C2704" i="44"/>
  <c r="H2610" i="44"/>
  <c r="C1519" i="44"/>
  <c r="C862" i="44"/>
  <c r="H2530" i="44"/>
  <c r="E2666" i="44"/>
  <c r="C1718" i="44"/>
  <c r="C2081" i="44"/>
  <c r="C731" i="44"/>
  <c r="E1930" i="44"/>
  <c r="C1587" i="44"/>
  <c r="C2524" i="44"/>
  <c r="E3429" i="44"/>
  <c r="C2107" i="44"/>
  <c r="E2044" i="44"/>
  <c r="H1611" i="44"/>
  <c r="H3128" i="44"/>
  <c r="C3154" i="44"/>
  <c r="H2238" i="44"/>
  <c r="H152" i="44"/>
  <c r="C1611" i="44"/>
  <c r="H2573" i="44"/>
  <c r="H1899" i="44"/>
  <c r="H1823" i="44"/>
  <c r="H2462" i="44"/>
  <c r="E2586" i="44"/>
  <c r="C891" i="44"/>
  <c r="H2734" i="44"/>
  <c r="C525" i="44"/>
  <c r="E2108" i="44"/>
  <c r="E2966" i="44"/>
  <c r="H2884" i="44"/>
  <c r="C2857" i="44"/>
  <c r="E2694" i="44"/>
  <c r="H2388" i="44"/>
  <c r="H1995" i="44"/>
  <c r="E2260" i="44"/>
  <c r="C2888" i="44"/>
  <c r="H1852" i="44"/>
  <c r="E2305" i="44"/>
  <c r="H2943" i="44"/>
  <c r="H2654" i="44"/>
  <c r="E619" i="44"/>
  <c r="C2259" i="44"/>
  <c r="H2733" i="44"/>
  <c r="H2084" i="44"/>
  <c r="H3070" i="44"/>
  <c r="E2856" i="44"/>
  <c r="C949" i="44"/>
  <c r="E2098" i="44"/>
  <c r="E3083" i="44"/>
  <c r="C3087" i="44"/>
  <c r="C422" i="44"/>
  <c r="E2347" i="44"/>
  <c r="C3434" i="44"/>
  <c r="H2668" i="44"/>
  <c r="E2068" i="44"/>
  <c r="C1669" i="44"/>
  <c r="C2742" i="44"/>
  <c r="E2609" i="44"/>
  <c r="E3424" i="44"/>
  <c r="C141" i="44"/>
  <c r="E2734" i="44"/>
  <c r="E3399" i="44"/>
  <c r="C610" i="44"/>
  <c r="E2049" i="44"/>
  <c r="H978" i="44"/>
  <c r="I2735" i="44"/>
  <c r="E884" i="44"/>
  <c r="C853" i="44"/>
  <c r="H1808" i="44"/>
  <c r="H1659" i="44"/>
  <c r="E2205" i="44"/>
  <c r="E2878" i="44"/>
  <c r="C2444" i="44"/>
  <c r="H1918" i="44"/>
  <c r="H2392" i="44"/>
  <c r="E3124" i="44"/>
  <c r="E1756" i="44"/>
  <c r="E463" i="44"/>
  <c r="E1070" i="44"/>
  <c r="E1609" i="44"/>
  <c r="E1521" i="44"/>
  <c r="C2432" i="44"/>
  <c r="E874" i="44"/>
  <c r="C3404" i="44"/>
  <c r="E942" i="44"/>
  <c r="C1972" i="44"/>
  <c r="C976" i="44"/>
  <c r="C2932" i="44"/>
  <c r="H3046" i="44"/>
  <c r="C2188" i="44"/>
  <c r="C2374" i="44"/>
  <c r="C1062" i="44"/>
  <c r="H3059" i="44"/>
  <c r="C3074" i="44"/>
  <c r="E1623" i="44"/>
  <c r="C3380" i="44"/>
  <c r="E3009" i="44"/>
  <c r="E684" i="44"/>
  <c r="E645" i="44"/>
  <c r="E1952" i="44"/>
  <c r="E2247" i="44"/>
  <c r="C670" i="44"/>
  <c r="E1826" i="44"/>
  <c r="C3403" i="44"/>
  <c r="E2595" i="44"/>
  <c r="C3024" i="44"/>
  <c r="E797" i="44"/>
  <c r="C943" i="44"/>
  <c r="C980" i="44"/>
  <c r="E985" i="44"/>
  <c r="H2665" i="44"/>
  <c r="H2127" i="44"/>
  <c r="E557" i="44"/>
  <c r="C2730" i="44"/>
  <c r="C2196" i="44"/>
  <c r="E671" i="44"/>
  <c r="E2206" i="44"/>
  <c r="C2981" i="44"/>
  <c r="E1593" i="44"/>
  <c r="H3061" i="44"/>
  <c r="C763" i="44"/>
  <c r="C3105" i="44"/>
  <c r="E698" i="44"/>
  <c r="H3084" i="44"/>
  <c r="E2997" i="44"/>
  <c r="H3129" i="44"/>
  <c r="E1594" i="44"/>
  <c r="H2789" i="44"/>
  <c r="I186" i="44"/>
  <c r="C1914" i="44"/>
  <c r="H2140" i="44"/>
  <c r="H2458" i="44"/>
  <c r="C1940" i="44"/>
  <c r="E2521" i="44"/>
  <c r="H1709" i="44"/>
  <c r="H2726" i="44"/>
  <c r="E976" i="44"/>
  <c r="H1854" i="44"/>
  <c r="H2259" i="44"/>
  <c r="H2432" i="44"/>
  <c r="E751" i="44"/>
  <c r="E1885" i="44"/>
  <c r="H2041" i="44"/>
  <c r="E62" i="44"/>
  <c r="C2643" i="44"/>
  <c r="E1630" i="44"/>
  <c r="H1743" i="44"/>
  <c r="C2896" i="44"/>
  <c r="E890" i="44"/>
  <c r="H2994" i="44"/>
  <c r="C2342" i="44"/>
  <c r="C2652" i="44"/>
  <c r="E1672" i="44"/>
  <c r="E1034" i="44"/>
  <c r="C2200" i="44"/>
  <c r="H2298" i="44"/>
  <c r="E2992" i="44"/>
  <c r="E900" i="44"/>
  <c r="E60" i="44"/>
  <c r="C2939" i="44"/>
  <c r="H2119" i="44"/>
  <c r="E431" i="44"/>
  <c r="C263" i="44"/>
  <c r="H2200" i="44"/>
  <c r="H2756" i="44"/>
  <c r="E1884" i="44"/>
  <c r="C1775" i="44"/>
  <c r="H2640" i="44"/>
  <c r="H1974" i="44"/>
  <c r="E455" i="44"/>
  <c r="H2213" i="44"/>
  <c r="C404" i="44"/>
  <c r="E799" i="44"/>
  <c r="E1929" i="44"/>
  <c r="E117" i="44"/>
  <c r="H2524" i="44"/>
  <c r="E1917" i="44"/>
  <c r="H2713" i="44"/>
  <c r="H1767" i="44"/>
  <c r="H1710" i="44"/>
  <c r="H2694" i="44"/>
  <c r="E2086" i="44"/>
  <c r="E2632" i="44"/>
  <c r="C1809" i="44"/>
  <c r="H1986" i="44"/>
  <c r="E824" i="44"/>
  <c r="E1716" i="44"/>
  <c r="E814" i="44"/>
  <c r="E1915" i="44"/>
  <c r="H2443" i="44"/>
  <c r="E426" i="44"/>
  <c r="C1973" i="44"/>
  <c r="C1007" i="44"/>
  <c r="E1746" i="44"/>
  <c r="C2833" i="44"/>
  <c r="C3146" i="44"/>
  <c r="E1516" i="44"/>
  <c r="C971" i="44"/>
  <c r="C2152" i="44"/>
  <c r="C316" i="44"/>
  <c r="C703" i="44"/>
  <c r="E2042" i="44"/>
  <c r="H3056" i="44"/>
  <c r="C2892" i="44"/>
  <c r="H3058" i="44"/>
  <c r="H2833" i="44"/>
  <c r="H3118" i="44"/>
  <c r="H936" i="44"/>
  <c r="C1681" i="44"/>
  <c r="H3060" i="44"/>
  <c r="E2058" i="44"/>
  <c r="H2407" i="44"/>
  <c r="E3122" i="44"/>
  <c r="C137" i="44"/>
  <c r="C1890" i="44"/>
  <c r="C676" i="44"/>
  <c r="C2437" i="44"/>
  <c r="H2219" i="44"/>
  <c r="E2348" i="44"/>
  <c r="H2678" i="44"/>
  <c r="H2838" i="44"/>
  <c r="H2889" i="44"/>
  <c r="C1936" i="44"/>
  <c r="H2801" i="44"/>
  <c r="H2384" i="44"/>
  <c r="C3439" i="44"/>
  <c r="H2928" i="44"/>
  <c r="H3026" i="44"/>
  <c r="E750" i="44"/>
  <c r="C2075" i="44"/>
  <c r="C2380" i="44"/>
  <c r="H2276" i="44"/>
  <c r="E981" i="44"/>
  <c r="C1927" i="44"/>
  <c r="E2094" i="44"/>
  <c r="E833" i="44"/>
  <c r="E831" i="44"/>
  <c r="E454" i="44"/>
  <c r="E2530" i="44"/>
  <c r="E2101" i="44"/>
  <c r="H1993" i="44"/>
  <c r="C1553" i="44"/>
  <c r="E2914" i="44"/>
  <c r="C1551" i="44"/>
  <c r="I2799" i="44"/>
  <c r="H1822" i="44"/>
  <c r="E73" i="44"/>
  <c r="C65" i="44"/>
  <c r="E1868" i="44"/>
  <c r="E2542" i="44"/>
  <c r="H1689" i="44"/>
  <c r="H2868" i="44"/>
  <c r="C596" i="44"/>
  <c r="H2033" i="44"/>
  <c r="H2746" i="44"/>
  <c r="C84" i="44"/>
  <c r="C1853" i="44"/>
  <c r="C1855" i="44"/>
  <c r="C361" i="44"/>
  <c r="E2288" i="44"/>
  <c r="C2553" i="44"/>
  <c r="E1014" i="44"/>
  <c r="E883" i="44"/>
  <c r="C3096" i="44"/>
  <c r="C3410" i="44"/>
  <c r="C3420" i="44"/>
  <c r="C3399" i="44"/>
  <c r="C119" i="44"/>
  <c r="H2555" i="44"/>
  <c r="E2814" i="44"/>
  <c r="H3044" i="44"/>
  <c r="H2685" i="44"/>
  <c r="C1848" i="44"/>
  <c r="E2541" i="44"/>
  <c r="C3121" i="44"/>
  <c r="C413" i="44"/>
  <c r="E538" i="44"/>
  <c r="C2306" i="44"/>
  <c r="E1892" i="44"/>
  <c r="E340" i="44"/>
  <c r="C2390" i="44"/>
  <c r="C864" i="44"/>
  <c r="H2790" i="44"/>
  <c r="E2788" i="44"/>
  <c r="H2162" i="44"/>
  <c r="E18" i="44"/>
  <c r="E3069" i="44"/>
  <c r="C2812" i="44"/>
  <c r="E103" i="44"/>
  <c r="H2161" i="44"/>
  <c r="E2248" i="44"/>
  <c r="H2504" i="44"/>
  <c r="H2503" i="44"/>
  <c r="E2249" i="44"/>
  <c r="E1693" i="44"/>
  <c r="H2911" i="44"/>
  <c r="E2654" i="44"/>
  <c r="C470" i="44"/>
  <c r="E2498" i="44"/>
  <c r="H3072" i="44"/>
  <c r="E712" i="44"/>
  <c r="C2692" i="44"/>
  <c r="E1596" i="44"/>
  <c r="E196" i="44"/>
  <c r="C2622" i="44"/>
  <c r="E2886" i="44"/>
  <c r="C1996" i="44"/>
  <c r="C801" i="44"/>
  <c r="C714" i="44"/>
  <c r="C1752" i="44"/>
  <c r="H2611" i="44"/>
  <c r="H3017" i="44"/>
  <c r="C3436" i="44"/>
  <c r="C2463" i="44"/>
  <c r="E3085" i="44"/>
  <c r="H2282" i="44"/>
  <c r="C2959" i="44"/>
  <c r="E635" i="44"/>
  <c r="C1966" i="44"/>
  <c r="E2233" i="44"/>
  <c r="C485" i="44"/>
  <c r="C2709" i="44"/>
  <c r="E335" i="44"/>
  <c r="C1534" i="44"/>
  <c r="E16" i="44"/>
  <c r="E106" i="44"/>
  <c r="C706" i="44"/>
  <c r="C2483" i="44"/>
  <c r="H166" i="44"/>
  <c r="C1612" i="44"/>
  <c r="C1022" i="44"/>
  <c r="E2769" i="44"/>
  <c r="E513" i="44"/>
  <c r="E2733" i="44"/>
  <c r="C469" i="44"/>
  <c r="E3110" i="44"/>
  <c r="E1053" i="44"/>
  <c r="C644" i="44"/>
  <c r="C1879" i="44"/>
  <c r="H2987" i="44"/>
  <c r="H1657" i="44"/>
  <c r="C2235" i="44"/>
  <c r="C1856" i="44"/>
  <c r="H2408" i="44"/>
  <c r="C2486" i="44"/>
  <c r="H2569" i="44"/>
  <c r="C845" i="44"/>
  <c r="H1949" i="44"/>
  <c r="E801" i="44"/>
  <c r="E2780" i="44"/>
  <c r="C2767" i="44"/>
  <c r="C2398" i="44"/>
  <c r="C2279" i="44"/>
  <c r="E681" i="44"/>
  <c r="C409" i="44"/>
  <c r="C2989" i="44"/>
  <c r="E2656" i="44"/>
  <c r="D102" i="3"/>
  <c r="C1631" i="44"/>
  <c r="E1653" i="44"/>
  <c r="C2026" i="44"/>
  <c r="H2294" i="44"/>
  <c r="C328" i="44"/>
  <c r="H1641" i="44"/>
  <c r="C2571" i="44"/>
  <c r="H1717" i="44"/>
  <c r="E311" i="44"/>
  <c r="C2318" i="44"/>
  <c r="E979" i="44"/>
  <c r="E2345" i="44"/>
  <c r="H2717" i="44"/>
  <c r="C2121" i="44"/>
  <c r="E23" i="44"/>
  <c r="H2329" i="44"/>
  <c r="E253" i="44"/>
  <c r="E1842" i="44"/>
  <c r="E2357" i="44"/>
  <c r="E1616" i="44"/>
  <c r="E2855" i="44"/>
  <c r="C1835" i="44"/>
  <c r="H1859" i="44"/>
  <c r="E2396" i="44"/>
  <c r="E762" i="44"/>
  <c r="C2703" i="44"/>
  <c r="E719" i="44"/>
  <c r="E2274" i="44"/>
  <c r="C2875" i="44"/>
  <c r="I2463" i="44"/>
  <c r="H2138" i="44"/>
  <c r="E2278" i="44"/>
  <c r="C2599" i="44"/>
  <c r="E1795" i="44"/>
  <c r="C2514" i="44"/>
  <c r="E2578" i="44"/>
  <c r="E2772" i="44"/>
  <c r="E2395" i="44"/>
  <c r="C2253" i="44"/>
  <c r="H2581" i="44"/>
  <c r="E2670" i="44"/>
  <c r="E3098" i="44"/>
  <c r="H2151" i="44"/>
  <c r="E1859" i="44"/>
  <c r="H2651" i="44"/>
  <c r="H154" i="44"/>
  <c r="E2919" i="44"/>
  <c r="C3148" i="44"/>
  <c r="C2066" i="44"/>
  <c r="C812" i="44"/>
  <c r="E1851" i="44"/>
  <c r="E822" i="44"/>
  <c r="H2607" i="44"/>
  <c r="I2607" i="44"/>
  <c r="C94" i="44"/>
  <c r="E722" i="44"/>
  <c r="C1539" i="44"/>
  <c r="E2928" i="44"/>
  <c r="C2537" i="44"/>
  <c r="C2970" i="44"/>
  <c r="E310" i="44"/>
  <c r="C3394" i="44"/>
  <c r="H156" i="44"/>
  <c r="E2837" i="44"/>
  <c r="H3002" i="44"/>
  <c r="H1613" i="44"/>
  <c r="H2722" i="44"/>
  <c r="E982" i="44"/>
  <c r="H2032" i="44"/>
  <c r="C2203" i="44"/>
  <c r="C1064" i="44"/>
  <c r="E1810" i="44"/>
  <c r="E471" i="44"/>
  <c r="C704" i="44"/>
  <c r="E1626" i="44"/>
  <c r="E231" i="44"/>
  <c r="C1641" i="44"/>
  <c r="E1748" i="44"/>
  <c r="E2022" i="44"/>
  <c r="C1071" i="44"/>
  <c r="E27" i="44"/>
  <c r="C2618" i="44"/>
  <c r="E1076" i="44"/>
  <c r="C592" i="44"/>
  <c r="H3111" i="44"/>
  <c r="E716" i="44"/>
  <c r="C2080" i="44"/>
  <c r="H2098" i="44"/>
  <c r="C579" i="44"/>
  <c r="C1682" i="44"/>
  <c r="C1850" i="44"/>
  <c r="E1989" i="44"/>
  <c r="E647" i="44"/>
  <c r="H2340" i="44"/>
  <c r="E769" i="44"/>
  <c r="C444" i="44"/>
  <c r="E210" i="44"/>
  <c r="C757" i="44"/>
  <c r="E2616" i="44"/>
  <c r="C654" i="44"/>
  <c r="C2905" i="44"/>
  <c r="H3116" i="44"/>
  <c r="H1739" i="44"/>
  <c r="C2566" i="44"/>
  <c r="E2629" i="44"/>
  <c r="C769" i="44"/>
  <c r="E897" i="44"/>
  <c r="E2209" i="44"/>
  <c r="C2672" i="44"/>
  <c r="E3383" i="44"/>
  <c r="H2558" i="44"/>
  <c r="C3094" i="44"/>
  <c r="H2284" i="44"/>
  <c r="C487" i="44"/>
  <c r="C662" i="44"/>
  <c r="C2497" i="44"/>
  <c r="H2894" i="44"/>
  <c r="E312" i="44"/>
  <c r="E571" i="44"/>
  <c r="E2817" i="44"/>
  <c r="C416" i="44"/>
  <c r="C539" i="44"/>
  <c r="C3079" i="44"/>
  <c r="E1755" i="44"/>
  <c r="E710" i="44"/>
  <c r="E2100" i="44"/>
  <c r="E3041" i="44"/>
  <c r="H2415" i="44"/>
  <c r="C426" i="44"/>
  <c r="H2982" i="44"/>
  <c r="C2312" i="44"/>
  <c r="C2353" i="44"/>
  <c r="C2913" i="44"/>
  <c r="C805" i="44"/>
  <c r="C2065" i="44"/>
  <c r="C1040" i="44"/>
  <c r="H2788" i="44"/>
  <c r="E2926" i="44"/>
  <c r="C1078" i="44"/>
  <c r="C1830" i="44"/>
  <c r="H2877" i="44"/>
  <c r="C61" i="44"/>
  <c r="C1710" i="44"/>
  <c r="C2034" i="44"/>
  <c r="C1552" i="44"/>
  <c r="C1015" i="44"/>
  <c r="H2975" i="44"/>
  <c r="C2090" i="44"/>
  <c r="E935" i="44"/>
  <c r="E3036" i="44"/>
  <c r="E704" i="44"/>
  <c r="E3054" i="44"/>
  <c r="E1084" i="44"/>
  <c r="E1652" i="44"/>
  <c r="C715" i="44"/>
  <c r="E2508" i="44"/>
  <c r="H2858" i="44"/>
  <c r="H3010" i="44"/>
  <c r="H2598" i="44"/>
  <c r="C2274" i="44"/>
  <c r="I2623" i="44"/>
  <c r="C2725" i="44"/>
  <c r="C863" i="44"/>
  <c r="C698" i="44"/>
  <c r="C2856" i="44"/>
  <c r="H2295" i="44"/>
  <c r="E2823" i="44"/>
  <c r="E1513" i="44"/>
  <c r="C282" i="44"/>
  <c r="C440" i="44"/>
  <c r="E876" i="44"/>
  <c r="C925" i="44"/>
  <c r="C1038" i="44"/>
  <c r="C789" i="44"/>
  <c r="C2921" i="44"/>
  <c r="C1898" i="44"/>
  <c r="E33" i="44"/>
  <c r="C2670" i="44"/>
  <c r="E2840" i="44"/>
  <c r="C335" i="44"/>
  <c r="E3006" i="44"/>
  <c r="E393" i="44"/>
  <c r="H2964" i="44"/>
  <c r="C2615" i="44"/>
  <c r="H1945" i="44"/>
  <c r="H2861" i="44"/>
  <c r="E971" i="44"/>
  <c r="C3388" i="44"/>
  <c r="E2625" i="44"/>
  <c r="E1092" i="44"/>
  <c r="I1823" i="44"/>
  <c r="H3018" i="44"/>
  <c r="E1659" i="44"/>
  <c r="E1866" i="44"/>
  <c r="C1602" i="44"/>
  <c r="E3020" i="44"/>
  <c r="H2732" i="44"/>
  <c r="E2029" i="44"/>
  <c r="E3078" i="44"/>
  <c r="C2598" i="44"/>
  <c r="E2472" i="44"/>
  <c r="E2570" i="44"/>
  <c r="H2328" i="44"/>
  <c r="C3002" i="44"/>
  <c r="C1529" i="44"/>
  <c r="E1964" i="44"/>
  <c r="C399" i="44"/>
  <c r="E912" i="44"/>
  <c r="H2344" i="44"/>
  <c r="C1621" i="44"/>
  <c r="E1704" i="44"/>
  <c r="C1079" i="44"/>
  <c r="E1524" i="44"/>
  <c r="H3030" i="44"/>
  <c r="C2597" i="44"/>
  <c r="E3128" i="44"/>
  <c r="C1067" i="44"/>
  <c r="E174" i="44"/>
  <c r="E2698" i="44"/>
  <c r="E2550" i="44"/>
  <c r="C2516" i="44"/>
  <c r="C681" i="44"/>
  <c r="C2734" i="44"/>
  <c r="C2838" i="44"/>
  <c r="E2021" i="44"/>
  <c r="H2513" i="44"/>
  <c r="E394" i="44"/>
  <c r="H1615" i="44"/>
  <c r="E1015" i="44"/>
  <c r="H2288" i="44"/>
  <c r="E3131" i="44"/>
  <c r="H1896" i="44"/>
  <c r="C890" i="44"/>
  <c r="C2361" i="44"/>
  <c r="E2748" i="44"/>
  <c r="E3073" i="44"/>
  <c r="C2441" i="44"/>
  <c r="E1928" i="44"/>
  <c r="C2142" i="44"/>
  <c r="E2707" i="44"/>
  <c r="E807" i="44"/>
  <c r="C2973" i="44"/>
  <c r="H931" i="44"/>
  <c r="E3414" i="44"/>
  <c r="C570" i="44"/>
  <c r="C934" i="44"/>
  <c r="H3004" i="44"/>
  <c r="E3443" i="44"/>
  <c r="C3018" i="44"/>
  <c r="C1842" i="44"/>
  <c r="C44" i="44"/>
  <c r="C659" i="44"/>
  <c r="H2806" i="44"/>
  <c r="E1778" i="44"/>
  <c r="H1736" i="44"/>
  <c r="E2608" i="44"/>
  <c r="C1806" i="44"/>
  <c r="C624" i="44"/>
  <c r="E1950" i="44"/>
  <c r="E1858" i="44"/>
  <c r="H1750" i="44"/>
  <c r="E528" i="44"/>
  <c r="H2013" i="44"/>
  <c r="E384" i="44"/>
  <c r="E1854" i="44"/>
  <c r="C781" i="44"/>
  <c r="C2088" i="44"/>
  <c r="E2218" i="44"/>
  <c r="E3431" i="44"/>
  <c r="C3088" i="44"/>
  <c r="H1634" i="44"/>
  <c r="C2348" i="44"/>
  <c r="C1847" i="44"/>
  <c r="H158" i="44"/>
  <c r="H2394" i="44"/>
  <c r="H2079" i="44"/>
  <c r="E2563" i="44"/>
  <c r="E765" i="44"/>
  <c r="H1920" i="44"/>
  <c r="E1754" i="44"/>
  <c r="H2603" i="44"/>
  <c r="C1762" i="44"/>
  <c r="C2751" i="44"/>
  <c r="C879" i="44"/>
  <c r="H2506" i="44"/>
  <c r="C2635" i="44"/>
  <c r="C2944" i="44"/>
  <c r="C811" i="44"/>
  <c r="E3150" i="44"/>
  <c r="C509" i="44"/>
  <c r="C2389" i="44"/>
  <c r="E1772" i="44"/>
  <c r="E2742" i="44"/>
  <c r="C2478" i="44"/>
  <c r="E847" i="44"/>
  <c r="E492" i="44"/>
  <c r="C1666" i="44"/>
  <c r="E1763" i="44"/>
  <c r="E3381" i="44"/>
  <c r="C140" i="44"/>
  <c r="C2521" i="44"/>
  <c r="E636" i="44"/>
  <c r="E495" i="44"/>
  <c r="C1074" i="44"/>
  <c r="H2883" i="44"/>
  <c r="H2436" i="44"/>
  <c r="C2322" i="44"/>
  <c r="E1706" i="44"/>
  <c r="E566" i="44"/>
  <c r="E3379" i="44"/>
  <c r="C2166" i="44"/>
  <c r="I1903" i="44"/>
  <c r="E677" i="44"/>
  <c r="C506" i="44"/>
  <c r="H3014" i="44"/>
  <c r="C669" i="44"/>
  <c r="C2885" i="44"/>
  <c r="E2183" i="44"/>
  <c r="C2298" i="44"/>
  <c r="H1976" i="44"/>
  <c r="C2577" i="44"/>
  <c r="H2495" i="44"/>
  <c r="C2385" i="44"/>
  <c r="E3160" i="44"/>
  <c r="H1943" i="44"/>
  <c r="E2279" i="44"/>
  <c r="E264" i="44"/>
  <c r="H3095" i="44"/>
  <c r="H1985" i="44"/>
  <c r="C1077" i="44"/>
  <c r="E2080" i="44"/>
  <c r="C914" i="44"/>
  <c r="E457" i="44"/>
  <c r="H3108" i="44"/>
  <c r="C1904" i="44"/>
  <c r="C317" i="44"/>
  <c r="C2548" i="44"/>
  <c r="E2041" i="44"/>
  <c r="H2546" i="44"/>
  <c r="C2540" i="44"/>
  <c r="E2401" i="44"/>
  <c r="E1624" i="44"/>
  <c r="H2906" i="44"/>
  <c r="E1973" i="44"/>
  <c r="C2231" i="44"/>
  <c r="H1616" i="44"/>
  <c r="E2448" i="44"/>
  <c r="C2887" i="44"/>
  <c r="H2876" i="44"/>
  <c r="E1016" i="44"/>
  <c r="E2184" i="44"/>
  <c r="C708" i="44"/>
  <c r="C2010" i="44"/>
  <c r="E15" i="44"/>
  <c r="E462" i="44"/>
  <c r="E852" i="44"/>
  <c r="E373" i="44"/>
  <c r="C1938" i="44"/>
  <c r="E374" i="44"/>
  <c r="E2759" i="44"/>
  <c r="C774" i="44"/>
  <c r="C1537" i="44"/>
  <c r="H1828" i="44"/>
  <c r="H2048" i="44"/>
  <c r="E3004" i="44"/>
  <c r="E1506" i="44"/>
  <c r="E1639" i="44"/>
  <c r="C2209" i="44"/>
  <c r="H1723" i="44"/>
  <c r="E2474" i="44"/>
  <c r="E941" i="44"/>
  <c r="H1901" i="44"/>
  <c r="E3002" i="44"/>
  <c r="H2142" i="44"/>
  <c r="E771" i="44"/>
  <c r="E2304" i="44"/>
  <c r="H1991" i="44"/>
  <c r="C2535" i="44"/>
  <c r="E2760" i="44"/>
  <c r="C2651" i="44"/>
  <c r="H980" i="44"/>
  <c r="C798" i="44"/>
  <c r="C322" i="44"/>
  <c r="C2272" i="44"/>
  <c r="C1734" i="44"/>
  <c r="E172" i="44"/>
  <c r="H2314" i="44"/>
  <c r="E1946" i="44"/>
  <c r="E2486" i="44"/>
  <c r="E245" i="44"/>
  <c r="C2402" i="44"/>
  <c r="C865" i="44"/>
  <c r="E2330" i="44"/>
  <c r="C3031" i="44"/>
  <c r="E1048" i="44"/>
  <c r="C18" i="44"/>
  <c r="E59" i="44"/>
  <c r="C2358" i="44"/>
  <c r="C118" i="44"/>
  <c r="C1976" i="44"/>
  <c r="C683" i="44"/>
  <c r="H973" i="44"/>
  <c r="H2634" i="44"/>
  <c r="C1002" i="44"/>
  <c r="C498" i="44"/>
  <c r="C1997" i="44"/>
  <c r="E261" i="44"/>
  <c r="C1865" i="44"/>
  <c r="E2525" i="44"/>
  <c r="E2779" i="44"/>
  <c r="C638" i="44"/>
  <c r="E949" i="44"/>
  <c r="E600" i="44"/>
  <c r="C2646" i="44"/>
  <c r="E2583" i="44"/>
  <c r="H1608" i="44"/>
  <c r="H2772" i="44"/>
  <c r="E437" i="44"/>
  <c r="E2425" i="44"/>
  <c r="C1533" i="44"/>
  <c r="E2234" i="44"/>
  <c r="H2895" i="44"/>
  <c r="C613" i="44"/>
  <c r="C1992" i="44"/>
  <c r="H2355" i="44"/>
  <c r="E1906" i="44"/>
  <c r="E3144" i="44"/>
  <c r="H2778" i="44"/>
  <c r="C810" i="44"/>
  <c r="E805" i="44"/>
  <c r="C1925" i="44"/>
  <c r="E32" i="44"/>
  <c r="H1981" i="44"/>
  <c r="E1936" i="44"/>
  <c r="H2264" i="44"/>
  <c r="H2470" i="44"/>
  <c r="C2945" i="44"/>
  <c r="E1831" i="44"/>
  <c r="H1950" i="44"/>
  <c r="C2037" i="44"/>
  <c r="E1857" i="44"/>
  <c r="C2457" i="44"/>
  <c r="C637" i="44"/>
  <c r="C585" i="44"/>
  <c r="E2230" i="44"/>
  <c r="C3108" i="44"/>
  <c r="E553" i="44"/>
  <c r="E1050" i="44"/>
  <c r="C2552" i="44"/>
  <c r="H2374" i="44"/>
  <c r="C848" i="44"/>
  <c r="H2973" i="44"/>
  <c r="E166" i="44"/>
  <c r="H2825" i="44"/>
  <c r="E892" i="44"/>
  <c r="C2575" i="44"/>
  <c r="E1603" i="44"/>
  <c r="H2516" i="44"/>
  <c r="E2909" i="44"/>
  <c r="E2027" i="44"/>
  <c r="H2931" i="44"/>
  <c r="C2169" i="44"/>
  <c r="E2519" i="44"/>
  <c r="H1875" i="44"/>
  <c r="H1670" i="44"/>
  <c r="H1957" i="44"/>
  <c r="H2130" i="44"/>
  <c r="H2807" i="44"/>
  <c r="H2872" i="44"/>
  <c r="E3024" i="44"/>
  <c r="H2787" i="44"/>
  <c r="H2749" i="44"/>
  <c r="H2547" i="44"/>
  <c r="E2561" i="44"/>
  <c r="H1927" i="44"/>
  <c r="C324" i="44"/>
  <c r="C1998" i="44"/>
  <c r="H2256" i="44"/>
  <c r="E1985" i="44"/>
  <c r="C1677" i="44"/>
  <c r="E1821" i="44"/>
  <c r="C636" i="44"/>
  <c r="E1629" i="44"/>
  <c r="C1977" i="44"/>
  <c r="E2672" i="44"/>
  <c r="C320" i="44"/>
  <c r="E2535" i="44"/>
  <c r="E1674" i="44"/>
  <c r="C871" i="44"/>
  <c r="H2525" i="44"/>
  <c r="C2207" i="44"/>
  <c r="E1517" i="44"/>
  <c r="E514" i="44"/>
  <c r="C3005" i="44"/>
  <c r="H2605" i="44"/>
  <c r="C1800" i="44"/>
  <c r="C3393" i="44"/>
  <c r="E2074" i="44"/>
  <c r="E1701" i="44"/>
  <c r="C330" i="44"/>
  <c r="C2462" i="44"/>
  <c r="E425" i="44"/>
  <c r="E2442" i="44"/>
  <c r="H2286" i="44"/>
  <c r="H2637" i="44"/>
  <c r="H2484" i="44"/>
  <c r="E85" i="44"/>
  <c r="C2015" i="44"/>
  <c r="E1875" i="44"/>
  <c r="C41" i="44"/>
  <c r="H3001" i="44"/>
  <c r="C108" i="44"/>
  <c r="C449" i="44"/>
  <c r="H2661" i="44"/>
  <c r="C1604" i="44"/>
  <c r="H2585" i="44"/>
  <c r="E469" i="44"/>
  <c r="H2606" i="44"/>
  <c r="E2661" i="44"/>
  <c r="H148" i="44"/>
  <c r="C340" i="44"/>
  <c r="C3063" i="44"/>
  <c r="C2098" i="44"/>
  <c r="H3022" i="44"/>
  <c r="C2378" i="44"/>
  <c r="E620" i="44"/>
  <c r="E2134" i="44"/>
  <c r="C2031" i="44"/>
  <c r="H2334" i="44"/>
  <c r="C2044" i="44"/>
  <c r="C1905" i="44"/>
  <c r="E2889" i="44"/>
  <c r="H2320" i="44"/>
  <c r="E2097" i="44"/>
  <c r="C618" i="44"/>
  <c r="E3133" i="44"/>
  <c r="C2189" i="44"/>
  <c r="E656" i="44"/>
  <c r="E2615" i="44"/>
  <c r="C2602" i="44"/>
  <c r="C1720" i="44"/>
  <c r="H2700" i="44"/>
  <c r="E2343" i="44"/>
  <c r="E2792" i="44"/>
  <c r="C2315" i="44"/>
  <c r="C2473" i="44"/>
  <c r="H150" i="44"/>
  <c r="H2582" i="44"/>
  <c r="H1708" i="44"/>
  <c r="H1902" i="44"/>
  <c r="E1927" i="44"/>
  <c r="E3436" i="44"/>
  <c r="C2637" i="44"/>
  <c r="E3401" i="44"/>
  <c r="C889" i="44"/>
  <c r="I1631" i="44"/>
  <c r="E2512" i="44"/>
  <c r="C2054" i="44"/>
  <c r="H1776" i="44"/>
  <c r="C1727" i="44"/>
  <c r="C464" i="44"/>
  <c r="E3120" i="44"/>
  <c r="C3013" i="44"/>
  <c r="C1820" i="44"/>
  <c r="E723" i="44"/>
  <c r="H1796" i="44"/>
  <c r="H1603" i="44"/>
  <c r="E2105" i="44"/>
  <c r="H2459" i="44"/>
  <c r="E800" i="44"/>
  <c r="C3441" i="44"/>
  <c r="C2162" i="44"/>
  <c r="E2309" i="44"/>
  <c r="I2431" i="44"/>
  <c r="H2952" i="44"/>
  <c r="E2910" i="44"/>
  <c r="E2024" i="44"/>
  <c r="C2594" i="44"/>
  <c r="E926" i="44"/>
  <c r="E786" i="44"/>
  <c r="C1527" i="44"/>
  <c r="E1551" i="44"/>
  <c r="C2194" i="44"/>
  <c r="C2519" i="44"/>
  <c r="E2337" i="44"/>
  <c r="C1530" i="44"/>
  <c r="H2591" i="44"/>
  <c r="H2699" i="44"/>
  <c r="E395" i="44"/>
  <c r="E3408" i="44"/>
  <c r="H2597" i="44"/>
  <c r="E2898" i="44"/>
  <c r="E3395" i="44"/>
  <c r="E3438" i="44"/>
  <c r="C1959" i="44"/>
  <c r="C1915" i="44"/>
  <c r="C2029" i="44"/>
  <c r="E475" i="44"/>
  <c r="C2534" i="44"/>
  <c r="E3420" i="44"/>
  <c r="C2286" i="44"/>
  <c r="C1531" i="44"/>
  <c r="E2032" i="44"/>
  <c r="H2159" i="44"/>
  <c r="E1785" i="44"/>
  <c r="H2775" i="44"/>
  <c r="H2759" i="44"/>
  <c r="E3140" i="44"/>
  <c r="E3134" i="44"/>
  <c r="E2426" i="44"/>
  <c r="E2634" i="44"/>
  <c r="C232" i="44"/>
  <c r="E1684" i="44"/>
  <c r="E1766" i="44"/>
  <c r="E2620" i="44"/>
  <c r="C3136" i="44"/>
  <c r="E879" i="44"/>
  <c r="H2056" i="44"/>
  <c r="C3062" i="44"/>
  <c r="C1629" i="44"/>
  <c r="C39" i="44"/>
  <c r="E477" i="44"/>
  <c r="E2596" i="44"/>
  <c r="C1057" i="44"/>
  <c r="E2445" i="44"/>
  <c r="E2858" i="44"/>
  <c r="E2427" i="44"/>
  <c r="H2586" i="44"/>
  <c r="E2896" i="44"/>
  <c r="C2313" i="44"/>
  <c r="E358" i="44"/>
  <c r="C2087" i="44"/>
  <c r="C2345" i="44"/>
  <c r="E692" i="44"/>
  <c r="H2277" i="44"/>
  <c r="C2220" i="44"/>
  <c r="C2184" i="44"/>
  <c r="E998" i="44"/>
  <c r="H202" i="44"/>
  <c r="C859" i="44"/>
  <c r="E948" i="44"/>
  <c r="E2677" i="44"/>
  <c r="E3048" i="44"/>
  <c r="E862" i="44"/>
  <c r="H2757" i="44"/>
  <c r="E404" i="44"/>
  <c r="H2933" i="44"/>
  <c r="E1043" i="44"/>
  <c r="C33" i="44"/>
  <c r="C1624" i="44"/>
  <c r="E2688" i="44"/>
  <c r="H1663" i="44"/>
  <c r="H1607" i="44"/>
  <c r="C483" i="44"/>
  <c r="H1766" i="44"/>
  <c r="C434" i="44"/>
  <c r="E3400" i="44"/>
  <c r="C2754" i="44"/>
  <c r="E2478" i="44"/>
  <c r="C1556" i="44"/>
  <c r="E3059" i="44"/>
  <c r="C2302" i="44"/>
  <c r="C1765" i="44"/>
  <c r="H2075" i="44"/>
  <c r="C2227" i="44"/>
  <c r="H2860" i="44"/>
  <c r="C2016" i="44"/>
  <c r="C1716" i="44"/>
  <c r="H2693" i="44"/>
  <c r="E2366" i="44"/>
  <c r="C750" i="44"/>
  <c r="E2746" i="44"/>
  <c r="E2539" i="44"/>
  <c r="C242" i="44"/>
  <c r="C2408" i="44"/>
  <c r="E1001" i="44"/>
  <c r="H2792" i="44"/>
  <c r="C1756" i="44"/>
  <c r="C2442" i="44"/>
  <c r="E1597" i="44"/>
  <c r="C3401" i="44"/>
  <c r="E2129" i="44"/>
  <c r="C2480" i="44"/>
  <c r="E2696" i="44"/>
  <c r="H2187" i="44"/>
  <c r="C481" i="44"/>
  <c r="E1012" i="44"/>
  <c r="I2591" i="44"/>
  <c r="C2362" i="44"/>
  <c r="E2876" i="44"/>
  <c r="E2406" i="44"/>
  <c r="E1682" i="44"/>
  <c r="C2684" i="44"/>
  <c r="H2875" i="44"/>
  <c r="E352" i="44"/>
  <c r="E2979" i="44"/>
  <c r="H184" i="44"/>
  <c r="H2293" i="44"/>
  <c r="C2112" i="44"/>
  <c r="C981" i="44"/>
  <c r="E2268" i="44"/>
  <c r="C658" i="44"/>
  <c r="E1641" i="44"/>
  <c r="C1704" i="44"/>
  <c r="C2567" i="44"/>
  <c r="C2990" i="44"/>
  <c r="H2063" i="44"/>
  <c r="H2346" i="44"/>
  <c r="C1892" i="44"/>
  <c r="H2704" i="44"/>
  <c r="E2475" i="44"/>
  <c r="E2930" i="44"/>
  <c r="C2710" i="44"/>
  <c r="J1137" i="44"/>
  <c r="C584" i="44"/>
  <c r="C1636" i="44"/>
  <c r="C383" i="44"/>
  <c r="C2057" i="44"/>
  <c r="C329" i="44"/>
  <c r="C350" i="44"/>
  <c r="H1799" i="44"/>
  <c r="C453" i="44"/>
  <c r="H2166" i="44"/>
  <c r="C1774" i="44"/>
  <c r="E2986" i="44"/>
  <c r="C3130" i="44"/>
  <c r="E598" i="44"/>
  <c r="H1624" i="44"/>
  <c r="C869" i="44"/>
  <c r="C529" i="44"/>
  <c r="C2143" i="44"/>
  <c r="E3387" i="44"/>
  <c r="H1915" i="44"/>
  <c r="C1928" i="44"/>
  <c r="E815" i="44"/>
  <c r="C2058" i="44"/>
  <c r="C2533" i="44"/>
  <c r="H170" i="44"/>
  <c r="E2192" i="44"/>
  <c r="C1798" i="44"/>
  <c r="E590" i="44"/>
  <c r="E100" i="44"/>
  <c r="C2668" i="44"/>
  <c r="E1549" i="44"/>
  <c r="C827" i="44"/>
  <c r="H2185" i="44"/>
  <c r="C565" i="44"/>
  <c r="C3398" i="44"/>
  <c r="C34" i="44"/>
  <c r="C2867" i="44"/>
  <c r="E3045" i="44"/>
  <c r="E680" i="44"/>
  <c r="C458" i="44"/>
  <c r="H2856" i="44"/>
  <c r="C911" i="44"/>
  <c r="E672" i="44"/>
  <c r="E2403" i="44"/>
  <c r="E2585" i="44"/>
  <c r="E2786" i="44"/>
  <c r="H2553" i="44"/>
  <c r="H2215" i="44"/>
  <c r="I160" i="44"/>
  <c r="E1080" i="44"/>
  <c r="E309" i="44"/>
  <c r="H2148" i="44"/>
  <c r="E686" i="44"/>
  <c r="H2255" i="44"/>
  <c r="C1607" i="44"/>
  <c r="I2863" i="44"/>
  <c r="C2133" i="44"/>
  <c r="E1808" i="44"/>
  <c r="E204" i="44"/>
  <c r="E2618" i="44"/>
  <c r="E2900" i="44"/>
  <c r="C3053" i="44"/>
  <c r="C582" i="44"/>
  <c r="C2449" i="44"/>
  <c r="C1831" i="44"/>
  <c r="E2880" i="44"/>
  <c r="H2601" i="44"/>
  <c r="H2691" i="44"/>
  <c r="C2427" i="44"/>
  <c r="E150" i="44"/>
  <c r="E2816" i="44"/>
  <c r="E1762" i="44"/>
  <c r="C472" i="44"/>
  <c r="C1754" i="44"/>
  <c r="E520" i="44"/>
  <c r="C886" i="44"/>
  <c r="C1947" i="44"/>
  <c r="E144" i="44"/>
  <c r="H2740" i="44"/>
  <c r="C30" i="44"/>
  <c r="E865" i="44"/>
  <c r="E328" i="44"/>
  <c r="E257" i="44"/>
  <c r="E2649" i="44"/>
  <c r="E1888" i="44"/>
  <c r="C347" i="44"/>
  <c r="E252" i="44"/>
  <c r="E342" i="44"/>
  <c r="C2647" i="44"/>
  <c r="E2036" i="44"/>
  <c r="H2984" i="44"/>
  <c r="H2028" i="44"/>
  <c r="C231" i="44"/>
  <c r="E887" i="44"/>
  <c r="C1994" i="44"/>
  <c r="E451" i="44"/>
  <c r="C2628" i="44"/>
  <c r="H2337" i="44"/>
  <c r="I2687" i="44"/>
  <c r="C2013" i="44"/>
  <c r="H1666" i="44"/>
  <c r="E2686" i="44"/>
  <c r="C2676" i="44"/>
  <c r="E2054" i="44"/>
  <c r="C747" i="44"/>
  <c r="E184" i="44"/>
  <c r="C459" i="44"/>
  <c r="E2009" i="44"/>
  <c r="H2360" i="44"/>
  <c r="H2703" i="44"/>
  <c r="E2747" i="44"/>
  <c r="C1749" i="44"/>
  <c r="E2077" i="44"/>
  <c r="E1891" i="44"/>
  <c r="H1850" i="44"/>
  <c r="C975" i="44"/>
  <c r="H3142" i="44"/>
  <c r="E1760" i="44"/>
  <c r="H2362" i="44"/>
  <c r="H2400" i="44"/>
  <c r="I3055" i="44"/>
  <c r="C466" i="44"/>
  <c r="E366" i="44"/>
  <c r="C788" i="44"/>
  <c r="C438" i="44"/>
  <c r="C2430" i="44"/>
  <c r="E232" i="44"/>
  <c r="C1817" i="44"/>
  <c r="C990" i="44"/>
  <c r="C1975" i="44"/>
  <c r="C3112" i="44"/>
  <c r="E385" i="44"/>
  <c r="E550" i="44"/>
  <c r="E3435" i="44"/>
  <c r="C1021" i="44"/>
  <c r="C496" i="44"/>
  <c r="E2411" i="44"/>
  <c r="C318" i="44"/>
  <c r="C2641" i="44"/>
  <c r="H3156" i="44"/>
  <c r="D103" i="3"/>
  <c r="C370" i="44"/>
  <c r="E3032" i="44"/>
  <c r="C3389" i="44"/>
  <c r="C3010" i="44"/>
  <c r="H3009" i="44"/>
  <c r="C31" i="44"/>
  <c r="C3160" i="44"/>
  <c r="C345" i="44"/>
  <c r="H2771" i="44"/>
  <c r="E255" i="44"/>
  <c r="C2352" i="44"/>
  <c r="H1962" i="44"/>
  <c r="E273" i="44"/>
  <c r="C556" i="44"/>
  <c r="H1997" i="44"/>
  <c r="H1845" i="44"/>
  <c r="H1948" i="44"/>
  <c r="C3082" i="44"/>
  <c r="H2438" i="44"/>
  <c r="H1923" i="44"/>
  <c r="H2863" i="44"/>
  <c r="H2751" i="44"/>
  <c r="C2765" i="44"/>
  <c r="C2325" i="44"/>
  <c r="C2201" i="44"/>
  <c r="H2602" i="44"/>
  <c r="C3133" i="44"/>
  <c r="C2477" i="44"/>
  <c r="C3409" i="44"/>
  <c r="H2514" i="44"/>
  <c r="C1644" i="44"/>
  <c r="E594" i="44"/>
  <c r="C1802" i="44"/>
  <c r="H2037" i="44"/>
  <c r="H2624" i="44"/>
  <c r="E2894" i="44"/>
  <c r="C2877" i="44"/>
  <c r="C354" i="44"/>
  <c r="E3432" i="44"/>
  <c r="H2763" i="44"/>
  <c r="H3008" i="44"/>
  <c r="C3038" i="44"/>
  <c r="C2465" i="44"/>
  <c r="C436" i="44"/>
  <c r="E2006" i="44"/>
  <c r="H1629" i="44"/>
  <c r="C2140" i="44"/>
  <c r="E192" i="44"/>
  <c r="C1596" i="44"/>
  <c r="C2117" i="44"/>
  <c r="E1072" i="44"/>
  <c r="E446" i="44"/>
  <c r="C2003" i="44"/>
  <c r="E715" i="44"/>
  <c r="H1697" i="44"/>
  <c r="E906" i="44"/>
  <c r="E2238" i="44"/>
  <c r="C2658" i="44"/>
  <c r="H2274" i="44"/>
  <c r="C1779" i="44"/>
  <c r="E12" i="44"/>
  <c r="C888" i="44"/>
  <c r="E2325" i="44"/>
  <c r="C2808" i="44"/>
  <c r="E1045" i="44"/>
  <c r="E889" i="44"/>
  <c r="E891" i="44"/>
  <c r="E2934" i="44"/>
  <c r="E970" i="44"/>
  <c r="C877" i="44"/>
  <c r="E3425" i="44"/>
  <c r="H2010" i="44"/>
  <c r="E55" i="44"/>
  <c r="H2208" i="44"/>
  <c r="C2741" i="44"/>
  <c r="C1613" i="44"/>
  <c r="E2149" i="44"/>
  <c r="C3110" i="44"/>
  <c r="E2945" i="44"/>
  <c r="H2918" i="44"/>
  <c r="E3016" i="44"/>
  <c r="C2287" i="44"/>
  <c r="E846" i="44"/>
  <c r="C729" i="44"/>
  <c r="E2984" i="44"/>
  <c r="H2305" i="44"/>
  <c r="H2866" i="44"/>
  <c r="E2438" i="44"/>
  <c r="C2780" i="44"/>
  <c r="H2485" i="44"/>
  <c r="H1805" i="44"/>
  <c r="C2898" i="44"/>
  <c r="H1661" i="44"/>
  <c r="H2648" i="44"/>
  <c r="H2309" i="44"/>
  <c r="E3104" i="44"/>
  <c r="E882" i="44"/>
  <c r="H1698" i="44"/>
  <c r="C326" i="44"/>
  <c r="C673" i="44"/>
  <c r="C2526" i="44"/>
  <c r="C2383" i="44"/>
  <c r="C389" i="44"/>
  <c r="E2413" i="44"/>
  <c r="C400" i="44"/>
  <c r="E1058" i="44"/>
  <c r="C32" i="44"/>
  <c r="E188" i="44"/>
  <c r="E1054" i="44"/>
  <c r="E220" i="44"/>
  <c r="H1669" i="44"/>
  <c r="E302" i="44"/>
  <c r="H1860" i="44"/>
  <c r="C3163" i="44"/>
  <c r="H2769" i="44"/>
  <c r="C2455" i="44"/>
  <c r="E349" i="44"/>
  <c r="E945" i="44"/>
  <c r="C646" i="44"/>
  <c r="H2808" i="44"/>
  <c r="C1838" i="44"/>
  <c r="E453" i="44"/>
  <c r="C3042" i="44"/>
  <c r="C513" i="44"/>
  <c r="C1993" i="44"/>
  <c r="E1691" i="44"/>
  <c r="H2134" i="44"/>
  <c r="C462" i="44"/>
  <c r="C1706" i="44"/>
  <c r="C2304" i="44"/>
  <c r="E1861" i="44"/>
  <c r="C2419" i="44"/>
  <c r="C2915" i="44"/>
  <c r="E644" i="44"/>
  <c r="D116" i="3"/>
  <c r="C2985" i="44"/>
  <c r="C1598" i="44"/>
  <c r="E1543" i="44"/>
  <c r="E1620" i="44"/>
  <c r="E2326" i="44"/>
  <c r="E3153" i="44"/>
  <c r="E808" i="44"/>
  <c r="E2743" i="44"/>
  <c r="C2783" i="44"/>
  <c r="E2402" i="44"/>
  <c r="E2391" i="44"/>
  <c r="C3051" i="44"/>
  <c r="E992" i="44"/>
  <c r="E990" i="44"/>
  <c r="H2639" i="44"/>
  <c r="C1912" i="44"/>
  <c r="E1654" i="44"/>
  <c r="C3382" i="44"/>
  <c r="E180" i="44"/>
  <c r="C1667" i="44"/>
  <c r="C2153" i="44"/>
  <c r="E1658" i="44"/>
  <c r="E69" i="44"/>
  <c r="E811" i="44"/>
  <c r="E794" i="44"/>
  <c r="H3140" i="44"/>
  <c r="E809" i="44"/>
  <c r="C900" i="44"/>
  <c r="E845" i="44"/>
  <c r="E3097" i="44"/>
  <c r="C2150" i="44"/>
  <c r="H1619" i="44"/>
  <c r="C1965" i="44"/>
  <c r="E356" i="44"/>
  <c r="E2372" i="44"/>
  <c r="H2452" i="44"/>
  <c r="E353" i="44"/>
  <c r="H2044" i="44"/>
  <c r="E753" i="44"/>
  <c r="E554" i="44"/>
  <c r="E1535" i="44"/>
  <c r="C414" i="44"/>
  <c r="C2631" i="44"/>
  <c r="C1825" i="44"/>
  <c r="C2756" i="44"/>
  <c r="C1978" i="44"/>
  <c r="C696" i="44"/>
  <c r="C2586" i="44"/>
  <c r="H1968" i="44"/>
  <c r="E1049" i="44"/>
  <c r="E1940" i="44"/>
  <c r="E615" i="44"/>
  <c r="E1863" i="44"/>
  <c r="C3125" i="44"/>
  <c r="E735" i="44"/>
  <c r="E2333" i="44"/>
  <c r="E2998" i="44"/>
  <c r="E584" i="44"/>
  <c r="E2103" i="44"/>
  <c r="H2955" i="44"/>
  <c r="C2531" i="44"/>
  <c r="H3091" i="44"/>
  <c r="E3404" i="44"/>
  <c r="E1920" i="44"/>
  <c r="C467" i="44"/>
  <c r="C994" i="44"/>
  <c r="C767" i="44"/>
  <c r="E778" i="44"/>
  <c r="C378" i="44"/>
  <c r="E936" i="44"/>
  <c r="E1977" i="44"/>
  <c r="E2166" i="44"/>
  <c r="E2715" i="44"/>
  <c r="H1963" i="44"/>
  <c r="H2551" i="44"/>
  <c r="H2482" i="44"/>
  <c r="C489" i="44"/>
  <c r="E2805" i="44"/>
  <c r="C2236" i="44"/>
  <c r="I2015" i="44"/>
  <c r="E702" i="44"/>
  <c r="H1753" i="44"/>
  <c r="E2468" i="44"/>
  <c r="H2938" i="44"/>
  <c r="E1881" i="44"/>
  <c r="H2575" i="44"/>
  <c r="E3062" i="44"/>
  <c r="H2892" i="44"/>
  <c r="E2172" i="44"/>
  <c r="E525" i="44"/>
  <c r="E1777" i="44"/>
  <c r="E3075" i="44"/>
  <c r="C2758" i="44"/>
  <c r="H2649" i="44"/>
  <c r="E1686" i="44"/>
  <c r="C99" i="44"/>
  <c r="E1702" i="44"/>
  <c r="C2603" i="44"/>
  <c r="E2459" i="44"/>
  <c r="H2136" i="44"/>
  <c r="C2685" i="44"/>
  <c r="C1514" i="44"/>
  <c r="E1801" i="44"/>
  <c r="E2961" i="44"/>
  <c r="C2213" i="44"/>
  <c r="E969" i="44"/>
  <c r="H3083" i="44"/>
  <c r="H1941" i="44"/>
  <c r="E2214" i="44"/>
  <c r="C2705" i="44"/>
  <c r="E3440" i="44"/>
  <c r="E1661" i="44"/>
  <c r="H2439" i="44"/>
  <c r="C97" i="44"/>
  <c r="E2612" i="44"/>
  <c r="E1988" i="44"/>
  <c r="H1975" i="44"/>
  <c r="E2484" i="44"/>
  <c r="C1746" i="44"/>
  <c r="H2111" i="44"/>
  <c r="C2880" i="44"/>
  <c r="E2275" i="44"/>
  <c r="C3429" i="44"/>
  <c r="E519" i="44"/>
  <c r="A519" i="44" l="1"/>
  <c r="F3429" i="44"/>
  <c r="A3429" i="44" s="1"/>
  <c r="E2111" i="44"/>
  <c r="A2122" i="44" s="1"/>
  <c r="F1975" i="44"/>
  <c r="A2612" i="44"/>
  <c r="F97" i="44"/>
  <c r="A97" i="44" s="1"/>
  <c r="F2439" i="44"/>
  <c r="F1941" i="44"/>
  <c r="F3083" i="44"/>
  <c r="A969" i="44"/>
  <c r="F1514" i="44"/>
  <c r="F2136" i="44"/>
  <c r="F99" i="44"/>
  <c r="A99" i="44" s="1"/>
  <c r="F2649" i="44"/>
  <c r="A525" i="44"/>
  <c r="F2892" i="44"/>
  <c r="E2575" i="44"/>
  <c r="A2590" i="44" s="1"/>
  <c r="F2938" i="44"/>
  <c r="F1753" i="44"/>
  <c r="A702" i="44"/>
  <c r="F489" i="44"/>
  <c r="F2482" i="44"/>
  <c r="F2551" i="44"/>
  <c r="F1963" i="44"/>
  <c r="A936" i="44"/>
  <c r="F378" i="44"/>
  <c r="F767" i="44"/>
  <c r="F994" i="44"/>
  <c r="F467" i="44"/>
  <c r="F3091" i="44"/>
  <c r="F2955" i="44"/>
  <c r="A584" i="44"/>
  <c r="A735" i="44"/>
  <c r="A615" i="44"/>
  <c r="A1049" i="44"/>
  <c r="F1968" i="44"/>
  <c r="F696" i="44"/>
  <c r="F414" i="44"/>
  <c r="A554" i="44"/>
  <c r="A753" i="44"/>
  <c r="F2044" i="44"/>
  <c r="A353" i="44"/>
  <c r="F2452" i="44"/>
  <c r="A356" i="44"/>
  <c r="F1619" i="44"/>
  <c r="A845" i="44"/>
  <c r="F900" i="44"/>
  <c r="A809" i="44"/>
  <c r="F3140" i="44"/>
  <c r="A811" i="44"/>
  <c r="F3382" i="44"/>
  <c r="A3382" i="44" s="1"/>
  <c r="E2639" i="44"/>
  <c r="A2645" i="44" s="1"/>
  <c r="A992" i="44"/>
  <c r="A990" i="44"/>
  <c r="F2783" i="44"/>
  <c r="A808" i="44"/>
  <c r="A1543" i="44"/>
  <c r="A1544" i="44"/>
  <c r="E116" i="3"/>
  <c r="A644" i="44"/>
  <c r="F462" i="44"/>
  <c r="F2134" i="44"/>
  <c r="F513" i="44"/>
  <c r="A453" i="44"/>
  <c r="F2808" i="44"/>
  <c r="F646" i="44"/>
  <c r="A945" i="44"/>
  <c r="A349" i="44"/>
  <c r="F2769" i="44"/>
  <c r="F1860" i="44"/>
  <c r="A302" i="44"/>
  <c r="F1669" i="44"/>
  <c r="A1054" i="44"/>
  <c r="F32" i="44"/>
  <c r="A32" i="44" s="1"/>
  <c r="A1058" i="44"/>
  <c r="F400" i="44"/>
  <c r="F389" i="44"/>
  <c r="F2383" i="44"/>
  <c r="F673" i="44"/>
  <c r="F326" i="44"/>
  <c r="F1698" i="44"/>
  <c r="A882" i="44"/>
  <c r="F2309" i="44"/>
  <c r="F2648" i="44"/>
  <c r="F1661" i="44"/>
  <c r="F1805" i="44"/>
  <c r="F2485" i="44"/>
  <c r="F2866" i="44"/>
  <c r="F2305" i="44"/>
  <c r="F729" i="44"/>
  <c r="A846" i="44"/>
  <c r="F2287" i="44"/>
  <c r="F2918" i="44"/>
  <c r="F2208" i="44"/>
  <c r="F2010" i="44"/>
  <c r="F877" i="44"/>
  <c r="A970" i="44"/>
  <c r="A891" i="44"/>
  <c r="A1045" i="44"/>
  <c r="A1047" i="44"/>
  <c r="F888" i="44"/>
  <c r="F2274" i="44"/>
  <c r="A906" i="44"/>
  <c r="F1697" i="44"/>
  <c r="A715" i="44"/>
  <c r="A446" i="44"/>
  <c r="A1072" i="44"/>
  <c r="A1074" i="44"/>
  <c r="F1629" i="44"/>
  <c r="F436" i="44"/>
  <c r="F3008" i="44"/>
  <c r="F2763" i="44"/>
  <c r="F354" i="44"/>
  <c r="F2624" i="44"/>
  <c r="F2037" i="44"/>
  <c r="A594" i="44"/>
  <c r="A596" i="44"/>
  <c r="F2514" i="44"/>
  <c r="F3409" i="44"/>
  <c r="A3409" i="44" s="1"/>
  <c r="F2602" i="44"/>
  <c r="E2751" i="44"/>
  <c r="A2762" i="44" s="1"/>
  <c r="E2863" i="44"/>
  <c r="A2875" i="44" s="1"/>
  <c r="F1923" i="44"/>
  <c r="F2438" i="44"/>
  <c r="F1948" i="44"/>
  <c r="F1845" i="44"/>
  <c r="F1997" i="44"/>
  <c r="F556" i="44"/>
  <c r="A273" i="44"/>
  <c r="F1962" i="44"/>
  <c r="A255" i="44"/>
  <c r="F2771" i="44"/>
  <c r="F345" i="44"/>
  <c r="F31" i="44"/>
  <c r="A31" i="44" s="1"/>
  <c r="F3009" i="44"/>
  <c r="F3389" i="44"/>
  <c r="A3389" i="44" s="1"/>
  <c r="F370" i="44"/>
  <c r="E103" i="3"/>
  <c r="F3156" i="44"/>
  <c r="F318" i="44"/>
  <c r="F496" i="44"/>
  <c r="F1021" i="44"/>
  <c r="A550" i="44"/>
  <c r="A385" i="44"/>
  <c r="F990" i="44"/>
  <c r="F438" i="44"/>
  <c r="F788" i="44"/>
  <c r="A366" i="44"/>
  <c r="F466" i="44"/>
  <c r="F2400" i="44"/>
  <c r="F2362" i="44"/>
  <c r="F3142" i="44"/>
  <c r="F1850" i="44"/>
  <c r="E2703" i="44"/>
  <c r="A2703" i="44" s="1"/>
  <c r="F2360" i="44"/>
  <c r="F459" i="44"/>
  <c r="F747" i="44"/>
  <c r="F1666" i="44"/>
  <c r="F2337" i="44"/>
  <c r="A451" i="44"/>
  <c r="A889" i="44"/>
  <c r="A887" i="44"/>
  <c r="F231" i="44"/>
  <c r="A231" i="44" s="1"/>
  <c r="F2028" i="44"/>
  <c r="F2984" i="44"/>
  <c r="A342" i="44"/>
  <c r="A252" i="44"/>
  <c r="F347" i="44"/>
  <c r="A2649" i="44"/>
  <c r="A257" i="44"/>
  <c r="A328" i="44"/>
  <c r="A865" i="44"/>
  <c r="F30" i="44"/>
  <c r="A30" i="44" s="1"/>
  <c r="F2740" i="44"/>
  <c r="F886" i="44"/>
  <c r="A520" i="44"/>
  <c r="F472" i="44"/>
  <c r="F2691" i="44"/>
  <c r="F2601" i="44"/>
  <c r="F582" i="44"/>
  <c r="E2255" i="44"/>
  <c r="A2269" i="44" s="1"/>
  <c r="F2148" i="44"/>
  <c r="A309" i="44"/>
  <c r="A1080" i="44"/>
  <c r="J160" i="44"/>
  <c r="L160" i="44" s="1"/>
  <c r="N160" i="44" s="1"/>
  <c r="F160" i="44" s="1"/>
  <c r="K160" i="44"/>
  <c r="F2215" i="44"/>
  <c r="F2553" i="44"/>
  <c r="A2585" i="44"/>
  <c r="A2403" i="44"/>
  <c r="A677" i="44"/>
  <c r="A672" i="44"/>
  <c r="F911" i="44"/>
  <c r="F2856" i="44"/>
  <c r="F458" i="44"/>
  <c r="A680" i="44"/>
  <c r="F34" i="44"/>
  <c r="A34" i="44" s="1"/>
  <c r="F3398" i="44"/>
  <c r="A3398" i="44" s="1"/>
  <c r="F565" i="44"/>
  <c r="F2185" i="44"/>
  <c r="F827" i="44"/>
  <c r="A1549" i="44"/>
  <c r="A1550" i="44"/>
  <c r="M170" i="44"/>
  <c r="A815" i="44"/>
  <c r="F1915" i="44"/>
  <c r="F2143" i="44"/>
  <c r="F529" i="44"/>
  <c r="F869" i="44"/>
  <c r="F1624" i="44"/>
  <c r="A598" i="44"/>
  <c r="F2166" i="44"/>
  <c r="F453" i="44"/>
  <c r="F1799" i="44"/>
  <c r="F350" i="44"/>
  <c r="F329" i="44"/>
  <c r="F383" i="44"/>
  <c r="F584" i="44"/>
  <c r="E1137" i="44"/>
  <c r="A1137" i="44" s="1"/>
  <c r="F2704" i="44"/>
  <c r="F2346" i="44"/>
  <c r="E2063" i="44"/>
  <c r="A2077" i="44" s="1"/>
  <c r="F658" i="44"/>
  <c r="A2268" i="44"/>
  <c r="F2293" i="44"/>
  <c r="A352" i="44"/>
  <c r="F2875" i="44"/>
  <c r="A2876" i="44"/>
  <c r="A1012" i="44"/>
  <c r="F481" i="44"/>
  <c r="F2187" i="44"/>
  <c r="F3401" i="44"/>
  <c r="A3401" i="44" s="1"/>
  <c r="F2792" i="44"/>
  <c r="A1001" i="44"/>
  <c r="F242" i="44"/>
  <c r="A242" i="44" s="1"/>
  <c r="G242" i="44" s="1"/>
  <c r="F750" i="44"/>
  <c r="F2693" i="44"/>
  <c r="F2860" i="44"/>
  <c r="F2075" i="44"/>
  <c r="F1556" i="44"/>
  <c r="F434" i="44"/>
  <c r="F1766" i="44"/>
  <c r="F483" i="44"/>
  <c r="F1607" i="44"/>
  <c r="E1663" i="44"/>
  <c r="A1678" i="44" s="1"/>
  <c r="F33" i="44"/>
  <c r="A33" i="44" s="1"/>
  <c r="A1043" i="44"/>
  <c r="F2933" i="44"/>
  <c r="A404" i="44"/>
  <c r="F2757" i="44"/>
  <c r="A862" i="44"/>
  <c r="A948" i="44"/>
  <c r="F859" i="44"/>
  <c r="A998" i="44"/>
  <c r="F2277" i="44"/>
  <c r="A358" i="44"/>
  <c r="F2586" i="44"/>
  <c r="F1057" i="44"/>
  <c r="A477" i="44"/>
  <c r="F39" i="44"/>
  <c r="A39" i="44" s="1"/>
  <c r="F2056" i="44"/>
  <c r="A879" i="44"/>
  <c r="F232" i="44"/>
  <c r="A232" i="44" s="1"/>
  <c r="F2759" i="44"/>
  <c r="F2775" i="44"/>
  <c r="E2159" i="44"/>
  <c r="A2170" i="44" s="1"/>
  <c r="F1531" i="44"/>
  <c r="A475" i="44"/>
  <c r="F2597" i="44"/>
  <c r="A395" i="44"/>
  <c r="F2699" i="44"/>
  <c r="E2591" i="44"/>
  <c r="A2606" i="44" s="1"/>
  <c r="F1530" i="44"/>
  <c r="A1551" i="44"/>
  <c r="F1527" i="44"/>
  <c r="A786" i="44"/>
  <c r="A926" i="44"/>
  <c r="F2952" i="44"/>
  <c r="F3441" i="44"/>
  <c r="A3441" i="44" s="1"/>
  <c r="A800" i="44"/>
  <c r="F2459" i="44"/>
  <c r="F1603" i="44"/>
  <c r="F1796" i="44"/>
  <c r="A723" i="44"/>
  <c r="F464" i="44"/>
  <c r="F1727" i="44"/>
  <c r="F1776" i="44"/>
  <c r="F889" i="44"/>
  <c r="F1902" i="44"/>
  <c r="F1708" i="44"/>
  <c r="F2582" i="44"/>
  <c r="F2700" i="44"/>
  <c r="A656" i="44"/>
  <c r="F618" i="44"/>
  <c r="F2320" i="44"/>
  <c r="F2334" i="44"/>
  <c r="F2031" i="44"/>
  <c r="A620" i="44"/>
  <c r="F3022" i="44"/>
  <c r="F340" i="44"/>
  <c r="F2606" i="44"/>
  <c r="A469" i="44"/>
  <c r="F2585" i="44"/>
  <c r="F2661" i="44"/>
  <c r="F449" i="44"/>
  <c r="F108" i="44"/>
  <c r="A108" i="44" s="1"/>
  <c r="F3001" i="44"/>
  <c r="F41" i="44"/>
  <c r="A41" i="44" s="1"/>
  <c r="F2015" i="44"/>
  <c r="F2484" i="44"/>
  <c r="F2637" i="44"/>
  <c r="F2286" i="44"/>
  <c r="A425" i="44"/>
  <c r="F330" i="44"/>
  <c r="F3393" i="44"/>
  <c r="A3393" i="44" s="1"/>
  <c r="F2605" i="44"/>
  <c r="A514" i="44"/>
  <c r="A1517" i="44"/>
  <c r="F2207" i="44"/>
  <c r="F2525" i="44"/>
  <c r="F871" i="44"/>
  <c r="A1674" i="44"/>
  <c r="F320" i="44"/>
  <c r="A1629" i="44"/>
  <c r="F636" i="44"/>
  <c r="F2256" i="44"/>
  <c r="F324" i="44"/>
  <c r="F1927" i="44"/>
  <c r="F2547" i="44"/>
  <c r="F2749" i="44"/>
  <c r="F2787" i="44"/>
  <c r="F2872" i="44"/>
  <c r="F2807" i="44"/>
  <c r="F2130" i="44"/>
  <c r="F1957" i="44"/>
  <c r="F1670" i="44"/>
  <c r="F1875" i="44"/>
  <c r="F2931" i="44"/>
  <c r="F2516" i="44"/>
  <c r="F2575" i="44"/>
  <c r="A2575" i="44"/>
  <c r="F2825" i="44"/>
  <c r="F2973" i="44"/>
  <c r="F848" i="44"/>
  <c r="F2374" i="44"/>
  <c r="A558" i="44"/>
  <c r="A553" i="44"/>
  <c r="F585" i="44"/>
  <c r="F637" i="44"/>
  <c r="F1950" i="44"/>
  <c r="F2470" i="44"/>
  <c r="F2264" i="44"/>
  <c r="F1981" i="44"/>
  <c r="A805" i="44"/>
  <c r="F810" i="44"/>
  <c r="F2778" i="44"/>
  <c r="F2355" i="44"/>
  <c r="F613" i="44"/>
  <c r="E2895" i="44"/>
  <c r="A2896" i="44" s="1"/>
  <c r="F1533" i="44"/>
  <c r="A437" i="44"/>
  <c r="F2772" i="44"/>
  <c r="F1608" i="44"/>
  <c r="A2583" i="44"/>
  <c r="A600" i="44"/>
  <c r="A949" i="44"/>
  <c r="F638" i="44"/>
  <c r="A261" i="44"/>
  <c r="F498" i="44"/>
  <c r="F1002" i="44"/>
  <c r="F2634" i="44"/>
  <c r="F973" i="44"/>
  <c r="F683" i="44"/>
  <c r="F118" i="44"/>
  <c r="A118" i="44" s="1"/>
  <c r="F18" i="44"/>
  <c r="A18" i="44" s="1"/>
  <c r="A1050" i="44"/>
  <c r="A1048" i="44"/>
  <c r="F865" i="44"/>
  <c r="A245" i="44"/>
  <c r="F2314" i="44"/>
  <c r="F322" i="44"/>
  <c r="F798" i="44"/>
  <c r="F980" i="44"/>
  <c r="A2760" i="44"/>
  <c r="F1991" i="44"/>
  <c r="A771" i="44"/>
  <c r="F2142" i="44"/>
  <c r="F1901" i="44"/>
  <c r="A941" i="44"/>
  <c r="F1723" i="44"/>
  <c r="F2048" i="44"/>
  <c r="F1828" i="44"/>
  <c r="F1537" i="44"/>
  <c r="F774" i="44"/>
  <c r="A2759" i="44"/>
  <c r="A374" i="44"/>
  <c r="A373" i="44"/>
  <c r="A852" i="44"/>
  <c r="A854" i="44"/>
  <c r="A462" i="44"/>
  <c r="F708" i="44"/>
  <c r="F2876" i="44"/>
  <c r="F1616" i="44"/>
  <c r="F2906" i="44"/>
  <c r="A1624" i="44"/>
  <c r="F2546" i="44"/>
  <c r="F317" i="44"/>
  <c r="F3108" i="44"/>
  <c r="A457" i="44"/>
  <c r="F914" i="44"/>
  <c r="F1077" i="44"/>
  <c r="F1985" i="44"/>
  <c r="F3095" i="44"/>
  <c r="F1943" i="44"/>
  <c r="E2495" i="44"/>
  <c r="A2510" i="44" s="1"/>
  <c r="F1976" i="44"/>
  <c r="A2183" i="44"/>
  <c r="F669" i="44"/>
  <c r="F3014" i="44"/>
  <c r="F506" i="44"/>
  <c r="A566" i="44"/>
  <c r="F2436" i="44"/>
  <c r="F2883" i="44"/>
  <c r="F1074" i="44"/>
  <c r="A495" i="44"/>
  <c r="A636" i="44"/>
  <c r="F140" i="44"/>
  <c r="A492" i="44"/>
  <c r="A847" i="44"/>
  <c r="F509" i="44"/>
  <c r="F811" i="44"/>
  <c r="F2506" i="44"/>
  <c r="F879" i="44"/>
  <c r="F2751" i="44"/>
  <c r="A2751" i="44"/>
  <c r="F2603" i="44"/>
  <c r="A1754" i="44"/>
  <c r="F1920" i="44"/>
  <c r="A765" i="44"/>
  <c r="E2079" i="44"/>
  <c r="A2085" i="44" s="1"/>
  <c r="F2394" i="44"/>
  <c r="F1634" i="44"/>
  <c r="A2218" i="44"/>
  <c r="F781" i="44"/>
  <c r="A384" i="44"/>
  <c r="F2013" i="44"/>
  <c r="A528" i="44"/>
  <c r="F1750" i="44"/>
  <c r="F624" i="44"/>
  <c r="F1736" i="44"/>
  <c r="F2806" i="44"/>
  <c r="F659" i="44"/>
  <c r="F44" i="44"/>
  <c r="A44" i="44" s="1"/>
  <c r="F3004" i="44"/>
  <c r="F570" i="44"/>
  <c r="F931" i="44"/>
  <c r="A807" i="44"/>
  <c r="F890" i="44"/>
  <c r="F1896" i="44"/>
  <c r="F2288" i="44"/>
  <c r="A1015" i="44"/>
  <c r="E1615" i="44"/>
  <c r="A1622" i="44" s="1"/>
  <c r="A394" i="44"/>
  <c r="F2513" i="44"/>
  <c r="F681" i="44"/>
  <c r="F1067" i="44"/>
  <c r="F3030" i="44"/>
  <c r="A1524" i="44"/>
  <c r="F1079" i="44"/>
  <c r="F2344" i="44"/>
  <c r="A914" i="44"/>
  <c r="A912" i="44"/>
  <c r="F399" i="44"/>
  <c r="F1529" i="44"/>
  <c r="F2328" i="44"/>
  <c r="F2732" i="44"/>
  <c r="A1659" i="44"/>
  <c r="F3018" i="44"/>
  <c r="A1092" i="44"/>
  <c r="F3388" i="44"/>
  <c r="A3388" i="44" s="1"/>
  <c r="A971" i="44"/>
  <c r="F2861" i="44"/>
  <c r="F1945" i="44"/>
  <c r="F2964" i="44"/>
  <c r="A393" i="44"/>
  <c r="F335" i="44"/>
  <c r="F789" i="44"/>
  <c r="F1038" i="44"/>
  <c r="A876" i="44"/>
  <c r="F440" i="44"/>
  <c r="F282" i="44"/>
  <c r="A1513" i="44"/>
  <c r="F2295" i="44"/>
  <c r="F698" i="44"/>
  <c r="F863" i="44"/>
  <c r="F2598" i="44"/>
  <c r="F3010" i="44"/>
  <c r="F2858" i="44"/>
  <c r="A2508" i="44"/>
  <c r="F715" i="44"/>
  <c r="A1084" i="44"/>
  <c r="A704" i="44"/>
  <c r="A935" i="44"/>
  <c r="E2975" i="44"/>
  <c r="A2987" i="44" s="1"/>
  <c r="F1015" i="44"/>
  <c r="F1552" i="44"/>
  <c r="F61" i="44"/>
  <c r="A61" i="44" s="1"/>
  <c r="F2877" i="44"/>
  <c r="F1078" i="44"/>
  <c r="F2788" i="44"/>
  <c r="F1040" i="44"/>
  <c r="F805" i="44"/>
  <c r="F2982" i="44"/>
  <c r="F426" i="44"/>
  <c r="E2415" i="44"/>
  <c r="A2430" i="44" s="1"/>
  <c r="A710" i="44"/>
  <c r="F539" i="44"/>
  <c r="F416" i="44"/>
  <c r="A571" i="44"/>
  <c r="A312" i="44"/>
  <c r="F2894" i="44"/>
  <c r="F662" i="44"/>
  <c r="F487" i="44"/>
  <c r="F2284" i="44"/>
  <c r="F2558" i="44"/>
  <c r="A897" i="44"/>
  <c r="F769" i="44"/>
  <c r="F1739" i="44"/>
  <c r="F3116" i="44"/>
  <c r="F654" i="44"/>
  <c r="F757" i="44"/>
  <c r="F444" i="44"/>
  <c r="A769" i="44"/>
  <c r="F2340" i="44"/>
  <c r="A647" i="44"/>
  <c r="F579" i="44"/>
  <c r="F2098" i="44"/>
  <c r="A716" i="44"/>
  <c r="F3111" i="44"/>
  <c r="F592" i="44"/>
  <c r="A1076" i="44"/>
  <c r="F1071" i="44"/>
  <c r="A1626" i="44"/>
  <c r="F704" i="44"/>
  <c r="F1064" i="44"/>
  <c r="F2032" i="44"/>
  <c r="A982" i="44"/>
  <c r="F2722" i="44"/>
  <c r="F1613" i="44"/>
  <c r="F3002" i="44"/>
  <c r="F3394" i="44"/>
  <c r="A3394" i="44" s="1"/>
  <c r="A310" i="44"/>
  <c r="F1539" i="44"/>
  <c r="A722" i="44"/>
  <c r="F94" i="44"/>
  <c r="A94" i="44" s="1"/>
  <c r="E2607" i="44"/>
  <c r="A2611" i="44" s="1"/>
  <c r="A822" i="44"/>
  <c r="F812" i="44"/>
  <c r="F2651" i="44"/>
  <c r="F2151" i="44"/>
  <c r="F2581" i="44"/>
  <c r="A2578" i="44"/>
  <c r="F2138" i="44"/>
  <c r="A719" i="44"/>
  <c r="F2703" i="44"/>
  <c r="A762" i="44"/>
  <c r="A2396" i="44"/>
  <c r="F1859" i="44"/>
  <c r="A1616" i="44"/>
  <c r="A253" i="44"/>
  <c r="F2329" i="44"/>
  <c r="F2717" i="44"/>
  <c r="A979" i="44"/>
  <c r="A311" i="44"/>
  <c r="F1717" i="44"/>
  <c r="F1641" i="44"/>
  <c r="F328" i="44"/>
  <c r="F2294" i="44"/>
  <c r="F1631" i="44"/>
  <c r="E102" i="3"/>
  <c r="F409" i="44"/>
  <c r="A681" i="44"/>
  <c r="F2767" i="44"/>
  <c r="A801" i="44"/>
  <c r="F1949" i="44"/>
  <c r="F845" i="44"/>
  <c r="F2569" i="44"/>
  <c r="F2408" i="44"/>
  <c r="F1657" i="44"/>
  <c r="F2987" i="44"/>
  <c r="F644" i="44"/>
  <c r="A1053" i="44"/>
  <c r="F469" i="44"/>
  <c r="A513" i="44"/>
  <c r="F1022" i="44"/>
  <c r="F706" i="44"/>
  <c r="F1534" i="44"/>
  <c r="A335" i="44"/>
  <c r="F485" i="44"/>
  <c r="A635" i="44"/>
  <c r="F2959" i="44"/>
  <c r="F2282" i="44"/>
  <c r="F2463" i="44"/>
  <c r="F3436" i="44"/>
  <c r="A3436" i="44" s="1"/>
  <c r="F3017" i="44"/>
  <c r="F2611" i="44"/>
  <c r="F714" i="44"/>
  <c r="F801" i="44"/>
  <c r="A712" i="44"/>
  <c r="F3072" i="44"/>
  <c r="A2498" i="44"/>
  <c r="F470" i="44"/>
  <c r="A2654" i="44"/>
  <c r="E2911" i="44"/>
  <c r="A2912" i="44" s="1"/>
  <c r="F2503" i="44"/>
  <c r="F2504" i="44"/>
  <c r="F2161" i="44"/>
  <c r="A3069" i="44"/>
  <c r="F2162" i="44"/>
  <c r="F2790" i="44"/>
  <c r="F864" i="44"/>
  <c r="A340" i="44"/>
  <c r="A538" i="44"/>
  <c r="F413" i="44"/>
  <c r="F2685" i="44"/>
  <c r="F3044" i="44"/>
  <c r="F2555" i="44"/>
  <c r="F119" i="44"/>
  <c r="A119" i="44" s="1"/>
  <c r="F3399" i="44"/>
  <c r="A3399" i="44" s="1"/>
  <c r="F3420" i="44"/>
  <c r="A3420" i="44" s="1"/>
  <c r="F3410" i="44"/>
  <c r="A3410" i="44" s="1"/>
  <c r="A883" i="44"/>
  <c r="A1014" i="44"/>
  <c r="A1016" i="44"/>
  <c r="F361" i="44"/>
  <c r="F1855" i="44"/>
  <c r="F84" i="44"/>
  <c r="A84" i="44" s="1"/>
  <c r="F2746" i="44"/>
  <c r="F2033" i="44"/>
  <c r="F596" i="44"/>
  <c r="F2868" i="44"/>
  <c r="F1689" i="44"/>
  <c r="F65" i="44"/>
  <c r="A65" i="44" s="1"/>
  <c r="F1822" i="44"/>
  <c r="F1551" i="44"/>
  <c r="A2914" i="44"/>
  <c r="F1553" i="44"/>
  <c r="F1993" i="44"/>
  <c r="A454" i="44"/>
  <c r="A459" i="44"/>
  <c r="A831" i="44"/>
  <c r="A833" i="44"/>
  <c r="A2094" i="44"/>
  <c r="A981" i="44"/>
  <c r="F2276" i="44"/>
  <c r="A750" i="44"/>
  <c r="F3026" i="44"/>
  <c r="F2928" i="44"/>
  <c r="F3439" i="44"/>
  <c r="A3439" i="44" s="1"/>
  <c r="F2384" i="44"/>
  <c r="F2801" i="44"/>
  <c r="F2889" i="44"/>
  <c r="F2838" i="44"/>
  <c r="F2678" i="44"/>
  <c r="F2219" i="44"/>
  <c r="F676" i="44"/>
  <c r="F137" i="44"/>
  <c r="A137" i="44" s="1"/>
  <c r="G137" i="44" s="1"/>
  <c r="F2407" i="44"/>
  <c r="F3060" i="44"/>
  <c r="F936" i="44"/>
  <c r="F3118" i="44"/>
  <c r="F2833" i="44"/>
  <c r="F3058" i="44"/>
  <c r="F3056" i="44"/>
  <c r="F703" i="44"/>
  <c r="F316" i="44"/>
  <c r="A316" i="44" s="1"/>
  <c r="A1516" i="44"/>
  <c r="F1007" i="44"/>
  <c r="A426" i="44"/>
  <c r="F2443" i="44"/>
  <c r="A814" i="44"/>
  <c r="A824" i="44"/>
  <c r="A826" i="44"/>
  <c r="F1986" i="44"/>
  <c r="A2086" i="44"/>
  <c r="F2694" i="44"/>
  <c r="F1710" i="44"/>
  <c r="F1767" i="44"/>
  <c r="F2713" i="44"/>
  <c r="F2524" i="44"/>
  <c r="A799" i="44"/>
  <c r="F404" i="44"/>
  <c r="F2213" i="44"/>
  <c r="A455" i="44"/>
  <c r="F1974" i="44"/>
  <c r="F2640" i="44"/>
  <c r="F1775" i="44"/>
  <c r="F2756" i="44"/>
  <c r="F2200" i="44"/>
  <c r="F263" i="44"/>
  <c r="A263" i="44" s="1"/>
  <c r="A431" i="44"/>
  <c r="F2119" i="44"/>
  <c r="A900" i="44"/>
  <c r="F2298" i="44"/>
  <c r="A1034" i="44"/>
  <c r="A1672" i="44"/>
  <c r="F2994" i="44"/>
  <c r="A892" i="44"/>
  <c r="A890" i="44"/>
  <c r="E1743" i="44"/>
  <c r="A1748" i="44" s="1"/>
  <c r="A1630" i="44"/>
  <c r="F2041" i="44"/>
  <c r="A751" i="44"/>
  <c r="F2432" i="44"/>
  <c r="F2259" i="44"/>
  <c r="F1854" i="44"/>
  <c r="A976" i="44"/>
  <c r="F2726" i="44"/>
  <c r="F1709" i="44"/>
  <c r="F2458" i="44"/>
  <c r="F2140" i="44"/>
  <c r="K186" i="44"/>
  <c r="A186" i="44" s="1"/>
  <c r="J186" i="44"/>
  <c r="L186" i="44" s="1"/>
  <c r="N186" i="44" s="1"/>
  <c r="F186" i="44" s="1"/>
  <c r="F2789" i="44"/>
  <c r="F3129" i="44"/>
  <c r="F3084" i="44"/>
  <c r="A698" i="44"/>
  <c r="F763" i="44"/>
  <c r="F3061" i="44"/>
  <c r="A557" i="44"/>
  <c r="E2127" i="44"/>
  <c r="A2138" i="44" s="1"/>
  <c r="F2665" i="44"/>
  <c r="A985" i="44"/>
  <c r="F943" i="44"/>
  <c r="A2595" i="44"/>
  <c r="F3403" i="44"/>
  <c r="A3403" i="44" s="1"/>
  <c r="F670" i="44"/>
  <c r="A645" i="44"/>
  <c r="A684" i="44"/>
  <c r="A686" i="44"/>
  <c r="F3380" i="44"/>
  <c r="A3380" i="44" s="1"/>
  <c r="A1623" i="44"/>
  <c r="F3059" i="44"/>
  <c r="F1062" i="44"/>
  <c r="F3046" i="44"/>
  <c r="A942" i="44"/>
  <c r="F3404" i="44"/>
  <c r="A3404" i="44" s="1"/>
  <c r="A1521" i="44"/>
  <c r="A1070" i="44"/>
  <c r="A463" i="44"/>
  <c r="F2392" i="44"/>
  <c r="F1918" i="44"/>
  <c r="A2878" i="44"/>
  <c r="F1659" i="44"/>
  <c r="F1808" i="44"/>
  <c r="F853" i="44"/>
  <c r="A884" i="44"/>
  <c r="F978" i="44"/>
  <c r="F610" i="44"/>
  <c r="F141" i="44"/>
  <c r="A2609" i="44"/>
  <c r="A2068" i="44"/>
  <c r="F2668" i="44"/>
  <c r="F3434" i="44"/>
  <c r="A3434" i="44" s="1"/>
  <c r="F422" i="44"/>
  <c r="F3087" i="44"/>
  <c r="F949" i="44"/>
  <c r="F3070" i="44"/>
  <c r="F2084" i="44"/>
  <c r="F2733" i="44"/>
  <c r="A619" i="44"/>
  <c r="F2654" i="44"/>
  <c r="E2943" i="44"/>
  <c r="A2944" i="44" s="1"/>
  <c r="F1852" i="44"/>
  <c r="A2260" i="44"/>
  <c r="F1995" i="44"/>
  <c r="F2388" i="44"/>
  <c r="F2884" i="44"/>
  <c r="F525" i="44"/>
  <c r="F2734" i="44"/>
  <c r="F891" i="44"/>
  <c r="A2586" i="44"/>
  <c r="F2462" i="44"/>
  <c r="E1823" i="44"/>
  <c r="A1826" i="44" s="1"/>
  <c r="F1899" i="44"/>
  <c r="F2573" i="44"/>
  <c r="F2238" i="44"/>
  <c r="F3128" i="44"/>
  <c r="F1611" i="44"/>
  <c r="F731" i="44"/>
  <c r="F2530" i="44"/>
  <c r="F862" i="44"/>
  <c r="F1519" i="44"/>
  <c r="F2610" i="44"/>
  <c r="A592" i="44"/>
  <c r="F2829" i="44"/>
  <c r="E1775" i="44"/>
  <c r="A1787" i="44" s="1"/>
  <c r="F2445" i="44"/>
  <c r="F3405" i="44"/>
  <c r="A3405" i="44" s="1"/>
  <c r="F2336" i="44"/>
  <c r="A784" i="44"/>
  <c r="F3075" i="44"/>
  <c r="F3421" i="44"/>
  <c r="A3421" i="44" s="1"/>
  <c r="F1046" i="44"/>
  <c r="F2434" i="44"/>
  <c r="F786" i="44"/>
  <c r="F385" i="44"/>
  <c r="A2259" i="44"/>
  <c r="A2423" i="44"/>
  <c r="F437" i="44"/>
  <c r="A537" i="44"/>
  <c r="F873" i="44"/>
  <c r="F1782" i="44"/>
  <c r="F764" i="44"/>
  <c r="F67" i="44"/>
  <c r="A67" i="44" s="1"/>
  <c r="A988" i="44"/>
  <c r="F712" i="44"/>
  <c r="F1903" i="44"/>
  <c r="F341" i="44"/>
  <c r="A613" i="44"/>
  <c r="F2175" i="44"/>
  <c r="F629" i="44"/>
  <c r="A277" i="44"/>
  <c r="A621" i="44"/>
  <c r="F836" i="44"/>
  <c r="A608" i="44"/>
  <c r="A481" i="44"/>
  <c r="F758" i="44"/>
  <c r="F2943" i="44"/>
  <c r="A2943" i="44"/>
  <c r="F2706" i="44"/>
  <c r="F3402" i="44"/>
  <c r="A3402" i="44" s="1"/>
  <c r="A1025" i="44"/>
  <c r="F321" i="44"/>
  <c r="F2139" i="44"/>
  <c r="F1786" i="44"/>
  <c r="F516" i="44"/>
  <c r="A407" i="44"/>
  <c r="F2584" i="44"/>
  <c r="F2233" i="44"/>
  <c r="F614" i="44"/>
  <c r="A442" i="44"/>
  <c r="F106" i="44"/>
  <c r="A106" i="44" s="1"/>
  <c r="F593" i="44"/>
  <c r="A585" i="44"/>
  <c r="A2501" i="44"/>
  <c r="A141" i="44"/>
  <c r="A1537" i="44"/>
  <c r="A1536" i="44"/>
  <c r="F1627" i="44"/>
  <c r="A2601" i="44"/>
  <c r="F3112" i="44"/>
  <c r="F2241" i="44"/>
  <c r="A2503" i="44"/>
  <c r="A379" i="44"/>
  <c r="A1545" i="44"/>
  <c r="A229" i="44"/>
  <c r="F1787" i="44"/>
  <c r="F3074" i="44"/>
  <c r="A2384" i="44"/>
  <c r="F577" i="44"/>
  <c r="F3086" i="44"/>
  <c r="F3047" i="44"/>
  <c r="A1790" i="44"/>
  <c r="F2822" i="44"/>
  <c r="F1743" i="44"/>
  <c r="A1743" i="44"/>
  <c r="A410" i="44"/>
  <c r="F387" i="44"/>
  <c r="F3119" i="44"/>
  <c r="F913" i="44"/>
  <c r="F2021" i="44"/>
  <c r="A485" i="44"/>
  <c r="F663" i="44"/>
  <c r="F2265" i="44"/>
  <c r="F1844" i="44"/>
  <c r="F2420" i="44"/>
  <c r="F2135" i="44"/>
  <c r="F3385" i="44"/>
  <c r="A3385" i="44" s="1"/>
  <c r="A774" i="44"/>
  <c r="F3051" i="44"/>
  <c r="A1021" i="44"/>
  <c r="F3085" i="44"/>
  <c r="F2007" i="44"/>
  <c r="J204" i="44"/>
  <c r="L204" i="44" s="1"/>
  <c r="N204" i="44" s="1"/>
  <c r="F204" i="44" s="1"/>
  <c r="K204" i="44"/>
  <c r="A778" i="44"/>
  <c r="A776" i="44"/>
  <c r="F3166" i="44"/>
  <c r="F381" i="44"/>
  <c r="F3035" i="44"/>
  <c r="F855" i="44"/>
  <c r="F825" i="44"/>
  <c r="E3103" i="44"/>
  <c r="A3106" i="44" s="1"/>
  <c r="F2429" i="44"/>
  <c r="F2498" i="44"/>
  <c r="A2864" i="44"/>
  <c r="F1520" i="44"/>
  <c r="F2657" i="44"/>
  <c r="F2913" i="44"/>
  <c r="F2481" i="44"/>
  <c r="F2364" i="44"/>
  <c r="F2758" i="44"/>
  <c r="F2252" i="44"/>
  <c r="A387" i="44"/>
  <c r="A419" i="44"/>
  <c r="F2679" i="44"/>
  <c r="A367" i="44"/>
  <c r="A1627" i="44"/>
  <c r="F2160" i="44"/>
  <c r="F787" i="44"/>
  <c r="E114" i="3"/>
  <c r="E2383" i="44"/>
  <c r="A2386" i="44" s="1"/>
  <c r="A265" i="44"/>
  <c r="A1024" i="44"/>
  <c r="A868" i="44"/>
  <c r="F619" i="44"/>
  <c r="F1970" i="44"/>
  <c r="F2816" i="44"/>
  <c r="F997" i="44"/>
  <c r="F2100" i="44"/>
  <c r="A651" i="44"/>
  <c r="F303" i="44"/>
  <c r="F1039" i="44"/>
  <c r="F2218" i="44"/>
  <c r="A344" i="44"/>
  <c r="F2493" i="44"/>
  <c r="F2022" i="44"/>
  <c r="A1531" i="44"/>
  <c r="F2537" i="44"/>
  <c r="A126" i="44"/>
  <c r="E2447" i="44"/>
  <c r="A2457" i="44" s="1"/>
  <c r="F3378" i="44"/>
  <c r="A3378" i="44" s="1"/>
  <c r="F1818" i="44"/>
  <c r="F2917" i="44"/>
  <c r="A3114" i="44"/>
  <c r="F2292" i="44"/>
  <c r="F2764" i="44"/>
  <c r="F558" i="44"/>
  <c r="A993" i="44"/>
  <c r="F352" i="44"/>
  <c r="F887" i="44"/>
  <c r="F2008" i="44"/>
  <c r="F2477" i="44"/>
  <c r="F2147" i="44"/>
  <c r="F433" i="44"/>
  <c r="F946" i="44"/>
  <c r="F951" i="44"/>
  <c r="A2069" i="44"/>
  <c r="A1514" i="44"/>
  <c r="F2761" i="44"/>
  <c r="A816" i="44"/>
  <c r="A2580" i="44"/>
  <c r="F492" i="44"/>
  <c r="A777" i="44"/>
  <c r="F1762" i="44"/>
  <c r="F3073" i="44"/>
  <c r="F2361" i="44"/>
  <c r="A789" i="44"/>
  <c r="F1862" i="44"/>
  <c r="A2604" i="44"/>
  <c r="A2951" i="44"/>
  <c r="A582" i="44"/>
  <c r="F2643" i="44"/>
  <c r="F3397" i="44"/>
  <c r="A3397" i="44" s="1"/>
  <c r="A2394" i="44"/>
  <c r="A2093" i="44"/>
  <c r="F373" i="44"/>
  <c r="A886" i="44"/>
  <c r="F1856" i="44"/>
  <c r="A717" i="44"/>
  <c r="A1664" i="44"/>
  <c r="F3033" i="44"/>
  <c r="F590" i="44"/>
  <c r="M186" i="44"/>
  <c r="F656" i="44"/>
  <c r="A2174" i="44"/>
  <c r="F3065" i="44"/>
  <c r="F1703" i="44"/>
  <c r="A341" i="44"/>
  <c r="F929" i="44"/>
  <c r="F1636" i="44"/>
  <c r="A830" i="44"/>
  <c r="A832" i="44"/>
  <c r="F2245" i="44"/>
  <c r="F2014" i="44"/>
  <c r="F1732" i="44"/>
  <c r="F2511" i="44"/>
  <c r="F2040" i="44"/>
  <c r="F1640" i="44"/>
  <c r="F418" i="44"/>
  <c r="A541" i="44"/>
  <c r="F3098" i="44"/>
  <c r="F491" i="44"/>
  <c r="F410" i="44"/>
  <c r="F2983" i="44"/>
  <c r="F838" i="44"/>
  <c r="F2116" i="44"/>
  <c r="A2579" i="44"/>
  <c r="A711" i="44"/>
  <c r="F508" i="44"/>
  <c r="F2402" i="44"/>
  <c r="F2297" i="44"/>
  <c r="F432" i="44"/>
  <c r="F3021" i="44"/>
  <c r="A388" i="44"/>
  <c r="A383" i="44"/>
  <c r="F3006" i="44"/>
  <c r="F1905" i="44"/>
  <c r="F910" i="44"/>
  <c r="A2594" i="44"/>
  <c r="F439" i="44"/>
  <c r="F1092" i="44"/>
  <c r="F2448" i="44"/>
  <c r="F2077" i="44"/>
  <c r="F446" i="44"/>
  <c r="F828" i="44"/>
  <c r="F3383" i="44"/>
  <c r="A3383" i="44" s="1"/>
  <c r="F3052" i="44"/>
  <c r="F2930" i="44"/>
  <c r="F507" i="44"/>
  <c r="F560" i="44"/>
  <c r="F3115" i="44"/>
  <c r="A848" i="44"/>
  <c r="A1529" i="44"/>
  <c r="A748" i="44"/>
  <c r="A678" i="44"/>
  <c r="F2354" i="44"/>
  <c r="A271" i="44"/>
  <c r="F2339" i="44"/>
  <c r="A2262" i="44"/>
  <c r="A770" i="44"/>
  <c r="E1919" i="44"/>
  <c r="A1932" i="44" s="1"/>
  <c r="F1028" i="44"/>
  <c r="F3407" i="44"/>
  <c r="A3407" i="44" s="1"/>
  <c r="A1625" i="44"/>
  <c r="F304" i="44"/>
  <c r="F408" i="44"/>
  <c r="F2198" i="44"/>
  <c r="F2474" i="44"/>
  <c r="A1824" i="44"/>
  <c r="F857" i="44"/>
  <c r="F1526" i="44"/>
  <c r="A639" i="44"/>
  <c r="F694" i="44"/>
  <c r="F824" i="44"/>
  <c r="A2125" i="44"/>
  <c r="F415" i="44"/>
  <c r="A2990" i="44"/>
  <c r="F2296" i="44"/>
  <c r="F2201" i="44"/>
  <c r="A501" i="44"/>
  <c r="K152" i="44"/>
  <c r="J152" i="44"/>
  <c r="M152" i="44" s="1"/>
  <c r="F2780" i="44"/>
  <c r="F2478" i="44"/>
  <c r="F1006" i="44"/>
  <c r="F692" i="44"/>
  <c r="F2222" i="44"/>
  <c r="F429" i="44"/>
  <c r="A1745" i="44"/>
  <c r="F1817" i="44"/>
  <c r="F991" i="44"/>
  <c r="F2441" i="44"/>
  <c r="F519" i="44"/>
  <c r="F450" i="44"/>
  <c r="A343" i="44"/>
  <c r="F2483" i="44"/>
  <c r="A726" i="44"/>
  <c r="A254" i="44"/>
  <c r="F820" i="44"/>
  <c r="F1507" i="44"/>
  <c r="A1507" i="44" s="1"/>
  <c r="G1507" i="44" s="1"/>
  <c r="G1508" i="44" s="1"/>
  <c r="A820" i="44"/>
  <c r="A523" i="44"/>
  <c r="E2559" i="44"/>
  <c r="A2560" i="44" s="1"/>
  <c r="F1594" i="44"/>
  <c r="F1010" i="44"/>
  <c r="F2220" i="44"/>
  <c r="F2057" i="44"/>
  <c r="F2564" i="44"/>
  <c r="A357" i="44"/>
  <c r="E117" i="3"/>
  <c r="F1842" i="44"/>
  <c r="A2725" i="44"/>
  <c r="F1878" i="44"/>
  <c r="A806" i="44"/>
  <c r="A2897" i="44"/>
  <c r="F2842" i="44"/>
  <c r="F2154" i="44"/>
  <c r="F2258" i="44"/>
  <c r="A718" i="44"/>
  <c r="F3093" i="44"/>
  <c r="F3003" i="44"/>
  <c r="A276" i="44"/>
  <c r="F2316" i="44"/>
  <c r="A398" i="44"/>
  <c r="A2603" i="44"/>
  <c r="F641" i="44"/>
  <c r="A142" i="44"/>
  <c r="F3444" i="44"/>
  <c r="A3444" i="44" s="1"/>
  <c r="E107" i="3"/>
  <c r="F386" i="44"/>
  <c r="F2996" i="44"/>
  <c r="F19" i="44"/>
  <c r="F2781" i="44"/>
  <c r="F2630" i="44"/>
  <c r="A2651" i="44"/>
  <c r="F2891" i="44"/>
  <c r="A468" i="44"/>
  <c r="A2454" i="44"/>
  <c r="A496" i="44"/>
  <c r="F2081" i="44"/>
  <c r="F3414" i="44"/>
  <c r="A3414" i="44" s="1"/>
  <c r="F1934" i="44"/>
  <c r="F3418" i="44"/>
  <c r="A3418" i="44" s="1"/>
  <c r="E2287" i="44"/>
  <c r="A2288" i="44" s="1"/>
  <c r="F766" i="44"/>
  <c r="A2079" i="44"/>
  <c r="F2079" i="44"/>
  <c r="F1712" i="44"/>
  <c r="K208" i="44"/>
  <c r="J208" i="44"/>
  <c r="M208" i="44" s="1"/>
  <c r="A1519" i="44"/>
  <c r="F2784" i="44"/>
  <c r="F1897" i="44"/>
  <c r="F581" i="44"/>
  <c r="F3029" i="44"/>
  <c r="A363" i="44"/>
  <c r="A259" i="44"/>
  <c r="A2642" i="44"/>
  <c r="F1676" i="44"/>
  <c r="A2141" i="44"/>
  <c r="F3113" i="44"/>
  <c r="F100" i="44"/>
  <c r="A100" i="44" s="1"/>
  <c r="F700" i="44"/>
  <c r="F856" i="44"/>
  <c r="A303" i="44"/>
  <c r="F3390" i="44"/>
  <c r="A3390" i="44" s="1"/>
  <c r="F2736" i="44"/>
  <c r="E112" i="3"/>
  <c r="F1967" i="44"/>
  <c r="F2004" i="44"/>
  <c r="A2956" i="44"/>
  <c r="A396" i="44"/>
  <c r="F2350" i="44"/>
  <c r="A1509" i="44"/>
  <c r="G1509" i="44" s="1"/>
  <c r="A324" i="44"/>
  <c r="F445" i="44"/>
  <c r="F342" i="44"/>
  <c r="K198" i="44"/>
  <c r="A198" i="44" s="1"/>
  <c r="J198" i="44"/>
  <c r="L198" i="44" s="1"/>
  <c r="N198" i="44" s="1"/>
  <c r="F198" i="44" s="1"/>
  <c r="A1006" i="44"/>
  <c r="A1089" i="44"/>
  <c r="A2877" i="44"/>
  <c r="A841" i="44"/>
  <c r="A1923" i="44"/>
  <c r="F2315" i="44"/>
  <c r="F2934" i="44"/>
  <c r="F2343" i="44"/>
  <c r="A471" i="44"/>
  <c r="A466" i="44"/>
  <c r="F1679" i="44"/>
  <c r="F2126" i="44"/>
  <c r="F2267" i="44"/>
  <c r="F568" i="44"/>
  <c r="F713" i="44"/>
  <c r="F835" i="44"/>
  <c r="F2667" i="44"/>
  <c r="F105" i="44"/>
  <c r="A105" i="44" s="1"/>
  <c r="F3102" i="44"/>
  <c r="F1988" i="44"/>
  <c r="A539" i="44"/>
  <c r="F3101" i="44"/>
  <c r="A866" i="44"/>
  <c r="A780" i="44"/>
  <c r="F762" i="44"/>
  <c r="A606" i="44"/>
  <c r="F711" i="44"/>
  <c r="A2266" i="44"/>
  <c r="F1606" i="44"/>
  <c r="A602" i="44"/>
  <c r="F1610" i="44"/>
  <c r="F2968" i="44"/>
  <c r="F1626" i="44"/>
  <c r="F1930" i="44"/>
  <c r="J170" i="44"/>
  <c r="L170" i="44" s="1"/>
  <c r="N170" i="44" s="1"/>
  <c r="F170" i="44" s="1"/>
  <c r="K170" i="44"/>
  <c r="A2137" i="44"/>
  <c r="A1665" i="44"/>
  <c r="F1958" i="44"/>
  <c r="F1810" i="44"/>
  <c r="F421" i="44"/>
  <c r="F2240" i="44"/>
  <c r="A2908" i="44"/>
  <c r="F1904" i="44"/>
  <c r="F2416" i="44"/>
  <c r="F2837" i="44"/>
  <c r="F933" i="44"/>
  <c r="A2589" i="44"/>
  <c r="F3152" i="44"/>
  <c r="F608" i="44"/>
  <c r="F2211" i="44"/>
  <c r="F598" i="44"/>
  <c r="A422" i="44"/>
  <c r="F2730" i="44"/>
  <c r="E2831" i="44"/>
  <c r="A2840" i="44" s="1"/>
  <c r="F3024" i="44"/>
  <c r="F3089" i="44"/>
  <c r="F1800" i="44"/>
  <c r="F460" i="44"/>
  <c r="F2114" i="44"/>
  <c r="A839" i="44"/>
  <c r="F849" i="44"/>
  <c r="A1039" i="44"/>
  <c r="A1041" i="44"/>
  <c r="F842" i="44"/>
  <c r="F2512" i="44"/>
  <c r="F2724" i="44"/>
  <c r="F2676" i="44"/>
  <c r="F2046" i="44"/>
  <c r="A2215" i="44"/>
  <c r="F1916" i="44"/>
  <c r="F312" i="44"/>
  <c r="F2446" i="44"/>
  <c r="F2348" i="44"/>
  <c r="F1851" i="44"/>
  <c r="F569" i="44"/>
  <c r="A1829" i="44"/>
  <c r="F24" i="44"/>
  <c r="A1744" i="44"/>
  <c r="F3069" i="44"/>
  <c r="F2827" i="44"/>
  <c r="F783" i="44"/>
  <c r="F1841" i="44"/>
  <c r="A2866" i="44"/>
  <c r="F2317" i="44"/>
  <c r="F488" i="44"/>
  <c r="A888" i="44"/>
  <c r="F2560" i="44"/>
  <c r="A3107" i="44"/>
  <c r="F1598" i="44"/>
  <c r="F2614" i="44"/>
  <c r="F2115" i="44"/>
  <c r="F364" i="44"/>
  <c r="F1827" i="44"/>
  <c r="F1812" i="44"/>
  <c r="A436" i="44"/>
  <c r="F3130" i="44"/>
  <c r="A503" i="44"/>
  <c r="F2993" i="44"/>
  <c r="F2950" i="44"/>
  <c r="F1908" i="44"/>
  <c r="A2121" i="44"/>
  <c r="F1863" i="44"/>
  <c r="F2089" i="44"/>
  <c r="F2195" i="44"/>
  <c r="F1982" i="44"/>
  <c r="F2662" i="44"/>
  <c r="F1544" i="44"/>
  <c r="A1780" i="44"/>
  <c r="A3108" i="44"/>
  <c r="A3105" i="44"/>
  <c r="A1081" i="44"/>
  <c r="F474" i="44"/>
  <c r="A980" i="44"/>
  <c r="F1595" i="44"/>
  <c r="F339" i="44"/>
  <c r="A2263" i="44"/>
  <c r="A330" i="44"/>
  <c r="A2148" i="44"/>
  <c r="F391" i="44"/>
  <c r="F723" i="44"/>
  <c r="A504" i="44"/>
  <c r="F98" i="44"/>
  <c r="A98" i="44" s="1"/>
  <c r="A637" i="44"/>
  <c r="F112" i="44"/>
  <c r="A112" i="44" s="1"/>
  <c r="F420" i="44"/>
  <c r="F732" i="44"/>
  <c r="A1662" i="44"/>
  <c r="A370" i="44"/>
  <c r="A772" i="44"/>
  <c r="F2711" i="44"/>
  <c r="F2475" i="44"/>
  <c r="F1692" i="44"/>
  <c r="F1085" i="44"/>
  <c r="A749" i="44"/>
  <c r="A1528" i="44"/>
  <c r="A603" i="44"/>
  <c r="A701" i="44"/>
  <c r="F2303" i="44"/>
  <c r="A835" i="44"/>
  <c r="F818" i="44"/>
  <c r="F2958" i="44"/>
  <c r="F2095" i="44"/>
  <c r="F851" i="44"/>
  <c r="F332" i="44"/>
  <c r="F722" i="44"/>
  <c r="F13" i="44"/>
  <c r="A13" i="44" s="1"/>
  <c r="F1013" i="44"/>
  <c r="F2501" i="44"/>
  <c r="F2398" i="44"/>
  <c r="F2359" i="44"/>
  <c r="F1051" i="44"/>
  <c r="F2953" i="44"/>
  <c r="F3415" i="44"/>
  <c r="A3415" i="44" s="1"/>
  <c r="F2520" i="44"/>
  <c r="F2687" i="44"/>
  <c r="F3114" i="44"/>
  <c r="F2235" i="44"/>
  <c r="A509" i="44"/>
  <c r="F1673" i="44"/>
  <c r="F510" i="44"/>
  <c r="F615" i="44"/>
  <c r="E2655" i="44"/>
  <c r="A2664" i="44" s="1"/>
  <c r="A456" i="44"/>
  <c r="F1798" i="44"/>
  <c r="F2619" i="44"/>
  <c r="F2278" i="44"/>
  <c r="F17" i="44"/>
  <c r="A17" i="44" s="1"/>
  <c r="A1532" i="44"/>
  <c r="A721" i="44"/>
  <c r="F2279" i="44"/>
  <c r="F1089" i="44"/>
  <c r="A555" i="44"/>
  <c r="F2112" i="44"/>
  <c r="F808" i="44"/>
  <c r="A502" i="44"/>
  <c r="F1094" i="44"/>
  <c r="A1094" i="44" s="1"/>
  <c r="A494" i="44"/>
  <c r="A2763" i="44"/>
  <c r="A1619" i="44"/>
  <c r="F551" i="44"/>
  <c r="F497" i="44"/>
  <c r="A1086" i="44"/>
  <c r="F1733" i="44"/>
  <c r="F2387" i="44"/>
  <c r="F42" i="44"/>
  <c r="A42" i="44" s="1"/>
  <c r="F302" i="44"/>
  <c r="F751" i="44"/>
  <c r="F1547" i="44"/>
  <c r="F799" i="44"/>
  <c r="F1731" i="44"/>
  <c r="F1939" i="44"/>
  <c r="F1745" i="44"/>
  <c r="F9" i="44"/>
  <c r="A9" i="44" s="1"/>
  <c r="F2543" i="44"/>
  <c r="F588" i="44"/>
  <c r="F2538" i="44"/>
  <c r="A467" i="44"/>
  <c r="F2898" i="44"/>
  <c r="A2131" i="44"/>
  <c r="F555" i="44"/>
  <c r="A2123" i="44"/>
  <c r="F1600" i="44"/>
  <c r="F2509" i="44"/>
  <c r="F2165" i="44"/>
  <c r="F96" i="44"/>
  <c r="A96" i="44" s="1"/>
  <c r="F2587" i="44"/>
  <c r="F2977" i="44"/>
  <c r="F2845" i="44"/>
  <c r="F2091" i="44"/>
  <c r="A532" i="44"/>
  <c r="F2748" i="44"/>
  <c r="A853" i="44"/>
  <c r="F583" i="44"/>
  <c r="F2422" i="44"/>
  <c r="A527" i="44"/>
  <c r="F2490" i="44"/>
  <c r="F616" i="44"/>
  <c r="A2455" i="44"/>
  <c r="F768" i="44"/>
  <c r="F730" i="44"/>
  <c r="F2342" i="44"/>
  <c r="F895" i="44"/>
  <c r="F2774" i="44"/>
  <c r="A728" i="44"/>
  <c r="F382" i="44"/>
  <c r="F1525" i="44"/>
  <c r="E2143" i="44"/>
  <c r="A2149" i="44" s="1"/>
  <c r="F2919" i="44"/>
  <c r="F2857" i="44"/>
  <c r="F1536" i="44"/>
  <c r="F642" i="44"/>
  <c r="F1630" i="44"/>
  <c r="F1980" i="44"/>
  <c r="F1838" i="44"/>
  <c r="F775" i="44"/>
  <c r="A1036" i="44"/>
  <c r="F2243" i="44"/>
  <c r="A223" i="44"/>
  <c r="A1828" i="44"/>
  <c r="A2976" i="44"/>
  <c r="A907" i="44"/>
  <c r="F1066" i="44"/>
  <c r="A2566" i="44"/>
  <c r="F2225" i="44"/>
  <c r="F1801" i="44"/>
  <c r="A2757" i="44"/>
  <c r="F2671" i="44"/>
  <c r="A2917" i="44"/>
  <c r="F1824" i="44"/>
  <c r="A2151" i="44"/>
  <c r="F2743" i="44"/>
  <c r="A1522" i="44"/>
  <c r="F2571" i="44"/>
  <c r="A139" i="44"/>
  <c r="F344" i="44"/>
  <c r="A2752" i="44"/>
  <c r="F2568" i="44"/>
  <c r="F2423" i="44"/>
  <c r="F1550" i="44"/>
  <c r="F447" i="44"/>
  <c r="F2817" i="44"/>
  <c r="F2527" i="44"/>
  <c r="F2232" i="44"/>
  <c r="F2266" i="44"/>
  <c r="F2554" i="44"/>
  <c r="A663" i="44"/>
  <c r="F417" i="44"/>
  <c r="A1056" i="44"/>
  <c r="F1609" i="44"/>
  <c r="A675" i="44"/>
  <c r="F2487" i="44"/>
  <c r="F1998" i="44"/>
  <c r="F494" i="44"/>
  <c r="F3000" i="44"/>
  <c r="F1971" i="44"/>
  <c r="F2904" i="44"/>
  <c r="E1791" i="44"/>
  <c r="A1800" i="44" s="1"/>
  <c r="A2610" i="44"/>
  <c r="F541" i="44"/>
  <c r="F2517" i="44"/>
  <c r="A2289" i="44"/>
  <c r="F2796" i="44"/>
  <c r="A2415" i="44"/>
  <c r="F2415" i="44"/>
  <c r="F2312" i="44"/>
  <c r="F2019" i="44"/>
  <c r="A2117" i="44"/>
  <c r="E2175" i="44"/>
  <c r="A2179" i="44" s="1"/>
  <c r="A476" i="44"/>
  <c r="F1604" i="44"/>
  <c r="F27" i="44"/>
  <c r="A27" i="44" s="1"/>
  <c r="A1827" i="44"/>
  <c r="F792" i="44"/>
  <c r="F2236" i="44"/>
  <c r="A2451" i="44"/>
  <c r="F2150" i="44"/>
  <c r="A2921" i="44"/>
  <c r="F858" i="44"/>
  <c r="F1680" i="44"/>
  <c r="F826" i="44"/>
  <c r="F514" i="44"/>
  <c r="A867" i="44"/>
  <c r="F532" i="44"/>
  <c r="A934" i="44"/>
  <c r="A1968" i="44"/>
  <c r="K172" i="44"/>
  <c r="J172" i="44"/>
  <c r="L172" i="44" s="1"/>
  <c r="N172" i="44" s="1"/>
  <c r="F172" i="44" s="1"/>
  <c r="F639" i="44"/>
  <c r="A2067" i="44"/>
  <c r="A1834" i="44"/>
  <c r="A706" i="44"/>
  <c r="F2979" i="44"/>
  <c r="F2227" i="44"/>
  <c r="F3135" i="44"/>
  <c r="A773" i="44"/>
  <c r="A775" i="44"/>
  <c r="F2322" i="44"/>
  <c r="F2197" i="44"/>
  <c r="A2643" i="44"/>
  <c r="F2890" i="44"/>
  <c r="F3396" i="44"/>
  <c r="A3396" i="44" s="1"/>
  <c r="F3025" i="44"/>
  <c r="F1793" i="44"/>
  <c r="F403" i="44"/>
  <c r="A1055" i="44"/>
  <c r="F1951" i="44"/>
  <c r="A1510" i="44"/>
  <c r="F1041" i="44"/>
  <c r="F3158" i="44"/>
  <c r="F2467" i="44"/>
  <c r="A1018" i="44"/>
  <c r="F2066" i="44"/>
  <c r="F419" i="44"/>
  <c r="F1853" i="44"/>
  <c r="F2690" i="44"/>
  <c r="A2756" i="44"/>
  <c r="A700" i="44"/>
  <c r="F2469" i="44"/>
  <c r="A372" i="44"/>
  <c r="A2989" i="44"/>
  <c r="F2480" i="44"/>
  <c r="A798" i="44"/>
  <c r="F604" i="44"/>
  <c r="A2456" i="44"/>
  <c r="F983" i="44"/>
  <c r="F1635" i="44"/>
  <c r="F2043" i="44"/>
  <c r="F819" i="44"/>
  <c r="A2212" i="44"/>
  <c r="F779" i="44"/>
  <c r="A648" i="44"/>
  <c r="F2104" i="44"/>
  <c r="F2158" i="44"/>
  <c r="F1858" i="44"/>
  <c r="A2140" i="44"/>
  <c r="F2247" i="44"/>
  <c r="F1704" i="44"/>
  <c r="F2107" i="44"/>
  <c r="A1830" i="44"/>
  <c r="A3115" i="44"/>
  <c r="F428" i="44"/>
  <c r="F3148" i="44"/>
  <c r="F2523" i="44"/>
  <c r="F668" i="44"/>
  <c r="F1597" i="44"/>
  <c r="A127" i="44"/>
  <c r="F412" i="44"/>
  <c r="A479" i="44"/>
  <c r="F104" i="44"/>
  <c r="A104" i="44" s="1"/>
  <c r="F754" i="44"/>
  <c r="A783" i="44"/>
  <c r="A402" i="44"/>
  <c r="A2907" i="44"/>
  <c r="F2848" i="44"/>
  <c r="A2270" i="44"/>
  <c r="F3387" i="44"/>
  <c r="A3387" i="44" s="1"/>
  <c r="A2113" i="44"/>
  <c r="F2137" i="44"/>
  <c r="F2719" i="44"/>
  <c r="A1667" i="44"/>
  <c r="F2819" i="44"/>
  <c r="A1673" i="44"/>
  <c r="A512" i="44"/>
  <c r="F563" i="44"/>
  <c r="F2261" i="44"/>
  <c r="A2913" i="44"/>
  <c r="F2942" i="44"/>
  <c r="A2387" i="44"/>
  <c r="F29" i="44"/>
  <c r="A29" i="44" s="1"/>
  <c r="F2578" i="44"/>
  <c r="F2105" i="44"/>
  <c r="A2073" i="44"/>
  <c r="F902" i="44"/>
  <c r="F1814" i="44"/>
  <c r="A2577" i="44"/>
  <c r="A429" i="44"/>
  <c r="F1549" i="44"/>
  <c r="F823" i="44"/>
  <c r="F870" i="44"/>
  <c r="F784" i="44"/>
  <c r="F369" i="44"/>
  <c r="A1065" i="44"/>
  <c r="F2177" i="44"/>
  <c r="F1999" i="44"/>
  <c r="F2559" i="44"/>
  <c r="A2559" i="44"/>
  <c r="F2330" i="44"/>
  <c r="A125" i="44"/>
  <c r="F80" i="44"/>
  <c r="A80" i="44" s="1"/>
  <c r="A1533" i="44"/>
  <c r="A2114" i="44"/>
  <c r="A1729" i="44"/>
  <c r="F2791" i="44"/>
  <c r="F2710" i="44"/>
  <c r="F561" i="44"/>
  <c r="A2294" i="44"/>
  <c r="F1847" i="44"/>
  <c r="F2289" i="44"/>
  <c r="A804" i="44"/>
  <c r="F2550" i="44"/>
  <c r="F718" i="44"/>
  <c r="F2024" i="44"/>
  <c r="F25" i="44"/>
  <c r="A25" i="44" s="1"/>
  <c r="A574" i="44"/>
  <c r="F526" i="44"/>
  <c r="A929" i="44"/>
  <c r="F2456" i="44"/>
  <c r="F1742" i="44"/>
  <c r="F2716" i="44"/>
  <c r="A444" i="44"/>
  <c r="F2058" i="44"/>
  <c r="F2515" i="44"/>
  <c r="A2150" i="44"/>
  <c r="F1956" i="44"/>
  <c r="A1793" i="44"/>
  <c r="F976" i="44"/>
  <c r="F777" i="44"/>
  <c r="E2927" i="44"/>
  <c r="A2928" i="44" s="1"/>
  <c r="A1027" i="44"/>
  <c r="A391" i="44"/>
  <c r="A2647" i="44"/>
  <c r="A10" i="44"/>
  <c r="F1884" i="44"/>
  <c r="F367" i="44"/>
  <c r="E3055" i="44"/>
  <c r="A3062" i="44" s="1"/>
  <c r="F1081" i="44"/>
  <c r="F2113" i="44"/>
  <c r="E2207" i="44"/>
  <c r="A2219" i="44" s="1"/>
  <c r="F2468" i="44"/>
  <c r="F1542" i="44"/>
  <c r="F707" i="44"/>
  <c r="F2332" i="44"/>
  <c r="A516" i="44"/>
  <c r="F2998" i="44"/>
  <c r="F645" i="44"/>
  <c r="F944" i="44"/>
  <c r="F880" i="44"/>
  <c r="F1763" i="44"/>
  <c r="A1796" i="44"/>
  <c r="F2049" i="44"/>
  <c r="F22" i="44"/>
  <c r="A22" i="44" s="1"/>
  <c r="F1024" i="44"/>
  <c r="E2431" i="44"/>
  <c r="A2445" i="44" s="1"/>
  <c r="F2062" i="44"/>
  <c r="F2080" i="44"/>
  <c r="F319" i="44"/>
  <c r="F68" i="44"/>
  <c r="A68" i="44" s="1"/>
  <c r="F1946" i="44"/>
  <c r="A1069" i="44"/>
  <c r="A1071" i="44"/>
  <c r="A1087" i="44"/>
  <c r="F2882" i="44"/>
  <c r="F2216" i="44"/>
  <c r="F3027" i="44"/>
  <c r="F693" i="44"/>
  <c r="F1893" i="44"/>
  <c r="F2937" i="44"/>
  <c r="F2562" i="44"/>
  <c r="F2659" i="44"/>
  <c r="F2206" i="44"/>
  <c r="A2158" i="44"/>
  <c r="F3442" i="44"/>
  <c r="A3442" i="44" s="1"/>
  <c r="A1011" i="44"/>
  <c r="F1555" i="44"/>
  <c r="F2798" i="44"/>
  <c r="F2000" i="44"/>
  <c r="F3416" i="44"/>
  <c r="A3416" i="44" s="1"/>
  <c r="A2949" i="44"/>
  <c r="E2399" i="44"/>
  <c r="A2401" i="44" s="1"/>
  <c r="A551" i="44"/>
  <c r="A671" i="44"/>
  <c r="A666" i="44"/>
  <c r="F736" i="44"/>
  <c r="F2178" i="44"/>
  <c r="A2496" i="44"/>
  <c r="F1894" i="44"/>
  <c r="F1034" i="44"/>
  <c r="F2132" i="44"/>
  <c r="A752" i="44"/>
  <c r="A630" i="44"/>
  <c r="F3039" i="44"/>
  <c r="A2708" i="44"/>
  <c r="F117" i="44"/>
  <c r="A117" i="44" s="1"/>
  <c r="F1783" i="44"/>
  <c r="A2168" i="44"/>
  <c r="A1676" i="44"/>
  <c r="F735" i="44"/>
  <c r="A448" i="44"/>
  <c r="F2036" i="44"/>
  <c r="E1727" i="44"/>
  <c r="A1741" i="44" s="1"/>
  <c r="A386" i="44"/>
  <c r="F2054" i="44"/>
  <c r="A709" i="44"/>
  <c r="F1058" i="44"/>
  <c r="F1987" i="44"/>
  <c r="A2648" i="44"/>
  <c r="F363" i="44"/>
  <c r="A249" i="44"/>
  <c r="F1788" i="44"/>
  <c r="F1807" i="44"/>
  <c r="F2035" i="44"/>
  <c r="F3143" i="44"/>
  <c r="F1664" i="44"/>
  <c r="F2680" i="44"/>
  <c r="A2867" i="44"/>
  <c r="F2536" i="44"/>
  <c r="F3096" i="44"/>
  <c r="A405" i="44"/>
  <c r="F1523" i="44"/>
  <c r="A1085" i="44"/>
  <c r="A474" i="44"/>
  <c r="E2367" i="44"/>
  <c r="A2367" i="44" s="1"/>
  <c r="F23" i="44"/>
  <c r="A23" i="44" s="1"/>
  <c r="A487" i="44"/>
  <c r="F393" i="44"/>
  <c r="F374" i="44"/>
  <c r="F406" i="44"/>
  <c r="F2494" i="44"/>
  <c r="E2671" i="44"/>
  <c r="A2676" i="44" s="1"/>
  <c r="F3139" i="44"/>
  <c r="F2946" i="44"/>
  <c r="F1650" i="44"/>
  <c r="A2118" i="44"/>
  <c r="F2916" i="44"/>
  <c r="A660" i="44"/>
  <c r="A665" i="44"/>
  <c r="F3123" i="44"/>
  <c r="A2379" i="44"/>
  <c r="F2059" i="44"/>
  <c r="A274" i="44"/>
  <c r="A348" i="44"/>
  <c r="F423" i="44"/>
  <c r="F601" i="44"/>
  <c r="F941" i="44"/>
  <c r="F1760" i="44"/>
  <c r="A629" i="44"/>
  <c r="F2345" i="44"/>
  <c r="F3038" i="44"/>
  <c r="F867" i="44"/>
  <c r="F1921" i="44"/>
  <c r="A2872" i="44"/>
  <c r="A2841" i="44"/>
  <c r="A486" i="44"/>
  <c r="A703" i="44"/>
  <c r="A2089" i="44"/>
  <c r="F675" i="44"/>
  <c r="A2993" i="44"/>
  <c r="F1509" i="44"/>
  <c r="A2574" i="44"/>
  <c r="A2082" i="44"/>
  <c r="F425" i="44"/>
  <c r="F300" i="44"/>
  <c r="A300" i="44" s="1"/>
  <c r="G300" i="44" s="1"/>
  <c r="A2120" i="44"/>
  <c r="F785" i="44"/>
  <c r="F2397" i="44"/>
  <c r="F1816" i="44"/>
  <c r="F1060" i="44"/>
  <c r="F3045" i="44"/>
  <c r="A2942" i="44"/>
  <c r="F1677" i="44"/>
  <c r="F945" i="44"/>
  <c r="F2737" i="44"/>
  <c r="F2491" i="44"/>
  <c r="F3145" i="44"/>
  <c r="A331" i="44"/>
  <c r="A2091" i="44"/>
  <c r="F1979" i="44"/>
  <c r="F1720" i="44"/>
  <c r="F2658" i="44"/>
  <c r="A560" i="44"/>
  <c r="F2626" i="44"/>
  <c r="A1670" i="44"/>
  <c r="F2579" i="44"/>
  <c r="A2167" i="44"/>
  <c r="A458" i="44"/>
  <c r="F3445" i="44"/>
  <c r="A3445" i="44" s="1"/>
  <c r="F2042" i="44"/>
  <c r="A947" i="44"/>
  <c r="F1866" i="44"/>
  <c r="F1053" i="44"/>
  <c r="F995" i="44"/>
  <c r="A2669" i="44"/>
  <c r="A1547" i="44"/>
  <c r="A694" i="44"/>
  <c r="F1726" i="44"/>
  <c r="A1735" i="44"/>
  <c r="F3013" i="44"/>
  <c r="F1890" i="44"/>
  <c r="F2755" i="44"/>
  <c r="F2038" i="44"/>
  <c r="A2832" i="44"/>
  <c r="J188" i="44"/>
  <c r="M188" i="44" s="1"/>
  <c r="K188" i="44"/>
  <c r="F58" i="44"/>
  <c r="A58" i="44" s="1"/>
  <c r="A2915" i="44"/>
  <c r="A418" i="44"/>
  <c r="F310" i="44"/>
  <c r="F901" i="44"/>
  <c r="F2754" i="44"/>
  <c r="F3005" i="44"/>
  <c r="A260" i="44"/>
  <c r="F844" i="44"/>
  <c r="F2358" i="44"/>
  <c r="F1861" i="44"/>
  <c r="F1984" i="44"/>
  <c r="F2852" i="44"/>
  <c r="A2569" i="44"/>
  <c r="F3097" i="44"/>
  <c r="F531" i="44"/>
  <c r="F937" i="44"/>
  <c r="F3090" i="44"/>
  <c r="A3065" i="44"/>
  <c r="F1656" i="44"/>
  <c r="E3135" i="44"/>
  <c r="A3144" i="44" s="1"/>
  <c r="A269" i="44"/>
  <c r="A952" i="44"/>
  <c r="F1513" i="44"/>
  <c r="F3136" i="44"/>
  <c r="F1770" i="44"/>
  <c r="F2223" i="44"/>
  <c r="A803" i="44"/>
  <c r="F1596" i="44"/>
  <c r="F2103" i="44"/>
  <c r="F874" i="44"/>
  <c r="F1512" i="44"/>
  <c r="F2880" i="44"/>
  <c r="F2270" i="44"/>
  <c r="A461" i="44"/>
  <c r="A420" i="44"/>
  <c r="M160" i="44"/>
  <c r="F2164" i="44"/>
  <c r="A506" i="44"/>
  <c r="F2052" i="44"/>
  <c r="F2133" i="44"/>
  <c r="A2600" i="44"/>
  <c r="F2492" i="44"/>
  <c r="A2416" i="44"/>
  <c r="A556" i="44"/>
  <c r="F2368" i="44"/>
  <c r="F3048" i="44"/>
  <c r="A604" i="44"/>
  <c r="A2755" i="44"/>
  <c r="A1082" i="44"/>
  <c r="A313" i="44"/>
  <c r="F1047" i="44"/>
  <c r="A2504" i="44"/>
  <c r="F1769" i="44"/>
  <c r="F2695" i="44"/>
  <c r="F1694" i="44"/>
  <c r="A1003" i="44"/>
  <c r="F2539" i="44"/>
  <c r="F969" i="44"/>
  <c r="A3138" i="44"/>
  <c r="A654" i="44"/>
  <c r="A1730" i="44"/>
  <c r="F517" i="44"/>
  <c r="F999" i="44"/>
  <c r="A568" i="44"/>
  <c r="K202" i="44"/>
  <c r="J202" i="44"/>
  <c r="M202" i="44" s="1"/>
  <c r="A3143" i="44"/>
  <c r="A944" i="44"/>
  <c r="F772" i="44"/>
  <c r="F2226" i="44"/>
  <c r="A491" i="44"/>
  <c r="F2319" i="44"/>
  <c r="A2319" i="44"/>
  <c r="F2217" i="44"/>
  <c r="A1538" i="44"/>
  <c r="F2005" i="44"/>
  <c r="F2565" i="44"/>
  <c r="F1019" i="44"/>
  <c r="A2581" i="44"/>
  <c r="A2156" i="44"/>
  <c r="F571" i="44"/>
  <c r="F1042" i="44"/>
  <c r="F394" i="44"/>
  <c r="A1530" i="44"/>
  <c r="F2093" i="44"/>
  <c r="A2548" i="44"/>
  <c r="F2244" i="44"/>
  <c r="A928" i="44"/>
  <c r="A931" i="44"/>
  <c r="F113" i="44"/>
  <c r="A113" i="44" s="1"/>
  <c r="F365" i="44"/>
  <c r="A2902" i="44"/>
  <c r="A2302" i="44"/>
  <c r="F791" i="44"/>
  <c r="F2145" i="44"/>
  <c r="A878" i="44"/>
  <c r="A880" i="44"/>
  <c r="F1938" i="44"/>
  <c r="F2552" i="44"/>
  <c r="A2163" i="44"/>
  <c r="A1798" i="44"/>
  <c r="F2901" i="44"/>
  <c r="E2783" i="44"/>
  <c r="A2789" i="44" s="1"/>
  <c r="A2388" i="44"/>
  <c r="A332" i="44"/>
  <c r="A318" i="44"/>
  <c r="A659" i="44"/>
  <c r="F2812" i="44"/>
  <c r="F2122" i="44"/>
  <c r="F2070" i="44"/>
  <c r="A779" i="44"/>
  <c r="A781" i="44"/>
  <c r="A570" i="44"/>
  <c r="F85" i="44"/>
  <c r="A85" i="44" s="1"/>
  <c r="A2646" i="44"/>
  <c r="F2723" i="44"/>
  <c r="F813" i="44"/>
  <c r="A634" i="44"/>
  <c r="F311" i="44"/>
  <c r="F1686" i="44"/>
  <c r="F3381" i="44"/>
  <c r="A3381" i="44" s="1"/>
  <c r="A860" i="44"/>
  <c r="F866" i="44"/>
  <c r="F2936" i="44"/>
  <c r="A1520" i="44"/>
  <c r="A2557" i="44"/>
  <c r="F2596" i="44"/>
  <c r="A937" i="44"/>
  <c r="A2506" i="44"/>
  <c r="A764" i="44"/>
  <c r="F2193" i="44"/>
  <c r="A695" i="44"/>
  <c r="F2451" i="44"/>
  <c r="F2464" i="44"/>
  <c r="A902" i="44"/>
  <c r="A3113" i="44"/>
  <c r="F899" i="44"/>
  <c r="A2571" i="44"/>
  <c r="A834" i="44"/>
  <c r="A2599" i="44"/>
  <c r="F2275" i="44"/>
  <c r="F2646" i="44"/>
  <c r="F1093" i="44"/>
  <c r="A580" i="44"/>
  <c r="A73" i="44"/>
  <c r="A72" i="44"/>
  <c r="F2419" i="44"/>
  <c r="F2171" i="44"/>
  <c r="F1643" i="44"/>
  <c r="F682" i="44"/>
  <c r="F982" i="44"/>
  <c r="F1020" i="44"/>
  <c r="F883" i="44"/>
  <c r="A638" i="44"/>
  <c r="A2593" i="44"/>
  <c r="A896" i="44"/>
  <c r="F3007" i="44"/>
  <c r="A2937" i="44"/>
  <c r="A655" i="44"/>
  <c r="F357" i="44"/>
  <c r="A1890" i="44"/>
  <c r="F398" i="44"/>
  <c r="F830" i="44"/>
  <c r="A1970" i="44"/>
  <c r="F2697" i="44"/>
  <c r="F1885" i="44"/>
  <c r="F3438" i="44"/>
  <c r="A3438" i="44" s="1"/>
  <c r="F3032" i="44"/>
  <c r="F628" i="44"/>
  <c r="A1749" i="44"/>
  <c r="F1932" i="44"/>
  <c r="F816" i="44"/>
  <c r="F2844" i="44"/>
  <c r="F724" i="44"/>
  <c r="F1840" i="44"/>
  <c r="F594" i="44"/>
  <c r="F1642" i="44"/>
  <c r="F2335" i="44"/>
  <c r="A2335" i="44"/>
  <c r="F1518" i="44"/>
  <c r="F2327" i="44"/>
  <c r="F2629" i="44"/>
  <c r="F2123" i="44"/>
  <c r="F1674" i="44"/>
  <c r="F559" i="44"/>
  <c r="F2961" i="44"/>
  <c r="E2319" i="44"/>
  <c r="A2331" i="44" s="1"/>
  <c r="F2025" i="44"/>
  <c r="A2432" i="44"/>
  <c r="A1518" i="44"/>
  <c r="F765" i="44"/>
  <c r="A345" i="44"/>
  <c r="A2640" i="44"/>
  <c r="F1977" i="44"/>
  <c r="F2907" i="44"/>
  <c r="F353" i="44"/>
  <c r="F2179" i="44"/>
  <c r="F3162" i="44"/>
  <c r="F2074" i="44"/>
  <c r="F2144" i="44"/>
  <c r="A829" i="44"/>
  <c r="A827" i="44"/>
  <c r="A593" i="44"/>
  <c r="A591" i="44"/>
  <c r="F2592" i="44"/>
  <c r="A2320" i="44"/>
  <c r="F60" i="44"/>
  <c r="A60" i="44" s="1"/>
  <c r="F1063" i="44"/>
  <c r="A2705" i="44"/>
  <c r="A2922" i="44"/>
  <c r="F1873" i="44"/>
  <c r="F884" i="44"/>
  <c r="F2085" i="44"/>
  <c r="F749" i="44"/>
  <c r="A2839" i="44"/>
  <c r="F1784" i="44"/>
  <c r="A2461" i="44"/>
  <c r="F2750" i="44"/>
  <c r="A1512" i="44"/>
  <c r="F2545" i="44"/>
  <c r="A2072" i="44"/>
  <c r="A2334" i="44"/>
  <c r="F2909" i="44"/>
  <c r="F3419" i="44"/>
  <c r="A3419" i="44" s="1"/>
  <c r="F609" i="44"/>
  <c r="F2254" i="44"/>
  <c r="A2180" i="44"/>
  <c r="F1707" i="44"/>
  <c r="F331" i="44"/>
  <c r="A758" i="44"/>
  <c r="A2983" i="44"/>
  <c r="F1983" i="44"/>
  <c r="A614" i="44"/>
  <c r="F2389" i="44"/>
  <c r="F2742" i="44"/>
  <c r="F522" i="44"/>
  <c r="A1692" i="44"/>
  <c r="F2184" i="44"/>
  <c r="F2396" i="44"/>
  <c r="F1867" i="44"/>
  <c r="A1013" i="44"/>
  <c r="F1741" i="44"/>
  <c r="F2728" i="44"/>
  <c r="F3137" i="44"/>
  <c r="F2090" i="44"/>
  <c r="A2509" i="44"/>
  <c r="A2899" i="44"/>
  <c r="F2199" i="44"/>
  <c r="A3146" i="44"/>
  <c r="J206" i="44"/>
  <c r="M206" i="44" s="1"/>
  <c r="K206" i="44"/>
  <c r="F665" i="44"/>
  <c r="A579" i="44"/>
  <c r="A2499" i="44"/>
  <c r="F1809" i="44"/>
  <c r="F1587" i="44"/>
  <c r="F1900" i="44"/>
  <c r="F2163" i="44"/>
  <c r="F1005" i="44"/>
  <c r="F562" i="44"/>
  <c r="A230" i="44"/>
  <c r="F359" i="44"/>
  <c r="A1066" i="44"/>
  <c r="F82" i="44"/>
  <c r="A82" i="44" s="1"/>
  <c r="E2543" i="44"/>
  <c r="A2549" i="44" s="1"/>
  <c r="F1889" i="44"/>
  <c r="F1649" i="44"/>
  <c r="A1040" i="44"/>
  <c r="F78" i="44"/>
  <c r="A78" i="44" s="1"/>
  <c r="F2092" i="44"/>
  <c r="F2731" i="44"/>
  <c r="F1895" i="44"/>
  <c r="F2951" i="44"/>
  <c r="E1951" i="44"/>
  <c r="A1966" i="44" s="1"/>
  <c r="F2935" i="44"/>
  <c r="F2391" i="44"/>
  <c r="F2642" i="44"/>
  <c r="A515" i="44"/>
  <c r="F3120" i="44"/>
  <c r="A2925" i="44"/>
  <c r="F701" i="44"/>
  <c r="F2403" i="44"/>
  <c r="F968" i="44"/>
  <c r="F834" i="44"/>
  <c r="A973" i="44"/>
  <c r="F313" i="44"/>
  <c r="A2668" i="44"/>
  <c r="A2436" i="44"/>
  <c r="A441" i="44"/>
  <c r="F1912" i="44"/>
  <c r="F1780" i="44"/>
  <c r="F2502" i="44"/>
  <c r="F1944" i="44"/>
  <c r="F1700" i="44"/>
  <c r="A2602" i="44"/>
  <c r="F3412" i="44"/>
  <c r="A3412" i="44" s="1"/>
  <c r="F677" i="44"/>
  <c r="A870" i="44"/>
  <c r="F1730" i="44"/>
  <c r="F620" i="44"/>
  <c r="A552" i="44"/>
  <c r="F346" i="44"/>
  <c r="F1017" i="44"/>
  <c r="F2461" i="44"/>
  <c r="A1650" i="44"/>
  <c r="F2739" i="44"/>
  <c r="F2338" i="44"/>
  <c r="A365" i="44"/>
  <c r="F564" i="44"/>
  <c r="A258" i="44"/>
  <c r="F2094" i="44"/>
  <c r="F950" i="44"/>
  <c r="F1681" i="44"/>
  <c r="F1026" i="44"/>
  <c r="A447" i="44"/>
  <c r="F1516" i="44"/>
  <c r="A790" i="44"/>
  <c r="F3417" i="44"/>
  <c r="A3417" i="44" s="1"/>
  <c r="F2127" i="44"/>
  <c r="A2127" i="44"/>
  <c r="F2985" i="44"/>
  <c r="A943" i="44"/>
  <c r="K210" i="44"/>
  <c r="A210" i="44" s="1"/>
  <c r="J210" i="44"/>
  <c r="L210" i="44" s="1"/>
  <c r="N210" i="44" s="1"/>
  <c r="F210" i="44" s="1"/>
  <c r="F651" i="44"/>
  <c r="A1020" i="44"/>
  <c r="A1022" i="44"/>
  <c r="F1911" i="44"/>
  <c r="F2375" i="44"/>
  <c r="F2248" i="44"/>
  <c r="F2141" i="44"/>
  <c r="F2639" i="44"/>
  <c r="A2639" i="44"/>
  <c r="E1967" i="44"/>
  <c r="A1972" i="44" s="1"/>
  <c r="A1553" i="44"/>
  <c r="F2202" i="44"/>
  <c r="F2709" i="44"/>
  <c r="F2874" i="44"/>
  <c r="F2747" i="44"/>
  <c r="F2271" i="44"/>
  <c r="A1554" i="44"/>
  <c r="F2424" i="44"/>
  <c r="A978" i="44"/>
  <c r="A610" i="44"/>
  <c r="F2476" i="44"/>
  <c r="A795" i="44"/>
  <c r="A797" i="44"/>
  <c r="F401" i="44"/>
  <c r="F2272" i="44"/>
  <c r="F244" i="44"/>
  <c r="A244" i="44" s="1"/>
  <c r="G244" i="44" s="1"/>
  <c r="G245" i="44" s="1"/>
  <c r="G246" i="44" s="1"/>
  <c r="A2398" i="44"/>
  <c r="F3040" i="44"/>
  <c r="A2418" i="44"/>
  <c r="A2679" i="44"/>
  <c r="A2066" i="44"/>
  <c r="F1589" i="44"/>
  <c r="F761" i="44"/>
  <c r="A2145" i="44"/>
  <c r="F1618" i="44"/>
  <c r="F1583" i="44"/>
  <c r="F1777" i="44"/>
  <c r="F635" i="44"/>
  <c r="F1545" i="44"/>
  <c r="A2957" i="44"/>
  <c r="F3055" i="44"/>
  <c r="A3055" i="44"/>
  <c r="E2511" i="44"/>
  <c r="A2523" i="44" s="1"/>
  <c r="F2762" i="44"/>
  <c r="J194" i="44"/>
  <c r="L194" i="44" s="1"/>
  <c r="N194" i="44" s="1"/>
  <c r="F194" i="44" s="1"/>
  <c r="K194" i="44"/>
  <c r="F840" i="44"/>
  <c r="F2541" i="44"/>
  <c r="L206" i="44"/>
  <c r="N206" i="44" s="1"/>
  <c r="F206" i="44" s="1"/>
  <c r="F3375" i="44"/>
  <c r="A3375" i="44" s="1"/>
  <c r="G3375" i="44" s="1"/>
  <c r="F912" i="44"/>
  <c r="F1065" i="44"/>
  <c r="F833" i="44"/>
  <c r="F3041" i="44"/>
  <c r="F709" i="44"/>
  <c r="F2212" i="44"/>
  <c r="F815" i="44"/>
  <c r="A3116" i="44"/>
  <c r="A2264" i="44"/>
  <c r="A1803" i="44"/>
  <c r="A321" i="44"/>
  <c r="A984" i="44"/>
  <c r="F1936" i="44"/>
  <c r="F2794" i="44"/>
  <c r="F554" i="44"/>
  <c r="F2941" i="44"/>
  <c r="A2460" i="44"/>
  <c r="F1831" i="44"/>
  <c r="F2576" i="44"/>
  <c r="F1891" i="44"/>
  <c r="E105" i="3"/>
  <c r="F725" i="44"/>
  <c r="F484" i="44"/>
  <c r="F405" i="44"/>
  <c r="A2290" i="44"/>
  <c r="A2176" i="44"/>
  <c r="A1525" i="44"/>
  <c r="F1837" i="44"/>
  <c r="F2324" i="44"/>
  <c r="F2594" i="44"/>
  <c r="A1009" i="44"/>
  <c r="A346" i="44"/>
  <c r="F1637" i="44"/>
  <c r="A1832" i="44"/>
  <c r="F2805" i="44"/>
  <c r="A368" i="44"/>
  <c r="A123" i="44"/>
  <c r="F1857" i="44"/>
  <c r="F475" i="44"/>
  <c r="F948" i="44"/>
  <c r="F2455" i="44"/>
  <c r="F7" i="44"/>
  <c r="A7" i="44" s="1"/>
  <c r="A1527" i="44"/>
  <c r="A3018" i="44"/>
  <c r="F1554" i="44"/>
  <c r="F2613" i="44"/>
  <c r="F719" i="44"/>
  <c r="F1715" i="44"/>
  <c r="F831" i="44"/>
  <c r="F716" i="44"/>
  <c r="F2444" i="44"/>
  <c r="F2101" i="44"/>
  <c r="F2815" i="44"/>
  <c r="A2815" i="44"/>
  <c r="F1804" i="44"/>
  <c r="A2130" i="44"/>
  <c r="F314" i="44"/>
  <c r="F540" i="44"/>
  <c r="F520" i="44"/>
  <c r="A1677" i="44"/>
  <c r="F2023" i="44"/>
  <c r="A226" i="44"/>
  <c r="A2152" i="44"/>
  <c r="A730" i="44"/>
  <c r="A913" i="44"/>
  <c r="F2910" i="44"/>
  <c r="F3154" i="44"/>
  <c r="F59" i="44"/>
  <c r="A59" i="44" s="1"/>
  <c r="F64" i="44"/>
  <c r="A64" i="44" s="1"/>
  <c r="A658" i="44"/>
  <c r="F2841" i="44"/>
  <c r="F728" i="44"/>
  <c r="A499" i="44"/>
  <c r="E2223" i="44"/>
  <c r="A2231" i="44" s="1"/>
  <c r="F1874" i="44"/>
  <c r="A2405" i="44"/>
  <c r="A837" i="44"/>
  <c r="A138" i="44"/>
  <c r="G138" i="44" s="1"/>
  <c r="G139" i="44" s="1"/>
  <c r="F1746" i="44"/>
  <c r="A320" i="44"/>
  <c r="F3077" i="44"/>
  <c r="F1972" i="44"/>
  <c r="F759" i="44"/>
  <c r="A472" i="44"/>
  <c r="A683" i="44"/>
  <c r="A2905" i="44"/>
  <c r="F1599" i="44"/>
  <c r="F1035" i="44"/>
  <c r="A2673" i="44"/>
  <c r="A417" i="44"/>
  <c r="F3395" i="44"/>
  <c r="A3395" i="44" s="1"/>
  <c r="A2133" i="44"/>
  <c r="F1588" i="44"/>
  <c r="F2333" i="44"/>
  <c r="F806" i="44"/>
  <c r="A576" i="44"/>
  <c r="A2375" i="44"/>
  <c r="F2777" i="44"/>
  <c r="F2352" i="44"/>
  <c r="F689" i="44"/>
  <c r="F21" i="44"/>
  <c r="A21" i="44" s="1"/>
  <c r="F2911" i="44"/>
  <c r="A2911" i="44"/>
  <c r="A828" i="44"/>
  <c r="A482" i="44"/>
  <c r="A2980" i="44"/>
  <c r="J150" i="44"/>
  <c r="M150" i="44" s="1"/>
  <c r="K150" i="44"/>
  <c r="F924" i="44"/>
  <c r="A617" i="44"/>
  <c r="A649" i="44"/>
  <c r="F685" i="44"/>
  <c r="F2465" i="44"/>
  <c r="F2969" i="44"/>
  <c r="A2765" i="44"/>
  <c r="A250" i="44"/>
  <c r="F3155" i="44"/>
  <c r="A724" i="44"/>
  <c r="F2729" i="44"/>
  <c r="F3411" i="44"/>
  <c r="A3411" i="44" s="1"/>
  <c r="F3424" i="44"/>
  <c r="A3424" i="44" s="1"/>
  <c r="F2366" i="44"/>
  <c r="F2854" i="44"/>
  <c r="A2726" i="44"/>
  <c r="F926" i="44"/>
  <c r="F2591" i="44"/>
  <c r="A2591" i="44"/>
  <c r="M198" i="44"/>
  <c r="F660" i="44"/>
  <c r="F2561" i="44"/>
  <c r="A2658" i="44"/>
  <c r="F2814" i="44"/>
  <c r="A2261" i="44"/>
  <c r="A1740" i="44"/>
  <c r="A2978" i="44"/>
  <c r="F461" i="44"/>
  <c r="A2256" i="44"/>
  <c r="F501" i="44"/>
  <c r="A1067" i="44"/>
  <c r="A2087" i="44"/>
  <c r="F1813" i="44"/>
  <c r="A572" i="44"/>
  <c r="F2804" i="44"/>
  <c r="A986" i="44"/>
  <c r="A2954" i="44"/>
  <c r="J154" i="44"/>
  <c r="L154" i="44" s="1"/>
  <c r="N154" i="44" s="1"/>
  <c r="F154" i="44" s="1"/>
  <c r="K154" i="44"/>
  <c r="E1647" i="44"/>
  <c r="A1648" i="44" s="1"/>
  <c r="F1030" i="44"/>
  <c r="A2704" i="44"/>
  <c r="F894" i="44"/>
  <c r="F1789" i="44"/>
  <c r="A272" i="44"/>
  <c r="F454" i="44"/>
  <c r="F2745" i="44"/>
  <c r="A2587" i="44"/>
  <c r="A2906" i="44"/>
  <c r="F1639" i="44"/>
  <c r="F875" i="44"/>
  <c r="A449" i="44"/>
  <c r="A3125" i="44"/>
  <c r="A325" i="44"/>
  <c r="A578" i="44"/>
  <c r="A569" i="44"/>
  <c r="A375" i="44"/>
  <c r="F998" i="44"/>
  <c r="A3001" i="44"/>
  <c r="F2972" i="44"/>
  <c r="A1017" i="44"/>
  <c r="A1019" i="44"/>
  <c r="A8" i="44"/>
  <c r="F2566" i="44"/>
  <c r="A1728" i="44"/>
  <c r="A796" i="44"/>
  <c r="A1555" i="44"/>
  <c r="K178" i="44"/>
  <c r="J178" i="44"/>
  <c r="L178" i="44" s="1"/>
  <c r="N178" i="44" s="1"/>
  <c r="F178" i="44" s="1"/>
  <c r="F1892" i="44"/>
  <c r="E2623" i="44"/>
  <c r="A2626" i="44" s="1"/>
  <c r="F2405" i="44"/>
  <c r="A2567" i="44"/>
  <c r="F2655" i="44"/>
  <c r="A2655" i="44"/>
  <c r="A1007" i="44"/>
  <c r="F2533" i="44"/>
  <c r="A2450" i="44"/>
  <c r="F1774" i="44"/>
  <c r="A2592" i="44"/>
  <c r="F2963" i="44"/>
  <c r="F2905" i="44"/>
  <c r="K168" i="44"/>
  <c r="J168" i="44"/>
  <c r="M168" i="44" s="1"/>
  <c r="F2567" i="44"/>
  <c r="F527" i="44"/>
  <c r="A2292" i="44"/>
  <c r="A601" i="44"/>
  <c r="F2871" i="44"/>
  <c r="F2616" i="44"/>
  <c r="A2784" i="44"/>
  <c r="A893" i="44"/>
  <c r="A381" i="44"/>
  <c r="F3049" i="44"/>
  <c r="A489" i="44"/>
  <c r="A1028" i="44"/>
  <c r="F371" i="44"/>
  <c r="F337" i="44"/>
  <c r="A2217" i="44"/>
  <c r="A575" i="44"/>
  <c r="A2075" i="44"/>
  <c r="F2466" i="44"/>
  <c r="E1136" i="44"/>
  <c r="A1136" i="44" s="1"/>
  <c r="F2522" i="44"/>
  <c r="A812" i="44"/>
  <c r="A480" i="44"/>
  <c r="F1633" i="44"/>
  <c r="F55" i="44"/>
  <c r="A55" i="44" s="1"/>
  <c r="A1005" i="44"/>
  <c r="F3099" i="44"/>
  <c r="F2117" i="44"/>
  <c r="F2921" i="44"/>
  <c r="A2712" i="44"/>
  <c r="F2173" i="44"/>
  <c r="A2598" i="44"/>
  <c r="F2186" i="44"/>
  <c r="A705" i="44"/>
  <c r="F993" i="44"/>
  <c r="A977" i="44"/>
  <c r="F138" i="44"/>
  <c r="F2167" i="44"/>
  <c r="A2758" i="44"/>
  <c r="E2719" i="44"/>
  <c r="A2722" i="44" s="1"/>
  <c r="A761" i="44"/>
  <c r="F1614" i="44"/>
  <c r="F1646" i="44"/>
  <c r="F2831" i="44"/>
  <c r="A2831" i="44"/>
  <c r="F538" i="44"/>
  <c r="F975" i="44"/>
  <c r="F2873" i="44"/>
  <c r="F686" i="44"/>
  <c r="A697" i="44"/>
  <c r="F2925" i="44"/>
  <c r="A2110" i="44"/>
  <c r="F452" i="44"/>
  <c r="A2985" i="44"/>
  <c r="F2239" i="44"/>
  <c r="F2170" i="44"/>
  <c r="F1612" i="44"/>
  <c r="A2213" i="44"/>
  <c r="F2045" i="44"/>
  <c r="F478" i="44"/>
  <c r="F2011" i="44"/>
  <c r="A322" i="44"/>
  <c r="F3426" i="44"/>
  <c r="A3426" i="44" s="1"/>
  <c r="F1886" i="44"/>
  <c r="F2810" i="44"/>
  <c r="F1069" i="44"/>
  <c r="F1826" i="44"/>
  <c r="A618" i="44"/>
  <c r="F2615" i="44"/>
  <c r="F2926" i="44"/>
  <c r="F2588" i="44"/>
  <c r="F2373" i="44"/>
  <c r="F3019" i="44"/>
  <c r="F2221" i="44"/>
  <c r="F1821" i="44"/>
  <c r="A2724" i="44"/>
  <c r="F2431" i="44"/>
  <c r="A2431" i="44"/>
  <c r="A2644" i="44"/>
  <c r="A2507" i="44"/>
  <c r="F2708" i="44"/>
  <c r="A364" i="44"/>
  <c r="F2182" i="44"/>
  <c r="A2754" i="44"/>
  <c r="A909" i="44"/>
  <c r="A766" i="44"/>
  <c r="A2551" i="44"/>
  <c r="F2653" i="44"/>
  <c r="F717" i="44"/>
  <c r="F2682" i="44"/>
  <c r="F1910" i="44"/>
  <c r="F3144" i="44"/>
  <c r="A334" i="44"/>
  <c r="J176" i="44"/>
  <c r="M176" i="44" s="1"/>
  <c r="K176" i="44"/>
  <c r="F3057" i="44"/>
  <c r="A2382" i="44"/>
  <c r="F2034" i="44"/>
  <c r="A1836" i="44"/>
  <c r="F499" i="44"/>
  <c r="A465" i="44"/>
  <c r="A460" i="44"/>
  <c r="F3117" i="44"/>
  <c r="A760" i="44"/>
  <c r="A1026" i="44"/>
  <c r="F2318" i="44"/>
  <c r="F1887" i="44"/>
  <c r="A2675" i="44"/>
  <c r="F2353" i="44"/>
  <c r="E1903" i="44"/>
  <c r="A1906" i="44" s="1"/>
  <c r="F2291" i="44"/>
  <c r="F3146" i="44"/>
  <c r="A1511" i="44"/>
  <c r="F2914" i="44"/>
  <c r="F2299" i="44"/>
  <c r="A225" i="44"/>
  <c r="A2139" i="44"/>
  <c r="A1696" i="44"/>
  <c r="J164" i="44"/>
  <c r="L164" i="44" s="1"/>
  <c r="N164" i="44" s="1"/>
  <c r="F164" i="44" s="1"/>
  <c r="K164" i="44"/>
  <c r="F2072" i="44"/>
  <c r="F2696" i="44"/>
  <c r="F3391" i="44"/>
  <c r="A3391" i="44" s="1"/>
  <c r="F2945" i="44"/>
  <c r="A2084" i="44"/>
  <c r="F3153" i="44"/>
  <c r="F2583" i="44"/>
  <c r="F2331" i="44"/>
  <c r="A2173" i="44"/>
  <c r="F837" i="44"/>
  <c r="F2421" i="44"/>
  <c r="A227" i="44"/>
  <c r="A858" i="44"/>
  <c r="F2797" i="44"/>
  <c r="F986" i="44"/>
  <c r="J200" i="44"/>
  <c r="M200" i="44" s="1"/>
  <c r="K200" i="44"/>
  <c r="A424" i="44"/>
  <c r="F1008" i="44"/>
  <c r="F2821" i="44"/>
  <c r="F2820" i="44"/>
  <c r="A1797" i="44"/>
  <c r="F2738" i="44"/>
  <c r="F2760" i="44"/>
  <c r="A1515" i="44"/>
  <c r="F2721" i="44"/>
  <c r="F1724" i="44"/>
  <c r="F548" i="44"/>
  <c r="F1964" i="44"/>
  <c r="F2231" i="44"/>
  <c r="F3092" i="44"/>
  <c r="A359" i="44"/>
  <c r="A414" i="44"/>
  <c r="A818" i="44"/>
  <c r="A1926" i="44"/>
  <c r="F1795" i="44"/>
  <c r="F2923" i="44"/>
  <c r="F395" i="44"/>
  <c r="A1738" i="44"/>
  <c r="F1538" i="44"/>
  <c r="F3079" i="44"/>
  <c r="F2590" i="44"/>
  <c r="A2932" i="44"/>
  <c r="F1625" i="44"/>
  <c r="F3100" i="44"/>
  <c r="F2770" i="44"/>
  <c r="F2268" i="44"/>
  <c r="E2527" i="44"/>
  <c r="A2528" i="44" s="1"/>
  <c r="A612" i="44"/>
  <c r="F2675" i="44"/>
  <c r="F2540" i="44"/>
  <c r="A2344" i="44"/>
  <c r="F778" i="44"/>
  <c r="A2697" i="44"/>
  <c r="A275" i="44"/>
  <c r="F2978" i="44"/>
  <c r="A2920" i="44"/>
  <c r="F928" i="44"/>
  <c r="F1978" i="44"/>
  <c r="F2180" i="44"/>
  <c r="F2155" i="44"/>
  <c r="F1880" i="44"/>
  <c r="F2647" i="44"/>
  <c r="A1655" i="44"/>
  <c r="F2859" i="44"/>
  <c r="F807" i="44"/>
  <c r="F1075" i="44"/>
  <c r="F2625" i="44"/>
  <c r="A2291" i="44"/>
  <c r="A2870" i="44"/>
  <c r="F2529" i="44"/>
  <c r="F2990" i="44"/>
  <c r="A616" i="44"/>
  <c r="F3376" i="44"/>
  <c r="A3376" i="44" s="1"/>
  <c r="G3376" i="44" s="1"/>
  <c r="A3139" i="44"/>
  <c r="A2296" i="44"/>
  <c r="F3161" i="44"/>
  <c r="F896" i="44"/>
  <c r="F2944" i="44"/>
  <c r="A903" i="44"/>
  <c r="A901" i="44"/>
  <c r="A894" i="44"/>
  <c r="A1833" i="44"/>
  <c r="A1038" i="44"/>
  <c r="F780" i="44"/>
  <c r="A2160" i="44"/>
  <c r="A497" i="44"/>
  <c r="F1655" i="44"/>
  <c r="F2885" i="44"/>
  <c r="F2230" i="44"/>
  <c r="F2181" i="44"/>
  <c r="F1907" i="44"/>
  <c r="F2766" i="44"/>
  <c r="A2361" i="44"/>
  <c r="E1999" i="44"/>
  <c r="A2007" i="44" s="1"/>
  <c r="F221" i="44"/>
  <c r="A221" i="44" s="1"/>
  <c r="A1921" i="44"/>
  <c r="F1747" i="44"/>
  <c r="A2299" i="44"/>
  <c r="F1965" i="44"/>
  <c r="A562" i="44"/>
  <c r="F2229" i="44"/>
  <c r="F1773" i="44"/>
  <c r="F2752" i="44"/>
  <c r="F431" i="44"/>
  <c r="A972" i="44"/>
  <c r="F1033" i="44"/>
  <c r="A641" i="44"/>
  <c r="A2556" i="44"/>
  <c r="A643" i="44"/>
  <c r="F511" i="44"/>
  <c r="F1592" i="44"/>
  <c r="F2673" i="44"/>
  <c r="F2174" i="44"/>
  <c r="F2847" i="44"/>
  <c r="F1960" i="44"/>
  <c r="A626" i="44"/>
  <c r="A768" i="44"/>
  <c r="F1755" i="44"/>
  <c r="F2365" i="44"/>
  <c r="F605" i="44"/>
  <c r="F427" i="44"/>
  <c r="F2307" i="44"/>
  <c r="A2441" i="44"/>
  <c r="A124" i="44"/>
  <c r="F2449" i="44"/>
  <c r="A399" i="44"/>
  <c r="A2417" i="44"/>
  <c r="F1082" i="44"/>
  <c r="A1051" i="44"/>
  <c r="A333" i="44"/>
  <c r="F2273" i="44"/>
  <c r="F2899" i="44"/>
  <c r="A1786" i="44"/>
  <c r="J182" i="44"/>
  <c r="M182" i="44" s="1"/>
  <c r="K182" i="44"/>
  <c r="F1645" i="44"/>
  <c r="A1032" i="44"/>
  <c r="F702" i="44"/>
  <c r="F2012" i="44"/>
  <c r="F2269" i="44"/>
  <c r="F2557" i="44"/>
  <c r="F3386" i="44"/>
  <c r="A3386" i="44" s="1"/>
  <c r="F3062" i="44"/>
  <c r="A2443" i="44"/>
  <c r="A2553" i="44"/>
  <c r="F790" i="44"/>
  <c r="F476" i="44"/>
  <c r="F2870" i="44"/>
  <c r="F1754" i="44"/>
  <c r="F2980" i="44"/>
  <c r="F1690" i="44"/>
  <c r="F1541" i="44"/>
  <c r="E2095" i="44"/>
  <c r="A2096" i="44" s="1"/>
  <c r="F1000" i="44"/>
  <c r="A433" i="44"/>
  <c r="F623" i="44"/>
  <c r="F2190" i="44"/>
  <c r="A2739" i="44"/>
  <c r="F2369" i="44"/>
  <c r="F1506" i="44"/>
  <c r="A1506" i="44" s="1"/>
  <c r="G1506" i="44" s="1"/>
  <c r="F2954" i="44"/>
  <c r="F442" i="44"/>
  <c r="F992" i="44"/>
  <c r="A633" i="44"/>
  <c r="A2532" i="44"/>
  <c r="A661" i="44"/>
  <c r="A2377" i="44"/>
  <c r="F2974" i="44"/>
  <c r="A1064" i="44"/>
  <c r="F2528" i="44"/>
  <c r="F366" i="44"/>
  <c r="A2546" i="44"/>
  <c r="F2131" i="44"/>
  <c r="A2078" i="44"/>
  <c r="A421" i="44"/>
  <c r="F3432" i="44"/>
  <c r="A3432" i="44" s="1"/>
  <c r="F1879" i="44"/>
  <c r="F657" i="44"/>
  <c r="F35" i="44"/>
  <c r="A35" i="44" s="1"/>
  <c r="F2204" i="44"/>
  <c r="A1734" i="44"/>
  <c r="A1046" i="44"/>
  <c r="A3025" i="44"/>
  <c r="A2446" i="44"/>
  <c r="F73" i="44"/>
  <c r="A2683" i="44"/>
  <c r="A3047" i="44"/>
  <c r="A529" i="44"/>
  <c r="E2991" i="44"/>
  <c r="A2998" i="44" s="1"/>
  <c r="M210" i="44"/>
  <c r="A1753" i="44"/>
  <c r="A1023" i="44"/>
  <c r="F1652" i="44"/>
  <c r="F1973" i="44"/>
  <c r="A2621" i="44"/>
  <c r="A938" i="44"/>
  <c r="F2068" i="44"/>
  <c r="F632" i="44"/>
  <c r="E2687" i="44"/>
  <c r="A2692" i="44" s="1"/>
  <c r="F2850" i="44"/>
  <c r="A470" i="44"/>
  <c r="F243" i="44"/>
  <c r="A243" i="44" s="1"/>
  <c r="G243" i="44" s="1"/>
  <c r="F1682" i="44"/>
  <c r="F2612" i="44"/>
  <c r="A2718" i="44"/>
  <c r="F2843" i="44"/>
  <c r="F2016" i="44"/>
  <c r="F1803" i="44"/>
  <c r="A2846" i="44"/>
  <c r="F1617" i="44"/>
  <c r="F521" i="44"/>
  <c r="A791" i="44"/>
  <c r="A19" i="44"/>
  <c r="F2263" i="44"/>
  <c r="A2092" i="44"/>
  <c r="F473" i="44"/>
  <c r="F3437" i="44"/>
  <c r="A3437" i="44" s="1"/>
  <c r="F83" i="44"/>
  <c r="F2879" i="44"/>
  <c r="A1669" i="44"/>
  <c r="F985" i="44"/>
  <c r="A540" i="44"/>
  <c r="F3082" i="44"/>
  <c r="A450" i="44"/>
  <c r="A925" i="44"/>
  <c r="A3058" i="44"/>
  <c r="A521" i="44"/>
  <c r="F2447" i="44"/>
  <c r="A2447" i="44"/>
  <c r="A632" i="44"/>
  <c r="F2851" i="44"/>
  <c r="A1002" i="44"/>
  <c r="F2735" i="44"/>
  <c r="A1668" i="44"/>
  <c r="F2705" i="44"/>
  <c r="F2853" i="44"/>
  <c r="A2178" i="44"/>
  <c r="A871" i="44"/>
  <c r="F139" i="44"/>
  <c r="A1683" i="44"/>
  <c r="F1658" i="44"/>
  <c r="F1695" i="44"/>
  <c r="F2864" i="44"/>
  <c r="A714" i="44"/>
  <c r="F580" i="44"/>
  <c r="F872" i="44"/>
  <c r="A2653" i="44"/>
  <c r="A911" i="44"/>
  <c r="F2149" i="44"/>
  <c r="F1791" i="44"/>
  <c r="A1791" i="44"/>
  <c r="A1083" i="44"/>
  <c r="F2106" i="44"/>
  <c r="A1838" i="44"/>
  <c r="F2156" i="44"/>
  <c r="F2532" i="44"/>
  <c r="F1061" i="44"/>
  <c r="F3160" i="44"/>
  <c r="F1924" i="44"/>
  <c r="A2568" i="44"/>
  <c r="F2253" i="44"/>
  <c r="F1926" i="44"/>
  <c r="F1935" i="44"/>
  <c r="A2845" i="44"/>
  <c r="A2940" i="44"/>
  <c r="F1699" i="44"/>
  <c r="F557" i="44"/>
  <c r="A1035" i="44"/>
  <c r="E1855" i="44"/>
  <c r="A1867" i="44" s="1"/>
  <c r="F1738" i="44"/>
  <c r="A734" i="44"/>
  <c r="A736" i="44"/>
  <c r="F760" i="44"/>
  <c r="F2548" i="44"/>
  <c r="F3449" i="44"/>
  <c r="A3449" i="44" s="1"/>
  <c r="A1037" i="44"/>
  <c r="A863" i="44"/>
  <c r="A2434" i="44"/>
  <c r="A2545" i="44"/>
  <c r="A3013" i="44"/>
  <c r="F2855" i="44"/>
  <c r="A339" i="44"/>
  <c r="F1877" i="44"/>
  <c r="F536" i="44"/>
  <c r="F1931" i="44"/>
  <c r="A362" i="44"/>
  <c r="A2142" i="44"/>
  <c r="F2836" i="44"/>
  <c r="F2249" i="44"/>
  <c r="E106" i="3"/>
  <c r="F2960" i="44"/>
  <c r="F2997" i="44"/>
  <c r="A696" i="44"/>
  <c r="F2321" i="44"/>
  <c r="A881" i="44"/>
  <c r="A2353" i="44"/>
  <c r="M204" i="44"/>
  <c r="A329" i="44"/>
  <c r="A1617" i="44"/>
  <c r="F549" i="44"/>
  <c r="A423" i="44"/>
  <c r="F2650" i="44"/>
  <c r="A2115" i="44"/>
  <c r="A2936" i="44"/>
  <c r="F2826" i="44"/>
  <c r="F1685" i="44"/>
  <c r="F2718" i="44"/>
  <c r="A946" i="44"/>
  <c r="F1668" i="44"/>
  <c r="A2793" i="44"/>
  <c r="F2638" i="44"/>
  <c r="A228" i="44"/>
  <c r="A2376" i="44"/>
  <c r="A667" i="44"/>
  <c r="F2078" i="44"/>
  <c r="F2486" i="44"/>
  <c r="A682" i="44"/>
  <c r="A810" i="44"/>
  <c r="F2128" i="44"/>
  <c r="A350" i="44"/>
  <c r="F2489" i="44"/>
  <c r="F2172" i="44"/>
  <c r="A2787" i="44"/>
  <c r="A1078" i="44"/>
  <c r="A389" i="44"/>
  <c r="F2927" i="44"/>
  <c r="A2927" i="44"/>
  <c r="F843" i="44"/>
  <c r="E115" i="3"/>
  <c r="F3379" i="44"/>
  <c r="A3379" i="44" s="1"/>
  <c r="F2595" i="44"/>
  <c r="F1883" i="44"/>
  <c r="A2112" i="44"/>
  <c r="F574" i="44"/>
  <c r="A1799" i="44"/>
  <c r="A631" i="44"/>
  <c r="F861" i="44"/>
  <c r="A2116" i="44"/>
  <c r="F2281" i="44"/>
  <c r="A337" i="44"/>
  <c r="A2323" i="44"/>
  <c r="F733" i="44"/>
  <c r="A1033" i="44"/>
  <c r="A2124" i="44"/>
  <c r="A2317" i="44"/>
  <c r="F2390" i="44"/>
  <c r="A747" i="44"/>
  <c r="G747" i="44" s="1"/>
  <c r="F566" i="44"/>
  <c r="F530" i="44"/>
  <c r="F2191" i="44"/>
  <c r="A2187" i="44"/>
  <c r="A2663" i="44"/>
  <c r="A756" i="44"/>
  <c r="A2404" i="44"/>
  <c r="F1797" i="44"/>
  <c r="A3111" i="44"/>
  <c r="A2622" i="44"/>
  <c r="A1757" i="44"/>
  <c r="A307" i="44"/>
  <c r="A1690" i="44"/>
  <c r="F3124" i="44"/>
  <c r="F607" i="44"/>
  <c r="A2790" i="44"/>
  <c r="F379" i="44"/>
  <c r="A2958" i="44"/>
  <c r="F3066" i="44"/>
  <c r="A688" i="44"/>
  <c r="A1075" i="44"/>
  <c r="A1077" i="44"/>
  <c r="F2386" i="44"/>
  <c r="F3094" i="44"/>
  <c r="F2453" i="44"/>
  <c r="F2349" i="44"/>
  <c r="A1789" i="44"/>
  <c r="A1675" i="44"/>
  <c r="A2452" i="44"/>
  <c r="A1068" i="44"/>
  <c r="F2531" i="44"/>
  <c r="F1942" i="44"/>
  <c r="A1805" i="44"/>
  <c r="F325" i="44"/>
  <c r="F1001" i="44"/>
  <c r="A2981" i="44"/>
  <c r="A940" i="44"/>
  <c r="A2614" i="44"/>
  <c r="F2834" i="44"/>
  <c r="A1904" i="44"/>
  <c r="F2869" i="44"/>
  <c r="A3010" i="44"/>
  <c r="A785" i="44"/>
  <c r="A2662" i="44"/>
  <c r="F1756" i="44"/>
  <c r="A282" i="44"/>
  <c r="F222" i="44"/>
  <c r="A222" i="44" s="1"/>
  <c r="F1684" i="44"/>
  <c r="F477" i="44"/>
  <c r="A731" i="44"/>
  <c r="A733" i="44"/>
  <c r="F2194" i="44"/>
  <c r="F1952" i="44"/>
  <c r="A1879" i="44"/>
  <c r="F2940" i="44"/>
  <c r="F1548" i="44"/>
  <c r="A2306" i="44"/>
  <c r="F1086" i="44"/>
  <c r="F1940" i="44"/>
  <c r="F782" i="44"/>
  <c r="F1091" i="44"/>
  <c r="A301" i="44"/>
  <c r="G301" i="44" s="1"/>
  <c r="G302" i="44" s="1"/>
  <c r="F1651" i="44"/>
  <c r="F1876" i="44"/>
  <c r="F2674" i="44"/>
  <c r="F2379" i="44"/>
  <c r="F674" i="44"/>
  <c r="A2444" i="44"/>
  <c r="F2599" i="44"/>
  <c r="F2372" i="44"/>
  <c r="E2335" i="44"/>
  <c r="A2345" i="44" s="1"/>
  <c r="F817" i="44"/>
  <c r="F881" i="44"/>
  <c r="A2565" i="44"/>
  <c r="F3447" i="44"/>
  <c r="A3447" i="44" s="1"/>
  <c r="F495" i="44"/>
  <c r="F923" i="44"/>
  <c r="A351" i="44"/>
  <c r="F2664" i="44"/>
  <c r="A932" i="44"/>
  <c r="A251" i="44"/>
  <c r="A439" i="44"/>
  <c r="A689" i="44"/>
  <c r="A687" i="44"/>
  <c r="A2874" i="44"/>
  <c r="F1009" i="44"/>
  <c r="F1056" i="44"/>
  <c r="F2966" i="44"/>
  <c r="F1779" i="44"/>
  <c r="F2381" i="44"/>
  <c r="F1744" i="44"/>
  <c r="F2017" i="44"/>
  <c r="F2237" i="44"/>
  <c r="A974" i="44"/>
  <c r="E2303" i="44"/>
  <c r="A2303" i="44" s="1"/>
  <c r="A531" i="44"/>
  <c r="E1679" i="44"/>
  <c r="A1682" i="44" s="1"/>
  <c r="F1080" i="44"/>
  <c r="A923" i="44"/>
  <c r="G923" i="44" s="1"/>
  <c r="A2346" i="44"/>
  <c r="A1542" i="44"/>
  <c r="A1541" i="44"/>
  <c r="A817" i="44"/>
  <c r="F2472" i="44"/>
  <c r="F2948" i="44"/>
  <c r="F2065" i="44"/>
  <c r="F1059" i="44"/>
  <c r="A3079" i="44"/>
  <c r="F655" i="44"/>
  <c r="A2665" i="44"/>
  <c r="F1989" i="44"/>
  <c r="A2988" i="44"/>
  <c r="F679" i="44"/>
  <c r="A679" i="44" s="1"/>
  <c r="K158" i="44"/>
  <c r="J158" i="44"/>
  <c r="M158" i="44" s="1"/>
  <c r="F695" i="44"/>
  <c r="A2702" i="44"/>
  <c r="F482" i="44"/>
  <c r="F797" i="44"/>
  <c r="F2157" i="44"/>
  <c r="F2086" i="44"/>
  <c r="A2710" i="44"/>
  <c r="A2071" i="44"/>
  <c r="A2211" i="44"/>
  <c r="A597" i="44"/>
  <c r="F3068" i="44"/>
  <c r="F3431" i="44"/>
  <c r="A3431" i="44" s="1"/>
  <c r="F1966" i="44"/>
  <c r="F2406" i="44"/>
  <c r="F1517" i="44"/>
  <c r="F1585" i="44"/>
  <c r="A939" i="44"/>
  <c r="F2986" i="44"/>
  <c r="A2522" i="44"/>
  <c r="F3406" i="44"/>
  <c r="A3406" i="44" s="1"/>
  <c r="F1870" i="44"/>
  <c r="F2563" i="44"/>
  <c r="F3377" i="44"/>
  <c r="A3377" i="44" s="1"/>
  <c r="F1990" i="44"/>
  <c r="A2552" i="44"/>
  <c r="A2380" i="44"/>
  <c r="A2318" i="44"/>
  <c r="F627" i="44"/>
  <c r="A3066" i="44"/>
  <c r="F854" i="44"/>
  <c r="A549" i="44"/>
  <c r="A435" i="44"/>
  <c r="A2222" i="44"/>
  <c r="F802" i="44"/>
  <c r="F2832" i="44"/>
  <c r="F2526" i="44"/>
  <c r="F2311" i="44"/>
  <c r="F981" i="44"/>
  <c r="F1714" i="44"/>
  <c r="E101" i="3"/>
  <c r="F327" i="44"/>
  <c r="A577" i="44"/>
  <c r="A1052" i="44"/>
  <c r="F66" i="44"/>
  <c r="A66" i="44" s="1"/>
  <c r="F2304" i="44"/>
  <c r="F1802" i="44"/>
  <c r="A2529" i="44"/>
  <c r="F3063" i="44"/>
  <c r="F1994" i="44"/>
  <c r="A2428" i="44"/>
  <c r="A2162" i="44"/>
  <c r="F552" i="44"/>
  <c r="F2992" i="44"/>
  <c r="F1515" i="44"/>
  <c r="A1552" i="44"/>
  <c r="A2453" i="44"/>
  <c r="A713" i="44"/>
  <c r="A707" i="44"/>
  <c r="F1737" i="44"/>
  <c r="F2060" i="44"/>
  <c r="F16" i="44"/>
  <c r="A16" i="44" s="1"/>
  <c r="F2159" i="44"/>
  <c r="A2159" i="44"/>
  <c r="A997" i="44"/>
  <c r="F2412" i="44"/>
  <c r="A2916" i="44"/>
  <c r="A1747" i="44"/>
  <c r="A3145" i="44"/>
  <c r="F1072" i="44"/>
  <c r="A488" i="44"/>
  <c r="F1735" i="44"/>
  <c r="E2815" i="44"/>
  <c r="A2825" i="44" s="1"/>
  <c r="F1829" i="44"/>
  <c r="F648" i="44"/>
  <c r="F2027" i="44"/>
  <c r="F2617" i="44"/>
  <c r="A548" i="44"/>
  <c r="A246" i="44"/>
  <c r="F734" i="44"/>
  <c r="A1584" i="44"/>
  <c r="G1584" i="44" s="1"/>
  <c r="F1790" i="44"/>
  <c r="F1048" i="44"/>
  <c r="F1073" i="44"/>
  <c r="F12" i="44"/>
  <c r="A12" i="44" s="1"/>
  <c r="F1759" i="44"/>
  <c r="F2776" i="44"/>
  <c r="A2766" i="44"/>
  <c r="F804" i="44"/>
  <c r="F2785" i="44"/>
  <c r="F1881" i="44"/>
  <c r="A2196" i="44"/>
  <c r="A1783" i="44"/>
  <c r="F2636" i="44"/>
  <c r="E118" i="3"/>
  <c r="F1848" i="44"/>
  <c r="F1090" i="44"/>
  <c r="A1779" i="44"/>
  <c r="F2887" i="44"/>
  <c r="F308" i="44"/>
  <c r="F3126" i="44"/>
  <c r="A1628" i="44"/>
  <c r="F1706" i="44"/>
  <c r="A1590" i="44"/>
  <c r="F384" i="44"/>
  <c r="A2638" i="44"/>
  <c r="F752" i="44"/>
  <c r="A377" i="44"/>
  <c r="A382" i="44"/>
  <c r="F3430" i="44"/>
  <c r="A3430" i="44" s="1"/>
  <c r="A2680" i="44"/>
  <c r="A2617" i="44"/>
  <c r="A2952" i="44"/>
  <c r="A792" i="44"/>
  <c r="A794" i="44"/>
  <c r="F2976" i="44"/>
  <c r="F2306" i="44"/>
  <c r="F1740" i="44"/>
  <c r="F2672" i="44"/>
  <c r="F1843" i="44"/>
  <c r="E2191" i="44"/>
  <c r="A2191" i="44" s="1"/>
  <c r="F2949" i="44"/>
  <c r="A281" i="44"/>
  <c r="F1615" i="44"/>
  <c r="A1615" i="44"/>
  <c r="A2555" i="44"/>
  <c r="F2228" i="44"/>
  <c r="F2251" i="44"/>
  <c r="F1049" i="44"/>
  <c r="F2707" i="44"/>
  <c r="F2621" i="44"/>
  <c r="E1887" i="44"/>
  <c r="A1898" i="44" s="1"/>
  <c r="A518" i="44"/>
  <c r="F3106" i="44"/>
  <c r="F120" i="44"/>
  <c r="A120" i="44" s="1"/>
  <c r="A347" i="44"/>
  <c r="A1526" i="44"/>
  <c r="F776" i="44"/>
  <c r="A2414" i="44"/>
  <c r="A268" i="44"/>
  <c r="A782" i="44"/>
  <c r="F942" i="44"/>
  <c r="A759" i="44"/>
  <c r="F672" i="44"/>
  <c r="A3117" i="44"/>
  <c r="F2168" i="44"/>
  <c r="F2418" i="44"/>
  <c r="F2255" i="44"/>
  <c r="A2255" i="44"/>
  <c r="A2714" i="44"/>
  <c r="F972" i="44"/>
  <c r="E3071" i="44"/>
  <c r="A3080" i="44" s="1"/>
  <c r="F1792" i="44"/>
  <c r="A2564" i="44"/>
  <c r="F358" i="44"/>
  <c r="F2308" i="44"/>
  <c r="F2440" i="44"/>
  <c r="F2189" i="44"/>
  <c r="A2400" i="44"/>
  <c r="A2267" i="44"/>
  <c r="F411" i="44"/>
  <c r="F2097" i="44"/>
  <c r="A2419" i="44"/>
  <c r="A669" i="44"/>
  <c r="A2003" i="44"/>
  <c r="F1705" i="44"/>
  <c r="A2081" i="44"/>
  <c r="F567" i="44"/>
  <c r="F1672" i="44"/>
  <c r="F2176" i="44"/>
  <c r="F1018" i="44"/>
  <c r="A2624" i="44"/>
  <c r="A2869" i="44"/>
  <c r="A534" i="44"/>
  <c r="E3007" i="44"/>
  <c r="A3017" i="44" s="1"/>
  <c r="A2083" i="44"/>
  <c r="F653" i="44"/>
  <c r="A2716" i="44"/>
  <c r="F2957" i="44"/>
  <c r="E3039" i="44"/>
  <c r="A3053" i="44" s="1"/>
  <c r="F977" i="44"/>
  <c r="F3105" i="44"/>
  <c r="F2688" i="44"/>
  <c r="F1835" i="44"/>
  <c r="A3089" i="44"/>
  <c r="E1839" i="44"/>
  <c r="A1848" i="44" s="1"/>
  <c r="F904" i="44"/>
  <c r="F1136" i="44"/>
  <c r="F3400" i="44"/>
  <c r="A3400" i="44" s="1"/>
  <c r="A1000" i="44"/>
  <c r="F2125" i="44"/>
  <c r="F2351" i="44"/>
  <c r="A2351" i="44"/>
  <c r="F1620" i="44"/>
  <c r="F2981" i="44"/>
  <c r="F3151" i="44"/>
  <c r="A1933" i="44"/>
  <c r="A505" i="44"/>
  <c r="F502" i="44"/>
  <c r="F885" i="44"/>
  <c r="A2918" i="44"/>
  <c r="A145" i="44"/>
  <c r="A673" i="44"/>
  <c r="F2413" i="44"/>
  <c r="F533" i="44"/>
  <c r="A2338" i="44"/>
  <c r="F1032" i="44"/>
  <c r="F3015" i="44"/>
  <c r="F3012" i="44"/>
  <c r="F28" i="44"/>
  <c r="A28" i="44" s="1"/>
  <c r="A2500" i="44"/>
  <c r="F2712" i="44"/>
  <c r="A2573" i="44"/>
  <c r="F2811" i="44"/>
  <c r="F2809" i="44"/>
  <c r="A408" i="44"/>
  <c r="F2018" i="44"/>
  <c r="F2803" i="44"/>
  <c r="A950" i="44"/>
  <c r="F116" i="44"/>
  <c r="A116" i="44" s="1"/>
  <c r="A1546" i="44"/>
  <c r="F3080" i="44"/>
  <c r="F1719" i="44"/>
  <c r="A2844" i="44"/>
  <c r="F1872" i="44"/>
  <c r="A3118" i="44"/>
  <c r="F2519" i="44"/>
  <c r="F2896" i="44"/>
  <c r="F2900" i="44"/>
  <c r="A500" i="44"/>
  <c r="F630" i="44"/>
  <c r="A2106" i="44"/>
  <c r="A849" i="44"/>
  <c r="A851" i="44"/>
  <c r="A2821" i="44"/>
  <c r="F1087" i="44"/>
  <c r="F2409" i="44"/>
  <c r="F2283" i="44"/>
  <c r="F2862" i="44"/>
  <c r="A1924" i="44"/>
  <c r="F2999" i="44"/>
  <c r="A2791" i="44"/>
  <c r="A567" i="44"/>
  <c r="A1010" i="44"/>
  <c r="F2356" i="44"/>
  <c r="A1860" i="44"/>
  <c r="A2310" i="44"/>
  <c r="E2767" i="44"/>
  <c r="A2771" i="44" s="1"/>
  <c r="F2205" i="44"/>
  <c r="F2681" i="44"/>
  <c r="A691" i="44"/>
  <c r="E113" i="3"/>
  <c r="F1864" i="44"/>
  <c r="F309" i="44"/>
  <c r="E2351" i="44"/>
  <c r="A2354" i="44" s="1"/>
  <c r="F684" i="44"/>
  <c r="F547" i="44"/>
  <c r="A547" i="44" s="1"/>
  <c r="A595" i="44"/>
  <c r="A1004" i="44"/>
  <c r="F3122" i="44"/>
  <c r="F1702" i="44"/>
  <c r="F2341" i="44"/>
  <c r="F3071" i="44"/>
  <c r="F2652" i="44"/>
  <c r="F699" i="44"/>
  <c r="F1909" i="44"/>
  <c r="A624" i="44"/>
  <c r="A2164" i="44"/>
  <c r="F362" i="44"/>
  <c r="F3446" i="44"/>
  <c r="A3446" i="44" s="1"/>
  <c r="A533" i="44"/>
  <c r="E104" i="3"/>
  <c r="A522" i="44"/>
  <c r="F1701" i="44"/>
  <c r="A3057" i="44"/>
  <c r="F1543" i="44"/>
  <c r="F989" i="44"/>
  <c r="A2895" i="44"/>
  <c r="F2895" i="44"/>
  <c r="A308" i="44"/>
  <c r="F1644" i="44"/>
  <c r="F396" i="44"/>
  <c r="F1621" i="44"/>
  <c r="A662" i="44"/>
  <c r="F1524" i="44"/>
  <c r="F3067" i="44"/>
  <c r="A2321" i="44"/>
  <c r="F2632" i="44"/>
  <c r="F2111" i="44"/>
  <c r="A2111" i="44"/>
  <c r="F2096" i="44"/>
  <c r="F2922" i="44"/>
  <c r="F2121" i="44"/>
  <c r="A2699" i="44"/>
  <c r="A2674" i="44"/>
  <c r="F678" i="44"/>
  <c r="K184" i="44"/>
  <c r="J184" i="44"/>
  <c r="L184" i="44" s="1"/>
  <c r="N184" i="44" s="1"/>
  <c r="F184" i="44" s="1"/>
  <c r="F1055" i="44"/>
  <c r="A2099" i="44"/>
  <c r="F338" i="44"/>
  <c r="F1969" i="44"/>
  <c r="F2313" i="44"/>
  <c r="F2146" i="44"/>
  <c r="F2169" i="44"/>
  <c r="F2698" i="44"/>
  <c r="F2975" i="44"/>
  <c r="A2975" i="44"/>
  <c r="F2071" i="44"/>
  <c r="A452" i="44"/>
  <c r="A401" i="44"/>
  <c r="A2439" i="44"/>
  <c r="F2867" i="44"/>
  <c r="A899" i="44"/>
  <c r="F351" i="44"/>
  <c r="F2428" i="44"/>
  <c r="A2690" i="44"/>
  <c r="A2731" i="44"/>
  <c r="F3134" i="44"/>
  <c r="F2039" i="44"/>
  <c r="F1667" i="44"/>
  <c r="A143" i="44"/>
  <c r="A611" i="44"/>
  <c r="F770" i="44"/>
  <c r="F3020" i="44"/>
  <c r="F1865" i="44"/>
  <c r="A2440" i="44"/>
  <c r="A1956" i="44"/>
  <c r="A415" i="44"/>
  <c r="F2518" i="44"/>
  <c r="F1511" i="44"/>
  <c r="A609" i="44"/>
  <c r="F2224" i="44"/>
  <c r="F1088" i="44"/>
  <c r="F52" i="44"/>
  <c r="A52" i="44" s="1"/>
  <c r="J190" i="44"/>
  <c r="M190" i="44" s="1"/>
  <c r="K190" i="44"/>
  <c r="F348" i="44"/>
  <c r="A676" i="44"/>
  <c r="A2785" i="44"/>
  <c r="F661" i="44"/>
  <c r="F1546" i="44"/>
  <c r="F3034" i="44"/>
  <c r="F1729" i="44"/>
  <c r="F1819" i="44"/>
  <c r="J192" i="44"/>
  <c r="L192" i="44" s="1"/>
  <c r="N192" i="44" s="1"/>
  <c r="F192" i="44" s="1"/>
  <c r="K192" i="44"/>
  <c r="A192" i="44" s="1"/>
  <c r="F970" i="44"/>
  <c r="A1900" i="44"/>
  <c r="F748" i="44"/>
  <c r="F795" i="44"/>
  <c r="A1896" i="44"/>
  <c r="F441" i="44"/>
  <c r="F455" i="44"/>
  <c r="A507" i="44"/>
  <c r="F2714" i="44"/>
  <c r="A2842" i="44"/>
  <c r="F315" i="44"/>
  <c r="F2026" i="44"/>
  <c r="F93" i="44"/>
  <c r="A93" i="44" s="1"/>
  <c r="F2488" i="44"/>
  <c r="F667" i="44"/>
  <c r="A498" i="44"/>
  <c r="F2897" i="44"/>
  <c r="F602" i="44"/>
  <c r="A1079" i="44"/>
  <c r="F2326" i="44"/>
  <c r="F1959" i="44"/>
  <c r="F2656" i="44"/>
  <c r="A2420" i="44"/>
  <c r="A668" i="44"/>
  <c r="F633" i="44"/>
  <c r="A224" i="44"/>
  <c r="F465" i="44"/>
  <c r="F710" i="44"/>
  <c r="A842" i="44"/>
  <c r="A763" i="44"/>
  <c r="F2370" i="44"/>
  <c r="F3165" i="44"/>
  <c r="A1733" i="44"/>
  <c r="A905" i="44"/>
  <c r="A524" i="44"/>
  <c r="A1806" i="44"/>
  <c r="A2931" i="44"/>
  <c r="F1654" i="44"/>
  <c r="A2157" i="44"/>
  <c r="F114" i="44"/>
  <c r="A114" i="44" s="1"/>
  <c r="A2132" i="44"/>
  <c r="F1593" i="44"/>
  <c r="F1031" i="44"/>
  <c r="A2359" i="44"/>
  <c r="F647" i="44"/>
  <c r="A991" i="44"/>
  <c r="F2153" i="44"/>
  <c r="A2408" i="44"/>
  <c r="A2208" i="44"/>
  <c r="F1675" i="44"/>
  <c r="F1771" i="44"/>
  <c r="F587" i="44"/>
  <c r="A1689" i="44"/>
  <c r="F1825" i="44"/>
  <c r="F1045" i="44"/>
  <c r="A314" i="44"/>
  <c r="F643" i="44"/>
  <c r="F773" i="44"/>
  <c r="F621" i="44"/>
  <c r="F1846" i="44"/>
  <c r="A3049" i="44"/>
  <c r="F2285" i="44"/>
  <c r="F2099" i="44"/>
  <c r="A3019" i="44"/>
  <c r="F2593" i="44"/>
  <c r="A1895" i="44"/>
  <c r="F1757" i="44"/>
  <c r="A583" i="44"/>
  <c r="A1030" i="44"/>
  <c r="A2497" i="44"/>
  <c r="F2689" i="44"/>
  <c r="E2847" i="44"/>
  <c r="A2851" i="44" s="1"/>
  <c r="F380" i="44"/>
  <c r="F2773" i="44"/>
  <c r="F3159" i="44"/>
  <c r="A685" i="44"/>
  <c r="F2510" i="44"/>
  <c r="F2989" i="44"/>
  <c r="F3109" i="44"/>
  <c r="A2728" i="44"/>
  <c r="F1913" i="44"/>
  <c r="A2797" i="44"/>
  <c r="E2799" i="44"/>
  <c r="A2809" i="44" s="1"/>
  <c r="F595" i="44"/>
  <c r="F927" i="44"/>
  <c r="F930" i="44"/>
  <c r="F1806" i="44"/>
  <c r="F3036" i="44"/>
  <c r="A2328" i="44"/>
  <c r="F1052" i="44"/>
  <c r="F2669" i="44"/>
  <c r="A843" i="44"/>
  <c r="F599" i="44"/>
  <c r="A664" i="44"/>
  <c r="A3130" i="44"/>
  <c r="F2686" i="44"/>
  <c r="A1953" i="44"/>
  <c r="A1057" i="44"/>
  <c r="A278" i="44"/>
  <c r="F51" i="44"/>
  <c r="A51" i="44" s="1"/>
  <c r="A1758" i="44"/>
  <c r="A2885" i="44"/>
  <c r="A2513" i="44"/>
  <c r="A397" i="44"/>
  <c r="A403" i="44"/>
  <c r="A2873" i="44"/>
  <c r="F2414" i="44"/>
  <c r="F2824" i="44"/>
  <c r="F3054" i="44"/>
  <c r="F5" i="44"/>
  <c r="A5" i="44" s="1"/>
  <c r="G5" i="44" s="1"/>
  <c r="F3423" i="44"/>
  <c r="A3423" i="44" s="1"/>
  <c r="A306" i="44"/>
  <c r="F2209" i="44"/>
  <c r="F3422" i="44"/>
  <c r="A3422" i="44" s="1"/>
  <c r="A2360" i="44"/>
  <c r="A607" i="44"/>
  <c r="A2019" i="44"/>
  <c r="A1979" i="44"/>
  <c r="F882" i="44"/>
  <c r="F343" i="44"/>
  <c r="F81" i="44"/>
  <c r="F1601" i="44"/>
  <c r="F1830" i="44"/>
  <c r="F2702" i="44"/>
  <c r="F3440" i="44"/>
  <c r="A3440" i="44" s="1"/>
  <c r="F463" i="44"/>
  <c r="F2608" i="44"/>
  <c r="F832" i="44"/>
  <c r="A1925" i="44"/>
  <c r="E3023" i="44"/>
  <c r="A3029" i="44" s="1"/>
  <c r="A908" i="44"/>
  <c r="A2088" i="44"/>
  <c r="A406" i="44"/>
  <c r="A983" i="44"/>
  <c r="F2063" i="44"/>
  <c r="A2063" i="44"/>
  <c r="F1678" i="44"/>
  <c r="F480" i="44"/>
  <c r="F2214" i="44"/>
  <c r="F2457" i="44"/>
  <c r="F443" i="44"/>
  <c r="K148" i="44"/>
  <c r="J148" i="44"/>
  <c r="L148" i="44" s="1"/>
  <c r="N148" i="44" s="1"/>
  <c r="F148" i="44" s="1"/>
  <c r="F2534" i="44"/>
  <c r="A2147" i="44"/>
  <c r="M194" i="44"/>
  <c r="A2871" i="44"/>
  <c r="F512" i="44"/>
  <c r="A2868" i="44"/>
  <c r="F2818" i="44"/>
  <c r="F2786" i="44"/>
  <c r="F897" i="44"/>
  <c r="M172" i="44"/>
  <c r="A802" i="44"/>
  <c r="A2628" i="44"/>
  <c r="F2929" i="44"/>
  <c r="F1722" i="44"/>
  <c r="F3023" i="44"/>
  <c r="A3023" i="44"/>
  <c r="A2185" i="44"/>
  <c r="F2003" i="44"/>
  <c r="F2604" i="44"/>
  <c r="A2307" i="44"/>
  <c r="F2196" i="44"/>
  <c r="F3163" i="44"/>
  <c r="A2390" i="44"/>
  <c r="A1090" i="44"/>
  <c r="A1088" i="44"/>
  <c r="F1832" i="44"/>
  <c r="A653" i="44"/>
  <c r="F1933" i="44"/>
  <c r="F3121" i="44"/>
  <c r="F479" i="44"/>
  <c r="F1510" i="44"/>
  <c r="A280" i="44"/>
  <c r="A1802" i="44"/>
  <c r="A438" i="44"/>
  <c r="A2843" i="44"/>
  <c r="A838" i="44"/>
  <c r="F2622" i="44"/>
  <c r="F1662" i="44"/>
  <c r="F2715" i="44"/>
  <c r="E3119" i="44"/>
  <c r="A3133" i="44" s="1"/>
  <c r="A2950" i="44"/>
  <c r="F2495" i="44"/>
  <c r="A2495" i="44"/>
  <c r="F3103" i="44"/>
  <c r="A3103" i="44"/>
  <c r="A1694" i="44"/>
  <c r="F1036" i="44"/>
  <c r="A850" i="44"/>
  <c r="E2031" i="44"/>
  <c r="A2046" i="44" s="1"/>
  <c r="E1695" i="44"/>
  <c r="A1705" i="44" s="1"/>
  <c r="A2607" i="44"/>
  <c r="F2607" i="44"/>
  <c r="F333" i="44"/>
  <c r="F876" i="44"/>
  <c r="F1937" i="44"/>
  <c r="A432" i="44"/>
  <c r="A2229" i="44"/>
  <c r="F500" i="44"/>
  <c r="A2781" i="44"/>
  <c r="F2924" i="44"/>
  <c r="F2835" i="44"/>
  <c r="A933" i="44"/>
  <c r="F850" i="44"/>
  <c r="F2628" i="44"/>
  <c r="A650" i="44"/>
  <c r="A535" i="44"/>
  <c r="F1014" i="44"/>
  <c r="A2161" i="44"/>
  <c r="F2088" i="44"/>
  <c r="A729" i="44"/>
  <c r="A1717" i="44"/>
  <c r="A767" i="44"/>
  <c r="F839" i="44"/>
  <c r="A885" i="44"/>
  <c r="A2775" i="44"/>
  <c r="A1765" i="44"/>
  <c r="A247" i="44"/>
  <c r="A2770" i="44"/>
  <c r="A464" i="44"/>
  <c r="F6" i="44"/>
  <c r="A6" i="44" s="1"/>
  <c r="F2082" i="44"/>
  <c r="A1062" i="44"/>
  <c r="F3133" i="44"/>
  <c r="F2450" i="44"/>
  <c r="F143" i="44"/>
  <c r="F468" i="44"/>
  <c r="F793" i="44"/>
  <c r="A1523" i="44"/>
  <c r="A3137" i="44"/>
  <c r="F821" i="44"/>
  <c r="F448" i="44"/>
  <c r="A1788" i="44"/>
  <c r="A1792" i="44"/>
  <c r="E1871" i="44"/>
  <c r="A1874" i="44" s="1"/>
  <c r="F2260" i="44"/>
  <c r="E234" i="44"/>
  <c r="A234" i="44" s="1"/>
  <c r="E1135" i="44"/>
  <c r="A1135" i="44" s="1"/>
  <c r="A3109" i="44"/>
  <c r="A2514" i="44"/>
  <c r="F486" i="44"/>
  <c r="A2636" i="44"/>
  <c r="F1718" i="44"/>
  <c r="A2315" i="44"/>
  <c r="F720" i="44"/>
  <c r="F2793" i="44"/>
  <c r="F1696" i="44"/>
  <c r="F2002" i="44"/>
  <c r="F2620" i="44"/>
  <c r="F70" i="44"/>
  <c r="A70" i="44" s="1"/>
  <c r="A2462" i="44"/>
  <c r="A1685" i="44"/>
  <c r="A2001" i="44"/>
  <c r="F2367" i="44"/>
  <c r="F2442" i="44"/>
  <c r="A266" i="44"/>
  <c r="F2401" i="44"/>
  <c r="F1591" i="44"/>
  <c r="A2199" i="44"/>
  <c r="F323" i="44"/>
  <c r="F2377" i="44"/>
  <c r="A2421" i="44"/>
  <c r="E1935" i="44"/>
  <c r="A1940" i="44" s="1"/>
  <c r="F375" i="44"/>
  <c r="F589" i="44"/>
  <c r="A2711" i="44"/>
  <c r="F1928" i="44"/>
  <c r="A994" i="44"/>
  <c r="A2826" i="44"/>
  <c r="F8" i="44"/>
  <c r="F597" i="44"/>
  <c r="F490" i="44"/>
  <c r="A2682" i="44"/>
  <c r="F1711" i="44"/>
  <c r="F2970" i="44"/>
  <c r="A2144" i="44"/>
  <c r="F2076" i="44"/>
  <c r="F2618" i="44"/>
  <c r="F721" i="44"/>
  <c r="A2652" i="44"/>
  <c r="F2846" i="44"/>
  <c r="A561" i="44"/>
  <c r="F3064" i="44"/>
  <c r="A2903" i="44"/>
  <c r="A1942" i="44"/>
  <c r="A2953" i="44"/>
  <c r="A2657" i="44"/>
  <c r="F1011" i="44"/>
  <c r="A924" i="44"/>
  <c r="G924" i="44" s="1"/>
  <c r="A2534" i="44"/>
  <c r="F903" i="44"/>
  <c r="F1823" i="44"/>
  <c r="A1823" i="44"/>
  <c r="A2119" i="44"/>
  <c r="A2370" i="44"/>
  <c r="F1834" i="44"/>
  <c r="F822" i="44"/>
  <c r="F376" i="44"/>
  <c r="A376" i="44" s="1"/>
  <c r="A427" i="44"/>
  <c r="F687" i="44"/>
  <c r="F518" i="44"/>
  <c r="F493" i="44"/>
  <c r="A793" i="44"/>
  <c r="A413" i="44"/>
  <c r="F1004" i="44"/>
  <c r="A2005" i="44"/>
  <c r="F2782" i="44"/>
  <c r="A1853" i="44"/>
  <c r="A968" i="44"/>
  <c r="G968" i="44" s="1"/>
  <c r="A3142" i="44"/>
  <c r="F829" i="44"/>
  <c r="F402" i="44"/>
  <c r="F1044" i="44"/>
  <c r="F2988" i="44"/>
  <c r="A517" i="44"/>
  <c r="F2410" i="44"/>
  <c r="A1042" i="44"/>
  <c r="A1044" i="44"/>
  <c r="F878" i="44"/>
  <c r="F2720" i="44"/>
  <c r="A2410" i="44"/>
  <c r="A2778" i="44"/>
  <c r="F2535" i="44"/>
  <c r="A2761" i="44"/>
  <c r="A323" i="44"/>
  <c r="A2422" i="44"/>
  <c r="F456" i="44"/>
  <c r="F2500" i="44"/>
  <c r="A1060" i="44"/>
  <c r="A2181" i="44"/>
  <c r="A305" i="44"/>
  <c r="F1721" i="44"/>
  <c r="F2830" i="44"/>
  <c r="A2107" i="44"/>
  <c r="A2437" i="44"/>
  <c r="A755" i="44"/>
  <c r="A1556" i="44"/>
  <c r="F2631" i="44"/>
  <c r="A478" i="44"/>
  <c r="F515" i="44"/>
  <c r="F457" i="44"/>
  <c r="E1711" i="44"/>
  <c r="A1719" i="44" s="1"/>
  <c r="F2234" i="44"/>
  <c r="F1764" i="44"/>
  <c r="A326" i="44"/>
  <c r="A2764" i="44"/>
  <c r="A2026" i="44"/>
  <c r="F2471" i="44"/>
  <c r="A2135" i="44"/>
  <c r="A2171" i="44"/>
  <c r="F301" i="44"/>
  <c r="A2329" i="44"/>
  <c r="A1897" i="44"/>
  <c r="A428" i="44"/>
  <c r="F2741" i="44"/>
  <c r="F606" i="44"/>
  <c r="A1621" i="44"/>
  <c r="F796" i="44"/>
  <c r="F2644" i="44"/>
  <c r="A3127" i="44"/>
  <c r="A3050" i="44"/>
  <c r="F2580" i="44"/>
  <c r="F3016" i="44"/>
  <c r="A3136" i="44"/>
  <c r="F2363" i="44"/>
  <c r="F2376" i="44"/>
  <c r="F2192" i="44"/>
  <c r="F2323" i="44"/>
  <c r="F1925" i="44"/>
  <c r="F1778" i="44"/>
  <c r="F71" i="44"/>
  <c r="A71" i="44" s="1"/>
  <c r="A2109" i="44"/>
  <c r="A1864" i="44"/>
  <c r="A267" i="44"/>
  <c r="A256" i="44"/>
  <c r="A565" i="44"/>
  <c r="F2124" i="44"/>
  <c r="A2520" i="44"/>
  <c r="F940" i="44"/>
  <c r="A1776" i="44"/>
  <c r="F2849" i="44"/>
  <c r="A873" i="44"/>
  <c r="F2108" i="44"/>
  <c r="A2505" i="44"/>
  <c r="E2015" i="44"/>
  <c r="A2028" i="44" s="1"/>
  <c r="F1660" i="44"/>
  <c r="F3138" i="44"/>
  <c r="F755" i="44"/>
  <c r="F2549" i="44"/>
  <c r="F2399" i="44"/>
  <c r="A2399" i="44"/>
  <c r="A856" i="44"/>
  <c r="F2006" i="44"/>
  <c r="F1888" i="44"/>
  <c r="F2430" i="44"/>
  <c r="F2779" i="44"/>
  <c r="F3031" i="44"/>
  <c r="F925" i="44"/>
  <c r="A2796" i="44"/>
  <c r="A2650" i="44"/>
  <c r="A1548" i="44"/>
  <c r="F2385" i="44"/>
  <c r="F2666" i="44"/>
  <c r="F2246" i="44"/>
  <c r="F2183" i="44"/>
  <c r="F2995" i="44"/>
  <c r="F2865" i="44"/>
  <c r="F534" i="44"/>
  <c r="F505" i="44"/>
  <c r="F2395" i="44"/>
  <c r="F2454" i="44"/>
  <c r="A910" i="44"/>
  <c r="J156" i="44"/>
  <c r="L156" i="44" s="1"/>
  <c r="N156" i="44" s="1"/>
  <c r="F156" i="44" s="1"/>
  <c r="K156" i="44"/>
  <c r="A156" i="44" s="1"/>
  <c r="A1976" i="44"/>
  <c r="K166" i="44"/>
  <c r="A166" i="44" s="1"/>
  <c r="J166" i="44"/>
  <c r="L166" i="44" s="1"/>
  <c r="N166" i="44" s="1"/>
  <c r="F166" i="44" s="1"/>
  <c r="F2301" i="44"/>
  <c r="A1618" i="44"/>
  <c r="F3104" i="44"/>
  <c r="A411" i="44"/>
  <c r="F2055" i="44"/>
  <c r="F3149" i="44"/>
  <c r="A2946" i="44"/>
  <c r="F2893" i="44"/>
  <c r="A2517" i="44"/>
  <c r="A2265" i="44"/>
  <c r="F3157" i="44"/>
  <c r="F2357" i="44"/>
  <c r="F2051" i="44"/>
  <c r="F2902" i="44"/>
  <c r="F1070" i="44"/>
  <c r="F1632" i="44"/>
  <c r="A2597" i="44"/>
  <c r="F1849" i="44"/>
  <c r="A390" i="44"/>
  <c r="A1837" i="44"/>
  <c r="A2800" i="44"/>
  <c r="A855" i="44"/>
  <c r="A857" i="44"/>
  <c r="K174" i="44"/>
  <c r="A174" i="44" s="1"/>
  <c r="J174" i="44"/>
  <c r="L174" i="44" s="1"/>
  <c r="N174" i="44" s="1"/>
  <c r="F174" i="44" s="1"/>
  <c r="F952" i="44"/>
  <c r="A720" i="44"/>
  <c r="F803" i="44"/>
  <c r="F1688" i="44"/>
  <c r="F634" i="44"/>
  <c r="F1638" i="44"/>
  <c r="F553" i="44"/>
  <c r="A1750" i="44"/>
  <c r="F1954" i="44"/>
  <c r="E2271" i="44"/>
  <c r="A2286" i="44" s="1"/>
  <c r="F69" i="44"/>
  <c r="A69" i="44" s="1"/>
  <c r="A530" i="44"/>
  <c r="A2641" i="44"/>
  <c r="A2201" i="44"/>
  <c r="F1648" i="44"/>
  <c r="A430" i="44"/>
  <c r="A371" i="44"/>
  <c r="F2102" i="44"/>
  <c r="F355" i="44"/>
  <c r="F307" i="44"/>
  <c r="F586" i="44"/>
  <c r="F591" i="44"/>
  <c r="F2939" i="44"/>
  <c r="A1666" i="44"/>
  <c r="F1584" i="44"/>
  <c r="F356" i="44"/>
  <c r="A951" i="44"/>
  <c r="F1815" i="44"/>
  <c r="F2991" i="44"/>
  <c r="A2991" i="44"/>
  <c r="A2538" i="44"/>
  <c r="F306" i="44"/>
  <c r="A3060" i="44"/>
  <c r="A2195" i="44"/>
  <c r="A1969" i="44"/>
  <c r="F573" i="44"/>
  <c r="A573" i="44" s="1"/>
  <c r="F2663" i="44"/>
  <c r="F2302" i="44"/>
  <c r="A587" i="44"/>
  <c r="F2881" i="44"/>
  <c r="A2216" i="44"/>
  <c r="A2717" i="44"/>
  <c r="A2397" i="44"/>
  <c r="F3164" i="44"/>
  <c r="A1818" i="44"/>
  <c r="A605" i="44"/>
  <c r="F2725" i="44"/>
  <c r="F2250" i="44"/>
  <c r="F907" i="44"/>
  <c r="F935" i="44"/>
  <c r="A1774" i="44"/>
  <c r="F2753" i="44"/>
  <c r="A652" i="44"/>
  <c r="A1957" i="44"/>
  <c r="E1807" i="44"/>
  <c r="A1807" i="44" s="1"/>
  <c r="A3112" i="44"/>
  <c r="F1137" i="44"/>
  <c r="F860" i="44"/>
  <c r="F2110" i="44"/>
  <c r="F1083" i="44"/>
  <c r="F1522" i="44"/>
  <c r="F535" i="44"/>
  <c r="A2613" i="44"/>
  <c r="A380" i="44"/>
  <c r="A657" i="44"/>
  <c r="F1794" i="44"/>
  <c r="F939" i="44"/>
  <c r="A409" i="44"/>
  <c r="A315" i="44"/>
  <c r="F652" i="44"/>
  <c r="A3149" i="44"/>
  <c r="F2129" i="44"/>
  <c r="A836" i="44"/>
  <c r="A2364" i="44"/>
  <c r="A2977" i="44"/>
  <c r="F1687" i="44"/>
  <c r="A2017" i="44"/>
  <c r="F334" i="44"/>
  <c r="F1647" i="44"/>
  <c r="A1647" i="44"/>
  <c r="F892" i="44"/>
  <c r="E3151" i="44"/>
  <c r="A3164" i="44" s="1"/>
  <c r="A861" i="44"/>
  <c r="A2070" i="44"/>
  <c r="F1761" i="44"/>
  <c r="F2839" i="44"/>
  <c r="F1037" i="44"/>
  <c r="F1868" i="44"/>
  <c r="A2955" i="44"/>
  <c r="F2962" i="44"/>
  <c r="F691" i="44"/>
  <c r="A563" i="44"/>
  <c r="A2515" i="44"/>
  <c r="F368" i="44"/>
  <c r="F1906" i="44"/>
  <c r="F142" i="44"/>
  <c r="A2888" i="44"/>
  <c r="F979" i="44"/>
  <c r="F430" i="44"/>
  <c r="F800" i="44"/>
  <c r="A2412" i="44"/>
  <c r="A2076" i="44"/>
  <c r="A2368" i="44"/>
  <c r="J196" i="44"/>
  <c r="L196" i="44" s="1"/>
  <c r="N196" i="44" s="1"/>
  <c r="F196" i="44" s="1"/>
  <c r="K196" i="44"/>
  <c r="A196" i="44" s="1"/>
  <c r="F1751" i="44"/>
  <c r="A930" i="44"/>
  <c r="E1759" i="44"/>
  <c r="A1772" i="44" s="1"/>
  <c r="A2706" i="44"/>
  <c r="E1134" i="44"/>
  <c r="A1134" i="44" s="1"/>
  <c r="G1134" i="44" s="1"/>
  <c r="A844" i="44"/>
  <c r="F3042" i="44"/>
  <c r="A823" i="44"/>
  <c r="A2818" i="44"/>
  <c r="A1649" i="44"/>
  <c r="A3003" i="44"/>
  <c r="A2293" i="44"/>
  <c r="F814" i="44"/>
  <c r="A2893" i="44"/>
  <c r="A510" i="44"/>
  <c r="F3043" i="44"/>
  <c r="A2177" i="44"/>
  <c r="F3107" i="44"/>
  <c r="A2982" i="44"/>
  <c r="F2067" i="44"/>
  <c r="F2932" i="44"/>
  <c r="E2463" i="44"/>
  <c r="A2471" i="44" s="1"/>
  <c r="E2959" i="44"/>
  <c r="A2965" i="44" s="1"/>
  <c r="A1700" i="44"/>
  <c r="F2915" i="44"/>
  <c r="A877" i="44"/>
  <c r="A875" i="44"/>
  <c r="A122" i="44"/>
  <c r="F3443" i="44"/>
  <c r="A3443" i="44" s="1"/>
  <c r="A2283" i="44"/>
  <c r="F2574" i="44"/>
  <c r="F2507" i="44"/>
  <c r="F2073" i="44"/>
  <c r="F103" i="44"/>
  <c r="A103" i="44" s="1"/>
  <c r="A1962" i="44"/>
  <c r="A1835" i="44"/>
  <c r="A2693" i="44"/>
  <c r="F575" i="44"/>
  <c r="F841" i="44"/>
  <c r="A2794" i="44"/>
  <c r="F727" i="44"/>
  <c r="A1708" i="44"/>
  <c r="F2417" i="44"/>
  <c r="A338" i="44"/>
  <c r="F372" i="44"/>
  <c r="A2904" i="44"/>
  <c r="F2727" i="44"/>
  <c r="A2948" i="44"/>
  <c r="F1653" i="44"/>
  <c r="F671" i="44"/>
  <c r="F3435" i="44"/>
  <c r="A3435" i="44" s="1"/>
  <c r="F1768" i="44"/>
  <c r="A1061" i="44"/>
  <c r="E1631" i="44"/>
  <c r="A1644" i="44" s="1"/>
  <c r="F550" i="44"/>
  <c r="F2544" i="44"/>
  <c r="A304" i="44"/>
  <c r="F2521" i="44"/>
  <c r="A2941" i="44"/>
  <c r="A2314" i="44"/>
  <c r="F697" i="44"/>
  <c r="F407" i="44"/>
  <c r="F2030" i="44"/>
  <c r="F2570" i="44"/>
  <c r="A412" i="44"/>
  <c r="A2165" i="44"/>
  <c r="F2692" i="44"/>
  <c r="F2912" i="44"/>
  <c r="F537" i="44"/>
  <c r="F2908" i="44"/>
  <c r="F2886" i="44"/>
  <c r="A788" i="44"/>
  <c r="A2169" i="44"/>
  <c r="F2660" i="44"/>
  <c r="F1586" i="44"/>
  <c r="A445" i="44"/>
  <c r="F1820" i="44"/>
  <c r="F938" i="44"/>
  <c r="F451" i="44"/>
  <c r="F771" i="44"/>
  <c r="A490" i="44"/>
  <c r="F2120" i="44"/>
  <c r="A2824" i="44"/>
  <c r="A392" i="44"/>
  <c r="F2920" i="44"/>
  <c r="A927" i="44"/>
  <c r="A102" i="44"/>
  <c r="A1595" i="44"/>
  <c r="A1732" i="44"/>
  <c r="F336" i="44"/>
  <c r="F572" i="44"/>
  <c r="A2820" i="44"/>
  <c r="F144" i="44"/>
  <c r="A144" i="44" s="1"/>
  <c r="F1076" i="44"/>
  <c r="F524" i="44"/>
  <c r="F2382" i="44"/>
  <c r="A895" i="44"/>
  <c r="A1737" i="44"/>
  <c r="A1871" i="44"/>
  <c r="F1871" i="44"/>
  <c r="A83" i="44"/>
  <c r="A975" i="44"/>
  <c r="F2325" i="44"/>
  <c r="F1947" i="44"/>
  <c r="A327" i="44"/>
  <c r="A378" i="44"/>
  <c r="A2312" i="44"/>
  <c r="A2865" i="44"/>
  <c r="A2065" i="44"/>
  <c r="A2994" i="44"/>
  <c r="F2802" i="44"/>
  <c r="A2935" i="44"/>
  <c r="F3150" i="44"/>
  <c r="A140" i="44"/>
  <c r="F1839" i="44"/>
  <c r="A1839" i="44"/>
  <c r="A2833" i="44"/>
  <c r="A2339" i="44"/>
  <c r="F2645" i="44"/>
  <c r="A2588" i="44"/>
  <c r="A1934" i="44"/>
  <c r="A440" i="44"/>
  <c r="A1784" i="44"/>
  <c r="F1748" i="44"/>
  <c r="F1785" i="44"/>
  <c r="A2827" i="44"/>
  <c r="A1773" i="44"/>
  <c r="A2812" i="44"/>
  <c r="F971" i="44"/>
  <c r="F2425" i="44"/>
  <c r="A825" i="44"/>
  <c r="A859" i="44"/>
  <c r="F1540" i="44"/>
  <c r="F2310" i="44"/>
  <c r="A2803" i="44"/>
  <c r="F471" i="44"/>
  <c r="A3035" i="44"/>
  <c r="A2392" i="44"/>
  <c r="F893" i="44"/>
  <c r="F1528" i="44"/>
  <c r="F2242" i="44"/>
  <c r="F2257" i="44"/>
  <c r="A904" i="44"/>
  <c r="F2577" i="44"/>
  <c r="A625" i="44"/>
  <c r="E1583" i="44"/>
  <c r="A1583" i="44" s="1"/>
  <c r="G1583" i="44" s="1"/>
  <c r="F600" i="44"/>
  <c r="F1663" i="44"/>
  <c r="A1663" i="44"/>
  <c r="F2069" i="44"/>
  <c r="F649" i="44"/>
  <c r="A757" i="44"/>
  <c r="F2479" i="44"/>
  <c r="A1931" i="44"/>
  <c r="A2385" i="44"/>
  <c r="F611" i="44"/>
  <c r="F3413" i="44"/>
  <c r="A3413" i="44" s="1"/>
  <c r="F1882" i="44"/>
  <c r="F2496" i="44"/>
  <c r="A1539" i="44"/>
  <c r="A1540" i="44"/>
  <c r="A3166" i="44"/>
  <c r="F115" i="44"/>
  <c r="A115" i="44" s="1"/>
  <c r="F262" i="44"/>
  <c r="A262" i="44" s="1"/>
  <c r="A2738" i="44"/>
  <c r="F2050" i="44"/>
  <c r="A2429" i="44"/>
  <c r="F666" i="44"/>
  <c r="F2623" i="44"/>
  <c r="A2623" i="44"/>
  <c r="F906" i="44"/>
  <c r="A1588" i="44"/>
  <c r="A995" i="44"/>
  <c r="F794" i="44"/>
  <c r="F107" i="44"/>
  <c r="A107" i="44" s="1"/>
  <c r="F2799" i="44"/>
  <c r="A2799" i="44"/>
  <c r="F2800" i="44"/>
  <c r="F1054" i="44"/>
  <c r="F424" i="44"/>
  <c r="F504" i="44"/>
  <c r="E2735" i="44"/>
  <c r="A2749" i="44" s="1"/>
  <c r="F631" i="44"/>
  <c r="F3011" i="44"/>
  <c r="A864" i="44"/>
  <c r="A526" i="44"/>
  <c r="A1880" i="44"/>
  <c r="A2584" i="44"/>
  <c r="F3125" i="44"/>
  <c r="F1955" i="44"/>
  <c r="F1535" i="44"/>
  <c r="A898" i="44"/>
  <c r="F220" i="44"/>
  <c r="A220" i="44" s="1"/>
  <c r="G220" i="44" s="1"/>
  <c r="A2356" i="44"/>
  <c r="A2576" i="44"/>
  <c r="A586" i="44"/>
  <c r="F1521" i="44"/>
  <c r="F1914" i="44"/>
  <c r="A693" i="44"/>
  <c r="A2464" i="44"/>
  <c r="A2689" i="44"/>
  <c r="A819" i="44"/>
  <c r="F2433" i="44"/>
  <c r="A3154" i="44"/>
  <c r="F2863" i="44"/>
  <c r="A2863" i="44"/>
  <c r="F3110" i="44"/>
  <c r="F3053" i="44"/>
  <c r="A473" i="44"/>
  <c r="A1899" i="44"/>
  <c r="F1003" i="44"/>
  <c r="A1031" i="44"/>
  <c r="A2713" i="44"/>
  <c r="F2404" i="44"/>
  <c r="F2823" i="44"/>
  <c r="F2435" i="44"/>
  <c r="A319" i="44"/>
  <c r="A1971" i="44"/>
  <c r="F2600" i="44"/>
  <c r="A623" i="44"/>
  <c r="F2903" i="44"/>
  <c r="A787" i="44"/>
  <c r="F349" i="44"/>
  <c r="A2186" i="44"/>
  <c r="F2300" i="44"/>
  <c r="F2020" i="44"/>
  <c r="A640" i="44"/>
  <c r="F934" i="44"/>
  <c r="A2582" i="44"/>
  <c r="A869" i="44"/>
  <c r="A2008" i="44"/>
  <c r="A248" i="44"/>
  <c r="A2802" i="44"/>
  <c r="F984" i="44"/>
  <c r="F1628" i="44"/>
  <c r="F2971" i="44"/>
  <c r="A2227" i="44"/>
  <c r="F3050" i="44"/>
  <c r="F1728" i="44"/>
  <c r="A2204" i="44"/>
  <c r="A2924" i="44"/>
  <c r="A622" i="44"/>
  <c r="A2257" i="44"/>
  <c r="F603" i="44"/>
  <c r="F3088" i="44"/>
  <c r="M196" i="44"/>
  <c r="A1955" i="44"/>
  <c r="F2087" i="44"/>
  <c r="F3448" i="44"/>
  <c r="A3448" i="44" s="1"/>
  <c r="A2258" i="44"/>
  <c r="F974" i="44"/>
  <c r="F753" i="44"/>
  <c r="F2118" i="44"/>
  <c r="F2061" i="44"/>
  <c r="F1752" i="44"/>
  <c r="F756" i="44"/>
  <c r="F1992" i="44"/>
  <c r="F650" i="44"/>
  <c r="F680" i="44"/>
  <c r="A2389" i="44"/>
  <c r="F1811" i="44"/>
  <c r="F2572" i="44"/>
  <c r="F2371" i="44"/>
  <c r="A2835" i="44"/>
  <c r="J162" i="44"/>
  <c r="M162" i="44" s="1"/>
  <c r="K162" i="44"/>
  <c r="F1772" i="44"/>
  <c r="F3384" i="44"/>
  <c r="A3384" i="44" s="1"/>
  <c r="F2188" i="44"/>
  <c r="F264" i="44"/>
  <c r="A264" i="44" s="1"/>
  <c r="F626" i="44"/>
  <c r="F1917" i="44"/>
  <c r="F2262" i="44"/>
  <c r="F2677" i="44"/>
  <c r="A1847" i="44"/>
  <c r="A443" i="44"/>
  <c r="F690" i="44"/>
  <c r="A2502" i="44"/>
  <c r="A732" i="44"/>
  <c r="A279" i="44"/>
  <c r="A2424" i="44"/>
  <c r="A2491" i="44"/>
  <c r="A2853" i="44"/>
  <c r="F528" i="44"/>
  <c r="A360" i="44"/>
  <c r="F2460" i="44"/>
  <c r="A2729" i="44"/>
  <c r="F2508" i="44"/>
  <c r="F1693" i="44"/>
  <c r="A2284" i="44"/>
  <c r="F111" i="44"/>
  <c r="A111" i="44" s="1"/>
  <c r="A483" i="44"/>
  <c r="F392" i="44"/>
  <c r="F1043" i="44"/>
  <c r="A1697" i="44"/>
  <c r="A2102" i="44"/>
  <c r="F909" i="44"/>
  <c r="F503" i="44"/>
  <c r="F2670" i="44"/>
  <c r="F576" i="44"/>
  <c r="F2744" i="44"/>
  <c r="F2888" i="44"/>
  <c r="F1869" i="44"/>
  <c r="A2947" i="44"/>
  <c r="F1027" i="44"/>
  <c r="F390" i="44"/>
  <c r="F1734" i="44"/>
  <c r="F2635" i="44"/>
  <c r="F705" i="44"/>
  <c r="F2684" i="44"/>
  <c r="A821" i="44"/>
  <c r="F1029" i="44"/>
  <c r="F388" i="44"/>
  <c r="J180" i="44"/>
  <c r="M180" i="44" s="1"/>
  <c r="K180" i="44"/>
  <c r="F908" i="44"/>
  <c r="F1671" i="44"/>
  <c r="F1084" i="44"/>
  <c r="E2047" i="44"/>
  <c r="A2053" i="44" s="1"/>
  <c r="A1611" i="44"/>
  <c r="E2479" i="44"/>
  <c r="A2493" i="44" s="1"/>
  <c r="A1987" i="44"/>
  <c r="F3425" i="44"/>
  <c r="A3425" i="44" s="1"/>
  <c r="A2887" i="44"/>
  <c r="E1983" i="44"/>
  <c r="A1990" i="44" s="1"/>
  <c r="F3392" i="44"/>
  <c r="A3392" i="44" s="1"/>
  <c r="A484" i="44"/>
  <c r="F1758" i="44"/>
  <c r="F809" i="44"/>
  <c r="A2146" i="44"/>
  <c r="A989" i="44"/>
  <c r="A987" i="44"/>
  <c r="A2358" i="44"/>
  <c r="A670" i="44"/>
  <c r="F79" i="44"/>
  <c r="A2619" i="44"/>
  <c r="A813" i="44"/>
  <c r="A674" i="44"/>
  <c r="F852" i="44"/>
  <c r="F2683" i="44"/>
  <c r="F1781" i="44"/>
  <c r="A2753" i="44"/>
  <c r="F868" i="44"/>
  <c r="A589" i="44"/>
  <c r="F2009" i="44"/>
  <c r="A2518" i="44"/>
  <c r="F1665" i="44"/>
  <c r="F3081" i="44"/>
  <c r="F2765" i="44"/>
  <c r="A369" i="44"/>
  <c r="A2126" i="44"/>
  <c r="F2609" i="44"/>
  <c r="F2556" i="44"/>
  <c r="F2967" i="44"/>
  <c r="A840" i="44"/>
  <c r="A1008" i="44"/>
  <c r="F305" i="44"/>
  <c r="A2836" i="44"/>
  <c r="A2782" i="44"/>
  <c r="A1709" i="44"/>
  <c r="F2280" i="44"/>
  <c r="A1680" i="44"/>
  <c r="F1016" i="44"/>
  <c r="A536" i="44"/>
  <c r="F2828" i="44"/>
  <c r="F2795" i="44"/>
  <c r="A1534" i="44"/>
  <c r="A1535" i="44"/>
  <c r="F1929" i="44"/>
  <c r="A559" i="44"/>
  <c r="A564" i="44"/>
  <c r="A3076" i="44"/>
  <c r="F1590" i="44"/>
  <c r="A2048" i="44"/>
  <c r="A642" i="44"/>
  <c r="A2923" i="44"/>
  <c r="F947" i="44"/>
  <c r="F726" i="44"/>
  <c r="A511" i="44"/>
  <c r="A2295" i="44"/>
  <c r="A2547" i="44"/>
  <c r="F1996" i="44"/>
  <c r="F2505" i="44"/>
  <c r="A493" i="44"/>
  <c r="F3037" i="44"/>
  <c r="F664" i="44"/>
  <c r="F3127" i="44"/>
  <c r="A646" i="44"/>
  <c r="F625" i="44"/>
  <c r="A1817" i="44"/>
  <c r="A1687" i="44"/>
  <c r="F3078" i="44"/>
  <c r="F2965" i="44"/>
  <c r="F2347" i="44"/>
  <c r="F2393" i="44"/>
  <c r="A725" i="44"/>
  <c r="F2437" i="44"/>
  <c r="A708" i="44"/>
  <c r="A2901" i="44"/>
  <c r="F2473" i="44"/>
  <c r="F2499" i="44"/>
  <c r="F1532" i="44"/>
  <c r="F2290" i="44"/>
  <c r="F2427" i="44"/>
  <c r="F1898" i="44"/>
  <c r="A2449" i="44"/>
  <c r="F3147" i="44"/>
  <c r="A1073" i="44"/>
  <c r="F1713" i="44"/>
  <c r="F435" i="44"/>
  <c r="F2542" i="44"/>
  <c r="A1769" i="44"/>
  <c r="A1602" i="44"/>
  <c r="A434" i="44"/>
  <c r="F2956" i="44"/>
  <c r="F2701" i="44"/>
  <c r="F846" i="44"/>
  <c r="F2813" i="44"/>
  <c r="F1025" i="44"/>
  <c r="F1605" i="44"/>
  <c r="F72" i="44"/>
  <c r="A2533" i="44"/>
  <c r="A3038" i="44"/>
  <c r="A1093" i="44"/>
  <c r="A1091" i="44"/>
  <c r="A1974" i="44"/>
  <c r="F2210" i="44"/>
  <c r="F1683" i="44"/>
  <c r="F2109" i="44"/>
  <c r="E1599" i="44"/>
  <c r="A1609" i="44" s="1"/>
  <c r="F2840" i="44"/>
  <c r="A627" i="44"/>
  <c r="F2203" i="44"/>
  <c r="A1029" i="44"/>
  <c r="A81" i="44"/>
  <c r="F612" i="44"/>
  <c r="F523" i="44"/>
  <c r="A2393" i="44"/>
  <c r="F57" i="44"/>
  <c r="A57" i="44" s="1"/>
  <c r="F2589" i="44"/>
  <c r="A2695" i="44"/>
  <c r="A2701" i="44"/>
  <c r="F2083" i="44"/>
  <c r="F1922" i="44"/>
  <c r="F905" i="44"/>
  <c r="A2720" i="44"/>
  <c r="A3022" i="44"/>
  <c r="F1602" i="44"/>
  <c r="E2879" i="44"/>
  <c r="A2883" i="44" s="1"/>
  <c r="F1725" i="44"/>
  <c r="A354" i="44"/>
  <c r="F2497" i="44"/>
  <c r="E2239" i="44"/>
  <c r="A2242" i="44" s="1"/>
  <c r="A2605" i="44"/>
  <c r="F622" i="44"/>
  <c r="F15" i="44"/>
  <c r="A15" i="44" s="1"/>
  <c r="F1953" i="44"/>
  <c r="F62" i="44"/>
  <c r="A62" i="44" s="1"/>
  <c r="F2633" i="44"/>
  <c r="F2768" i="44"/>
  <c r="F2029" i="44"/>
  <c r="F2152" i="44"/>
  <c r="A581" i="44"/>
  <c r="F2380" i="44"/>
  <c r="A361" i="44"/>
  <c r="A2064" i="44"/>
  <c r="F688" i="44"/>
  <c r="F1023" i="44"/>
  <c r="A3063" i="44"/>
  <c r="F1012" i="44"/>
  <c r="F2426" i="44"/>
  <c r="A1063" i="44"/>
  <c r="A2933" i="44"/>
  <c r="F1068" i="44"/>
  <c r="A1751" i="44"/>
  <c r="A2469" i="44"/>
  <c r="F1765" i="44"/>
  <c r="A1825" i="44"/>
  <c r="A2524" i="44"/>
  <c r="F932" i="44"/>
  <c r="A690" i="44"/>
  <c r="A692" i="44"/>
  <c r="F2627" i="44"/>
  <c r="A2435" i="44"/>
  <c r="A416" i="44"/>
  <c r="A336" i="44"/>
  <c r="F377" i="44"/>
  <c r="F2878" i="44"/>
  <c r="F847" i="44"/>
  <c r="A317" i="44"/>
  <c r="F2641" i="44"/>
  <c r="A1059" i="44"/>
  <c r="F1961" i="44"/>
  <c r="F360" i="44"/>
  <c r="A872" i="44"/>
  <c r="A874" i="44"/>
  <c r="A590" i="44"/>
  <c r="A588" i="44"/>
  <c r="A727" i="44"/>
  <c r="F898" i="44"/>
  <c r="F988" i="44"/>
  <c r="A699" i="44"/>
  <c r="A3147" i="44"/>
  <c r="F1833" i="44"/>
  <c r="F996" i="44"/>
  <c r="F397" i="44"/>
  <c r="A2128" i="44"/>
  <c r="F3131" i="44"/>
  <c r="F3028" i="44"/>
  <c r="F2053" i="44"/>
  <c r="F578" i="44"/>
  <c r="F1050" i="44"/>
  <c r="A2891" i="44"/>
  <c r="A400" i="44"/>
  <c r="A628" i="44"/>
  <c r="A999" i="44"/>
  <c r="A1771" i="44"/>
  <c r="A3056" i="44"/>
  <c r="F640" i="44"/>
  <c r="F987" i="44"/>
  <c r="F1749" i="44"/>
  <c r="F3132" i="44"/>
  <c r="F2947" i="44"/>
  <c r="F3076" i="44"/>
  <c r="A2002" i="44"/>
  <c r="A1591" i="44"/>
  <c r="A3052" i="44"/>
  <c r="F2378" i="44"/>
  <c r="A270" i="44"/>
  <c r="F1622" i="44"/>
  <c r="F617" i="44"/>
  <c r="F1919" i="44"/>
  <c r="A1919" i="44"/>
  <c r="A24" i="44"/>
  <c r="F3408" i="44"/>
  <c r="A3408" i="44" s="1"/>
  <c r="F2001" i="44"/>
  <c r="A2090" i="44"/>
  <c r="A3064" i="44"/>
  <c r="A2298" i="44"/>
  <c r="A2967" i="44"/>
  <c r="F1691" i="44"/>
  <c r="F2411" i="44"/>
  <c r="F1623" i="44"/>
  <c r="F3141" i="44"/>
  <c r="A2011" i="44"/>
  <c r="A1671" i="44"/>
  <c r="F1836" i="44"/>
  <c r="A599" i="44"/>
  <c r="F1716" i="44"/>
  <c r="F2047" i="44"/>
  <c r="A2136" i="44"/>
  <c r="F92" i="44"/>
  <c r="A92" i="44" s="1"/>
  <c r="A508" i="44"/>
  <c r="F2064" i="44"/>
  <c r="A1840" i="44"/>
  <c r="A996" i="44"/>
  <c r="E3087" i="44"/>
  <c r="A3099" i="44" s="1"/>
  <c r="A355" i="44"/>
  <c r="A754" i="44"/>
  <c r="F26" i="44"/>
  <c r="A26" i="44" s="1"/>
  <c r="A1721" i="44" l="1"/>
  <c r="A2847" i="44"/>
  <c r="A1608" i="44"/>
  <c r="A2465" i="44"/>
  <c r="G247" i="44"/>
  <c r="G248" i="44" s="1"/>
  <c r="G249" i="44" s="1"/>
  <c r="G250" i="44" s="1"/>
  <c r="G251" i="44" s="1"/>
  <c r="G252" i="44" s="1"/>
  <c r="G253" i="44" s="1"/>
  <c r="G254" i="44" s="1"/>
  <c r="G255" i="44" s="1"/>
  <c r="G256" i="44" s="1"/>
  <c r="G257" i="44" s="1"/>
  <c r="G258" i="44" s="1"/>
  <c r="G259" i="44" s="1"/>
  <c r="G260" i="44" s="1"/>
  <c r="G261" i="44" s="1"/>
  <c r="G262" i="44" s="1"/>
  <c r="G263" i="44" s="1"/>
  <c r="G264" i="44" s="1"/>
  <c r="G265" i="44" s="1"/>
  <c r="G266" i="44" s="1"/>
  <c r="G267" i="44" s="1"/>
  <c r="G268" i="44" s="1"/>
  <c r="G269" i="44" s="1"/>
  <c r="G270" i="44" s="1"/>
  <c r="G271" i="44" s="1"/>
  <c r="G272" i="44" s="1"/>
  <c r="G273" i="44" s="1"/>
  <c r="G274" i="44" s="1"/>
  <c r="G275" i="44" s="1"/>
  <c r="G276" i="44" s="1"/>
  <c r="G277" i="44" s="1"/>
  <c r="G278" i="44" s="1"/>
  <c r="G279" i="44" s="1"/>
  <c r="G280" i="44" s="1"/>
  <c r="G281" i="44" s="1"/>
  <c r="G282" i="44" s="1"/>
  <c r="G283" i="44" s="1"/>
  <c r="G284" i="44" s="1"/>
  <c r="G285" i="44" s="1"/>
  <c r="G286" i="44" s="1"/>
  <c r="G287" i="44" s="1"/>
  <c r="G288" i="44" s="1"/>
  <c r="G289" i="44" s="1"/>
  <c r="A9" i="21" s="1"/>
  <c r="A2470" i="44"/>
  <c r="A3123" i="44"/>
  <c r="A1999" i="44"/>
  <c r="A3033" i="44"/>
  <c r="A3100" i="44"/>
  <c r="A2277" i="44"/>
  <c r="A1907" i="44"/>
  <c r="A2362" i="44"/>
  <c r="A1645" i="44"/>
  <c r="A1642" i="44"/>
  <c r="A1592" i="44"/>
  <c r="A1843" i="44"/>
  <c r="A1910" i="44"/>
  <c r="A2193" i="44"/>
  <c r="A3015" i="44"/>
  <c r="A2995" i="44"/>
  <c r="A1768" i="44"/>
  <c r="A3012" i="44"/>
  <c r="A2750" i="44"/>
  <c r="M192" i="44"/>
  <c r="A3014" i="44"/>
  <c r="A3126" i="44"/>
  <c r="A1714" i="44"/>
  <c r="A3086" i="44"/>
  <c r="A2466" i="44"/>
  <c r="A1844" i="44"/>
  <c r="A2348" i="44"/>
  <c r="A2959" i="44"/>
  <c r="M166" i="44"/>
  <c r="A2780" i="44"/>
  <c r="A2021" i="44"/>
  <c r="A1950" i="44"/>
  <c r="A3002" i="44"/>
  <c r="A2027" i="44"/>
  <c r="A3134" i="44"/>
  <c r="A3153" i="44"/>
  <c r="A1863" i="44"/>
  <c r="A2961" i="44"/>
  <c r="A1939" i="44"/>
  <c r="A1909" i="44"/>
  <c r="A2850" i="44"/>
  <c r="A2061" i="44"/>
  <c r="A1643" i="44"/>
  <c r="A2494" i="44"/>
  <c r="A2890" i="44"/>
  <c r="A1607" i="44"/>
  <c r="A1711" i="44"/>
  <c r="A1638" i="44"/>
  <c r="A3158" i="44"/>
  <c r="A1945" i="44"/>
  <c r="A1712" i="44"/>
  <c r="A1813" i="44"/>
  <c r="A2774" i="44"/>
  <c r="A2202" i="44"/>
  <c r="A1767" i="44"/>
  <c r="A1882" i="44"/>
  <c r="A1634" i="44"/>
  <c r="A3008" i="44"/>
  <c r="A2198" i="44"/>
  <c r="A2194" i="44"/>
  <c r="A1614" i="44"/>
  <c r="A2226" i="44"/>
  <c r="A2203" i="44"/>
  <c r="A3044" i="44"/>
  <c r="A1935" i="44"/>
  <c r="L168" i="44"/>
  <c r="N168" i="44" s="1"/>
  <c r="F168" i="44" s="1"/>
  <c r="A1695" i="44"/>
  <c r="A2037" i="44"/>
  <c r="A1720" i="44"/>
  <c r="A2340" i="44"/>
  <c r="A2272" i="44"/>
  <c r="A2369" i="44"/>
  <c r="A1600" i="44"/>
  <c r="A178" i="44"/>
  <c r="A1599" i="44"/>
  <c r="A1698" i="44"/>
  <c r="A1601" i="44"/>
  <c r="A194" i="44"/>
  <c r="A2745" i="44"/>
  <c r="A1889" i="44"/>
  <c r="A2316" i="44"/>
  <c r="A1963" i="44"/>
  <c r="A2960" i="44"/>
  <c r="A3011" i="44"/>
  <c r="A2531" i="44"/>
  <c r="A1845" i="44"/>
  <c r="A2350" i="44"/>
  <c r="A2235" i="44"/>
  <c r="A1657" i="44"/>
  <c r="A1960" i="44"/>
  <c r="A2313" i="44"/>
  <c r="A2777" i="44"/>
  <c r="A1965" i="44"/>
  <c r="A1862" i="44"/>
  <c r="A3135" i="44"/>
  <c r="A2830" i="44"/>
  <c r="A2671" i="44"/>
  <c r="A1632" i="44"/>
  <c r="A1982" i="44"/>
  <c r="A3094" i="44"/>
  <c r="A2737" i="44"/>
  <c r="A2365" i="44"/>
  <c r="A1870" i="44"/>
  <c r="A2558" i="44"/>
  <c r="A1699" i="44"/>
  <c r="A1804" i="44"/>
  <c r="A2732" i="44"/>
  <c r="A1886" i="44"/>
  <c r="A2660" i="44"/>
  <c r="A2667" i="44"/>
  <c r="A2939" i="44"/>
  <c r="A3165" i="44"/>
  <c r="A1994" i="44"/>
  <c r="A1752" i="44"/>
  <c r="A2633" i="44"/>
  <c r="A2838" i="44"/>
  <c r="A2482" i="44"/>
  <c r="A2409" i="44"/>
  <c r="A1809" i="44"/>
  <c r="A1651" i="44"/>
  <c r="A3119" i="44"/>
  <c r="A1911" i="44"/>
  <c r="A1922" i="44"/>
  <c r="A2347" i="44"/>
  <c r="A2049" i="44"/>
  <c r="A1716" i="44"/>
  <c r="A2530" i="44"/>
  <c r="A1868" i="44"/>
  <c r="A1855" i="44"/>
  <c r="A2767" i="44"/>
  <c r="A1653" i="44"/>
  <c r="A2772" i="44"/>
  <c r="M154" i="44"/>
  <c r="A2629" i="44"/>
  <c r="A2100" i="44"/>
  <c r="A2926" i="44"/>
  <c r="A3036" i="44"/>
  <c r="A1866" i="44"/>
  <c r="A2748" i="44"/>
  <c r="A1858" i="44"/>
  <c r="A2742" i="44"/>
  <c r="A2080" i="44"/>
  <c r="A2525" i="44"/>
  <c r="A1857" i="44"/>
  <c r="A3024" i="44"/>
  <c r="A1985" i="44"/>
  <c r="A2074" i="44"/>
  <c r="A2015" i="44"/>
  <c r="A2134" i="44"/>
  <c r="A3120" i="44"/>
  <c r="A2309" i="44"/>
  <c r="A2337" i="44"/>
  <c r="A2426" i="44"/>
  <c r="A1597" i="44"/>
  <c r="A2406" i="44"/>
  <c r="A1641" i="44"/>
  <c r="A2192" i="44"/>
  <c r="A3045" i="44"/>
  <c r="A2036" i="44"/>
  <c r="A2747" i="44"/>
  <c r="A2411" i="44"/>
  <c r="A3016" i="44"/>
  <c r="A2438" i="44"/>
  <c r="A1861" i="44"/>
  <c r="A1881" i="44"/>
  <c r="A1686" i="44"/>
  <c r="G969" i="44"/>
  <c r="G970" i="44" s="1"/>
  <c r="G971" i="44" s="1"/>
  <c r="G972" i="44" s="1"/>
  <c r="G973" i="44" s="1"/>
  <c r="G974" i="44" s="1"/>
  <c r="G975" i="44" s="1"/>
  <c r="G976" i="44" s="1"/>
  <c r="G977" i="44" s="1"/>
  <c r="G978" i="44" s="1"/>
  <c r="G979" i="44" s="1"/>
  <c r="G980" i="44" s="1"/>
  <c r="G981" i="44" s="1"/>
  <c r="G982" i="44" s="1"/>
  <c r="G983" i="44" s="1"/>
  <c r="G984" i="44" s="1"/>
  <c r="G985" i="44" s="1"/>
  <c r="G986" i="44" s="1"/>
  <c r="G987" i="44" s="1"/>
  <c r="G988" i="44" s="1"/>
  <c r="G989" i="44" s="1"/>
  <c r="G990" i="44" s="1"/>
  <c r="G991" i="44" s="1"/>
  <c r="G992" i="44" s="1"/>
  <c r="G993" i="44" s="1"/>
  <c r="G994" i="44" s="1"/>
  <c r="G995" i="44" s="1"/>
  <c r="G996" i="44" s="1"/>
  <c r="G997" i="44" s="1"/>
  <c r="G998" i="44" s="1"/>
  <c r="G999" i="44" s="1"/>
  <c r="G1000" i="44" s="1"/>
  <c r="G1001" i="44" s="1"/>
  <c r="G1002" i="44" s="1"/>
  <c r="G1003" i="44" s="1"/>
  <c r="G1004" i="44" s="1"/>
  <c r="G1005" i="44" s="1"/>
  <c r="G1006" i="44" s="1"/>
  <c r="G1007" i="44" s="1"/>
  <c r="G1008" i="44" s="1"/>
  <c r="G1009" i="44" s="1"/>
  <c r="G1010" i="44" s="1"/>
  <c r="G1011" i="44" s="1"/>
  <c r="G1012" i="44" s="1"/>
  <c r="G1013" i="44" s="1"/>
  <c r="G1014" i="44" s="1"/>
  <c r="G1015" i="44" s="1"/>
  <c r="G1016" i="44" s="1"/>
  <c r="G1017" i="44" s="1"/>
  <c r="G1018" i="44" s="1"/>
  <c r="G1019" i="44" s="1"/>
  <c r="G1020" i="44" s="1"/>
  <c r="G1021" i="44" s="1"/>
  <c r="G1022" i="44" s="1"/>
  <c r="G1023" i="44" s="1"/>
  <c r="G1024" i="44" s="1"/>
  <c r="G1025" i="44" s="1"/>
  <c r="G1026" i="44" s="1"/>
  <c r="G1027" i="44" s="1"/>
  <c r="G1028" i="44" s="1"/>
  <c r="G1029" i="44" s="1"/>
  <c r="G1030" i="44" s="1"/>
  <c r="G1031" i="44" s="1"/>
  <c r="G1032" i="44" s="1"/>
  <c r="G1033" i="44" s="1"/>
  <c r="G1034" i="44" s="1"/>
  <c r="G1035" i="44" s="1"/>
  <c r="G1036" i="44" s="1"/>
  <c r="G1037" i="44" s="1"/>
  <c r="G1038" i="44" s="1"/>
  <c r="G1039" i="44" s="1"/>
  <c r="G1040" i="44" s="1"/>
  <c r="G1041" i="44" s="1"/>
  <c r="G1042" i="44" s="1"/>
  <c r="G1043" i="44" s="1"/>
  <c r="G1044" i="44" s="1"/>
  <c r="G1045" i="44" s="1"/>
  <c r="G1046" i="44" s="1"/>
  <c r="G1047" i="44" s="1"/>
  <c r="G1048" i="44" s="1"/>
  <c r="G1049" i="44" s="1"/>
  <c r="G1050" i="44" s="1"/>
  <c r="G1051" i="44" s="1"/>
  <c r="G1052" i="44" s="1"/>
  <c r="G1053" i="44" s="1"/>
  <c r="G1054" i="44" s="1"/>
  <c r="G1055" i="44" s="1"/>
  <c r="G1056" i="44" s="1"/>
  <c r="G1057" i="44" s="1"/>
  <c r="G1058" i="44" s="1"/>
  <c r="G1059" i="44" s="1"/>
  <c r="G1060" i="44" s="1"/>
  <c r="G1061" i="44" s="1"/>
  <c r="G1062" i="44" s="1"/>
  <c r="G1063" i="44" s="1"/>
  <c r="G1064" i="44" s="1"/>
  <c r="G1065" i="44" s="1"/>
  <c r="G1066" i="44" s="1"/>
  <c r="G1067" i="44" s="1"/>
  <c r="G1068" i="44" s="1"/>
  <c r="G1069" i="44" s="1"/>
  <c r="G1070" i="44" s="1"/>
  <c r="G1071" i="44" s="1"/>
  <c r="G1072" i="44" s="1"/>
  <c r="G1073" i="44" s="1"/>
  <c r="G1074" i="44" s="1"/>
  <c r="G1075" i="44" s="1"/>
  <c r="G1076" i="44" s="1"/>
  <c r="G1077" i="44" s="1"/>
  <c r="G1078" i="44" s="1"/>
  <c r="G1079" i="44" s="1"/>
  <c r="G1080" i="44" s="1"/>
  <c r="G1081" i="44" s="1"/>
  <c r="G1082" i="44" s="1"/>
  <c r="G1083" i="44" s="1"/>
  <c r="G1084" i="44" s="1"/>
  <c r="G1085" i="44" s="1"/>
  <c r="G1086" i="44" s="1"/>
  <c r="G1087" i="44" s="1"/>
  <c r="G1088" i="44" s="1"/>
  <c r="G1089" i="44" s="1"/>
  <c r="G1090" i="44" s="1"/>
  <c r="G1091" i="44" s="1"/>
  <c r="G1092" i="44" s="1"/>
  <c r="G1093" i="44" s="1"/>
  <c r="G1094" i="44" s="1"/>
  <c r="G1095" i="44" s="1"/>
  <c r="A1988" i="44"/>
  <c r="A2969" i="44"/>
  <c r="A2488" i="44"/>
  <c r="A2253" i="44"/>
  <c r="A1908" i="44"/>
  <c r="A1723" i="44"/>
  <c r="A2055" i="44"/>
  <c r="A1941" i="44"/>
  <c r="A3132" i="44"/>
  <c r="A1995" i="44"/>
  <c r="A2811" i="44"/>
  <c r="A1724" i="44"/>
  <c r="A3095" i="44"/>
  <c r="A1873" i="44"/>
  <c r="A2537" i="44"/>
  <c r="A1713" i="44"/>
  <c r="A3071" i="44"/>
  <c r="A1759" i="44"/>
  <c r="A3081" i="44"/>
  <c r="L180" i="44"/>
  <c r="N180" i="44" s="1"/>
  <c r="F180" i="44" s="1"/>
  <c r="A1943" i="44"/>
  <c r="A1894" i="44"/>
  <c r="A1822" i="44"/>
  <c r="A2971" i="44"/>
  <c r="A3090" i="44"/>
  <c r="A2245" i="44"/>
  <c r="L182" i="44"/>
  <c r="N182" i="44" s="1"/>
  <c r="F182" i="44" s="1"/>
  <c r="A2023" i="44"/>
  <c r="A2970" i="44"/>
  <c r="A1902" i="44"/>
  <c r="A2691" i="44"/>
  <c r="A1761" i="44"/>
  <c r="A1997" i="44"/>
  <c r="A1869" i="44"/>
  <c r="A2828" i="44"/>
  <c r="A2271" i="44"/>
  <c r="A2200" i="44"/>
  <c r="A2859" i="44"/>
  <c r="A2020" i="44"/>
  <c r="A1978" i="44"/>
  <c r="A1610" i="44"/>
  <c r="A3077" i="44"/>
  <c r="A3005" i="44"/>
  <c r="A2018" i="44"/>
  <c r="A1893" i="44"/>
  <c r="A2473" i="44"/>
  <c r="A2035" i="44"/>
  <c r="A2210" i="44"/>
  <c r="A2721" i="44"/>
  <c r="G1510" i="44"/>
  <c r="G1511" i="44" s="1"/>
  <c r="G1512" i="44" s="1"/>
  <c r="G1513" i="44" s="1"/>
  <c r="G1514" i="44" s="1"/>
  <c r="G1515" i="44" s="1"/>
  <c r="G1516" i="44" s="1"/>
  <c r="G1517" i="44" s="1"/>
  <c r="G1518" i="44" s="1"/>
  <c r="G1519" i="44" s="1"/>
  <c r="G1520" i="44" s="1"/>
  <c r="G1521" i="44" s="1"/>
  <c r="G1522" i="44" s="1"/>
  <c r="G1523" i="44" s="1"/>
  <c r="G1524" i="44" s="1"/>
  <c r="G1525" i="44" s="1"/>
  <c r="G1526" i="44" s="1"/>
  <c r="G1527" i="44" s="1"/>
  <c r="G1528" i="44" s="1"/>
  <c r="G1529" i="44" s="1"/>
  <c r="G1530" i="44" s="1"/>
  <c r="G1531" i="44" s="1"/>
  <c r="G1532" i="44" s="1"/>
  <c r="G1533" i="44" s="1"/>
  <c r="G1534" i="44" s="1"/>
  <c r="G1535" i="44" s="1"/>
  <c r="G1536" i="44" s="1"/>
  <c r="G1537" i="44" s="1"/>
  <c r="G1538" i="44" s="1"/>
  <c r="G1539" i="44" s="1"/>
  <c r="G1540" i="44" s="1"/>
  <c r="G1541" i="44" s="1"/>
  <c r="G1542" i="44" s="1"/>
  <c r="G1543" i="44" s="1"/>
  <c r="G1544" i="44" s="1"/>
  <c r="G1545" i="44" s="1"/>
  <c r="G1546" i="44" s="1"/>
  <c r="G1547" i="44" s="1"/>
  <c r="G1548" i="44" s="1"/>
  <c r="G1549" i="44" s="1"/>
  <c r="G1550" i="44" s="1"/>
  <c r="G1551" i="44" s="1"/>
  <c r="G1552" i="44" s="1"/>
  <c r="G1553" i="44" s="1"/>
  <c r="G1554" i="44" s="1"/>
  <c r="G1555" i="44" s="1"/>
  <c r="G1556" i="44" s="1"/>
  <c r="G1557" i="44" s="1"/>
  <c r="G1558" i="44" s="1"/>
  <c r="G1559" i="44" s="1"/>
  <c r="G1560" i="44" s="1"/>
  <c r="G1561" i="44" s="1"/>
  <c r="G1562" i="44" s="1"/>
  <c r="A21" i="21" s="1"/>
  <c r="A3037" i="44"/>
  <c r="A1975" i="44"/>
  <c r="A1718" i="44"/>
  <c r="A2154" i="44"/>
  <c r="A2153" i="44"/>
  <c r="A170" i="44"/>
  <c r="A1782" i="44"/>
  <c r="A2730" i="44"/>
  <c r="A1736" i="44"/>
  <c r="A2458" i="44"/>
  <c r="G748" i="44"/>
  <c r="G749" i="44" s="1"/>
  <c r="G750" i="44" s="1"/>
  <c r="G751" i="44" s="1"/>
  <c r="G752" i="44" s="1"/>
  <c r="G753" i="44" s="1"/>
  <c r="G754" i="44" s="1"/>
  <c r="G755" i="44" s="1"/>
  <c r="G756" i="44" s="1"/>
  <c r="G757" i="44" s="1"/>
  <c r="G758" i="44" s="1"/>
  <c r="G759" i="44" s="1"/>
  <c r="G760" i="44" s="1"/>
  <c r="G761" i="44" s="1"/>
  <c r="G762" i="44" s="1"/>
  <c r="G763" i="44" s="1"/>
  <c r="G764" i="44" s="1"/>
  <c r="G765" i="44" s="1"/>
  <c r="G766" i="44" s="1"/>
  <c r="G767" i="44" s="1"/>
  <c r="G768" i="44" s="1"/>
  <c r="G769" i="44" s="1"/>
  <c r="G770" i="44" s="1"/>
  <c r="G771" i="44" s="1"/>
  <c r="G772" i="44" s="1"/>
  <c r="G773" i="44" s="1"/>
  <c r="G774" i="44" s="1"/>
  <c r="G775" i="44" s="1"/>
  <c r="G776" i="44" s="1"/>
  <c r="G777" i="44" s="1"/>
  <c r="G778" i="44" s="1"/>
  <c r="G779" i="44" s="1"/>
  <c r="G780" i="44" s="1"/>
  <c r="G781" i="44" s="1"/>
  <c r="G782" i="44" s="1"/>
  <c r="G783" i="44" s="1"/>
  <c r="G784" i="44" s="1"/>
  <c r="G785" i="44" s="1"/>
  <c r="G786" i="44" s="1"/>
  <c r="G787" i="44" s="1"/>
  <c r="G788" i="44" s="1"/>
  <c r="G789" i="44" s="1"/>
  <c r="G790" i="44" s="1"/>
  <c r="G791" i="44" s="1"/>
  <c r="G792" i="44" s="1"/>
  <c r="G793" i="44" s="1"/>
  <c r="G794" i="44" s="1"/>
  <c r="G795" i="44" s="1"/>
  <c r="G796" i="44" s="1"/>
  <c r="G797" i="44" s="1"/>
  <c r="G798" i="44" s="1"/>
  <c r="G799" i="44" s="1"/>
  <c r="G800" i="44" s="1"/>
  <c r="G801" i="44" s="1"/>
  <c r="G802" i="44" s="1"/>
  <c r="G803" i="44" s="1"/>
  <c r="G804" i="44" s="1"/>
  <c r="G805" i="44" s="1"/>
  <c r="G806" i="44" s="1"/>
  <c r="G807" i="44" s="1"/>
  <c r="G808" i="44" s="1"/>
  <c r="G809" i="44" s="1"/>
  <c r="G810" i="44" s="1"/>
  <c r="G811" i="44" s="1"/>
  <c r="G812" i="44" s="1"/>
  <c r="G813" i="44" s="1"/>
  <c r="G814" i="44" s="1"/>
  <c r="G815" i="44" s="1"/>
  <c r="G816" i="44" s="1"/>
  <c r="G817" i="44" s="1"/>
  <c r="G818" i="44" s="1"/>
  <c r="G819" i="44" s="1"/>
  <c r="G820" i="44" s="1"/>
  <c r="G821" i="44" s="1"/>
  <c r="G822" i="44" s="1"/>
  <c r="G823" i="44" s="1"/>
  <c r="G824" i="44" s="1"/>
  <c r="G825" i="44" s="1"/>
  <c r="G826" i="44" s="1"/>
  <c r="G827" i="44" s="1"/>
  <c r="G828" i="44" s="1"/>
  <c r="G829" i="44" s="1"/>
  <c r="G830" i="44" s="1"/>
  <c r="G831" i="44" s="1"/>
  <c r="G832" i="44" s="1"/>
  <c r="G833" i="44" s="1"/>
  <c r="G834" i="44" s="1"/>
  <c r="G835" i="44" s="1"/>
  <c r="G836" i="44" s="1"/>
  <c r="G837" i="44" s="1"/>
  <c r="G838" i="44" s="1"/>
  <c r="G839" i="44" s="1"/>
  <c r="G840" i="44" s="1"/>
  <c r="G841" i="44" s="1"/>
  <c r="G842" i="44" s="1"/>
  <c r="G843" i="44" s="1"/>
  <c r="G844" i="44" s="1"/>
  <c r="G845" i="44" s="1"/>
  <c r="G846" i="44" s="1"/>
  <c r="G847" i="44" s="1"/>
  <c r="G848" i="44" s="1"/>
  <c r="G849" i="44" s="1"/>
  <c r="G850" i="44" s="1"/>
  <c r="G851" i="44" s="1"/>
  <c r="G852" i="44" s="1"/>
  <c r="G853" i="44" s="1"/>
  <c r="G854" i="44" s="1"/>
  <c r="G855" i="44" s="1"/>
  <c r="G856" i="44" s="1"/>
  <c r="G857" i="44" s="1"/>
  <c r="G858" i="44" s="1"/>
  <c r="G859" i="44" s="1"/>
  <c r="G860" i="44" s="1"/>
  <c r="G861" i="44" s="1"/>
  <c r="G862" i="44" s="1"/>
  <c r="G863" i="44" s="1"/>
  <c r="G864" i="44" s="1"/>
  <c r="G865" i="44" s="1"/>
  <c r="G866" i="44" s="1"/>
  <c r="G867" i="44" s="1"/>
  <c r="G868" i="44" s="1"/>
  <c r="G869" i="44" s="1"/>
  <c r="G870" i="44" s="1"/>
  <c r="G871" i="44" s="1"/>
  <c r="G872" i="44" s="1"/>
  <c r="G873" i="44" s="1"/>
  <c r="G874" i="44" s="1"/>
  <c r="G875" i="44" s="1"/>
  <c r="G876" i="44" s="1"/>
  <c r="G877" i="44" s="1"/>
  <c r="G878" i="44" s="1"/>
  <c r="G879" i="44" s="1"/>
  <c r="G880" i="44" s="1"/>
  <c r="G881" i="44" s="1"/>
  <c r="G882" i="44" s="1"/>
  <c r="G883" i="44" s="1"/>
  <c r="G884" i="44" s="1"/>
  <c r="G885" i="44" s="1"/>
  <c r="G886" i="44" s="1"/>
  <c r="G887" i="44" s="1"/>
  <c r="G888" i="44" s="1"/>
  <c r="G889" i="44" s="1"/>
  <c r="G890" i="44" s="1"/>
  <c r="G891" i="44" s="1"/>
  <c r="G892" i="44" s="1"/>
  <c r="G893" i="44" s="1"/>
  <c r="G894" i="44" s="1"/>
  <c r="G895" i="44" s="1"/>
  <c r="G896" i="44" s="1"/>
  <c r="G897" i="44" s="1"/>
  <c r="G898" i="44" s="1"/>
  <c r="G899" i="44" s="1"/>
  <c r="G900" i="44" s="1"/>
  <c r="G901" i="44" s="1"/>
  <c r="G902" i="44" s="1"/>
  <c r="G903" i="44" s="1"/>
  <c r="G904" i="44" s="1"/>
  <c r="G905" i="44" s="1"/>
  <c r="G906" i="44" s="1"/>
  <c r="G907" i="44" s="1"/>
  <c r="G908" i="44" s="1"/>
  <c r="G909" i="44" s="1"/>
  <c r="G910" i="44" s="1"/>
  <c r="G911" i="44" s="1"/>
  <c r="G912" i="44" s="1"/>
  <c r="G913" i="44" s="1"/>
  <c r="G914" i="44" s="1"/>
  <c r="G915" i="44" s="1"/>
  <c r="G916" i="44" s="1"/>
  <c r="G917" i="44" s="1"/>
  <c r="G918" i="44" s="1"/>
  <c r="A13" i="21" s="1"/>
  <c r="A2254" i="44"/>
  <c r="A2684" i="44"/>
  <c r="A3067" i="44"/>
  <c r="M178" i="44"/>
  <c r="L152" i="44"/>
  <c r="N152" i="44" s="1"/>
  <c r="F152" i="44" s="1"/>
  <c r="A2856" i="44"/>
  <c r="A2058" i="44"/>
  <c r="A2101" i="44"/>
  <c r="A2542" i="44"/>
  <c r="A1892" i="44"/>
  <c r="A2248" i="44"/>
  <c r="A2769" i="44"/>
  <c r="A2395" i="44"/>
  <c r="A2919" i="44"/>
  <c r="A3041" i="44"/>
  <c r="A3020" i="44"/>
  <c r="A1964" i="44"/>
  <c r="A3073" i="44"/>
  <c r="L158" i="44"/>
  <c r="N158" i="44" s="1"/>
  <c r="F158" i="44" s="1"/>
  <c r="A1973" i="44"/>
  <c r="A3004" i="44"/>
  <c r="A1946" i="44"/>
  <c r="A2779" i="44"/>
  <c r="A2425" i="44"/>
  <c r="A2519" i="44"/>
  <c r="A1821" i="44"/>
  <c r="A1701" i="44"/>
  <c r="A2031" i="44"/>
  <c r="A2615" i="44"/>
  <c r="A1927" i="44"/>
  <c r="A2032" i="44"/>
  <c r="A2634" i="44"/>
  <c r="A2366" i="44"/>
  <c r="A2786" i="44"/>
  <c r="A2816" i="44"/>
  <c r="A2686" i="44"/>
  <c r="A1891" i="44"/>
  <c r="A2934" i="44"/>
  <c r="A2287" i="44"/>
  <c r="A2743" i="44"/>
  <c r="A1654" i="44"/>
  <c r="A3097" i="44"/>
  <c r="A2333" i="44"/>
  <c r="A2047" i="44"/>
  <c r="A2276" i="44"/>
  <c r="A2479" i="44"/>
  <c r="A2050" i="44"/>
  <c r="A1918" i="44"/>
  <c r="A1816" i="44"/>
  <c r="A2477" i="44"/>
  <c r="A2467" i="44"/>
  <c r="A2540" i="44"/>
  <c r="G6" i="44"/>
  <c r="G7" i="44" s="1"/>
  <c r="G8" i="44" s="1"/>
  <c r="G9" i="44" s="1"/>
  <c r="G10" i="44" s="1"/>
  <c r="G11" i="44" s="1"/>
  <c r="G12" i="44" s="1"/>
  <c r="G13" i="44" s="1"/>
  <c r="G14" i="44" s="1"/>
  <c r="G15" i="44" s="1"/>
  <c r="G16" i="44" s="1"/>
  <c r="G17" i="44" s="1"/>
  <c r="G18" i="44" s="1"/>
  <c r="G19" i="44" s="1"/>
  <c r="G20" i="44" s="1"/>
  <c r="G21" i="44" s="1"/>
  <c r="G22" i="44" s="1"/>
  <c r="G23" i="44" s="1"/>
  <c r="G24" i="44" s="1"/>
  <c r="G25" i="44" s="1"/>
  <c r="G26" i="44" s="1"/>
  <c r="G27" i="44" s="1"/>
  <c r="G28" i="44" s="1"/>
  <c r="G29" i="44" s="1"/>
  <c r="G30" i="44" s="1"/>
  <c r="G31" i="44" s="1"/>
  <c r="G32" i="44" s="1"/>
  <c r="G33" i="44" s="1"/>
  <c r="G34" i="44" s="1"/>
  <c r="G35" i="44" s="1"/>
  <c r="G36" i="44" s="1"/>
  <c r="G37" i="44" s="1"/>
  <c r="G38" i="44" s="1"/>
  <c r="G39" i="44" s="1"/>
  <c r="G40" i="44" s="1"/>
  <c r="G41" i="44" s="1"/>
  <c r="G42" i="44" s="1"/>
  <c r="G43" i="44" s="1"/>
  <c r="G44" i="44" s="1"/>
  <c r="G45" i="44" s="1"/>
  <c r="G46" i="44" s="1"/>
  <c r="G47" i="44" s="1"/>
  <c r="G48" i="44" s="1"/>
  <c r="G49" i="44" s="1"/>
  <c r="G50" i="44" s="1"/>
  <c r="G51" i="44" s="1"/>
  <c r="G52" i="44" s="1"/>
  <c r="G53" i="44" s="1"/>
  <c r="G54" i="44" s="1"/>
  <c r="G55" i="44" s="1"/>
  <c r="G56" i="44" s="1"/>
  <c r="G57" i="44" s="1"/>
  <c r="G58" i="44" s="1"/>
  <c r="G59" i="44" s="1"/>
  <c r="G60" i="44" s="1"/>
  <c r="G61" i="44" s="1"/>
  <c r="G62" i="44" s="1"/>
  <c r="G63" i="44" s="1"/>
  <c r="G64" i="44" s="1"/>
  <c r="G65" i="44" s="1"/>
  <c r="G66" i="44" s="1"/>
  <c r="G67" i="44" s="1"/>
  <c r="G68" i="44" s="1"/>
  <c r="G69" i="44" s="1"/>
  <c r="G70" i="44" s="1"/>
  <c r="G71" i="44" s="1"/>
  <c r="G72" i="44" s="1"/>
  <c r="G73" i="44" s="1"/>
  <c r="G74" i="44" s="1"/>
  <c r="G75" i="44" s="1"/>
  <c r="G76" i="44" s="1"/>
  <c r="G77" i="44" s="1"/>
  <c r="G78" i="44" s="1"/>
  <c r="G79" i="44" s="1"/>
  <c r="G80" i="44" s="1"/>
  <c r="G81" i="44" s="1"/>
  <c r="G82" i="44" s="1"/>
  <c r="G83" i="44" s="1"/>
  <c r="G84" i="44" s="1"/>
  <c r="G85" i="44" s="1"/>
  <c r="G86" i="44" s="1"/>
  <c r="G87" i="44" s="1"/>
  <c r="G88" i="44" s="1"/>
  <c r="G89" i="44" s="1"/>
  <c r="G90" i="44" s="1"/>
  <c r="G91" i="44" s="1"/>
  <c r="G92" i="44" s="1"/>
  <c r="G93" i="44" s="1"/>
  <c r="G94" i="44" s="1"/>
  <c r="G95" i="44" s="1"/>
  <c r="G96" i="44" s="1"/>
  <c r="G97" i="44" s="1"/>
  <c r="G98" i="44" s="1"/>
  <c r="G99" i="44" s="1"/>
  <c r="G100" i="44" s="1"/>
  <c r="G101" i="44" s="1"/>
  <c r="G102" i="44" s="1"/>
  <c r="G103" i="44" s="1"/>
  <c r="G104" i="44" s="1"/>
  <c r="G105" i="44" s="1"/>
  <c r="G106" i="44" s="1"/>
  <c r="G107" i="44" s="1"/>
  <c r="G108" i="44" s="1"/>
  <c r="G109" i="44" s="1"/>
  <c r="G110" i="44" s="1"/>
  <c r="G111" i="44" s="1"/>
  <c r="G112" i="44" s="1"/>
  <c r="G113" i="44" s="1"/>
  <c r="G114" i="44" s="1"/>
  <c r="G115" i="44" s="1"/>
  <c r="G116" i="44" s="1"/>
  <c r="G117" i="44" s="1"/>
  <c r="G118" i="44" s="1"/>
  <c r="G119" i="44" s="1"/>
  <c r="G120" i="44" s="1"/>
  <c r="G121" i="44" s="1"/>
  <c r="G122" i="44" s="1"/>
  <c r="G123" i="44" s="1"/>
  <c r="G124" i="44" s="1"/>
  <c r="G125" i="44" s="1"/>
  <c r="G126" i="44" s="1"/>
  <c r="G127" i="44" s="1"/>
  <c r="G128" i="44" s="1"/>
  <c r="G129" i="44" s="1"/>
  <c r="G130" i="44" s="1"/>
  <c r="G131" i="44" s="1"/>
  <c r="G132" i="44" s="1"/>
  <c r="G133" i="44" s="1"/>
  <c r="A5" i="21" s="1"/>
  <c r="A3151" i="44"/>
  <c r="A2810" i="44"/>
  <c r="A2740" i="44"/>
  <c r="A1850" i="44"/>
  <c r="A1905" i="44"/>
  <c r="A2829" i="44"/>
  <c r="A2038" i="44"/>
  <c r="A2735" i="44"/>
  <c r="A2879" i="44"/>
  <c r="A3161" i="44"/>
  <c r="A2854" i="44"/>
  <c r="A182" i="44"/>
  <c r="A1703" i="44"/>
  <c r="A1637" i="44"/>
  <c r="A1887" i="44"/>
  <c r="A2381" i="44"/>
  <c r="A1604" i="44"/>
  <c r="A1688" i="44"/>
  <c r="L188" i="44"/>
  <c r="N188" i="44" s="1"/>
  <c r="F188" i="44" s="1"/>
  <c r="A154" i="44"/>
  <c r="G140" i="44"/>
  <c r="G141" i="44" s="1"/>
  <c r="G142" i="44" s="1"/>
  <c r="G143" i="44" s="1"/>
  <c r="G144" i="44" s="1"/>
  <c r="G145" i="44" s="1"/>
  <c r="G146" i="44" s="1"/>
  <c r="G147" i="44" s="1"/>
  <c r="A2862" i="44"/>
  <c r="A2374" i="44"/>
  <c r="A1586" i="44"/>
  <c r="A2485" i="44"/>
  <c r="A1587" i="44"/>
  <c r="A3046" i="44"/>
  <c r="A2526" i="44"/>
  <c r="A2241" i="44"/>
  <c r="A2223" i="44"/>
  <c r="A188" i="44"/>
  <c r="A1812" i="44"/>
  <c r="A3039" i="44"/>
  <c r="A1856" i="44"/>
  <c r="A2311" i="44"/>
  <c r="A2039" i="44"/>
  <c r="A2012" i="44"/>
  <c r="A1811" i="44"/>
  <c r="A1986" i="44"/>
  <c r="A2544" i="44"/>
  <c r="A2332" i="44"/>
  <c r="A2052" i="44"/>
  <c r="A2407" i="44"/>
  <c r="A1865" i="44"/>
  <c r="A2543" i="44"/>
  <c r="A1794" i="44"/>
  <c r="A1993" i="44"/>
  <c r="A2516" i="44"/>
  <c r="A3040" i="44"/>
  <c r="A1739" i="44"/>
  <c r="A2297" i="44"/>
  <c r="A3061" i="44"/>
  <c r="A2220" i="44"/>
  <c r="A2355" i="44"/>
  <c r="A2155" i="44"/>
  <c r="A2433" i="44"/>
  <c r="A2700" i="44"/>
  <c r="A1681" i="44"/>
  <c r="A2352" i="44"/>
  <c r="A1710" i="44"/>
  <c r="A2798" i="44"/>
  <c r="A2481" i="44"/>
  <c r="A1916" i="44"/>
  <c r="A1725" i="44"/>
  <c r="A2572" i="44"/>
  <c r="A2892" i="44"/>
  <c r="A3092" i="44"/>
  <c r="A2536" i="44"/>
  <c r="A2378" i="44"/>
  <c r="A1656" i="44"/>
  <c r="A1938" i="44"/>
  <c r="A2635" i="44"/>
  <c r="A2175" i="44"/>
  <c r="A2057" i="44"/>
  <c r="A2189" i="44"/>
  <c r="A2666" i="44"/>
  <c r="A2108" i="44"/>
  <c r="A2305" i="44"/>
  <c r="A3124" i="44"/>
  <c r="A1952" i="44"/>
  <c r="A2997" i="44"/>
  <c r="A2521" i="44"/>
  <c r="A1885" i="44"/>
  <c r="A1915" i="44"/>
  <c r="A2042" i="44"/>
  <c r="A2233" i="44"/>
  <c r="A1842" i="44"/>
  <c r="A3054" i="44"/>
  <c r="A3128" i="44"/>
  <c r="A1928" i="44"/>
  <c r="A1706" i="44"/>
  <c r="A3160" i="44"/>
  <c r="A1639" i="44"/>
  <c r="A2304" i="44"/>
  <c r="A2486" i="44"/>
  <c r="A2207" i="44"/>
  <c r="A1875" i="44"/>
  <c r="A2910" i="44"/>
  <c r="A2596" i="44"/>
  <c r="L202" i="44"/>
  <c r="N202" i="44" s="1"/>
  <c r="F202" i="44" s="1"/>
  <c r="A2129" i="44"/>
  <c r="A1808" i="44"/>
  <c r="A1762" i="44"/>
  <c r="A2054" i="44"/>
  <c r="A2006" i="44"/>
  <c r="A2238" i="44"/>
  <c r="A2783" i="44"/>
  <c r="A1702" i="44"/>
  <c r="A2484" i="44"/>
  <c r="A180" i="44"/>
  <c r="A1944" i="44"/>
  <c r="A3102" i="44"/>
  <c r="A158" i="44"/>
  <c r="A2282" i="44"/>
  <c r="A2040" i="44"/>
  <c r="A2884" i="44"/>
  <c r="G925" i="44"/>
  <c r="G926" i="44" s="1"/>
  <c r="G927" i="44" s="1"/>
  <c r="G928" i="44" s="1"/>
  <c r="G929" i="44" s="1"/>
  <c r="G930" i="44" s="1"/>
  <c r="G931" i="44" s="1"/>
  <c r="G932" i="44" s="1"/>
  <c r="G933" i="44" s="1"/>
  <c r="G934" i="44" s="1"/>
  <c r="G935" i="44" s="1"/>
  <c r="G936" i="44" s="1"/>
  <c r="G937" i="44" s="1"/>
  <c r="A1613" i="44"/>
  <c r="A2239" i="44"/>
  <c r="A150" i="44"/>
  <c r="A2281" i="44"/>
  <c r="A1983" i="44"/>
  <c r="A3162" i="44"/>
  <c r="A3007" i="44"/>
  <c r="A3129" i="44"/>
  <c r="A3082" i="44"/>
  <c r="A2773" i="44"/>
  <c r="A3096" i="44"/>
  <c r="A2228" i="44"/>
  <c r="A2030" i="44"/>
  <c r="A1640" i="44"/>
  <c r="A1770" i="44"/>
  <c r="A2056" i="44"/>
  <c r="A3027" i="44"/>
  <c r="A1951" i="44"/>
  <c r="A1707" i="44"/>
  <c r="A2963" i="44"/>
  <c r="L190" i="44"/>
  <c r="N190" i="44" s="1"/>
  <c r="F190" i="44" s="1"/>
  <c r="A1633" i="44"/>
  <c r="A2341" i="44"/>
  <c r="A3043" i="44"/>
  <c r="A1998" i="44"/>
  <c r="A1606" i="44"/>
  <c r="A2627" i="44"/>
  <c r="A2744" i="44"/>
  <c r="A3072" i="44"/>
  <c r="A2480" i="44"/>
  <c r="A204" i="44"/>
  <c r="M164" i="44"/>
  <c r="A2678" i="44"/>
  <c r="A2966" i="44"/>
  <c r="A2098" i="44"/>
  <c r="A1756" i="44"/>
  <c r="A2247" i="44"/>
  <c r="A1884" i="44"/>
  <c r="A3122" i="44"/>
  <c r="A2814" i="44"/>
  <c r="A2463" i="44"/>
  <c r="A2733" i="44"/>
  <c r="A2357" i="44"/>
  <c r="A2274" i="44"/>
  <c r="A2670" i="44"/>
  <c r="A1851" i="44"/>
  <c r="M156" i="44"/>
  <c r="A1810" i="44"/>
  <c r="A2209" i="44"/>
  <c r="A2817" i="44"/>
  <c r="A2029" i="44"/>
  <c r="A2707" i="44"/>
  <c r="A1778" i="44"/>
  <c r="A1763" i="44"/>
  <c r="A2448" i="44"/>
  <c r="A2234" i="44"/>
  <c r="A1936" i="44"/>
  <c r="A2230" i="44"/>
  <c r="A2661" i="44"/>
  <c r="A2343" i="44"/>
  <c r="A2512" i="44"/>
  <c r="A2024" i="44"/>
  <c r="A1785" i="44"/>
  <c r="A1684" i="44"/>
  <c r="A2478" i="44"/>
  <c r="A2746" i="44"/>
  <c r="A2696" i="44"/>
  <c r="A2979" i="44"/>
  <c r="A2143" i="44"/>
  <c r="A2618" i="44"/>
  <c r="A2383" i="44"/>
  <c r="A1658" i="44"/>
  <c r="A2103" i="44"/>
  <c r="A2805" i="44"/>
  <c r="A2172" i="44"/>
  <c r="A2459" i="44"/>
  <c r="A2214" i="44"/>
  <c r="A2246" i="44"/>
  <c r="A1726" i="44"/>
  <c r="A1646" i="44"/>
  <c r="A2043" i="44"/>
  <c r="A3088" i="44"/>
  <c r="A1914" i="44"/>
  <c r="A1612" i="44"/>
  <c r="A148" i="44"/>
  <c r="A2849" i="44"/>
  <c r="A184" i="44"/>
  <c r="A3031" i="44"/>
  <c r="A2244" i="44"/>
  <c r="A1852" i="44"/>
  <c r="A1878" i="44"/>
  <c r="A3159" i="44"/>
  <c r="A2973" i="44"/>
  <c r="A2776" i="44"/>
  <c r="A3121" i="44"/>
  <c r="A1819" i="44"/>
  <c r="A3093" i="44"/>
  <c r="A3028" i="44"/>
  <c r="A1984" i="44"/>
  <c r="A1912" i="44"/>
  <c r="A1996" i="44"/>
  <c r="A2861" i="44"/>
  <c r="A1815" i="44"/>
  <c r="A2363" i="44"/>
  <c r="A2336" i="44"/>
  <c r="A2051" i="44"/>
  <c r="A206" i="44"/>
  <c r="A2631" i="44"/>
  <c r="A2822" i="44"/>
  <c r="A1980" i="44"/>
  <c r="A2004" i="44"/>
  <c r="A2808" i="44"/>
  <c r="A1901" i="44"/>
  <c r="A2062" i="44"/>
  <c r="A1992" i="44"/>
  <c r="A2016" i="44"/>
  <c r="A2013" i="44"/>
  <c r="A2727" i="44"/>
  <c r="A2034" i="44"/>
  <c r="A3157" i="44"/>
  <c r="A172" i="44"/>
  <c r="A2723" i="44"/>
  <c r="A2373" i="44"/>
  <c r="A1764" i="44"/>
  <c r="A2182" i="44"/>
  <c r="A1959" i="44"/>
  <c r="A1722" i="44"/>
  <c r="A2060" i="44"/>
  <c r="A2273" i="44"/>
  <c r="A1883" i="44"/>
  <c r="A1954" i="44"/>
  <c r="A2197" i="44"/>
  <c r="A2476" i="44"/>
  <c r="A1814" i="44"/>
  <c r="A3070" i="44"/>
  <c r="A2252" i="44"/>
  <c r="A1679" i="44"/>
  <c r="G303" i="44"/>
  <c r="G304" i="44" s="1"/>
  <c r="G305" i="44" s="1"/>
  <c r="G306" i="44" s="1"/>
  <c r="G307" i="44" s="1"/>
  <c r="G308" i="44" s="1"/>
  <c r="G309" i="44" s="1"/>
  <c r="G310" i="44" s="1"/>
  <c r="G311" i="44" s="1"/>
  <c r="G312" i="44" s="1"/>
  <c r="G313" i="44" s="1"/>
  <c r="G314" i="44" s="1"/>
  <c r="G315" i="44" s="1"/>
  <c r="G316" i="44" s="1"/>
  <c r="G317" i="44" s="1"/>
  <c r="G318" i="44" s="1"/>
  <c r="G319" i="44" s="1"/>
  <c r="G320" i="44" s="1"/>
  <c r="G321" i="44" s="1"/>
  <c r="G322" i="44" s="1"/>
  <c r="G323" i="44" s="1"/>
  <c r="G324" i="44" s="1"/>
  <c r="G325" i="44" s="1"/>
  <c r="G326" i="44" s="1"/>
  <c r="G327" i="44" s="1"/>
  <c r="G328" i="44" s="1"/>
  <c r="G329" i="44" s="1"/>
  <c r="G330" i="44" s="1"/>
  <c r="G331" i="44" s="1"/>
  <c r="G332" i="44" s="1"/>
  <c r="G333" i="44" s="1"/>
  <c r="G334" i="44" s="1"/>
  <c r="G335" i="44" s="1"/>
  <c r="G336" i="44" s="1"/>
  <c r="G337" i="44" s="1"/>
  <c r="G338" i="44" s="1"/>
  <c r="G339" i="44" s="1"/>
  <c r="G340" i="44" s="1"/>
  <c r="G341" i="44" s="1"/>
  <c r="G342" i="44" s="1"/>
  <c r="G343" i="44" s="1"/>
  <c r="G344" i="44" s="1"/>
  <c r="G345" i="44" s="1"/>
  <c r="G346" i="44" s="1"/>
  <c r="G347" i="44" s="1"/>
  <c r="G348" i="44" s="1"/>
  <c r="G349" i="44" s="1"/>
  <c r="G350" i="44" s="1"/>
  <c r="G351" i="44" s="1"/>
  <c r="G352" i="44" s="1"/>
  <c r="G353" i="44" s="1"/>
  <c r="G354" i="44" s="1"/>
  <c r="G355" i="44" s="1"/>
  <c r="G356" i="44" s="1"/>
  <c r="G357" i="44" s="1"/>
  <c r="G358" i="44" s="1"/>
  <c r="G359" i="44" s="1"/>
  <c r="G360" i="44" s="1"/>
  <c r="G361" i="44" s="1"/>
  <c r="G362" i="44" s="1"/>
  <c r="G363" i="44" s="1"/>
  <c r="G364" i="44" s="1"/>
  <c r="G365" i="44" s="1"/>
  <c r="G366" i="44" s="1"/>
  <c r="G367" i="44" s="1"/>
  <c r="G368" i="44" s="1"/>
  <c r="G369" i="44" s="1"/>
  <c r="G370" i="44" s="1"/>
  <c r="G371" i="44" s="1"/>
  <c r="G372" i="44" s="1"/>
  <c r="G373" i="44" s="1"/>
  <c r="G374" i="44" s="1"/>
  <c r="G375" i="44" s="1"/>
  <c r="G376" i="44" s="1"/>
  <c r="G377" i="44" s="1"/>
  <c r="G378" i="44" s="1"/>
  <c r="G379" i="44" s="1"/>
  <c r="G380" i="44" s="1"/>
  <c r="G381" i="44" s="1"/>
  <c r="G382" i="44" s="1"/>
  <c r="G383" i="44" s="1"/>
  <c r="G384" i="44" s="1"/>
  <c r="G385" i="44" s="1"/>
  <c r="G386" i="44" s="1"/>
  <c r="G387" i="44" s="1"/>
  <c r="G388" i="44" s="1"/>
  <c r="G389" i="44" s="1"/>
  <c r="G390" i="44" s="1"/>
  <c r="G391" i="44" s="1"/>
  <c r="G392" i="44" s="1"/>
  <c r="G393" i="44" s="1"/>
  <c r="G394" i="44" s="1"/>
  <c r="G395" i="44" s="1"/>
  <c r="G396" i="44" s="1"/>
  <c r="G397" i="44" s="1"/>
  <c r="G398" i="44" s="1"/>
  <c r="G399" i="44" s="1"/>
  <c r="G400" i="44" s="1"/>
  <c r="G401" i="44" s="1"/>
  <c r="G402" i="44" s="1"/>
  <c r="G403" i="44" s="1"/>
  <c r="G404" i="44" s="1"/>
  <c r="G405" i="44" s="1"/>
  <c r="G406" i="44" s="1"/>
  <c r="G407" i="44" s="1"/>
  <c r="G408" i="44" s="1"/>
  <c r="G409" i="44" s="1"/>
  <c r="G410" i="44" s="1"/>
  <c r="G411" i="44" s="1"/>
  <c r="G412" i="44" s="1"/>
  <c r="G413" i="44" s="1"/>
  <c r="G414" i="44" s="1"/>
  <c r="G415" i="44" s="1"/>
  <c r="G416" i="44" s="1"/>
  <c r="G417" i="44" s="1"/>
  <c r="G418" i="44" s="1"/>
  <c r="G419" i="44" s="1"/>
  <c r="G420" i="44" s="1"/>
  <c r="G421" i="44" s="1"/>
  <c r="G422" i="44" s="1"/>
  <c r="G423" i="44" s="1"/>
  <c r="G424" i="44" s="1"/>
  <c r="G425" i="44" s="1"/>
  <c r="G426" i="44" s="1"/>
  <c r="G427" i="44" s="1"/>
  <c r="G428" i="44" s="1"/>
  <c r="G429" i="44" s="1"/>
  <c r="G430" i="44" s="1"/>
  <c r="G431" i="44" s="1"/>
  <c r="G432" i="44" s="1"/>
  <c r="G433" i="44" s="1"/>
  <c r="G434" i="44" s="1"/>
  <c r="G435" i="44" s="1"/>
  <c r="G436" i="44" s="1"/>
  <c r="G437" i="44" s="1"/>
  <c r="G438" i="44" s="1"/>
  <c r="G439" i="44" s="1"/>
  <c r="G440" i="44" s="1"/>
  <c r="G441" i="44" s="1"/>
  <c r="G442" i="44" s="1"/>
  <c r="G443" i="44" s="1"/>
  <c r="G444" i="44" s="1"/>
  <c r="G445" i="44" s="1"/>
  <c r="G446" i="44" s="1"/>
  <c r="G447" i="44" s="1"/>
  <c r="G448" i="44" s="1"/>
  <c r="G449" i="44" s="1"/>
  <c r="G450" i="44" s="1"/>
  <c r="G451" i="44" s="1"/>
  <c r="G452" i="44" s="1"/>
  <c r="G453" i="44" s="1"/>
  <c r="G454" i="44" s="1"/>
  <c r="G455" i="44" s="1"/>
  <c r="G456" i="44" s="1"/>
  <c r="G457" i="44" s="1"/>
  <c r="G458" i="44" s="1"/>
  <c r="G459" i="44" s="1"/>
  <c r="G460" i="44" s="1"/>
  <c r="G461" i="44" s="1"/>
  <c r="G462" i="44" s="1"/>
  <c r="G463" i="44" s="1"/>
  <c r="G464" i="44" s="1"/>
  <c r="G465" i="44" s="1"/>
  <c r="G466" i="44" s="1"/>
  <c r="G467" i="44" s="1"/>
  <c r="G468" i="44" s="1"/>
  <c r="G469" i="44" s="1"/>
  <c r="G470" i="44" s="1"/>
  <c r="G471" i="44" s="1"/>
  <c r="G472" i="44" s="1"/>
  <c r="G473" i="44" s="1"/>
  <c r="G474" i="44" s="1"/>
  <c r="G475" i="44" s="1"/>
  <c r="G476" i="44" s="1"/>
  <c r="G477" i="44" s="1"/>
  <c r="G478" i="44" s="1"/>
  <c r="G479" i="44" s="1"/>
  <c r="G480" i="44" s="1"/>
  <c r="G481" i="44" s="1"/>
  <c r="G482" i="44" s="1"/>
  <c r="G483" i="44" s="1"/>
  <c r="G484" i="44" s="1"/>
  <c r="G485" i="44" s="1"/>
  <c r="G486" i="44" s="1"/>
  <c r="G487" i="44" s="1"/>
  <c r="G488" i="44" s="1"/>
  <c r="G489" i="44" s="1"/>
  <c r="G490" i="44" s="1"/>
  <c r="G491" i="44" s="1"/>
  <c r="G492" i="44" s="1"/>
  <c r="G493" i="44" s="1"/>
  <c r="G494" i="44" s="1"/>
  <c r="G495" i="44" s="1"/>
  <c r="G496" i="44" s="1"/>
  <c r="G497" i="44" s="1"/>
  <c r="G498" i="44" s="1"/>
  <c r="G499" i="44" s="1"/>
  <c r="G500" i="44" s="1"/>
  <c r="G501" i="44" s="1"/>
  <c r="G502" i="44" s="1"/>
  <c r="G503" i="44" s="1"/>
  <c r="G504" i="44" s="1"/>
  <c r="G505" i="44" s="1"/>
  <c r="G506" i="44" s="1"/>
  <c r="G507" i="44" s="1"/>
  <c r="G508" i="44" s="1"/>
  <c r="G509" i="44" s="1"/>
  <c r="G510" i="44" s="1"/>
  <c r="G511" i="44" s="1"/>
  <c r="G512" i="44" s="1"/>
  <c r="G513" i="44" s="1"/>
  <c r="G514" i="44" s="1"/>
  <c r="G515" i="44" s="1"/>
  <c r="G516" i="44" s="1"/>
  <c r="G517" i="44" s="1"/>
  <c r="G518" i="44" s="1"/>
  <c r="G519" i="44" s="1"/>
  <c r="G520" i="44" s="1"/>
  <c r="G521" i="44" s="1"/>
  <c r="G522" i="44" s="1"/>
  <c r="G523" i="44" s="1"/>
  <c r="G524" i="44" s="1"/>
  <c r="G525" i="44" s="1"/>
  <c r="G526" i="44" s="1"/>
  <c r="G527" i="44" s="1"/>
  <c r="G528" i="44" s="1"/>
  <c r="G529" i="44" s="1"/>
  <c r="G530" i="44" s="1"/>
  <c r="G531" i="44" s="1"/>
  <c r="G532" i="44" s="1"/>
  <c r="G533" i="44" s="1"/>
  <c r="G534" i="44" s="1"/>
  <c r="G535" i="44" s="1"/>
  <c r="G536" i="44" s="1"/>
  <c r="G537" i="44" s="1"/>
  <c r="G538" i="44" s="1"/>
  <c r="G539" i="44" s="1"/>
  <c r="G540" i="44" s="1"/>
  <c r="G541" i="44" s="1"/>
  <c r="G542" i="44" s="1"/>
  <c r="G543" i="44" s="1"/>
  <c r="G544" i="44" s="1"/>
  <c r="G545" i="44" s="1"/>
  <c r="G546" i="44" s="1"/>
  <c r="G547" i="44" s="1"/>
  <c r="G548" i="44" s="1"/>
  <c r="G549" i="44" s="1"/>
  <c r="G550" i="44" s="1"/>
  <c r="G551" i="44" s="1"/>
  <c r="G552" i="44" s="1"/>
  <c r="G553" i="44" s="1"/>
  <c r="G554" i="44" s="1"/>
  <c r="G555" i="44" s="1"/>
  <c r="G556" i="44" s="1"/>
  <c r="G557" i="44" s="1"/>
  <c r="G558" i="44" s="1"/>
  <c r="G559" i="44" s="1"/>
  <c r="G560" i="44" s="1"/>
  <c r="G561" i="44" s="1"/>
  <c r="G562" i="44" s="1"/>
  <c r="G563" i="44" s="1"/>
  <c r="G564" i="44" s="1"/>
  <c r="G565" i="44" s="1"/>
  <c r="G566" i="44" s="1"/>
  <c r="G567" i="44" s="1"/>
  <c r="G568" i="44" s="1"/>
  <c r="G569" i="44" s="1"/>
  <c r="G570" i="44" s="1"/>
  <c r="G571" i="44" s="1"/>
  <c r="G572" i="44" s="1"/>
  <c r="G573" i="44" s="1"/>
  <c r="G574" i="44" s="1"/>
  <c r="G575" i="44" s="1"/>
  <c r="G576" i="44" s="1"/>
  <c r="G577" i="44" s="1"/>
  <c r="G578" i="44" s="1"/>
  <c r="G579" i="44" s="1"/>
  <c r="G580" i="44" s="1"/>
  <c r="G581" i="44" s="1"/>
  <c r="G582" i="44" s="1"/>
  <c r="G583" i="44" s="1"/>
  <c r="G584" i="44" s="1"/>
  <c r="G585" i="44" s="1"/>
  <c r="G586" i="44" s="1"/>
  <c r="G587" i="44" s="1"/>
  <c r="G588" i="44" s="1"/>
  <c r="G589" i="44" s="1"/>
  <c r="G590" i="44" s="1"/>
  <c r="G591" i="44" s="1"/>
  <c r="G592" i="44" s="1"/>
  <c r="G593" i="44" s="1"/>
  <c r="G594" i="44" s="1"/>
  <c r="G595" i="44" s="1"/>
  <c r="G596" i="44" s="1"/>
  <c r="G597" i="44" s="1"/>
  <c r="G598" i="44" s="1"/>
  <c r="G599" i="44" s="1"/>
  <c r="G600" i="44" s="1"/>
  <c r="G601" i="44" s="1"/>
  <c r="G602" i="44" s="1"/>
  <c r="G603" i="44" s="1"/>
  <c r="G604" i="44" s="1"/>
  <c r="G605" i="44" s="1"/>
  <c r="G606" i="44" s="1"/>
  <c r="G607" i="44" s="1"/>
  <c r="G608" i="44" s="1"/>
  <c r="G609" i="44" s="1"/>
  <c r="G610" i="44" s="1"/>
  <c r="G611" i="44" s="1"/>
  <c r="G612" i="44" s="1"/>
  <c r="G613" i="44" s="1"/>
  <c r="G614" i="44" s="1"/>
  <c r="G615" i="44" s="1"/>
  <c r="G616" i="44" s="1"/>
  <c r="G617" i="44" s="1"/>
  <c r="G618" i="44" s="1"/>
  <c r="G619" i="44" s="1"/>
  <c r="G620" i="44" s="1"/>
  <c r="G621" i="44" s="1"/>
  <c r="G622" i="44" s="1"/>
  <c r="G623" i="44" s="1"/>
  <c r="G624" i="44" s="1"/>
  <c r="G625" i="44" s="1"/>
  <c r="G626" i="44" s="1"/>
  <c r="G627" i="44" s="1"/>
  <c r="G628" i="44" s="1"/>
  <c r="G629" i="44" s="1"/>
  <c r="G630" i="44" s="1"/>
  <c r="G631" i="44" s="1"/>
  <c r="G632" i="44" s="1"/>
  <c r="G633" i="44" s="1"/>
  <c r="G634" i="44" s="1"/>
  <c r="G635" i="44" s="1"/>
  <c r="G636" i="44" s="1"/>
  <c r="G637" i="44" s="1"/>
  <c r="G638" i="44" s="1"/>
  <c r="G639" i="44" s="1"/>
  <c r="G640" i="44" s="1"/>
  <c r="G641" i="44" s="1"/>
  <c r="G642" i="44" s="1"/>
  <c r="G643" i="44" s="1"/>
  <c r="G644" i="44" s="1"/>
  <c r="G645" i="44" s="1"/>
  <c r="G646" i="44" s="1"/>
  <c r="G647" i="44" s="1"/>
  <c r="G648" i="44" s="1"/>
  <c r="G649" i="44" s="1"/>
  <c r="G650" i="44" s="1"/>
  <c r="G651" i="44" s="1"/>
  <c r="G652" i="44" s="1"/>
  <c r="G653" i="44" s="1"/>
  <c r="G654" i="44" s="1"/>
  <c r="G655" i="44" s="1"/>
  <c r="G656" i="44" s="1"/>
  <c r="G657" i="44" s="1"/>
  <c r="G658" i="44" s="1"/>
  <c r="G659" i="44" s="1"/>
  <c r="G660" i="44" s="1"/>
  <c r="G661" i="44" s="1"/>
  <c r="G662" i="44" s="1"/>
  <c r="G663" i="44" s="1"/>
  <c r="G664" i="44" s="1"/>
  <c r="G665" i="44" s="1"/>
  <c r="G666" i="44" s="1"/>
  <c r="G667" i="44" s="1"/>
  <c r="G668" i="44" s="1"/>
  <c r="G669" i="44" s="1"/>
  <c r="G670" i="44" s="1"/>
  <c r="G671" i="44" s="1"/>
  <c r="G672" i="44" s="1"/>
  <c r="G673" i="44" s="1"/>
  <c r="G674" i="44" s="1"/>
  <c r="G675" i="44" s="1"/>
  <c r="G676" i="44" s="1"/>
  <c r="G677" i="44" s="1"/>
  <c r="G678" i="44" s="1"/>
  <c r="G679" i="44" s="1"/>
  <c r="G680" i="44" s="1"/>
  <c r="G681" i="44" s="1"/>
  <c r="G682" i="44" s="1"/>
  <c r="G683" i="44" s="1"/>
  <c r="G684" i="44" s="1"/>
  <c r="G685" i="44" s="1"/>
  <c r="G686" i="44" s="1"/>
  <c r="G687" i="44" s="1"/>
  <c r="G688" i="44" s="1"/>
  <c r="G689" i="44" s="1"/>
  <c r="G690" i="44" s="1"/>
  <c r="G691" i="44" s="1"/>
  <c r="G692" i="44" s="1"/>
  <c r="G693" i="44" s="1"/>
  <c r="G694" i="44" s="1"/>
  <c r="G695" i="44" s="1"/>
  <c r="G696" i="44" s="1"/>
  <c r="G697" i="44" s="1"/>
  <c r="G698" i="44" s="1"/>
  <c r="G699" i="44" s="1"/>
  <c r="G700" i="44" s="1"/>
  <c r="G701" i="44" s="1"/>
  <c r="G702" i="44" s="1"/>
  <c r="G703" i="44" s="1"/>
  <c r="G704" i="44" s="1"/>
  <c r="G705" i="44" s="1"/>
  <c r="G706" i="44" s="1"/>
  <c r="G707" i="44" s="1"/>
  <c r="G708" i="44" s="1"/>
  <c r="G709" i="44" s="1"/>
  <c r="G710" i="44" s="1"/>
  <c r="G711" i="44" s="1"/>
  <c r="G712" i="44" s="1"/>
  <c r="G713" i="44" s="1"/>
  <c r="G714" i="44" s="1"/>
  <c r="G715" i="44" s="1"/>
  <c r="G716" i="44" s="1"/>
  <c r="G717" i="44" s="1"/>
  <c r="G718" i="44" s="1"/>
  <c r="G719" i="44" s="1"/>
  <c r="G720" i="44" s="1"/>
  <c r="G721" i="44" s="1"/>
  <c r="G722" i="44" s="1"/>
  <c r="G723" i="44" s="1"/>
  <c r="G724" i="44" s="1"/>
  <c r="G725" i="44" s="1"/>
  <c r="G726" i="44" s="1"/>
  <c r="G727" i="44" s="1"/>
  <c r="G728" i="44" s="1"/>
  <c r="G729" i="44" s="1"/>
  <c r="G730" i="44" s="1"/>
  <c r="G731" i="44" s="1"/>
  <c r="G732" i="44" s="1"/>
  <c r="G733" i="44" s="1"/>
  <c r="G734" i="44" s="1"/>
  <c r="G735" i="44" s="1"/>
  <c r="G736" i="44" s="1"/>
  <c r="G737" i="44" s="1"/>
  <c r="G738" i="44" s="1"/>
  <c r="G739" i="44" s="1"/>
  <c r="A11" i="21" s="1"/>
  <c r="A1872" i="44"/>
  <c r="A2795" i="44"/>
  <c r="A3068" i="44"/>
  <c r="A2659" i="44"/>
  <c r="A2999" i="44"/>
  <c r="A2511" i="44"/>
  <c r="A2322" i="44"/>
  <c r="A2709" i="44"/>
  <c r="A2243" i="44"/>
  <c r="A2104" i="44"/>
  <c r="A2221" i="44"/>
  <c r="A2554" i="44"/>
  <c r="A3155" i="44"/>
  <c r="A2188" i="44"/>
  <c r="A3101" i="44"/>
  <c r="A3141" i="44"/>
  <c r="A1841" i="44"/>
  <c r="A3000" i="44"/>
  <c r="A2285" i="44"/>
  <c r="A1930" i="44"/>
  <c r="A3083" i="44"/>
  <c r="A2206" i="44"/>
  <c r="A1594" i="44"/>
  <c r="A2992" i="44"/>
  <c r="A1775" i="44"/>
  <c r="A1929" i="44"/>
  <c r="A2632" i="44"/>
  <c r="A2249" i="44"/>
  <c r="A1596" i="44"/>
  <c r="A2656" i="44"/>
  <c r="A3098" i="44"/>
  <c r="A2837" i="44"/>
  <c r="A2616" i="44"/>
  <c r="A1652" i="44"/>
  <c r="A2625" i="44"/>
  <c r="A3078" i="44"/>
  <c r="A2698" i="44"/>
  <c r="A2563" i="44"/>
  <c r="A2279" i="44"/>
  <c r="A2474" i="44"/>
  <c r="A1603" i="44"/>
  <c r="A2561" i="44"/>
  <c r="A2672" i="44"/>
  <c r="A2442" i="44"/>
  <c r="M148" i="44"/>
  <c r="A2889" i="44"/>
  <c r="A2792" i="44"/>
  <c r="A2105" i="44"/>
  <c r="A1766" i="44"/>
  <c r="A2858" i="44"/>
  <c r="A2539" i="44"/>
  <c r="M184" i="44"/>
  <c r="A2475" i="44"/>
  <c r="A160" i="44"/>
  <c r="A2900" i="44"/>
  <c r="A1888" i="44"/>
  <c r="A1760" i="44"/>
  <c r="A2402" i="44"/>
  <c r="A2372" i="44"/>
  <c r="A1977" i="44"/>
  <c r="A1661" i="44"/>
  <c r="A2275" i="44"/>
  <c r="A2250" i="44"/>
  <c r="A2860" i="44"/>
  <c r="A1715" i="44"/>
  <c r="A2492" i="44"/>
  <c r="A2881" i="44"/>
  <c r="A1635" i="44"/>
  <c r="A2807" i="44"/>
  <c r="A2033" i="44"/>
  <c r="A1876" i="44"/>
  <c r="A2962" i="44"/>
  <c r="A2483" i="44"/>
  <c r="A2487" i="44"/>
  <c r="A2490" i="44"/>
  <c r="A3091" i="44"/>
  <c r="A1958" i="44"/>
  <c r="G221" i="44"/>
  <c r="G222" i="44" s="1"/>
  <c r="G223" i="44" s="1"/>
  <c r="G224" i="44" s="1"/>
  <c r="G225" i="44" s="1"/>
  <c r="G226" i="44" s="1"/>
  <c r="G227" i="44" s="1"/>
  <c r="G228" i="44" s="1"/>
  <c r="G229" i="44" s="1"/>
  <c r="G230" i="44" s="1"/>
  <c r="G231" i="44" s="1"/>
  <c r="G232" i="44" s="1"/>
  <c r="G233" i="44" s="1"/>
  <c r="G234" i="44" s="1"/>
  <c r="G235" i="44" s="1"/>
  <c r="G236" i="44" s="1"/>
  <c r="G237" i="44" s="1"/>
  <c r="A17" i="21" s="1"/>
  <c r="G3377" i="44"/>
  <c r="G3378" i="44" s="1"/>
  <c r="G3379" i="44" s="1"/>
  <c r="G3380" i="44" s="1"/>
  <c r="G3381" i="44" s="1"/>
  <c r="G3382" i="44" s="1"/>
  <c r="G3383" i="44" s="1"/>
  <c r="G3384" i="44" s="1"/>
  <c r="G3385" i="44" s="1"/>
  <c r="G3386" i="44" s="1"/>
  <c r="G3387" i="44" s="1"/>
  <c r="G3388" i="44" s="1"/>
  <c r="G3389" i="44" s="1"/>
  <c r="G3390" i="44" s="1"/>
  <c r="G3391" i="44" s="1"/>
  <c r="G3392" i="44" s="1"/>
  <c r="G3393" i="44" s="1"/>
  <c r="G3394" i="44" s="1"/>
  <c r="G3395" i="44" s="1"/>
  <c r="G3396" i="44" s="1"/>
  <c r="G3397" i="44" s="1"/>
  <c r="G3398" i="44" s="1"/>
  <c r="G3399" i="44" s="1"/>
  <c r="G3400" i="44" s="1"/>
  <c r="G3401" i="44" s="1"/>
  <c r="G3402" i="44" s="1"/>
  <c r="G3403" i="44" s="1"/>
  <c r="G3404" i="44" s="1"/>
  <c r="G3405" i="44" s="1"/>
  <c r="G3406" i="44" s="1"/>
  <c r="G3407" i="44" s="1"/>
  <c r="G3408" i="44" s="1"/>
  <c r="G3409" i="44" s="1"/>
  <c r="G3410" i="44" s="1"/>
  <c r="G3411" i="44" s="1"/>
  <c r="G3412" i="44" s="1"/>
  <c r="G3413" i="44" s="1"/>
  <c r="G3414" i="44" s="1"/>
  <c r="G3415" i="44" s="1"/>
  <c r="G3416" i="44" s="1"/>
  <c r="G3417" i="44" s="1"/>
  <c r="G3418" i="44" s="1"/>
  <c r="G3419" i="44" s="1"/>
  <c r="G3420" i="44" s="1"/>
  <c r="G3421" i="44" s="1"/>
  <c r="G3422" i="44" s="1"/>
  <c r="G3423" i="44" s="1"/>
  <c r="G3424" i="44" s="1"/>
  <c r="G3425" i="44" s="1"/>
  <c r="G3426" i="44" s="1"/>
  <c r="G3427" i="44" s="1"/>
  <c r="G3428" i="44" s="1"/>
  <c r="G3429" i="44" s="1"/>
  <c r="G3430" i="44" s="1"/>
  <c r="G3431" i="44" s="1"/>
  <c r="G3432" i="44" s="1"/>
  <c r="G3433" i="44" s="1"/>
  <c r="G3434" i="44" s="1"/>
  <c r="G3435" i="44" s="1"/>
  <c r="G3436" i="44" s="1"/>
  <c r="G3437" i="44" s="1"/>
  <c r="G3438" i="44" s="1"/>
  <c r="G3439" i="44" s="1"/>
  <c r="G3440" i="44" s="1"/>
  <c r="G3441" i="44" s="1"/>
  <c r="G3442" i="44" s="1"/>
  <c r="G3443" i="44" s="1"/>
  <c r="G3444" i="44" s="1"/>
  <c r="G3445" i="44" s="1"/>
  <c r="G3446" i="44" s="1"/>
  <c r="G3447" i="44" s="1"/>
  <c r="G3448" i="44" s="1"/>
  <c r="G3449" i="44" s="1"/>
  <c r="G3450" i="44" s="1"/>
  <c r="G3451" i="44" s="1"/>
  <c r="G3452" i="44" s="1"/>
  <c r="A19" i="21" s="1"/>
  <c r="A164" i="44"/>
  <c r="A2010" i="44"/>
  <c r="A1636" i="44"/>
  <c r="A2848" i="44"/>
  <c r="A2349" i="44"/>
  <c r="A1937" i="44"/>
  <c r="A1948" i="44"/>
  <c r="L162" i="44"/>
  <c r="N162" i="44" s="1"/>
  <c r="F162" i="44" s="1"/>
  <c r="A2224" i="44"/>
  <c r="A2804" i="44"/>
  <c r="A202" i="44"/>
  <c r="A2236" i="44"/>
  <c r="A2237" i="44"/>
  <c r="A2014" i="44"/>
  <c r="A2974" i="44"/>
  <c r="A1820" i="44"/>
  <c r="A1849" i="44"/>
  <c r="A1781" i="44"/>
  <c r="L208" i="44"/>
  <c r="N208" i="44" s="1"/>
  <c r="F208" i="44" s="1"/>
  <c r="A2719" i="44"/>
  <c r="A2327" i="44"/>
  <c r="A3026" i="44"/>
  <c r="A1660" i="44"/>
  <c r="A2819" i="44"/>
  <c r="A1589" i="44"/>
  <c r="A1913" i="44"/>
  <c r="A2630" i="44"/>
  <c r="A2685" i="44"/>
  <c r="A2687" i="44"/>
  <c r="A2095" i="44"/>
  <c r="A3042" i="44"/>
  <c r="A2801" i="44"/>
  <c r="A3156" i="44"/>
  <c r="A1967" i="44"/>
  <c r="A2280" i="44"/>
  <c r="A2251" i="44"/>
  <c r="L200" i="44"/>
  <c r="N200" i="44" s="1"/>
  <c r="F200" i="44" s="1"/>
  <c r="A2736" i="44"/>
  <c r="A2371" i="44"/>
  <c r="A2225" i="44"/>
  <c r="A1742" i="44"/>
  <c r="A2308" i="44"/>
  <c r="A2938" i="44"/>
  <c r="A2044" i="44"/>
  <c r="A2694" i="44"/>
  <c r="A3087" i="44"/>
  <c r="A1593" i="44"/>
  <c r="A2788" i="44"/>
  <c r="A1693" i="44"/>
  <c r="A2886" i="44"/>
  <c r="A3085" i="44"/>
  <c r="A3110" i="44"/>
  <c r="A2855" i="44"/>
  <c r="A2278" i="44"/>
  <c r="A2823" i="44"/>
  <c r="A3006" i="44"/>
  <c r="A2472" i="44"/>
  <c r="A2550" i="44"/>
  <c r="A3131" i="44"/>
  <c r="A2608" i="44"/>
  <c r="A1854" i="44"/>
  <c r="A2041" i="44"/>
  <c r="A2184" i="44"/>
  <c r="A2330" i="44"/>
  <c r="L150" i="44"/>
  <c r="N150" i="44" s="1"/>
  <c r="F150" i="44" s="1"/>
  <c r="A1727" i="44"/>
  <c r="A2620" i="44"/>
  <c r="A2427" i="44"/>
  <c r="A2677" i="44"/>
  <c r="A2688" i="44"/>
  <c r="A3059" i="44"/>
  <c r="A2930" i="44"/>
  <c r="A2009" i="44"/>
  <c r="A3032" i="44"/>
  <c r="A2894" i="44"/>
  <c r="A2325" i="44"/>
  <c r="A2984" i="44"/>
  <c r="A1691" i="44"/>
  <c r="A1620" i="44"/>
  <c r="A2391" i="44"/>
  <c r="A2166" i="44"/>
  <c r="A1777" i="44"/>
  <c r="A2968" i="44"/>
  <c r="G1135" i="44"/>
  <c r="G1136" i="44" s="1"/>
  <c r="G1137" i="44" s="1"/>
  <c r="G1138" i="44" s="1"/>
  <c r="G1139" i="44" s="1"/>
  <c r="G1140" i="44" s="1"/>
  <c r="G1141" i="44" s="1"/>
  <c r="G1142" i="44" s="1"/>
  <c r="G1143" i="44" s="1"/>
  <c r="G1144" i="44" s="1"/>
  <c r="G1145" i="44" s="1"/>
  <c r="G1146" i="44" s="1"/>
  <c r="G1147" i="44" s="1"/>
  <c r="G1148" i="44" s="1"/>
  <c r="G1149" i="44" s="1"/>
  <c r="G1150" i="44" s="1"/>
  <c r="G1151" i="44" s="1"/>
  <c r="G1152" i="44" s="1"/>
  <c r="G1153" i="44" s="1"/>
  <c r="G1154" i="44" s="1"/>
  <c r="G1155" i="44" s="1"/>
  <c r="G1156" i="44" s="1"/>
  <c r="G1157" i="44" s="1"/>
  <c r="G1158" i="44" s="1"/>
  <c r="G1159" i="44" s="1"/>
  <c r="G1160" i="44" s="1"/>
  <c r="G1161" i="44" s="1"/>
  <c r="G1162" i="44" s="1"/>
  <c r="G1163" i="44" s="1"/>
  <c r="G1164" i="44" s="1"/>
  <c r="G1165" i="44" s="1"/>
  <c r="G1166" i="44" s="1"/>
  <c r="G1167" i="44" s="1"/>
  <c r="G1168" i="44" s="1"/>
  <c r="G1169" i="44" s="1"/>
  <c r="G1170" i="44" s="1"/>
  <c r="G1171" i="44" s="1"/>
  <c r="G1172" i="44" s="1"/>
  <c r="G1173" i="44" s="1"/>
  <c r="G1174" i="44" s="1"/>
  <c r="G1175" i="44" s="1"/>
  <c r="G1176" i="44" s="1"/>
  <c r="G1177" i="44" s="1"/>
  <c r="G1178" i="44" s="1"/>
  <c r="G1179" i="44" s="1"/>
  <c r="G1180" i="44" s="1"/>
  <c r="G1181" i="44" s="1"/>
  <c r="G1182" i="44" s="1"/>
  <c r="G1183" i="44" s="1"/>
  <c r="G1184" i="44" s="1"/>
  <c r="G1185" i="44" s="1"/>
  <c r="G1186" i="44" s="1"/>
  <c r="G1187" i="44" s="1"/>
  <c r="G1188" i="44" s="1"/>
  <c r="G1189" i="44" s="1"/>
  <c r="G1190" i="44" s="1"/>
  <c r="G1191" i="44" s="1"/>
  <c r="G1192" i="44" s="1"/>
  <c r="G1193" i="44" s="1"/>
  <c r="G1194" i="44" s="1"/>
  <c r="G1195" i="44" s="1"/>
  <c r="G1196" i="44" s="1"/>
  <c r="G1197" i="44" s="1"/>
  <c r="G1198" i="44" s="1"/>
  <c r="G1199" i="44" s="1"/>
  <c r="G1200" i="44" s="1"/>
  <c r="G1201" i="44" s="1"/>
  <c r="G1202" i="44" s="1"/>
  <c r="G1203" i="44" s="1"/>
  <c r="G1204" i="44" s="1"/>
  <c r="G1205" i="44" s="1"/>
  <c r="G1206" i="44" s="1"/>
  <c r="G1207" i="44" s="1"/>
  <c r="G1208" i="44" s="1"/>
  <c r="G1209" i="44" s="1"/>
  <c r="G1210" i="44" s="1"/>
  <c r="G1211" i="44" s="1"/>
  <c r="G1212" i="44" s="1"/>
  <c r="G1213" i="44" s="1"/>
  <c r="G1214" i="44" s="1"/>
  <c r="G1215" i="44" s="1"/>
  <c r="G1216" i="44" s="1"/>
  <c r="G1217" i="44" s="1"/>
  <c r="G1218" i="44" s="1"/>
  <c r="G1219" i="44" s="1"/>
  <c r="G1220" i="44" s="1"/>
  <c r="G1221" i="44" s="1"/>
  <c r="G1222" i="44" s="1"/>
  <c r="G1223" i="44" s="1"/>
  <c r="G1224" i="44" s="1"/>
  <c r="G1225" i="44" s="1"/>
  <c r="G1226" i="44" s="1"/>
  <c r="G1227" i="44" s="1"/>
  <c r="G1228" i="44" s="1"/>
  <c r="G1229" i="44" s="1"/>
  <c r="G1230" i="44" s="1"/>
  <c r="G1231" i="44" s="1"/>
  <c r="G1232" i="44" s="1"/>
  <c r="G1233" i="44" s="1"/>
  <c r="G1234" i="44" s="1"/>
  <c r="G1235" i="44" s="1"/>
  <c r="G1236" i="44" s="1"/>
  <c r="G1237" i="44" s="1"/>
  <c r="G1238" i="44" s="1"/>
  <c r="G1239" i="44" s="1"/>
  <c r="G1240" i="44" s="1"/>
  <c r="G1241" i="44" s="1"/>
  <c r="G1242" i="44" s="1"/>
  <c r="G1243" i="44" s="1"/>
  <c r="G1244" i="44" s="1"/>
  <c r="G1245" i="44" s="1"/>
  <c r="G1246" i="44" s="1"/>
  <c r="G1247" i="44" s="1"/>
  <c r="G1248" i="44" s="1"/>
  <c r="G1249" i="44" s="1"/>
  <c r="G1250" i="44" s="1"/>
  <c r="G1251" i="44" s="1"/>
  <c r="G1252" i="44" s="1"/>
  <c r="G1253" i="44" s="1"/>
  <c r="G1254" i="44" s="1"/>
  <c r="G1255" i="44" s="1"/>
  <c r="G1256" i="44" s="1"/>
  <c r="G1257" i="44" s="1"/>
  <c r="G1258" i="44" s="1"/>
  <c r="G1259" i="44" s="1"/>
  <c r="G1260" i="44" s="1"/>
  <c r="G1261" i="44" s="1"/>
  <c r="G1262" i="44" s="1"/>
  <c r="G1263" i="44" s="1"/>
  <c r="G1264" i="44" s="1"/>
  <c r="G1265" i="44" s="1"/>
  <c r="G1266" i="44" s="1"/>
  <c r="G1267" i="44" s="1"/>
  <c r="G1268" i="44" s="1"/>
  <c r="G1269" i="44" s="1"/>
  <c r="G1270" i="44" s="1"/>
  <c r="G1271" i="44" s="1"/>
  <c r="G1272" i="44" s="1"/>
  <c r="G1273" i="44" s="1"/>
  <c r="G1274" i="44" s="1"/>
  <c r="G1275" i="44" s="1"/>
  <c r="G1276" i="44" s="1"/>
  <c r="G1277" i="44" s="1"/>
  <c r="G1278" i="44" s="1"/>
  <c r="G1279" i="44" s="1"/>
  <c r="G1280" i="44" s="1"/>
  <c r="G1281" i="44" s="1"/>
  <c r="G1282" i="44" s="1"/>
  <c r="G1283" i="44" s="1"/>
  <c r="G1284" i="44" s="1"/>
  <c r="G1285" i="44" s="1"/>
  <c r="G1286" i="44" s="1"/>
  <c r="G1287" i="44" s="1"/>
  <c r="G1288" i="44" s="1"/>
  <c r="G1289" i="44" s="1"/>
  <c r="G1290" i="44" s="1"/>
  <c r="G1291" i="44" s="1"/>
  <c r="G1292" i="44" s="1"/>
  <c r="G1293" i="44" s="1"/>
  <c r="G1294" i="44" s="1"/>
  <c r="G1295" i="44" s="1"/>
  <c r="G1296" i="44" s="1"/>
  <c r="G1297" i="44" s="1"/>
  <c r="G1298" i="44" s="1"/>
  <c r="G1299" i="44" s="1"/>
  <c r="G1300" i="44" s="1"/>
  <c r="G1301" i="44" s="1"/>
  <c r="G1302" i="44" s="1"/>
  <c r="G1303" i="44" s="1"/>
  <c r="G1304" i="44" s="1"/>
  <c r="G1305" i="44" s="1"/>
  <c r="G1306" i="44" s="1"/>
  <c r="G1307" i="44" s="1"/>
  <c r="G1308" i="44" s="1"/>
  <c r="G1309" i="44" s="1"/>
  <c r="G1310" i="44" s="1"/>
  <c r="G1311" i="44" s="1"/>
  <c r="G1312" i="44" s="1"/>
  <c r="G1313" i="44" s="1"/>
  <c r="G1314" i="44" s="1"/>
  <c r="G1315" i="44" s="1"/>
  <c r="G1316" i="44" s="1"/>
  <c r="G1317" i="44" s="1"/>
  <c r="G1318" i="44" s="1"/>
  <c r="G1319" i="44" s="1"/>
  <c r="G1320" i="44" s="1"/>
  <c r="G1321" i="44" s="1"/>
  <c r="G1322" i="44" s="1"/>
  <c r="G1323" i="44" s="1"/>
  <c r="G1324" i="44" s="1"/>
  <c r="G1325" i="44" s="1"/>
  <c r="G1326" i="44" s="1"/>
  <c r="G1327" i="44" s="1"/>
  <c r="G1328" i="44" s="1"/>
  <c r="G1329" i="44" s="1"/>
  <c r="G1330" i="44" s="1"/>
  <c r="G1331" i="44" s="1"/>
  <c r="G1332" i="44" s="1"/>
  <c r="G1333" i="44" s="1"/>
  <c r="G1334" i="44" s="1"/>
  <c r="G1335" i="44" s="1"/>
  <c r="G1336" i="44" s="1"/>
  <c r="G1337" i="44" s="1"/>
  <c r="G1338" i="44" s="1"/>
  <c r="G1339" i="44" s="1"/>
  <c r="G1340" i="44" s="1"/>
  <c r="G1341" i="44" s="1"/>
  <c r="G1342" i="44" s="1"/>
  <c r="G1343" i="44" s="1"/>
  <c r="G1344" i="44" s="1"/>
  <c r="G1345" i="44" s="1"/>
  <c r="G1346" i="44" s="1"/>
  <c r="G1347" i="44" s="1"/>
  <c r="G1348" i="44" s="1"/>
  <c r="G1349" i="44" s="1"/>
  <c r="G1350" i="44" s="1"/>
  <c r="G1351" i="44" s="1"/>
  <c r="G1352" i="44" s="1"/>
  <c r="G1353" i="44" s="1"/>
  <c r="G1354" i="44" s="1"/>
  <c r="G1355" i="44" s="1"/>
  <c r="G1356" i="44" s="1"/>
  <c r="G1357" i="44" s="1"/>
  <c r="G1358" i="44" s="1"/>
  <c r="G1359" i="44" s="1"/>
  <c r="G1360" i="44" s="1"/>
  <c r="G1361" i="44" s="1"/>
  <c r="G1362" i="44" s="1"/>
  <c r="G1363" i="44" s="1"/>
  <c r="G1364" i="44" s="1"/>
  <c r="G1365" i="44" s="1"/>
  <c r="G1366" i="44" s="1"/>
  <c r="G1367" i="44" s="1"/>
  <c r="G1368" i="44" s="1"/>
  <c r="G1369" i="44" s="1"/>
  <c r="G1370" i="44" s="1"/>
  <c r="G1371" i="44" s="1"/>
  <c r="G1372" i="44" s="1"/>
  <c r="G1373" i="44" s="1"/>
  <c r="G1374" i="44" s="1"/>
  <c r="G1375" i="44" s="1"/>
  <c r="G1376" i="44" s="1"/>
  <c r="G1377" i="44" s="1"/>
  <c r="G1378" i="44" s="1"/>
  <c r="G1379" i="44" s="1"/>
  <c r="G1380" i="44" s="1"/>
  <c r="G1381" i="44" s="1"/>
  <c r="G1382" i="44" s="1"/>
  <c r="G1383" i="44" s="1"/>
  <c r="G1384" i="44" s="1"/>
  <c r="G1385" i="44" s="1"/>
  <c r="G1386" i="44" s="1"/>
  <c r="G1387" i="44" s="1"/>
  <c r="G1388" i="44" s="1"/>
  <c r="G1389" i="44" s="1"/>
  <c r="G1390" i="44" s="1"/>
  <c r="G1391" i="44" s="1"/>
  <c r="G1392" i="44" s="1"/>
  <c r="G1393" i="44" s="1"/>
  <c r="G1394" i="44" s="1"/>
  <c r="G1395" i="44" s="1"/>
  <c r="G1396" i="44" s="1"/>
  <c r="G1397" i="44" s="1"/>
  <c r="G1398" i="44" s="1"/>
  <c r="G1399" i="44" s="1"/>
  <c r="G1400" i="44" s="1"/>
  <c r="G1401" i="44" s="1"/>
  <c r="G1402" i="44" s="1"/>
  <c r="G1403" i="44" s="1"/>
  <c r="G1404" i="44" s="1"/>
  <c r="G1405" i="44" s="1"/>
  <c r="G1406" i="44" s="1"/>
  <c r="G1407" i="44" s="1"/>
  <c r="G1408" i="44" s="1"/>
  <c r="G1409" i="44" s="1"/>
  <c r="G1410" i="44" s="1"/>
  <c r="G1411" i="44" s="1"/>
  <c r="G1412" i="44" s="1"/>
  <c r="G1413" i="44" s="1"/>
  <c r="G1414" i="44" s="1"/>
  <c r="G1415" i="44" s="1"/>
  <c r="G1416" i="44" s="1"/>
  <c r="G1417" i="44" s="1"/>
  <c r="G1418" i="44" s="1"/>
  <c r="G1419" i="44" s="1"/>
  <c r="G1420" i="44" s="1"/>
  <c r="G1421" i="44" s="1"/>
  <c r="G1422" i="44" s="1"/>
  <c r="G1423" i="44" s="1"/>
  <c r="G1424" i="44" s="1"/>
  <c r="G1425" i="44" s="1"/>
  <c r="G1426" i="44" s="1"/>
  <c r="G1427" i="44" s="1"/>
  <c r="G1428" i="44" s="1"/>
  <c r="G1429" i="44" s="1"/>
  <c r="G1430" i="44" s="1"/>
  <c r="G1431" i="44" s="1"/>
  <c r="G1432" i="44" s="1"/>
  <c r="G1433" i="44" s="1"/>
  <c r="G1434" i="44" s="1"/>
  <c r="G1435" i="44" s="1"/>
  <c r="G1436" i="44" s="1"/>
  <c r="G1437" i="44" s="1"/>
  <c r="G1438" i="44" s="1"/>
  <c r="G1439" i="44" s="1"/>
  <c r="G1440" i="44" s="1"/>
  <c r="G1441" i="44" s="1"/>
  <c r="G1442" i="44" s="1"/>
  <c r="G1443" i="44" s="1"/>
  <c r="G1444" i="44" s="1"/>
  <c r="G1445" i="44" s="1"/>
  <c r="G1446" i="44" s="1"/>
  <c r="G1447" i="44" s="1"/>
  <c r="G1448" i="44" s="1"/>
  <c r="G1449" i="44" s="1"/>
  <c r="G1450" i="44" s="1"/>
  <c r="G1451" i="44" s="1"/>
  <c r="G1452" i="44" s="1"/>
  <c r="G1453" i="44" s="1"/>
  <c r="G1454" i="44" s="1"/>
  <c r="G1455" i="44" s="1"/>
  <c r="G1456" i="44" s="1"/>
  <c r="G1457" i="44" s="1"/>
  <c r="G1458" i="44" s="1"/>
  <c r="G1459" i="44" s="1"/>
  <c r="G1460" i="44" s="1"/>
  <c r="G1461" i="44" s="1"/>
  <c r="G1462" i="44" s="1"/>
  <c r="G1463" i="44" s="1"/>
  <c r="G1464" i="44" s="1"/>
  <c r="G1465" i="44" s="1"/>
  <c r="G1466" i="44" s="1"/>
  <c r="G1467" i="44" s="1"/>
  <c r="G1468" i="44" s="1"/>
  <c r="G1469" i="44" s="1"/>
  <c r="G1470" i="44" s="1"/>
  <c r="G1471" i="44" s="1"/>
  <c r="G1472" i="44" s="1"/>
  <c r="G1473" i="44" s="1"/>
  <c r="G1474" i="44" s="1"/>
  <c r="G1475" i="44" s="1"/>
  <c r="A2972" i="44"/>
  <c r="A2852" i="44"/>
  <c r="M174" i="44"/>
  <c r="A3152" i="44"/>
  <c r="A2489" i="44"/>
  <c r="A2964" i="44"/>
  <c r="A2240" i="44"/>
  <c r="A2813" i="44"/>
  <c r="A2000" i="44"/>
  <c r="A2741" i="44"/>
  <c r="A3074" i="44"/>
  <c r="A1846" i="44"/>
  <c r="A2232" i="44"/>
  <c r="A1605" i="44"/>
  <c r="A2045" i="44"/>
  <c r="A1991" i="44"/>
  <c r="A1585" i="44"/>
  <c r="G1585" i="44" s="1"/>
  <c r="A3030" i="44"/>
  <c r="A2882" i="44"/>
  <c r="A2342" i="44"/>
  <c r="A2059" i="44"/>
  <c r="A3034" i="44"/>
  <c r="A2806" i="44"/>
  <c r="A2637" i="44"/>
  <c r="A1731" i="44"/>
  <c r="A2857" i="44"/>
  <c r="A1981" i="44"/>
  <c r="A3021" i="44"/>
  <c r="A1877" i="44"/>
  <c r="A2768" i="44"/>
  <c r="A2527" i="44"/>
  <c r="L176" i="44"/>
  <c r="N176" i="44" s="1"/>
  <c r="F176" i="44" s="1"/>
  <c r="A3051" i="44"/>
  <c r="A2301" i="44"/>
  <c r="A1949" i="44"/>
  <c r="A2996" i="44"/>
  <c r="A3084" i="44"/>
  <c r="A2025" i="44"/>
  <c r="A3148" i="44"/>
  <c r="A2190" i="44"/>
  <c r="A152" i="44"/>
  <c r="A2300" i="44"/>
  <c r="A2562" i="44"/>
  <c r="A1947" i="44"/>
  <c r="A3163" i="44"/>
  <c r="A1598" i="44"/>
  <c r="A1961" i="44"/>
  <c r="A2834" i="44"/>
  <c r="A2681" i="44"/>
  <c r="A2324" i="44"/>
  <c r="A1903" i="44"/>
  <c r="A2929" i="44"/>
  <c r="A2734" i="44"/>
  <c r="A2205" i="44"/>
  <c r="A3009" i="44"/>
  <c r="A1917" i="44"/>
  <c r="A1746" i="44"/>
  <c r="A2541" i="44"/>
  <c r="A1631" i="44"/>
  <c r="A1795" i="44"/>
  <c r="A1859" i="44"/>
  <c r="A2022" i="44"/>
  <c r="A1989" i="44"/>
  <c r="A1755" i="44"/>
  <c r="A2570" i="44"/>
  <c r="A1704" i="44"/>
  <c r="A3150" i="44"/>
  <c r="A1831" i="44"/>
  <c r="A2909" i="44"/>
  <c r="A2535" i="44"/>
  <c r="A2097" i="44"/>
  <c r="A2898" i="44"/>
  <c r="A3140" i="44"/>
  <c r="A3048" i="44"/>
  <c r="A2986" i="44"/>
  <c r="A2880" i="44"/>
  <c r="A2945" i="44"/>
  <c r="A3104" i="44"/>
  <c r="A2413" i="44"/>
  <c r="A2326" i="44"/>
  <c r="A1920" i="44"/>
  <c r="A2715" i="44"/>
  <c r="A2468" i="44"/>
  <c r="A3075" i="44"/>
  <c r="A1801" i="44"/>
  <c r="K84" i="3"/>
  <c r="D81" i="3"/>
  <c r="J83" i="3"/>
  <c r="K82" i="3"/>
  <c r="K80" i="3"/>
  <c r="K81" i="3"/>
  <c r="K78" i="3"/>
  <c r="K83" i="3"/>
  <c r="J82" i="3"/>
  <c r="J80" i="3"/>
  <c r="B83" i="3"/>
  <c r="F82" i="3"/>
  <c r="C83" i="3"/>
  <c r="J81" i="3"/>
  <c r="J78" i="3"/>
  <c r="C78" i="3"/>
  <c r="C82" i="3"/>
  <c r="C80" i="3"/>
  <c r="E83" i="3"/>
  <c r="B84" i="3"/>
  <c r="F79" i="3"/>
  <c r="E78" i="3"/>
  <c r="E81" i="3"/>
  <c r="D82" i="3"/>
  <c r="F80" i="3"/>
  <c r="D83" i="3"/>
  <c r="D84" i="3"/>
  <c r="K79" i="3"/>
  <c r="B79" i="3"/>
  <c r="B82" i="3"/>
  <c r="D80" i="3"/>
  <c r="F83" i="3"/>
  <c r="J79" i="3"/>
  <c r="D79" i="3"/>
  <c r="C79" i="3"/>
  <c r="B78" i="3"/>
  <c r="C81" i="3"/>
  <c r="F84" i="3"/>
  <c r="D78" i="3"/>
  <c r="B81" i="3"/>
  <c r="E82" i="3"/>
  <c r="B80" i="3"/>
  <c r="C84" i="3"/>
  <c r="J84" i="3"/>
  <c r="F78" i="3"/>
  <c r="F81" i="3"/>
  <c r="E80" i="3"/>
  <c r="E84" i="3"/>
  <c r="E79" i="3"/>
  <c r="E91" i="3" l="1"/>
  <c r="N890" i="3" s="1"/>
  <c r="E96" i="3"/>
  <c r="N895" i="3" s="1"/>
  <c r="E92" i="3"/>
  <c r="N891" i="3" s="1"/>
  <c r="F93" i="3"/>
  <c r="O892" i="3" s="1"/>
  <c r="F90" i="3"/>
  <c r="O889" i="3" s="1"/>
  <c r="F889" i="3" s="1"/>
  <c r="G84" i="3"/>
  <c r="G96" i="3" s="1"/>
  <c r="P895" i="3" s="1"/>
  <c r="C96" i="3"/>
  <c r="L895" i="3" s="1"/>
  <c r="B92" i="3"/>
  <c r="K891" i="3" s="1"/>
  <c r="E94" i="3"/>
  <c r="N893" i="3" s="1"/>
  <c r="F888" i="3" s="1"/>
  <c r="B93" i="3"/>
  <c r="K892" i="3" s="1"/>
  <c r="D90" i="3"/>
  <c r="M889" i="3" s="1"/>
  <c r="F96" i="3"/>
  <c r="O895" i="3" s="1"/>
  <c r="C93" i="3"/>
  <c r="L892" i="3" s="1"/>
  <c r="B90" i="3"/>
  <c r="K889" i="3" s="1"/>
  <c r="C91" i="3"/>
  <c r="L890" i="3" s="1"/>
  <c r="D91" i="3"/>
  <c r="M890" i="3" s="1"/>
  <c r="G79" i="3"/>
  <c r="G91" i="3" s="1"/>
  <c r="P890" i="3" s="1"/>
  <c r="F95" i="3"/>
  <c r="O894" i="3" s="1"/>
  <c r="D92" i="3"/>
  <c r="M891" i="3" s="1"/>
  <c r="B94" i="3"/>
  <c r="K893" i="3" s="1"/>
  <c r="B91" i="3"/>
  <c r="K890" i="3" s="1"/>
  <c r="D96" i="3"/>
  <c r="M895" i="3" s="1"/>
  <c r="D95" i="3"/>
  <c r="M894" i="3" s="1"/>
  <c r="F92" i="3"/>
  <c r="O891" i="3" s="1"/>
  <c r="D94" i="3"/>
  <c r="M893" i="3" s="1"/>
  <c r="E93" i="3"/>
  <c r="N892" i="3" s="1"/>
  <c r="E90" i="3"/>
  <c r="N889" i="3" s="1"/>
  <c r="F91" i="3"/>
  <c r="O890" i="3" s="1"/>
  <c r="B96" i="3"/>
  <c r="K895" i="3" s="1"/>
  <c r="E95" i="3"/>
  <c r="N894" i="3" s="1"/>
  <c r="C92" i="3"/>
  <c r="L891" i="3" s="1"/>
  <c r="C94" i="3"/>
  <c r="L893" i="3" s="1"/>
  <c r="C90" i="3"/>
  <c r="L889" i="3" s="1"/>
  <c r="G78" i="3"/>
  <c r="G90" i="3" s="1"/>
  <c r="P889" i="3" s="1"/>
  <c r="G81" i="3"/>
  <c r="G93" i="3" s="1"/>
  <c r="P892" i="3" s="1"/>
  <c r="C95" i="3"/>
  <c r="L894" i="3" s="1"/>
  <c r="F94" i="3"/>
  <c r="O893" i="3" s="1"/>
  <c r="B95" i="3"/>
  <c r="K894" i="3" s="1"/>
  <c r="G80" i="3"/>
  <c r="G92" i="3" s="1"/>
  <c r="P891" i="3" s="1"/>
  <c r="G82" i="3"/>
  <c r="G94" i="3" s="1"/>
  <c r="P893" i="3" s="1"/>
  <c r="G83" i="3"/>
  <c r="G95" i="3" s="1"/>
  <c r="P894" i="3" s="1"/>
  <c r="D93" i="3"/>
  <c r="M892" i="3" s="1"/>
  <c r="A3" i="21"/>
  <c r="G1476" i="44"/>
  <c r="G1477" i="44" s="1"/>
  <c r="G1478" i="44" s="1"/>
  <c r="G1479" i="44" s="1"/>
  <c r="G1480" i="44" s="1"/>
  <c r="G1481" i="44" s="1"/>
  <c r="G1482" i="44" s="1"/>
  <c r="G1483" i="44" s="1"/>
  <c r="G1484" i="44" s="1"/>
  <c r="G1485" i="44" s="1"/>
  <c r="G1486" i="44" s="1"/>
  <c r="G1487" i="44" s="1"/>
  <c r="G1488" i="44" s="1"/>
  <c r="G1489" i="44" s="1"/>
  <c r="G1490" i="44" s="1"/>
  <c r="G1491" i="44" s="1"/>
  <c r="G1492" i="44" s="1"/>
  <c r="G1493" i="44" s="1"/>
  <c r="G1494" i="44" s="1"/>
  <c r="G1495" i="44" s="1"/>
  <c r="G1496" i="44" s="1"/>
  <c r="G1497" i="44" s="1"/>
  <c r="G1498" i="44" s="1"/>
  <c r="G1499" i="44" s="1"/>
  <c r="G1500" i="44" s="1"/>
  <c r="G1501" i="44" s="1"/>
  <c r="A162" i="44"/>
  <c r="G148" i="44"/>
  <c r="G149" i="44" s="1"/>
  <c r="G150" i="44" s="1"/>
  <c r="G151" i="44" s="1"/>
  <c r="G152" i="44" s="1"/>
  <c r="G153" i="44" s="1"/>
  <c r="G154" i="44" s="1"/>
  <c r="G155" i="44" s="1"/>
  <c r="G156" i="44" s="1"/>
  <c r="G157" i="44" s="1"/>
  <c r="G158" i="44" s="1"/>
  <c r="G159" i="44" s="1"/>
  <c r="G160" i="44" s="1"/>
  <c r="G161" i="44" s="1"/>
  <c r="G162" i="44" s="1"/>
  <c r="G163" i="44" s="1"/>
  <c r="G164" i="44" s="1"/>
  <c r="G165" i="44" s="1"/>
  <c r="G166" i="44" s="1"/>
  <c r="G167" i="44" s="1"/>
  <c r="G168" i="44" s="1"/>
  <c r="G169" i="44" s="1"/>
  <c r="G170" i="44" s="1"/>
  <c r="G171" i="44" s="1"/>
  <c r="G172" i="44" s="1"/>
  <c r="G173" i="44" s="1"/>
  <c r="G174" i="44" s="1"/>
  <c r="G175" i="44" s="1"/>
  <c r="G176" i="44" s="1"/>
  <c r="G177" i="44" s="1"/>
  <c r="G178" i="44" s="1"/>
  <c r="G179" i="44" s="1"/>
  <c r="G180" i="44" s="1"/>
  <c r="G181" i="44" s="1"/>
  <c r="G182" i="44" s="1"/>
  <c r="G183" i="44" s="1"/>
  <c r="G184" i="44" s="1"/>
  <c r="G185" i="44" s="1"/>
  <c r="G186" i="44" s="1"/>
  <c r="G187" i="44" s="1"/>
  <c r="G188" i="44" s="1"/>
  <c r="G189" i="44" s="1"/>
  <c r="G190" i="44" s="1"/>
  <c r="G191" i="44" s="1"/>
  <c r="G192" i="44" s="1"/>
  <c r="G193" i="44" s="1"/>
  <c r="G194" i="44" s="1"/>
  <c r="G195" i="44" s="1"/>
  <c r="G196" i="44" s="1"/>
  <c r="G197" i="44" s="1"/>
  <c r="G198" i="44" s="1"/>
  <c r="G199" i="44" s="1"/>
  <c r="G200" i="44" s="1"/>
  <c r="G201" i="44" s="1"/>
  <c r="G202" i="44" s="1"/>
  <c r="G203" i="44" s="1"/>
  <c r="G204" i="44" s="1"/>
  <c r="G205" i="44" s="1"/>
  <c r="G206" i="44" s="1"/>
  <c r="G207" i="44" s="1"/>
  <c r="G208" i="44" s="1"/>
  <c r="G209" i="44" s="1"/>
  <c r="G210" i="44" s="1"/>
  <c r="G211" i="44" s="1"/>
  <c r="G212" i="44" s="1"/>
  <c r="G213" i="44" s="1"/>
  <c r="G214" i="44" s="1"/>
  <c r="G215" i="44" s="1"/>
  <c r="A7" i="21" s="1"/>
  <c r="A200" i="44"/>
  <c r="A190" i="44"/>
  <c r="A208" i="44"/>
  <c r="A168" i="44"/>
  <c r="G1586" i="44"/>
  <c r="G1587" i="44" s="1"/>
  <c r="G1588" i="44" s="1"/>
  <c r="G1589" i="44" s="1"/>
  <c r="G1590" i="44" s="1"/>
  <c r="G1591" i="44" s="1"/>
  <c r="G1592" i="44" s="1"/>
  <c r="G1593" i="44" s="1"/>
  <c r="G1594" i="44" s="1"/>
  <c r="G1595" i="44" s="1"/>
  <c r="G1596" i="44" s="1"/>
  <c r="G1597" i="44" s="1"/>
  <c r="G1598" i="44" s="1"/>
  <c r="G1599" i="44" s="1"/>
  <c r="G1600" i="44" s="1"/>
  <c r="G1601" i="44" s="1"/>
  <c r="G1602" i="44" s="1"/>
  <c r="G1603" i="44" s="1"/>
  <c r="G1604" i="44" s="1"/>
  <c r="G1605" i="44" s="1"/>
  <c r="G1606" i="44" s="1"/>
  <c r="G1607" i="44" s="1"/>
  <c r="G1608" i="44" s="1"/>
  <c r="G1609" i="44" s="1"/>
  <c r="G1610" i="44" s="1"/>
  <c r="G1611" i="44" s="1"/>
  <c r="G1612" i="44" s="1"/>
  <c r="G1613" i="44" s="1"/>
  <c r="G1614" i="44" s="1"/>
  <c r="G1615" i="44" s="1"/>
  <c r="G1616" i="44" s="1"/>
  <c r="G1617" i="44" s="1"/>
  <c r="G1618" i="44" s="1"/>
  <c r="G1619" i="44" s="1"/>
  <c r="G1620" i="44" s="1"/>
  <c r="G1621" i="44" s="1"/>
  <c r="G1622" i="44" s="1"/>
  <c r="G1623" i="44" s="1"/>
  <c r="G1624" i="44" s="1"/>
  <c r="G1625" i="44" s="1"/>
  <c r="G1626" i="44" s="1"/>
  <c r="G1627" i="44" s="1"/>
  <c r="G1628" i="44" s="1"/>
  <c r="G1629" i="44" s="1"/>
  <c r="G1630" i="44" s="1"/>
  <c r="G1631" i="44" s="1"/>
  <c r="G1632" i="44" s="1"/>
  <c r="G1633" i="44" s="1"/>
  <c r="G1634" i="44" s="1"/>
  <c r="G1635" i="44" s="1"/>
  <c r="G1636" i="44" s="1"/>
  <c r="G1637" i="44" s="1"/>
  <c r="G1638" i="44" s="1"/>
  <c r="G1639" i="44" s="1"/>
  <c r="G1640" i="44" s="1"/>
  <c r="G1641" i="44" s="1"/>
  <c r="G1642" i="44" s="1"/>
  <c r="G1643" i="44" s="1"/>
  <c r="G1644" i="44" s="1"/>
  <c r="G1645" i="44" s="1"/>
  <c r="G1646" i="44" s="1"/>
  <c r="G1647" i="44" s="1"/>
  <c r="G1648" i="44" s="1"/>
  <c r="G1649" i="44" s="1"/>
  <c r="G1650" i="44" s="1"/>
  <c r="G1651" i="44" s="1"/>
  <c r="G1652" i="44" s="1"/>
  <c r="G1653" i="44" s="1"/>
  <c r="G1654" i="44" s="1"/>
  <c r="G1655" i="44" s="1"/>
  <c r="G1656" i="44" s="1"/>
  <c r="G1657" i="44" s="1"/>
  <c r="G1658" i="44" s="1"/>
  <c r="G1659" i="44" s="1"/>
  <c r="G1660" i="44" s="1"/>
  <c r="G1661" i="44" s="1"/>
  <c r="G1662" i="44" s="1"/>
  <c r="G1663" i="44" s="1"/>
  <c r="G1664" i="44" s="1"/>
  <c r="G1665" i="44" s="1"/>
  <c r="G1666" i="44" s="1"/>
  <c r="G1667" i="44" s="1"/>
  <c r="G1668" i="44" s="1"/>
  <c r="G1669" i="44" s="1"/>
  <c r="G1670" i="44" s="1"/>
  <c r="G1671" i="44" s="1"/>
  <c r="G1672" i="44" s="1"/>
  <c r="G1673" i="44" s="1"/>
  <c r="G1674" i="44" s="1"/>
  <c r="G1675" i="44" s="1"/>
  <c r="G1676" i="44" s="1"/>
  <c r="G1677" i="44" s="1"/>
  <c r="G1678" i="44" s="1"/>
  <c r="G1679" i="44" s="1"/>
  <c r="G1680" i="44" s="1"/>
  <c r="G1681" i="44" s="1"/>
  <c r="G1682" i="44" s="1"/>
  <c r="G1683" i="44" s="1"/>
  <c r="G1684" i="44" s="1"/>
  <c r="G1685" i="44" s="1"/>
  <c r="G1686" i="44" s="1"/>
  <c r="G1687" i="44" s="1"/>
  <c r="G1688" i="44" s="1"/>
  <c r="G1689" i="44" s="1"/>
  <c r="G1690" i="44" s="1"/>
  <c r="G1691" i="44" s="1"/>
  <c r="G1692" i="44" s="1"/>
  <c r="G1693" i="44" s="1"/>
  <c r="G1694" i="44" s="1"/>
  <c r="G1695" i="44" s="1"/>
  <c r="G1696" i="44" s="1"/>
  <c r="G1697" i="44" s="1"/>
  <c r="G1698" i="44" s="1"/>
  <c r="G1699" i="44" s="1"/>
  <c r="G1700" i="44" s="1"/>
  <c r="G1701" i="44" s="1"/>
  <c r="G1702" i="44" s="1"/>
  <c r="G1703" i="44" s="1"/>
  <c r="G1704" i="44" s="1"/>
  <c r="G1705" i="44" s="1"/>
  <c r="G1706" i="44" s="1"/>
  <c r="G1707" i="44" s="1"/>
  <c r="G1708" i="44" s="1"/>
  <c r="G1709" i="44" s="1"/>
  <c r="G1710" i="44" s="1"/>
  <c r="G1711" i="44" s="1"/>
  <c r="G1712" i="44" s="1"/>
  <c r="G1713" i="44" s="1"/>
  <c r="G1714" i="44" s="1"/>
  <c r="G1715" i="44" s="1"/>
  <c r="G1716" i="44" s="1"/>
  <c r="G1717" i="44" s="1"/>
  <c r="G1718" i="44" s="1"/>
  <c r="G1719" i="44" s="1"/>
  <c r="G1720" i="44" s="1"/>
  <c r="G1721" i="44" s="1"/>
  <c r="G1722" i="44" s="1"/>
  <c r="G1723" i="44" s="1"/>
  <c r="G1724" i="44" s="1"/>
  <c r="G1725" i="44" s="1"/>
  <c r="G1726" i="44" s="1"/>
  <c r="G1727" i="44" s="1"/>
  <c r="G1728" i="44" s="1"/>
  <c r="G1729" i="44" s="1"/>
  <c r="G1730" i="44" s="1"/>
  <c r="G1731" i="44" s="1"/>
  <c r="G1732" i="44" s="1"/>
  <c r="G1733" i="44" s="1"/>
  <c r="G1734" i="44" s="1"/>
  <c r="G1735" i="44" s="1"/>
  <c r="G1736" i="44" s="1"/>
  <c r="G1737" i="44" s="1"/>
  <c r="G1738" i="44" s="1"/>
  <c r="G1739" i="44" s="1"/>
  <c r="G1740" i="44" s="1"/>
  <c r="G1741" i="44" s="1"/>
  <c r="G1742" i="44" s="1"/>
  <c r="G1743" i="44" s="1"/>
  <c r="G1744" i="44" s="1"/>
  <c r="G1745" i="44" s="1"/>
  <c r="G1746" i="44" s="1"/>
  <c r="G1747" i="44" s="1"/>
  <c r="G1748" i="44" s="1"/>
  <c r="G1749" i="44" s="1"/>
  <c r="G1750" i="44" s="1"/>
  <c r="G1751" i="44" s="1"/>
  <c r="G1752" i="44" s="1"/>
  <c r="G1753" i="44" s="1"/>
  <c r="G1754" i="44" s="1"/>
  <c r="G1755" i="44" s="1"/>
  <c r="G1756" i="44" s="1"/>
  <c r="G1757" i="44" s="1"/>
  <c r="G1758" i="44" s="1"/>
  <c r="G1759" i="44" s="1"/>
  <c r="G1760" i="44" s="1"/>
  <c r="G1761" i="44" s="1"/>
  <c r="G1762" i="44" s="1"/>
  <c r="G1763" i="44" s="1"/>
  <c r="G1764" i="44" s="1"/>
  <c r="G1765" i="44" s="1"/>
  <c r="G1766" i="44" s="1"/>
  <c r="G1767" i="44" s="1"/>
  <c r="G1768" i="44" s="1"/>
  <c r="G1769" i="44" s="1"/>
  <c r="G1770" i="44" s="1"/>
  <c r="G1771" i="44" s="1"/>
  <c r="G1772" i="44" s="1"/>
  <c r="G1773" i="44" s="1"/>
  <c r="G1774" i="44" s="1"/>
  <c r="G1775" i="44" s="1"/>
  <c r="G1776" i="44" s="1"/>
  <c r="G1777" i="44" s="1"/>
  <c r="G1778" i="44" s="1"/>
  <c r="G1779" i="44" s="1"/>
  <c r="G1780" i="44" s="1"/>
  <c r="G1781" i="44" s="1"/>
  <c r="G1782" i="44" s="1"/>
  <c r="G1783" i="44" s="1"/>
  <c r="G1784" i="44" s="1"/>
  <c r="G1785" i="44" s="1"/>
  <c r="G1786" i="44" s="1"/>
  <c r="G1787" i="44" s="1"/>
  <c r="G1788" i="44" s="1"/>
  <c r="G1789" i="44" s="1"/>
  <c r="G1790" i="44" s="1"/>
  <c r="G1791" i="44" s="1"/>
  <c r="G1792" i="44" s="1"/>
  <c r="G1793" i="44" s="1"/>
  <c r="G1794" i="44" s="1"/>
  <c r="G1795" i="44" s="1"/>
  <c r="G1796" i="44" s="1"/>
  <c r="G1797" i="44" s="1"/>
  <c r="G1798" i="44" s="1"/>
  <c r="G1799" i="44" s="1"/>
  <c r="G1800" i="44" s="1"/>
  <c r="G1801" i="44" s="1"/>
  <c r="G1802" i="44" s="1"/>
  <c r="G1803" i="44" s="1"/>
  <c r="G1804" i="44" s="1"/>
  <c r="G1805" i="44" s="1"/>
  <c r="G1806" i="44" s="1"/>
  <c r="G1807" i="44" s="1"/>
  <c r="G1808" i="44" s="1"/>
  <c r="G1809" i="44" s="1"/>
  <c r="G1810" i="44" s="1"/>
  <c r="G1811" i="44" s="1"/>
  <c r="G1812" i="44" s="1"/>
  <c r="G1813" i="44" s="1"/>
  <c r="G1814" i="44" s="1"/>
  <c r="G1815" i="44" s="1"/>
  <c r="G1816" i="44" s="1"/>
  <c r="G1817" i="44" s="1"/>
  <c r="G1818" i="44" s="1"/>
  <c r="G1819" i="44" s="1"/>
  <c r="G1820" i="44" s="1"/>
  <c r="G1821" i="44" s="1"/>
  <c r="G1822" i="44" s="1"/>
  <c r="G1823" i="44" s="1"/>
  <c r="G1824" i="44" s="1"/>
  <c r="G1825" i="44" s="1"/>
  <c r="G1826" i="44" s="1"/>
  <c r="G1827" i="44" s="1"/>
  <c r="G1828" i="44" s="1"/>
  <c r="G1829" i="44" s="1"/>
  <c r="G1830" i="44" s="1"/>
  <c r="G1831" i="44" s="1"/>
  <c r="G1832" i="44" s="1"/>
  <c r="G1833" i="44" s="1"/>
  <c r="G1834" i="44" s="1"/>
  <c r="G1835" i="44" s="1"/>
  <c r="G1836" i="44" s="1"/>
  <c r="G1837" i="44" s="1"/>
  <c r="G1838" i="44" s="1"/>
  <c r="G1839" i="44" s="1"/>
  <c r="G1840" i="44" s="1"/>
  <c r="G1841" i="44" s="1"/>
  <c r="G1842" i="44" s="1"/>
  <c r="G1843" i="44" s="1"/>
  <c r="G1844" i="44" s="1"/>
  <c r="G1845" i="44" s="1"/>
  <c r="G1846" i="44" s="1"/>
  <c r="G1847" i="44" s="1"/>
  <c r="G1848" i="44" s="1"/>
  <c r="G1849" i="44" s="1"/>
  <c r="G1850" i="44" s="1"/>
  <c r="G1851" i="44" s="1"/>
  <c r="G1852" i="44" s="1"/>
  <c r="G1853" i="44" s="1"/>
  <c r="G1854" i="44" s="1"/>
  <c r="G1855" i="44" s="1"/>
  <c r="G1856" i="44" s="1"/>
  <c r="G1857" i="44" s="1"/>
  <c r="G1858" i="44" s="1"/>
  <c r="G1859" i="44" s="1"/>
  <c r="G1860" i="44" s="1"/>
  <c r="G1861" i="44" s="1"/>
  <c r="G1862" i="44" s="1"/>
  <c r="G1863" i="44" s="1"/>
  <c r="G1864" i="44" s="1"/>
  <c r="G1865" i="44" s="1"/>
  <c r="G1866" i="44" s="1"/>
  <c r="G1867" i="44" s="1"/>
  <c r="G1868" i="44" s="1"/>
  <c r="G1869" i="44" s="1"/>
  <c r="G1870" i="44" s="1"/>
  <c r="G1871" i="44" s="1"/>
  <c r="G1872" i="44" s="1"/>
  <c r="G1873" i="44" s="1"/>
  <c r="G1874" i="44" s="1"/>
  <c r="G1875" i="44" s="1"/>
  <c r="G1876" i="44" s="1"/>
  <c r="G1877" i="44" s="1"/>
  <c r="G1878" i="44" s="1"/>
  <c r="G1879" i="44" s="1"/>
  <c r="G1880" i="44" s="1"/>
  <c r="G1881" i="44" s="1"/>
  <c r="G1882" i="44" s="1"/>
  <c r="G1883" i="44" s="1"/>
  <c r="G1884" i="44" s="1"/>
  <c r="G1885" i="44" s="1"/>
  <c r="G1886" i="44" s="1"/>
  <c r="G1887" i="44" s="1"/>
  <c r="G1888" i="44" s="1"/>
  <c r="G1889" i="44" s="1"/>
  <c r="G1890" i="44" s="1"/>
  <c r="G1891" i="44" s="1"/>
  <c r="G1892" i="44" s="1"/>
  <c r="G1893" i="44" s="1"/>
  <c r="G1894" i="44" s="1"/>
  <c r="G1895" i="44" s="1"/>
  <c r="G1896" i="44" s="1"/>
  <c r="G1897" i="44" s="1"/>
  <c r="G1898" i="44" s="1"/>
  <c r="G1899" i="44" s="1"/>
  <c r="G1900" i="44" s="1"/>
  <c r="G1901" i="44" s="1"/>
  <c r="G1902" i="44" s="1"/>
  <c r="G1903" i="44" s="1"/>
  <c r="G1904" i="44" s="1"/>
  <c r="G1905" i="44" s="1"/>
  <c r="G1906" i="44" s="1"/>
  <c r="G1907" i="44" s="1"/>
  <c r="G1908" i="44" s="1"/>
  <c r="G1909" i="44" s="1"/>
  <c r="G1910" i="44" s="1"/>
  <c r="G1911" i="44" s="1"/>
  <c r="G1912" i="44" s="1"/>
  <c r="G1913" i="44" s="1"/>
  <c r="G1914" i="44" s="1"/>
  <c r="G1915" i="44" s="1"/>
  <c r="G1916" i="44" s="1"/>
  <c r="G1917" i="44" s="1"/>
  <c r="G1918" i="44" s="1"/>
  <c r="G1919" i="44" s="1"/>
  <c r="G1920" i="44" s="1"/>
  <c r="G1921" i="44" s="1"/>
  <c r="G1922" i="44" s="1"/>
  <c r="G1923" i="44" s="1"/>
  <c r="G1924" i="44" s="1"/>
  <c r="G1925" i="44" s="1"/>
  <c r="G1926" i="44" s="1"/>
  <c r="G1927" i="44" s="1"/>
  <c r="G1928" i="44" s="1"/>
  <c r="G1929" i="44" s="1"/>
  <c r="G1930" i="44" s="1"/>
  <c r="G1931" i="44" s="1"/>
  <c r="G1932" i="44" s="1"/>
  <c r="G1933" i="44" s="1"/>
  <c r="G1934" i="44" s="1"/>
  <c r="G1935" i="44" s="1"/>
  <c r="G1936" i="44" s="1"/>
  <c r="G1937" i="44" s="1"/>
  <c r="G1938" i="44" s="1"/>
  <c r="G1939" i="44" s="1"/>
  <c r="G1940" i="44" s="1"/>
  <c r="G1941" i="44" s="1"/>
  <c r="G1942" i="44" s="1"/>
  <c r="G1943" i="44" s="1"/>
  <c r="G1944" i="44" s="1"/>
  <c r="G1945" i="44" s="1"/>
  <c r="G1946" i="44" s="1"/>
  <c r="G1947" i="44" s="1"/>
  <c r="G1948" i="44" s="1"/>
  <c r="G1949" i="44" s="1"/>
  <c r="G1950" i="44" s="1"/>
  <c r="G1951" i="44" s="1"/>
  <c r="G1952" i="44" s="1"/>
  <c r="G1953" i="44" s="1"/>
  <c r="G1954" i="44" s="1"/>
  <c r="G1955" i="44" s="1"/>
  <c r="G1956" i="44" s="1"/>
  <c r="G1957" i="44" s="1"/>
  <c r="G1958" i="44" s="1"/>
  <c r="G1959" i="44" s="1"/>
  <c r="G1960" i="44" s="1"/>
  <c r="G1961" i="44" s="1"/>
  <c r="G1962" i="44" s="1"/>
  <c r="G1963" i="44" s="1"/>
  <c r="G1964" i="44" s="1"/>
  <c r="G1965" i="44" s="1"/>
  <c r="G1966" i="44" s="1"/>
  <c r="G1967" i="44" s="1"/>
  <c r="G1968" i="44" s="1"/>
  <c r="G1969" i="44" s="1"/>
  <c r="G1970" i="44" s="1"/>
  <c r="G1971" i="44" s="1"/>
  <c r="G1972" i="44" s="1"/>
  <c r="G1973" i="44" s="1"/>
  <c r="G1974" i="44" s="1"/>
  <c r="G1975" i="44" s="1"/>
  <c r="G1976" i="44" s="1"/>
  <c r="G1977" i="44" s="1"/>
  <c r="G1978" i="44" s="1"/>
  <c r="G1979" i="44" s="1"/>
  <c r="G1980" i="44" s="1"/>
  <c r="G1981" i="44" s="1"/>
  <c r="G1982" i="44" s="1"/>
  <c r="G1983" i="44" s="1"/>
  <c r="G1984" i="44" s="1"/>
  <c r="G1985" i="44" s="1"/>
  <c r="G1986" i="44" s="1"/>
  <c r="G1987" i="44" s="1"/>
  <c r="G1988" i="44" s="1"/>
  <c r="G1989" i="44" s="1"/>
  <c r="G1990" i="44" s="1"/>
  <c r="G1991" i="44" s="1"/>
  <c r="G1992" i="44" s="1"/>
  <c r="G1993" i="44" s="1"/>
  <c r="G1994" i="44" s="1"/>
  <c r="G1995" i="44" s="1"/>
  <c r="G1996" i="44" s="1"/>
  <c r="G1997" i="44" s="1"/>
  <c r="G1998" i="44" s="1"/>
  <c r="G1999" i="44" s="1"/>
  <c r="G2000" i="44" s="1"/>
  <c r="G2001" i="44" s="1"/>
  <c r="G2002" i="44" s="1"/>
  <c r="G2003" i="44" s="1"/>
  <c r="G2004" i="44" s="1"/>
  <c r="G2005" i="44" s="1"/>
  <c r="G2006" i="44" s="1"/>
  <c r="G2007" i="44" s="1"/>
  <c r="G2008" i="44" s="1"/>
  <c r="G2009" i="44" s="1"/>
  <c r="G2010" i="44" s="1"/>
  <c r="G2011" i="44" s="1"/>
  <c r="G2012" i="44" s="1"/>
  <c r="G2013" i="44" s="1"/>
  <c r="G2014" i="44" s="1"/>
  <c r="G2015" i="44" s="1"/>
  <c r="G2016" i="44" s="1"/>
  <c r="G2017" i="44" s="1"/>
  <c r="G2018" i="44" s="1"/>
  <c r="G2019" i="44" s="1"/>
  <c r="G2020" i="44" s="1"/>
  <c r="G2021" i="44" s="1"/>
  <c r="G2022" i="44" s="1"/>
  <c r="G2023" i="44" s="1"/>
  <c r="G2024" i="44" s="1"/>
  <c r="G2025" i="44" s="1"/>
  <c r="G2026" i="44" s="1"/>
  <c r="G2027" i="44" s="1"/>
  <c r="G2028" i="44" s="1"/>
  <c r="G2029" i="44" s="1"/>
  <c r="G2030" i="44" s="1"/>
  <c r="G2031" i="44" s="1"/>
  <c r="G2032" i="44" s="1"/>
  <c r="G2033" i="44" s="1"/>
  <c r="G2034" i="44" s="1"/>
  <c r="G2035" i="44" s="1"/>
  <c r="G2036" i="44" s="1"/>
  <c r="G2037" i="44" s="1"/>
  <c r="G2038" i="44" s="1"/>
  <c r="G2039" i="44" s="1"/>
  <c r="G2040" i="44" s="1"/>
  <c r="G2041" i="44" s="1"/>
  <c r="G2042" i="44" s="1"/>
  <c r="G2043" i="44" s="1"/>
  <c r="G2044" i="44" s="1"/>
  <c r="G2045" i="44" s="1"/>
  <c r="G2046" i="44" s="1"/>
  <c r="G2047" i="44" s="1"/>
  <c r="G2048" i="44" s="1"/>
  <c r="G2049" i="44" s="1"/>
  <c r="G2050" i="44" s="1"/>
  <c r="G2051" i="44" s="1"/>
  <c r="G2052" i="44" s="1"/>
  <c r="G2053" i="44" s="1"/>
  <c r="G2054" i="44" s="1"/>
  <c r="G2055" i="44" s="1"/>
  <c r="G2056" i="44" s="1"/>
  <c r="G2057" i="44" s="1"/>
  <c r="G2058" i="44" s="1"/>
  <c r="G2059" i="44" s="1"/>
  <c r="G2060" i="44" s="1"/>
  <c r="G2061" i="44" s="1"/>
  <c r="G2062" i="44" s="1"/>
  <c r="G2063" i="44" s="1"/>
  <c r="G2064" i="44" s="1"/>
  <c r="G2065" i="44" s="1"/>
  <c r="G2066" i="44" s="1"/>
  <c r="G2067" i="44" s="1"/>
  <c r="G2068" i="44" s="1"/>
  <c r="G2069" i="44" s="1"/>
  <c r="G2070" i="44" s="1"/>
  <c r="G2071" i="44" s="1"/>
  <c r="G2072" i="44" s="1"/>
  <c r="G2073" i="44" s="1"/>
  <c r="G2074" i="44" s="1"/>
  <c r="G2075" i="44" s="1"/>
  <c r="G2076" i="44" s="1"/>
  <c r="G2077" i="44" s="1"/>
  <c r="G2078" i="44" s="1"/>
  <c r="G2079" i="44" s="1"/>
  <c r="G2080" i="44" s="1"/>
  <c r="G2081" i="44" s="1"/>
  <c r="G2082" i="44" s="1"/>
  <c r="G2083" i="44" s="1"/>
  <c r="G2084" i="44" s="1"/>
  <c r="G2085" i="44" s="1"/>
  <c r="G2086" i="44" s="1"/>
  <c r="G2087" i="44" s="1"/>
  <c r="G2088" i="44" s="1"/>
  <c r="G2089" i="44" s="1"/>
  <c r="G2090" i="44" s="1"/>
  <c r="G2091" i="44" s="1"/>
  <c r="G2092" i="44" s="1"/>
  <c r="G2093" i="44" s="1"/>
  <c r="G2094" i="44" s="1"/>
  <c r="G2095" i="44" s="1"/>
  <c r="G2096" i="44" s="1"/>
  <c r="G2097" i="44" s="1"/>
  <c r="G2098" i="44" s="1"/>
  <c r="G2099" i="44" s="1"/>
  <c r="G2100" i="44" s="1"/>
  <c r="G2101" i="44" s="1"/>
  <c r="G2102" i="44" s="1"/>
  <c r="G2103" i="44" s="1"/>
  <c r="G2104" i="44" s="1"/>
  <c r="G2105" i="44" s="1"/>
  <c r="G2106" i="44" s="1"/>
  <c r="G2107" i="44" s="1"/>
  <c r="G2108" i="44" s="1"/>
  <c r="G2109" i="44" s="1"/>
  <c r="G2110" i="44" s="1"/>
  <c r="G2111" i="44" s="1"/>
  <c r="G2112" i="44" s="1"/>
  <c r="G2113" i="44" s="1"/>
  <c r="G2114" i="44" s="1"/>
  <c r="G2115" i="44" s="1"/>
  <c r="G2116" i="44" s="1"/>
  <c r="G2117" i="44" s="1"/>
  <c r="G2118" i="44" s="1"/>
  <c r="G2119" i="44" s="1"/>
  <c r="G2120" i="44" s="1"/>
  <c r="G2121" i="44" s="1"/>
  <c r="G2122" i="44" s="1"/>
  <c r="G2123" i="44" s="1"/>
  <c r="G2124" i="44" s="1"/>
  <c r="G2125" i="44" s="1"/>
  <c r="G2126" i="44" s="1"/>
  <c r="G2127" i="44" s="1"/>
  <c r="G2128" i="44" s="1"/>
  <c r="G2129" i="44" s="1"/>
  <c r="G2130" i="44" s="1"/>
  <c r="G2131" i="44" s="1"/>
  <c r="G2132" i="44" s="1"/>
  <c r="G2133" i="44" s="1"/>
  <c r="G2134" i="44" s="1"/>
  <c r="G2135" i="44" s="1"/>
  <c r="G2136" i="44" s="1"/>
  <c r="G2137" i="44" s="1"/>
  <c r="G2138" i="44" s="1"/>
  <c r="G2139" i="44" s="1"/>
  <c r="G2140" i="44" s="1"/>
  <c r="G2141" i="44" s="1"/>
  <c r="G2142" i="44" s="1"/>
  <c r="G2143" i="44" s="1"/>
  <c r="G2144" i="44" s="1"/>
  <c r="G2145" i="44" s="1"/>
  <c r="G2146" i="44" s="1"/>
  <c r="G2147" i="44" s="1"/>
  <c r="G2148" i="44" s="1"/>
  <c r="G2149" i="44" s="1"/>
  <c r="G2150" i="44" s="1"/>
  <c r="G2151" i="44" s="1"/>
  <c r="G2152" i="44" s="1"/>
  <c r="G2153" i="44" s="1"/>
  <c r="G2154" i="44" s="1"/>
  <c r="G2155" i="44" s="1"/>
  <c r="G2156" i="44" s="1"/>
  <c r="G2157" i="44" s="1"/>
  <c r="G2158" i="44" s="1"/>
  <c r="G2159" i="44" s="1"/>
  <c r="G2160" i="44" s="1"/>
  <c r="G2161" i="44" s="1"/>
  <c r="G2162" i="44" s="1"/>
  <c r="G2163" i="44" s="1"/>
  <c r="G2164" i="44" s="1"/>
  <c r="G2165" i="44" s="1"/>
  <c r="G2166" i="44" s="1"/>
  <c r="G2167" i="44" s="1"/>
  <c r="G2168" i="44" s="1"/>
  <c r="G2169" i="44" s="1"/>
  <c r="G2170" i="44" s="1"/>
  <c r="G2171" i="44" s="1"/>
  <c r="G2172" i="44" s="1"/>
  <c r="G2173" i="44" s="1"/>
  <c r="G2174" i="44" s="1"/>
  <c r="G2175" i="44" s="1"/>
  <c r="G2176" i="44" s="1"/>
  <c r="G2177" i="44" s="1"/>
  <c r="G2178" i="44" s="1"/>
  <c r="G2179" i="44" s="1"/>
  <c r="G2180" i="44" s="1"/>
  <c r="G2181" i="44" s="1"/>
  <c r="G2182" i="44" s="1"/>
  <c r="G2183" i="44" s="1"/>
  <c r="G2184" i="44" s="1"/>
  <c r="G2185" i="44" s="1"/>
  <c r="G2186" i="44" s="1"/>
  <c r="G2187" i="44" s="1"/>
  <c r="G2188" i="44" s="1"/>
  <c r="G2189" i="44" s="1"/>
  <c r="G2190" i="44" s="1"/>
  <c r="G2191" i="44" s="1"/>
  <c r="G2192" i="44" s="1"/>
  <c r="G2193" i="44" s="1"/>
  <c r="G2194" i="44" s="1"/>
  <c r="G2195" i="44" s="1"/>
  <c r="G2196" i="44" s="1"/>
  <c r="G2197" i="44" s="1"/>
  <c r="G2198" i="44" s="1"/>
  <c r="G2199" i="44" s="1"/>
  <c r="G2200" i="44" s="1"/>
  <c r="G2201" i="44" s="1"/>
  <c r="G2202" i="44" s="1"/>
  <c r="G2203" i="44" s="1"/>
  <c r="G2204" i="44" s="1"/>
  <c r="G2205" i="44" s="1"/>
  <c r="G2206" i="44" s="1"/>
  <c r="G2207" i="44" s="1"/>
  <c r="G2208" i="44" s="1"/>
  <c r="G2209" i="44" s="1"/>
  <c r="G2210" i="44" s="1"/>
  <c r="G2211" i="44" s="1"/>
  <c r="G2212" i="44" s="1"/>
  <c r="G2213" i="44" s="1"/>
  <c r="G2214" i="44" s="1"/>
  <c r="G2215" i="44" s="1"/>
  <c r="G2216" i="44" s="1"/>
  <c r="G2217" i="44" s="1"/>
  <c r="G2218" i="44" s="1"/>
  <c r="G2219" i="44" s="1"/>
  <c r="G2220" i="44" s="1"/>
  <c r="G2221" i="44" s="1"/>
  <c r="G2222" i="44" s="1"/>
  <c r="G2223" i="44" s="1"/>
  <c r="G2224" i="44" s="1"/>
  <c r="G2225" i="44" s="1"/>
  <c r="G2226" i="44" s="1"/>
  <c r="G2227" i="44" s="1"/>
  <c r="G2228" i="44" s="1"/>
  <c r="G2229" i="44" s="1"/>
  <c r="G2230" i="44" s="1"/>
  <c r="G2231" i="44" s="1"/>
  <c r="G2232" i="44" s="1"/>
  <c r="G2233" i="44" s="1"/>
  <c r="G2234" i="44" s="1"/>
  <c r="G2235" i="44" s="1"/>
  <c r="G2236" i="44" s="1"/>
  <c r="G2237" i="44" s="1"/>
  <c r="G2238" i="44" s="1"/>
  <c r="G2239" i="44" s="1"/>
  <c r="G2240" i="44" s="1"/>
  <c r="G2241" i="44" s="1"/>
  <c r="G2242" i="44" s="1"/>
  <c r="G2243" i="44" s="1"/>
  <c r="G2244" i="44" s="1"/>
  <c r="G2245" i="44" s="1"/>
  <c r="G2246" i="44" s="1"/>
  <c r="G2247" i="44" s="1"/>
  <c r="G2248" i="44" s="1"/>
  <c r="G2249" i="44" s="1"/>
  <c r="G2250" i="44" s="1"/>
  <c r="G2251" i="44" s="1"/>
  <c r="G2252" i="44" s="1"/>
  <c r="G2253" i="44" s="1"/>
  <c r="G2254" i="44" s="1"/>
  <c r="G2255" i="44" s="1"/>
  <c r="G2256" i="44" s="1"/>
  <c r="G2257" i="44" s="1"/>
  <c r="G2258" i="44" s="1"/>
  <c r="G2259" i="44" s="1"/>
  <c r="G2260" i="44" s="1"/>
  <c r="G2261" i="44" s="1"/>
  <c r="G2262" i="44" s="1"/>
  <c r="G2263" i="44" s="1"/>
  <c r="G2264" i="44" s="1"/>
  <c r="G2265" i="44" s="1"/>
  <c r="G2266" i="44" s="1"/>
  <c r="G2267" i="44" s="1"/>
  <c r="G2268" i="44" s="1"/>
  <c r="G2269" i="44" s="1"/>
  <c r="G2270" i="44" s="1"/>
  <c r="G2271" i="44" s="1"/>
  <c r="G2272" i="44" s="1"/>
  <c r="G2273" i="44" s="1"/>
  <c r="G2274" i="44" s="1"/>
  <c r="G2275" i="44" s="1"/>
  <c r="G2276" i="44" s="1"/>
  <c r="G2277" i="44" s="1"/>
  <c r="G2278" i="44" s="1"/>
  <c r="G2279" i="44" s="1"/>
  <c r="G2280" i="44" s="1"/>
  <c r="G2281" i="44" s="1"/>
  <c r="G2282" i="44" s="1"/>
  <c r="G2283" i="44" s="1"/>
  <c r="G2284" i="44" s="1"/>
  <c r="G2285" i="44" s="1"/>
  <c r="G2286" i="44" s="1"/>
  <c r="G2287" i="44" s="1"/>
  <c r="G2288" i="44" s="1"/>
  <c r="G2289" i="44" s="1"/>
  <c r="G2290" i="44" s="1"/>
  <c r="G2291" i="44" s="1"/>
  <c r="G2292" i="44" s="1"/>
  <c r="G2293" i="44" s="1"/>
  <c r="G2294" i="44" s="1"/>
  <c r="G2295" i="44" s="1"/>
  <c r="G2296" i="44" s="1"/>
  <c r="G2297" i="44" s="1"/>
  <c r="G2298" i="44" s="1"/>
  <c r="G2299" i="44" s="1"/>
  <c r="G2300" i="44" s="1"/>
  <c r="G2301" i="44" s="1"/>
  <c r="G2302" i="44" s="1"/>
  <c r="G2303" i="44" s="1"/>
  <c r="G2304" i="44" s="1"/>
  <c r="G2305" i="44" s="1"/>
  <c r="G2306" i="44" s="1"/>
  <c r="G2307" i="44" s="1"/>
  <c r="G2308" i="44" s="1"/>
  <c r="G2309" i="44" s="1"/>
  <c r="G2310" i="44" s="1"/>
  <c r="G2311" i="44" s="1"/>
  <c r="G2312" i="44" s="1"/>
  <c r="G2313" i="44" s="1"/>
  <c r="G2314" i="44" s="1"/>
  <c r="G2315" i="44" s="1"/>
  <c r="G2316" i="44" s="1"/>
  <c r="G2317" i="44" s="1"/>
  <c r="G2318" i="44" s="1"/>
  <c r="G2319" i="44" s="1"/>
  <c r="G2320" i="44" s="1"/>
  <c r="G2321" i="44" s="1"/>
  <c r="G2322" i="44" s="1"/>
  <c r="G2323" i="44" s="1"/>
  <c r="G2324" i="44" s="1"/>
  <c r="G2325" i="44" s="1"/>
  <c r="G2326" i="44" s="1"/>
  <c r="G2327" i="44" s="1"/>
  <c r="G2328" i="44" s="1"/>
  <c r="G2329" i="44" s="1"/>
  <c r="G2330" i="44" s="1"/>
  <c r="G2331" i="44" s="1"/>
  <c r="G2332" i="44" s="1"/>
  <c r="G2333" i="44" s="1"/>
  <c r="G2334" i="44" s="1"/>
  <c r="G2335" i="44" s="1"/>
  <c r="G2336" i="44" s="1"/>
  <c r="G2337" i="44" s="1"/>
  <c r="G2338" i="44" s="1"/>
  <c r="G2339" i="44" s="1"/>
  <c r="G2340" i="44" s="1"/>
  <c r="G2341" i="44" s="1"/>
  <c r="G2342" i="44" s="1"/>
  <c r="G2343" i="44" s="1"/>
  <c r="G2344" i="44" s="1"/>
  <c r="G2345" i="44" s="1"/>
  <c r="G2346" i="44" s="1"/>
  <c r="G2347" i="44" s="1"/>
  <c r="G2348" i="44" s="1"/>
  <c r="G2349" i="44" s="1"/>
  <c r="G2350" i="44" s="1"/>
  <c r="G2351" i="44" s="1"/>
  <c r="G2352" i="44" s="1"/>
  <c r="G2353" i="44" s="1"/>
  <c r="G2354" i="44" s="1"/>
  <c r="G2355" i="44" s="1"/>
  <c r="G2356" i="44" s="1"/>
  <c r="G2357" i="44" s="1"/>
  <c r="G2358" i="44" s="1"/>
  <c r="G2359" i="44" s="1"/>
  <c r="G2360" i="44" s="1"/>
  <c r="G2361" i="44" s="1"/>
  <c r="G2362" i="44" s="1"/>
  <c r="G2363" i="44" s="1"/>
  <c r="G2364" i="44" s="1"/>
  <c r="G2365" i="44" s="1"/>
  <c r="G2366" i="44" s="1"/>
  <c r="G2367" i="44" s="1"/>
  <c r="G2368" i="44" s="1"/>
  <c r="G2369" i="44" s="1"/>
  <c r="G2370" i="44" s="1"/>
  <c r="G2371" i="44" s="1"/>
  <c r="G2372" i="44" s="1"/>
  <c r="G2373" i="44" s="1"/>
  <c r="G2374" i="44" s="1"/>
  <c r="G2375" i="44" s="1"/>
  <c r="G2376" i="44" s="1"/>
  <c r="G2377" i="44" s="1"/>
  <c r="G2378" i="44" s="1"/>
  <c r="G2379" i="44" s="1"/>
  <c r="G2380" i="44" s="1"/>
  <c r="G2381" i="44" s="1"/>
  <c r="G2382" i="44" s="1"/>
  <c r="G2383" i="44" s="1"/>
  <c r="G2384" i="44" s="1"/>
  <c r="G2385" i="44" s="1"/>
  <c r="G2386" i="44" s="1"/>
  <c r="G2387" i="44" s="1"/>
  <c r="G2388" i="44" s="1"/>
  <c r="G2389" i="44" s="1"/>
  <c r="G2390" i="44" s="1"/>
  <c r="G2391" i="44" s="1"/>
  <c r="G2392" i="44" s="1"/>
  <c r="G2393" i="44" s="1"/>
  <c r="G2394" i="44" s="1"/>
  <c r="G2395" i="44" s="1"/>
  <c r="G2396" i="44" s="1"/>
  <c r="G2397" i="44" s="1"/>
  <c r="G2398" i="44" s="1"/>
  <c r="G2399" i="44" s="1"/>
  <c r="G2400" i="44" s="1"/>
  <c r="G2401" i="44" s="1"/>
  <c r="G2402" i="44" s="1"/>
  <c r="G2403" i="44" s="1"/>
  <c r="G2404" i="44" s="1"/>
  <c r="G2405" i="44" s="1"/>
  <c r="G2406" i="44" s="1"/>
  <c r="G2407" i="44" s="1"/>
  <c r="G2408" i="44" s="1"/>
  <c r="G2409" i="44" s="1"/>
  <c r="G2410" i="44" s="1"/>
  <c r="G2411" i="44" s="1"/>
  <c r="G2412" i="44" s="1"/>
  <c r="G2413" i="44" s="1"/>
  <c r="G2414" i="44" s="1"/>
  <c r="G2415" i="44" s="1"/>
  <c r="G2416" i="44" s="1"/>
  <c r="G2417" i="44" s="1"/>
  <c r="G2418" i="44" s="1"/>
  <c r="G2419" i="44" s="1"/>
  <c r="G2420" i="44" s="1"/>
  <c r="G2421" i="44" s="1"/>
  <c r="G2422" i="44" s="1"/>
  <c r="G2423" i="44" s="1"/>
  <c r="G2424" i="44" s="1"/>
  <c r="G2425" i="44" s="1"/>
  <c r="G2426" i="44" s="1"/>
  <c r="G2427" i="44" s="1"/>
  <c r="G2428" i="44" s="1"/>
  <c r="G2429" i="44" s="1"/>
  <c r="G2430" i="44" s="1"/>
  <c r="G2431" i="44" s="1"/>
  <c r="G2432" i="44" s="1"/>
  <c r="G2433" i="44" s="1"/>
  <c r="G2434" i="44" s="1"/>
  <c r="G2435" i="44" s="1"/>
  <c r="G2436" i="44" s="1"/>
  <c r="G2437" i="44" s="1"/>
  <c r="G2438" i="44" s="1"/>
  <c r="G2439" i="44" s="1"/>
  <c r="G2440" i="44" s="1"/>
  <c r="G2441" i="44" s="1"/>
  <c r="G2442" i="44" s="1"/>
  <c r="G2443" i="44" s="1"/>
  <c r="G2444" i="44" s="1"/>
  <c r="G2445" i="44" s="1"/>
  <c r="G2446" i="44" s="1"/>
  <c r="G2447" i="44" s="1"/>
  <c r="G2448" i="44" s="1"/>
  <c r="G2449" i="44" s="1"/>
  <c r="G2450" i="44" s="1"/>
  <c r="G2451" i="44" s="1"/>
  <c r="G2452" i="44" s="1"/>
  <c r="G2453" i="44" s="1"/>
  <c r="G2454" i="44" s="1"/>
  <c r="G2455" i="44" s="1"/>
  <c r="G2456" i="44" s="1"/>
  <c r="G2457" i="44" s="1"/>
  <c r="G2458" i="44" s="1"/>
  <c r="G2459" i="44" s="1"/>
  <c r="G2460" i="44" s="1"/>
  <c r="G2461" i="44" s="1"/>
  <c r="G2462" i="44" s="1"/>
  <c r="G2463" i="44" s="1"/>
  <c r="G2464" i="44" s="1"/>
  <c r="G2465" i="44" s="1"/>
  <c r="G2466" i="44" s="1"/>
  <c r="G2467" i="44" s="1"/>
  <c r="G2468" i="44" s="1"/>
  <c r="G2469" i="44" s="1"/>
  <c r="G2470" i="44" s="1"/>
  <c r="G2471" i="44" s="1"/>
  <c r="G2472" i="44" s="1"/>
  <c r="G2473" i="44" s="1"/>
  <c r="G2474" i="44" s="1"/>
  <c r="G2475" i="44" s="1"/>
  <c r="G2476" i="44" s="1"/>
  <c r="G2477" i="44" s="1"/>
  <c r="G2478" i="44" s="1"/>
  <c r="G2479" i="44" s="1"/>
  <c r="G2480" i="44" s="1"/>
  <c r="G2481" i="44" s="1"/>
  <c r="G2482" i="44" s="1"/>
  <c r="G2483" i="44" s="1"/>
  <c r="G2484" i="44" s="1"/>
  <c r="G2485" i="44" s="1"/>
  <c r="G2486" i="44" s="1"/>
  <c r="G2487" i="44" s="1"/>
  <c r="G2488" i="44" s="1"/>
  <c r="G2489" i="44" s="1"/>
  <c r="G2490" i="44" s="1"/>
  <c r="G2491" i="44" s="1"/>
  <c r="G2492" i="44" s="1"/>
  <c r="G2493" i="44" s="1"/>
  <c r="G2494" i="44" s="1"/>
  <c r="G2495" i="44" s="1"/>
  <c r="G2496" i="44" s="1"/>
  <c r="G2497" i="44" s="1"/>
  <c r="G2498" i="44" s="1"/>
  <c r="G2499" i="44" s="1"/>
  <c r="G2500" i="44" s="1"/>
  <c r="G2501" i="44" s="1"/>
  <c r="G2502" i="44" s="1"/>
  <c r="G2503" i="44" s="1"/>
  <c r="G2504" i="44" s="1"/>
  <c r="G2505" i="44" s="1"/>
  <c r="G2506" i="44" s="1"/>
  <c r="G2507" i="44" s="1"/>
  <c r="G2508" i="44" s="1"/>
  <c r="G2509" i="44" s="1"/>
  <c r="G2510" i="44" s="1"/>
  <c r="G2511" i="44" s="1"/>
  <c r="G2512" i="44" s="1"/>
  <c r="G2513" i="44" s="1"/>
  <c r="G2514" i="44" s="1"/>
  <c r="G2515" i="44" s="1"/>
  <c r="G2516" i="44" s="1"/>
  <c r="G2517" i="44" s="1"/>
  <c r="G2518" i="44" s="1"/>
  <c r="G2519" i="44" s="1"/>
  <c r="G2520" i="44" s="1"/>
  <c r="G2521" i="44" s="1"/>
  <c r="G2522" i="44" s="1"/>
  <c r="G2523" i="44" s="1"/>
  <c r="G2524" i="44" s="1"/>
  <c r="G2525" i="44" s="1"/>
  <c r="G2526" i="44" s="1"/>
  <c r="G2527" i="44" s="1"/>
  <c r="G2528" i="44" s="1"/>
  <c r="G2529" i="44" s="1"/>
  <c r="G2530" i="44" s="1"/>
  <c r="G2531" i="44" s="1"/>
  <c r="G2532" i="44" s="1"/>
  <c r="G2533" i="44" s="1"/>
  <c r="G2534" i="44" s="1"/>
  <c r="G2535" i="44" s="1"/>
  <c r="G2536" i="44" s="1"/>
  <c r="G2537" i="44" s="1"/>
  <c r="G2538" i="44" s="1"/>
  <c r="G2539" i="44" s="1"/>
  <c r="G2540" i="44" s="1"/>
  <c r="G2541" i="44" s="1"/>
  <c r="G2542" i="44" s="1"/>
  <c r="G2543" i="44" s="1"/>
  <c r="G2544" i="44" s="1"/>
  <c r="G2545" i="44" s="1"/>
  <c r="G2546" i="44" s="1"/>
  <c r="G2547" i="44" s="1"/>
  <c r="G2548" i="44" s="1"/>
  <c r="G2549" i="44" s="1"/>
  <c r="G2550" i="44" s="1"/>
  <c r="G2551" i="44" s="1"/>
  <c r="G2552" i="44" s="1"/>
  <c r="G2553" i="44" s="1"/>
  <c r="G2554" i="44" s="1"/>
  <c r="G2555" i="44" s="1"/>
  <c r="G2556" i="44" s="1"/>
  <c r="G2557" i="44" s="1"/>
  <c r="G2558" i="44" s="1"/>
  <c r="G2559" i="44" s="1"/>
  <c r="G2560" i="44" s="1"/>
  <c r="G2561" i="44" s="1"/>
  <c r="G2562" i="44" s="1"/>
  <c r="G2563" i="44" s="1"/>
  <c r="G2564" i="44" s="1"/>
  <c r="G2565" i="44" s="1"/>
  <c r="G2566" i="44" s="1"/>
  <c r="G2567" i="44" s="1"/>
  <c r="G2568" i="44" s="1"/>
  <c r="G2569" i="44" s="1"/>
  <c r="G2570" i="44" s="1"/>
  <c r="G2571" i="44" s="1"/>
  <c r="G2572" i="44" s="1"/>
  <c r="G2573" i="44" s="1"/>
  <c r="G2574" i="44" s="1"/>
  <c r="G2575" i="44" s="1"/>
  <c r="G2576" i="44" s="1"/>
  <c r="G2577" i="44" s="1"/>
  <c r="G2578" i="44" s="1"/>
  <c r="G2579" i="44" s="1"/>
  <c r="G2580" i="44" s="1"/>
  <c r="G2581" i="44" s="1"/>
  <c r="G2582" i="44" s="1"/>
  <c r="G2583" i="44" s="1"/>
  <c r="G2584" i="44" s="1"/>
  <c r="G2585" i="44" s="1"/>
  <c r="G2586" i="44" s="1"/>
  <c r="G2587" i="44" s="1"/>
  <c r="G2588" i="44" s="1"/>
  <c r="G2589" i="44" s="1"/>
  <c r="G2590" i="44" s="1"/>
  <c r="G2591" i="44" s="1"/>
  <c r="G2592" i="44" s="1"/>
  <c r="G2593" i="44" s="1"/>
  <c r="G2594" i="44" s="1"/>
  <c r="G2595" i="44" s="1"/>
  <c r="G2596" i="44" s="1"/>
  <c r="G2597" i="44" s="1"/>
  <c r="G2598" i="44" s="1"/>
  <c r="G2599" i="44" s="1"/>
  <c r="G2600" i="44" s="1"/>
  <c r="G2601" i="44" s="1"/>
  <c r="G2602" i="44" s="1"/>
  <c r="G2603" i="44" s="1"/>
  <c r="G2604" i="44" s="1"/>
  <c r="G2605" i="44" s="1"/>
  <c r="G2606" i="44" s="1"/>
  <c r="G2607" i="44" s="1"/>
  <c r="G2608" i="44" s="1"/>
  <c r="G2609" i="44" s="1"/>
  <c r="G2610" i="44" s="1"/>
  <c r="G2611" i="44" s="1"/>
  <c r="G2612" i="44" s="1"/>
  <c r="G2613" i="44" s="1"/>
  <c r="G2614" i="44" s="1"/>
  <c r="G2615" i="44" s="1"/>
  <c r="G2616" i="44" s="1"/>
  <c r="G2617" i="44" s="1"/>
  <c r="G2618" i="44" s="1"/>
  <c r="G2619" i="44" s="1"/>
  <c r="G2620" i="44" s="1"/>
  <c r="G2621" i="44" s="1"/>
  <c r="G2622" i="44" s="1"/>
  <c r="G2623" i="44" s="1"/>
  <c r="G2624" i="44" s="1"/>
  <c r="G2625" i="44" s="1"/>
  <c r="G2626" i="44" s="1"/>
  <c r="G2627" i="44" s="1"/>
  <c r="G2628" i="44" s="1"/>
  <c r="G2629" i="44" s="1"/>
  <c r="G2630" i="44" s="1"/>
  <c r="G2631" i="44" s="1"/>
  <c r="G2632" i="44" s="1"/>
  <c r="G2633" i="44" s="1"/>
  <c r="G2634" i="44" s="1"/>
  <c r="G2635" i="44" s="1"/>
  <c r="G2636" i="44" s="1"/>
  <c r="G2637" i="44" s="1"/>
  <c r="G2638" i="44" s="1"/>
  <c r="G2639" i="44" s="1"/>
  <c r="G2640" i="44" s="1"/>
  <c r="G2641" i="44" s="1"/>
  <c r="G2642" i="44" s="1"/>
  <c r="G2643" i="44" s="1"/>
  <c r="G2644" i="44" s="1"/>
  <c r="G2645" i="44" s="1"/>
  <c r="G2646" i="44" s="1"/>
  <c r="G2647" i="44" s="1"/>
  <c r="G2648" i="44" s="1"/>
  <c r="G2649" i="44" s="1"/>
  <c r="G2650" i="44" s="1"/>
  <c r="G2651" i="44" s="1"/>
  <c r="G2652" i="44" s="1"/>
  <c r="G2653" i="44" s="1"/>
  <c r="G2654" i="44" s="1"/>
  <c r="G2655" i="44" s="1"/>
  <c r="G2656" i="44" s="1"/>
  <c r="G2657" i="44" s="1"/>
  <c r="G2658" i="44" s="1"/>
  <c r="G2659" i="44" s="1"/>
  <c r="G2660" i="44" s="1"/>
  <c r="G2661" i="44" s="1"/>
  <c r="G2662" i="44" s="1"/>
  <c r="G2663" i="44" s="1"/>
  <c r="G2664" i="44" s="1"/>
  <c r="G2665" i="44" s="1"/>
  <c r="G2666" i="44" s="1"/>
  <c r="G2667" i="44" s="1"/>
  <c r="G2668" i="44" s="1"/>
  <c r="G2669" i="44" s="1"/>
  <c r="G2670" i="44" s="1"/>
  <c r="G2671" i="44" s="1"/>
  <c r="G2672" i="44" s="1"/>
  <c r="G2673" i="44" s="1"/>
  <c r="G2674" i="44" s="1"/>
  <c r="G2675" i="44" s="1"/>
  <c r="G2676" i="44" s="1"/>
  <c r="G2677" i="44" s="1"/>
  <c r="G2678" i="44" s="1"/>
  <c r="G2679" i="44" s="1"/>
  <c r="G2680" i="44" s="1"/>
  <c r="G2681" i="44" s="1"/>
  <c r="G2682" i="44" s="1"/>
  <c r="G2683" i="44" s="1"/>
  <c r="G2684" i="44" s="1"/>
  <c r="G2685" i="44" s="1"/>
  <c r="G2686" i="44" s="1"/>
  <c r="G2687" i="44" s="1"/>
  <c r="G2688" i="44" s="1"/>
  <c r="G2689" i="44" s="1"/>
  <c r="G2690" i="44" s="1"/>
  <c r="G2691" i="44" s="1"/>
  <c r="G2692" i="44" s="1"/>
  <c r="G2693" i="44" s="1"/>
  <c r="G2694" i="44" s="1"/>
  <c r="G2695" i="44" s="1"/>
  <c r="G2696" i="44" s="1"/>
  <c r="G2697" i="44" s="1"/>
  <c r="G2698" i="44" s="1"/>
  <c r="G2699" i="44" s="1"/>
  <c r="G2700" i="44" s="1"/>
  <c r="G2701" i="44" s="1"/>
  <c r="G2702" i="44" s="1"/>
  <c r="G2703" i="44" s="1"/>
  <c r="G2704" i="44" s="1"/>
  <c r="G2705" i="44" s="1"/>
  <c r="G2706" i="44" s="1"/>
  <c r="G2707" i="44" s="1"/>
  <c r="G2708" i="44" s="1"/>
  <c r="G2709" i="44" s="1"/>
  <c r="G2710" i="44" s="1"/>
  <c r="G2711" i="44" s="1"/>
  <c r="G2712" i="44" s="1"/>
  <c r="G2713" i="44" s="1"/>
  <c r="G2714" i="44" s="1"/>
  <c r="G2715" i="44" s="1"/>
  <c r="G2716" i="44" s="1"/>
  <c r="G2717" i="44" s="1"/>
  <c r="G2718" i="44" s="1"/>
  <c r="G2719" i="44" s="1"/>
  <c r="G2720" i="44" s="1"/>
  <c r="G2721" i="44" s="1"/>
  <c r="G2722" i="44" s="1"/>
  <c r="G2723" i="44" s="1"/>
  <c r="G2724" i="44" s="1"/>
  <c r="G2725" i="44" s="1"/>
  <c r="G2726" i="44" s="1"/>
  <c r="G2727" i="44" s="1"/>
  <c r="G2728" i="44" s="1"/>
  <c r="G2729" i="44" s="1"/>
  <c r="G2730" i="44" s="1"/>
  <c r="G2731" i="44" s="1"/>
  <c r="G2732" i="44" s="1"/>
  <c r="G2733" i="44" s="1"/>
  <c r="G2734" i="44" s="1"/>
  <c r="G2735" i="44" s="1"/>
  <c r="G2736" i="44" s="1"/>
  <c r="G2737" i="44" s="1"/>
  <c r="G2738" i="44" s="1"/>
  <c r="G2739" i="44" s="1"/>
  <c r="G2740" i="44" s="1"/>
  <c r="G2741" i="44" s="1"/>
  <c r="G2742" i="44" s="1"/>
  <c r="G2743" i="44" s="1"/>
  <c r="G2744" i="44" s="1"/>
  <c r="G2745" i="44" s="1"/>
  <c r="G2746" i="44" s="1"/>
  <c r="G2747" i="44" s="1"/>
  <c r="G2748" i="44" s="1"/>
  <c r="G2749" i="44" s="1"/>
  <c r="G2750" i="44" s="1"/>
  <c r="G2751" i="44" s="1"/>
  <c r="G2752" i="44" s="1"/>
  <c r="G2753" i="44" s="1"/>
  <c r="G2754" i="44" s="1"/>
  <c r="G2755" i="44" s="1"/>
  <c r="G2756" i="44" s="1"/>
  <c r="G2757" i="44" s="1"/>
  <c r="G2758" i="44" s="1"/>
  <c r="G2759" i="44" s="1"/>
  <c r="G2760" i="44" s="1"/>
  <c r="G2761" i="44" s="1"/>
  <c r="G2762" i="44" s="1"/>
  <c r="G2763" i="44" s="1"/>
  <c r="G2764" i="44" s="1"/>
  <c r="G2765" i="44" s="1"/>
  <c r="G2766" i="44" s="1"/>
  <c r="G2767" i="44" s="1"/>
  <c r="G2768" i="44" s="1"/>
  <c r="G2769" i="44" s="1"/>
  <c r="G2770" i="44" s="1"/>
  <c r="G2771" i="44" s="1"/>
  <c r="G2772" i="44" s="1"/>
  <c r="G2773" i="44" s="1"/>
  <c r="G2774" i="44" s="1"/>
  <c r="G2775" i="44" s="1"/>
  <c r="G2776" i="44" s="1"/>
  <c r="G2777" i="44" s="1"/>
  <c r="G2778" i="44" s="1"/>
  <c r="G2779" i="44" s="1"/>
  <c r="G2780" i="44" s="1"/>
  <c r="G2781" i="44" s="1"/>
  <c r="G2782" i="44" s="1"/>
  <c r="G2783" i="44" s="1"/>
  <c r="G2784" i="44" s="1"/>
  <c r="G2785" i="44" s="1"/>
  <c r="G2786" i="44" s="1"/>
  <c r="G2787" i="44" s="1"/>
  <c r="G2788" i="44" s="1"/>
  <c r="G2789" i="44" s="1"/>
  <c r="G2790" i="44" s="1"/>
  <c r="G2791" i="44" s="1"/>
  <c r="G2792" i="44" s="1"/>
  <c r="G2793" i="44" s="1"/>
  <c r="G2794" i="44" s="1"/>
  <c r="G2795" i="44" s="1"/>
  <c r="G2796" i="44" s="1"/>
  <c r="G2797" i="44" s="1"/>
  <c r="G2798" i="44" s="1"/>
  <c r="G2799" i="44" s="1"/>
  <c r="G2800" i="44" s="1"/>
  <c r="G2801" i="44" s="1"/>
  <c r="G2802" i="44" s="1"/>
  <c r="G2803" i="44" s="1"/>
  <c r="G2804" i="44" s="1"/>
  <c r="G2805" i="44" s="1"/>
  <c r="G2806" i="44" s="1"/>
  <c r="G2807" i="44" s="1"/>
  <c r="G2808" i="44" s="1"/>
  <c r="G2809" i="44" s="1"/>
  <c r="G2810" i="44" s="1"/>
  <c r="G2811" i="44" s="1"/>
  <c r="G2812" i="44" s="1"/>
  <c r="G2813" i="44" s="1"/>
  <c r="G2814" i="44" s="1"/>
  <c r="G2815" i="44" s="1"/>
  <c r="G2816" i="44" s="1"/>
  <c r="G2817" i="44" s="1"/>
  <c r="G2818" i="44" s="1"/>
  <c r="G2819" i="44" s="1"/>
  <c r="G2820" i="44" s="1"/>
  <c r="G2821" i="44" s="1"/>
  <c r="G2822" i="44" s="1"/>
  <c r="G2823" i="44" s="1"/>
  <c r="G2824" i="44" s="1"/>
  <c r="G2825" i="44" s="1"/>
  <c r="G2826" i="44" s="1"/>
  <c r="G2827" i="44" s="1"/>
  <c r="G2828" i="44" s="1"/>
  <c r="G2829" i="44" s="1"/>
  <c r="G2830" i="44" s="1"/>
  <c r="G2831" i="44" s="1"/>
  <c r="G2832" i="44" s="1"/>
  <c r="G2833" i="44" s="1"/>
  <c r="G2834" i="44" s="1"/>
  <c r="G2835" i="44" s="1"/>
  <c r="G2836" i="44" s="1"/>
  <c r="G2837" i="44" s="1"/>
  <c r="G2838" i="44" s="1"/>
  <c r="G2839" i="44" s="1"/>
  <c r="G2840" i="44" s="1"/>
  <c r="G2841" i="44" s="1"/>
  <c r="G2842" i="44" s="1"/>
  <c r="G2843" i="44" s="1"/>
  <c r="G2844" i="44" s="1"/>
  <c r="G2845" i="44" s="1"/>
  <c r="G2846" i="44" s="1"/>
  <c r="G2847" i="44" s="1"/>
  <c r="G2848" i="44" s="1"/>
  <c r="G2849" i="44" s="1"/>
  <c r="G2850" i="44" s="1"/>
  <c r="G2851" i="44" s="1"/>
  <c r="G2852" i="44" s="1"/>
  <c r="G2853" i="44" s="1"/>
  <c r="G2854" i="44" s="1"/>
  <c r="G2855" i="44" s="1"/>
  <c r="G2856" i="44" s="1"/>
  <c r="G2857" i="44" s="1"/>
  <c r="G2858" i="44" s="1"/>
  <c r="G2859" i="44" s="1"/>
  <c r="G2860" i="44" s="1"/>
  <c r="G2861" i="44" s="1"/>
  <c r="G2862" i="44" s="1"/>
  <c r="G2863" i="44" s="1"/>
  <c r="G2864" i="44" s="1"/>
  <c r="G2865" i="44" s="1"/>
  <c r="G2866" i="44" s="1"/>
  <c r="G2867" i="44" s="1"/>
  <c r="G2868" i="44" s="1"/>
  <c r="G2869" i="44" s="1"/>
  <c r="G2870" i="44" s="1"/>
  <c r="G2871" i="44" s="1"/>
  <c r="G2872" i="44" s="1"/>
  <c r="G2873" i="44" s="1"/>
  <c r="G2874" i="44" s="1"/>
  <c r="G2875" i="44" s="1"/>
  <c r="G2876" i="44" s="1"/>
  <c r="G2877" i="44" s="1"/>
  <c r="G2878" i="44" s="1"/>
  <c r="G2879" i="44" s="1"/>
  <c r="G2880" i="44" s="1"/>
  <c r="G2881" i="44" s="1"/>
  <c r="G2882" i="44" s="1"/>
  <c r="G2883" i="44" s="1"/>
  <c r="G2884" i="44" s="1"/>
  <c r="G2885" i="44" s="1"/>
  <c r="G2886" i="44" s="1"/>
  <c r="G2887" i="44" s="1"/>
  <c r="G2888" i="44" s="1"/>
  <c r="G2889" i="44" s="1"/>
  <c r="G2890" i="44" s="1"/>
  <c r="G2891" i="44" s="1"/>
  <c r="G2892" i="44" s="1"/>
  <c r="G2893" i="44" s="1"/>
  <c r="G2894" i="44" s="1"/>
  <c r="G2895" i="44" s="1"/>
  <c r="G2896" i="44" s="1"/>
  <c r="G2897" i="44" s="1"/>
  <c r="G2898" i="44" s="1"/>
  <c r="G2899" i="44" s="1"/>
  <c r="G2900" i="44" s="1"/>
  <c r="G2901" i="44" s="1"/>
  <c r="G2902" i="44" s="1"/>
  <c r="G2903" i="44" s="1"/>
  <c r="G2904" i="44" s="1"/>
  <c r="G2905" i="44" s="1"/>
  <c r="G2906" i="44" s="1"/>
  <c r="G2907" i="44" s="1"/>
  <c r="G2908" i="44" s="1"/>
  <c r="G2909" i="44" s="1"/>
  <c r="G2910" i="44" s="1"/>
  <c r="G2911" i="44" s="1"/>
  <c r="G2912" i="44" s="1"/>
  <c r="G2913" i="44" s="1"/>
  <c r="G2914" i="44" s="1"/>
  <c r="G2915" i="44" s="1"/>
  <c r="G2916" i="44" s="1"/>
  <c r="G2917" i="44" s="1"/>
  <c r="G2918" i="44" s="1"/>
  <c r="G2919" i="44" s="1"/>
  <c r="G2920" i="44" s="1"/>
  <c r="G2921" i="44" s="1"/>
  <c r="G2922" i="44" s="1"/>
  <c r="G2923" i="44" s="1"/>
  <c r="G2924" i="44" s="1"/>
  <c r="G2925" i="44" s="1"/>
  <c r="G2926" i="44" s="1"/>
  <c r="G2927" i="44" s="1"/>
  <c r="G2928" i="44" s="1"/>
  <c r="G2929" i="44" s="1"/>
  <c r="G2930" i="44" s="1"/>
  <c r="G2931" i="44" s="1"/>
  <c r="G2932" i="44" s="1"/>
  <c r="G2933" i="44" s="1"/>
  <c r="G2934" i="44" s="1"/>
  <c r="G2935" i="44" s="1"/>
  <c r="G2936" i="44" s="1"/>
  <c r="G2937" i="44" s="1"/>
  <c r="G2938" i="44" s="1"/>
  <c r="G2939" i="44" s="1"/>
  <c r="G2940" i="44" s="1"/>
  <c r="G2941" i="44" s="1"/>
  <c r="G2942" i="44" s="1"/>
  <c r="G2943" i="44" s="1"/>
  <c r="G2944" i="44" s="1"/>
  <c r="G2945" i="44" s="1"/>
  <c r="G2946" i="44" s="1"/>
  <c r="G2947" i="44" s="1"/>
  <c r="G2948" i="44" s="1"/>
  <c r="G2949" i="44" s="1"/>
  <c r="G2950" i="44" s="1"/>
  <c r="G2951" i="44" s="1"/>
  <c r="G2952" i="44" s="1"/>
  <c r="G2953" i="44" s="1"/>
  <c r="G2954" i="44" s="1"/>
  <c r="G2955" i="44" s="1"/>
  <c r="G2956" i="44" s="1"/>
  <c r="G2957" i="44" s="1"/>
  <c r="G2958" i="44" s="1"/>
  <c r="G2959" i="44" s="1"/>
  <c r="G2960" i="44" s="1"/>
  <c r="G2961" i="44" s="1"/>
  <c r="G2962" i="44" s="1"/>
  <c r="G2963" i="44" s="1"/>
  <c r="G2964" i="44" s="1"/>
  <c r="G2965" i="44" s="1"/>
  <c r="G2966" i="44" s="1"/>
  <c r="G2967" i="44" s="1"/>
  <c r="G2968" i="44" s="1"/>
  <c r="G2969" i="44" s="1"/>
  <c r="G2970" i="44" s="1"/>
  <c r="G2971" i="44" s="1"/>
  <c r="G2972" i="44" s="1"/>
  <c r="G2973" i="44" s="1"/>
  <c r="G2974" i="44" s="1"/>
  <c r="G2975" i="44" s="1"/>
  <c r="G2976" i="44" s="1"/>
  <c r="G2977" i="44" s="1"/>
  <c r="G2978" i="44" s="1"/>
  <c r="G2979" i="44" s="1"/>
  <c r="G2980" i="44" s="1"/>
  <c r="G2981" i="44" s="1"/>
  <c r="G2982" i="44" s="1"/>
  <c r="G2983" i="44" s="1"/>
  <c r="G2984" i="44" s="1"/>
  <c r="G2985" i="44" s="1"/>
  <c r="G2986" i="44" s="1"/>
  <c r="G2987" i="44" s="1"/>
  <c r="G2988" i="44" s="1"/>
  <c r="G2989" i="44" s="1"/>
  <c r="G2990" i="44" s="1"/>
  <c r="G2991" i="44" s="1"/>
  <c r="G2992" i="44" s="1"/>
  <c r="G2993" i="44" s="1"/>
  <c r="G2994" i="44" s="1"/>
  <c r="G2995" i="44" s="1"/>
  <c r="G2996" i="44" s="1"/>
  <c r="G2997" i="44" s="1"/>
  <c r="G2998" i="44" s="1"/>
  <c r="G2999" i="44" s="1"/>
  <c r="G3000" i="44" s="1"/>
  <c r="G3001" i="44" s="1"/>
  <c r="G3002" i="44" s="1"/>
  <c r="G3003" i="44" s="1"/>
  <c r="G3004" i="44" s="1"/>
  <c r="G3005" i="44" s="1"/>
  <c r="G3006" i="44" s="1"/>
  <c r="G3007" i="44" s="1"/>
  <c r="G3008" i="44" s="1"/>
  <c r="G3009" i="44" s="1"/>
  <c r="G3010" i="44" s="1"/>
  <c r="G3011" i="44" s="1"/>
  <c r="G3012" i="44" s="1"/>
  <c r="G3013" i="44" s="1"/>
  <c r="G3014" i="44" s="1"/>
  <c r="G3015" i="44" s="1"/>
  <c r="G3016" i="44" s="1"/>
  <c r="G3017" i="44" s="1"/>
  <c r="G3018" i="44" s="1"/>
  <c r="G3019" i="44" s="1"/>
  <c r="G3020" i="44" s="1"/>
  <c r="G3021" i="44" s="1"/>
  <c r="G3022" i="44" s="1"/>
  <c r="G3023" i="44" s="1"/>
  <c r="G3024" i="44" s="1"/>
  <c r="G3025" i="44" s="1"/>
  <c r="G3026" i="44" s="1"/>
  <c r="G3027" i="44" s="1"/>
  <c r="G3028" i="44" s="1"/>
  <c r="G3029" i="44" s="1"/>
  <c r="G3030" i="44" s="1"/>
  <c r="G3031" i="44" s="1"/>
  <c r="G3032" i="44" s="1"/>
  <c r="G3033" i="44" s="1"/>
  <c r="G3034" i="44" s="1"/>
  <c r="G3035" i="44" s="1"/>
  <c r="G3036" i="44" s="1"/>
  <c r="G3037" i="44" s="1"/>
  <c r="G3038" i="44" s="1"/>
  <c r="G3039" i="44" s="1"/>
  <c r="G3040" i="44" s="1"/>
  <c r="G3041" i="44" s="1"/>
  <c r="G3042" i="44" s="1"/>
  <c r="G3043" i="44" s="1"/>
  <c r="G3044" i="44" s="1"/>
  <c r="G3045" i="44" s="1"/>
  <c r="G3046" i="44" s="1"/>
  <c r="G3047" i="44" s="1"/>
  <c r="G3048" i="44" s="1"/>
  <c r="G3049" i="44" s="1"/>
  <c r="G3050" i="44" s="1"/>
  <c r="G3051" i="44" s="1"/>
  <c r="G3052" i="44" s="1"/>
  <c r="G3053" i="44" s="1"/>
  <c r="G3054" i="44" s="1"/>
  <c r="G3055" i="44" s="1"/>
  <c r="G3056" i="44" s="1"/>
  <c r="G3057" i="44" s="1"/>
  <c r="G3058" i="44" s="1"/>
  <c r="G3059" i="44" s="1"/>
  <c r="G3060" i="44" s="1"/>
  <c r="G3061" i="44" s="1"/>
  <c r="G3062" i="44" s="1"/>
  <c r="G3063" i="44" s="1"/>
  <c r="G3064" i="44" s="1"/>
  <c r="G3065" i="44" s="1"/>
  <c r="G3066" i="44" s="1"/>
  <c r="G3067" i="44" s="1"/>
  <c r="G3068" i="44" s="1"/>
  <c r="G3069" i="44" s="1"/>
  <c r="G3070" i="44" s="1"/>
  <c r="G3071" i="44" s="1"/>
  <c r="G3072" i="44" s="1"/>
  <c r="G3073" i="44" s="1"/>
  <c r="G3074" i="44" s="1"/>
  <c r="G3075" i="44" s="1"/>
  <c r="G3076" i="44" s="1"/>
  <c r="G3077" i="44" s="1"/>
  <c r="G3078" i="44" s="1"/>
  <c r="G3079" i="44" s="1"/>
  <c r="G3080" i="44" s="1"/>
  <c r="G3081" i="44" s="1"/>
  <c r="G3082" i="44" s="1"/>
  <c r="G3083" i="44" s="1"/>
  <c r="G3084" i="44" s="1"/>
  <c r="G3085" i="44" s="1"/>
  <c r="G3086" i="44" s="1"/>
  <c r="G3087" i="44" s="1"/>
  <c r="G3088" i="44" s="1"/>
  <c r="G3089" i="44" s="1"/>
  <c r="G3090" i="44" s="1"/>
  <c r="G3091" i="44" s="1"/>
  <c r="G3092" i="44" s="1"/>
  <c r="G3093" i="44" s="1"/>
  <c r="G3094" i="44" s="1"/>
  <c r="G3095" i="44" s="1"/>
  <c r="G3096" i="44" s="1"/>
  <c r="G3097" i="44" s="1"/>
  <c r="G3098" i="44" s="1"/>
  <c r="G3099" i="44" s="1"/>
  <c r="G3100" i="44" s="1"/>
  <c r="G3101" i="44" s="1"/>
  <c r="G3102" i="44" s="1"/>
  <c r="G3103" i="44" s="1"/>
  <c r="G3104" i="44" s="1"/>
  <c r="G3105" i="44" s="1"/>
  <c r="G3106" i="44" s="1"/>
  <c r="G3107" i="44" s="1"/>
  <c r="G3108" i="44" s="1"/>
  <c r="G3109" i="44" s="1"/>
  <c r="G3110" i="44" s="1"/>
  <c r="G3111" i="44" s="1"/>
  <c r="G3112" i="44" s="1"/>
  <c r="G3113" i="44" s="1"/>
  <c r="G3114" i="44" s="1"/>
  <c r="G3115" i="44" s="1"/>
  <c r="G3116" i="44" s="1"/>
  <c r="G3117" i="44" s="1"/>
  <c r="G3118" i="44" s="1"/>
  <c r="G3119" i="44" s="1"/>
  <c r="G3120" i="44" s="1"/>
  <c r="G3121" i="44" s="1"/>
  <c r="G3122" i="44" s="1"/>
  <c r="G3123" i="44" s="1"/>
  <c r="G3124" i="44" s="1"/>
  <c r="G3125" i="44" s="1"/>
  <c r="G3126" i="44" s="1"/>
  <c r="G3127" i="44" s="1"/>
  <c r="G3128" i="44" s="1"/>
  <c r="G3129" i="44" s="1"/>
  <c r="G3130" i="44" s="1"/>
  <c r="G3131" i="44" s="1"/>
  <c r="G3132" i="44" s="1"/>
  <c r="G3133" i="44" s="1"/>
  <c r="G3134" i="44" s="1"/>
  <c r="G3135" i="44" s="1"/>
  <c r="G3136" i="44" s="1"/>
  <c r="G3137" i="44" s="1"/>
  <c r="G3138" i="44" s="1"/>
  <c r="G3139" i="44" s="1"/>
  <c r="G3140" i="44" s="1"/>
  <c r="G3141" i="44" s="1"/>
  <c r="G3142" i="44" s="1"/>
  <c r="G3143" i="44" s="1"/>
  <c r="G3144" i="44" s="1"/>
  <c r="G3145" i="44" s="1"/>
  <c r="G3146" i="44" s="1"/>
  <c r="G3147" i="44" s="1"/>
  <c r="G3148" i="44" s="1"/>
  <c r="G3149" i="44" s="1"/>
  <c r="G3150" i="44" s="1"/>
  <c r="G3151" i="44" s="1"/>
  <c r="G3152" i="44" s="1"/>
  <c r="G3153" i="44" s="1"/>
  <c r="G3154" i="44" s="1"/>
  <c r="G3155" i="44" s="1"/>
  <c r="G3156" i="44" s="1"/>
  <c r="G3157" i="44" s="1"/>
  <c r="G3158" i="44" s="1"/>
  <c r="G3159" i="44" s="1"/>
  <c r="G3160" i="44" s="1"/>
  <c r="G3161" i="44" s="1"/>
  <c r="G3162" i="44" s="1"/>
  <c r="G3163" i="44" s="1"/>
  <c r="G3164" i="44" s="1"/>
  <c r="G3165" i="44" s="1"/>
  <c r="G3166" i="44" s="1"/>
  <c r="G3167" i="44" s="1"/>
  <c r="G3168" i="44" s="1"/>
  <c r="G3169" i="44" s="1"/>
  <c r="G3170" i="44" s="1"/>
  <c r="G3171" i="44" s="1"/>
  <c r="G3172" i="44" s="1"/>
  <c r="G3173" i="44" s="1"/>
  <c r="G3174" i="44" s="1"/>
  <c r="G3175" i="44" s="1"/>
  <c r="G3176" i="44" s="1"/>
  <c r="G3177" i="44" s="1"/>
  <c r="G3178" i="44" s="1"/>
  <c r="G3179" i="44" s="1"/>
  <c r="G3180" i="44" s="1"/>
  <c r="G3181" i="44" s="1"/>
  <c r="G3182" i="44" s="1"/>
  <c r="G3183" i="44" s="1"/>
  <c r="G3184" i="44" s="1"/>
  <c r="G3185" i="44" s="1"/>
  <c r="G3186" i="44" s="1"/>
  <c r="G3187" i="44" s="1"/>
  <c r="G3188" i="44" s="1"/>
  <c r="G3189" i="44" s="1"/>
  <c r="G3190" i="44" s="1"/>
  <c r="G3191" i="44" s="1"/>
  <c r="G3192" i="44" s="1"/>
  <c r="G3193" i="44" s="1"/>
  <c r="G3194" i="44" s="1"/>
  <c r="G3195" i="44" s="1"/>
  <c r="G3196" i="44" s="1"/>
  <c r="G3197" i="44" s="1"/>
  <c r="G3198" i="44" s="1"/>
  <c r="G3199" i="44" s="1"/>
  <c r="G3200" i="44" s="1"/>
  <c r="G3201" i="44" s="1"/>
  <c r="G3202" i="44" s="1"/>
  <c r="G3203" i="44" s="1"/>
  <c r="G3204" i="44" s="1"/>
  <c r="G3205" i="44" s="1"/>
  <c r="G3206" i="44" s="1"/>
  <c r="G3207" i="44" s="1"/>
  <c r="G3208" i="44" s="1"/>
  <c r="G3209" i="44" s="1"/>
  <c r="G3210" i="44" s="1"/>
  <c r="G3211" i="44" s="1"/>
  <c r="G3212" i="44" s="1"/>
  <c r="G3213" i="44" s="1"/>
  <c r="G3214" i="44" s="1"/>
  <c r="G3215" i="44" s="1"/>
  <c r="G3216" i="44" s="1"/>
  <c r="G3217" i="44" s="1"/>
  <c r="G3218" i="44" s="1"/>
  <c r="G3219" i="44" s="1"/>
  <c r="G3220" i="44" s="1"/>
  <c r="G3221" i="44" s="1"/>
  <c r="G3222" i="44" s="1"/>
  <c r="G3223" i="44" s="1"/>
  <c r="G3224" i="44" s="1"/>
  <c r="G3225" i="44" s="1"/>
  <c r="G3226" i="44" s="1"/>
  <c r="G3227" i="44" s="1"/>
  <c r="G3228" i="44" s="1"/>
  <c r="G3229" i="44" s="1"/>
  <c r="G3230" i="44" s="1"/>
  <c r="G3231" i="44" s="1"/>
  <c r="G3232" i="44" s="1"/>
  <c r="G3233" i="44" s="1"/>
  <c r="G3234" i="44" s="1"/>
  <c r="G3235" i="44" s="1"/>
  <c r="G3236" i="44" s="1"/>
  <c r="G3237" i="44" s="1"/>
  <c r="G3238" i="44" s="1"/>
  <c r="G3239" i="44" s="1"/>
  <c r="G3240" i="44" s="1"/>
  <c r="G3241" i="44" s="1"/>
  <c r="G3242" i="44" s="1"/>
  <c r="G3243" i="44" s="1"/>
  <c r="G3244" i="44" s="1"/>
  <c r="G3245" i="44" s="1"/>
  <c r="G3246" i="44" s="1"/>
  <c r="G3247" i="44" s="1"/>
  <c r="G3248" i="44" s="1"/>
  <c r="G3249" i="44" s="1"/>
  <c r="G3250" i="44" s="1"/>
  <c r="G3251" i="44" s="1"/>
  <c r="G3252" i="44" s="1"/>
  <c r="G3253" i="44" s="1"/>
  <c r="G3254" i="44" s="1"/>
  <c r="G3255" i="44" s="1"/>
  <c r="G3256" i="44" s="1"/>
  <c r="G3257" i="44" s="1"/>
  <c r="G3258" i="44" s="1"/>
  <c r="G3259" i="44" s="1"/>
  <c r="G3260" i="44" s="1"/>
  <c r="G3261" i="44" s="1"/>
  <c r="G3262" i="44" s="1"/>
  <c r="G3263" i="44" s="1"/>
  <c r="G3264" i="44" s="1"/>
  <c r="G3265" i="44" s="1"/>
  <c r="G3266" i="44" s="1"/>
  <c r="G3267" i="44" s="1"/>
  <c r="G3268" i="44" s="1"/>
  <c r="G3269" i="44" s="1"/>
  <c r="G3270" i="44" s="1"/>
  <c r="G3271" i="44" s="1"/>
  <c r="G3272" i="44" s="1"/>
  <c r="G3273" i="44" s="1"/>
  <c r="G3274" i="44" s="1"/>
  <c r="G3275" i="44" s="1"/>
  <c r="G3276" i="44" s="1"/>
  <c r="G3277" i="44" s="1"/>
  <c r="G3278" i="44" s="1"/>
  <c r="G3279" i="44" s="1"/>
  <c r="G3280" i="44" s="1"/>
  <c r="G3281" i="44" s="1"/>
  <c r="G3282" i="44" s="1"/>
  <c r="G3283" i="44" s="1"/>
  <c r="G3284" i="44" s="1"/>
  <c r="G3285" i="44" s="1"/>
  <c r="G3286" i="44" s="1"/>
  <c r="G3287" i="44" s="1"/>
  <c r="G3288" i="44" s="1"/>
  <c r="G3289" i="44" s="1"/>
  <c r="G3290" i="44" s="1"/>
  <c r="G3291" i="44" s="1"/>
  <c r="G3292" i="44" s="1"/>
  <c r="G3293" i="44" s="1"/>
  <c r="G3294" i="44" s="1"/>
  <c r="G3295" i="44" s="1"/>
  <c r="G3296" i="44" s="1"/>
  <c r="G3297" i="44" s="1"/>
  <c r="G3298" i="44" s="1"/>
  <c r="G3299" i="44" s="1"/>
  <c r="G3300" i="44" s="1"/>
  <c r="G3301" i="44" s="1"/>
  <c r="G3302" i="44" s="1"/>
  <c r="G3303" i="44" s="1"/>
  <c r="G3304" i="44" s="1"/>
  <c r="G3305" i="44" s="1"/>
  <c r="G3306" i="44" s="1"/>
  <c r="G3307" i="44" s="1"/>
  <c r="G3308" i="44" s="1"/>
  <c r="G3309" i="44" s="1"/>
  <c r="G3310" i="44" s="1"/>
  <c r="G3311" i="44" s="1"/>
  <c r="G3312" i="44" s="1"/>
  <c r="G3313" i="44" s="1"/>
  <c r="G3314" i="44" s="1"/>
  <c r="G3315" i="44" s="1"/>
  <c r="G3316" i="44" s="1"/>
  <c r="G3317" i="44" s="1"/>
  <c r="G3318" i="44" s="1"/>
  <c r="G3319" i="44" s="1"/>
  <c r="G3320" i="44" s="1"/>
  <c r="G3321" i="44" s="1"/>
  <c r="G3322" i="44" s="1"/>
  <c r="G3323" i="44" s="1"/>
  <c r="G3324" i="44" s="1"/>
  <c r="G3325" i="44" s="1"/>
  <c r="G3326" i="44" s="1"/>
  <c r="G3327" i="44" s="1"/>
  <c r="G3328" i="44" s="1"/>
  <c r="G3329" i="44" s="1"/>
  <c r="G3330" i="44" s="1"/>
  <c r="G3331" i="44" s="1"/>
  <c r="G3332" i="44" s="1"/>
  <c r="G3333" i="44" s="1"/>
  <c r="G3334" i="44" s="1"/>
  <c r="G3335" i="44" s="1"/>
  <c r="G3336" i="44" s="1"/>
  <c r="G3337" i="44" s="1"/>
  <c r="G3338" i="44" s="1"/>
  <c r="G3339" i="44" s="1"/>
  <c r="G3340" i="44" s="1"/>
  <c r="G3341" i="44" s="1"/>
  <c r="G3342" i="44" s="1"/>
  <c r="G3343" i="44" s="1"/>
  <c r="G3344" i="44" s="1"/>
  <c r="G3345" i="44" s="1"/>
  <c r="G3346" i="44" s="1"/>
  <c r="G3347" i="44" s="1"/>
  <c r="G3348" i="44" s="1"/>
  <c r="G3349" i="44" s="1"/>
  <c r="G3350" i="44" s="1"/>
  <c r="G3351" i="44" s="1"/>
  <c r="G3352" i="44" s="1"/>
  <c r="G3353" i="44" s="1"/>
  <c r="G3354" i="44" s="1"/>
  <c r="G3355" i="44" s="1"/>
  <c r="G3356" i="44" s="1"/>
  <c r="G3357" i="44" s="1"/>
  <c r="G3358" i="44" s="1"/>
  <c r="G3359" i="44" s="1"/>
  <c r="G3360" i="44" s="1"/>
  <c r="G3361" i="44" s="1"/>
  <c r="G3362" i="44" s="1"/>
  <c r="G3363" i="44" s="1"/>
  <c r="G3364" i="44" s="1"/>
  <c r="G3365" i="44" s="1"/>
  <c r="G3366" i="44" s="1"/>
  <c r="G3367" i="44" s="1"/>
  <c r="G3368" i="44" s="1"/>
  <c r="G3369" i="44" s="1"/>
  <c r="G3370" i="44" s="1"/>
  <c r="A23" i="21" s="1"/>
  <c r="A176" i="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Paula Harrison</author>
    <author>Kaylen Lanser</author>
  </authors>
  <commentList>
    <comment ref="A10" authorId="0" shapeId="0" xr:uid="{042D1A2B-3A70-4A4E-A31C-78AD7BF967F1}">
      <text>
        <r>
          <rPr>
            <b/>
            <sz val="9"/>
            <color indexed="81"/>
            <rFont val="Tahoma"/>
            <family val="2"/>
          </rPr>
          <t>The entity that is applying for Housing Credits for a Project pursuant to this QAP. The Applicant shall
Control the Owner of the Project and shall not be a single purpose entity. Project consultants and other
like professionals shall not be considered Applicants.</t>
        </r>
        <r>
          <rPr>
            <sz val="9"/>
            <color indexed="81"/>
            <rFont val="Tahoma"/>
            <family val="2"/>
          </rPr>
          <t xml:space="preserve">
</t>
        </r>
      </text>
    </comment>
    <comment ref="A38" authorId="1" shapeId="0" xr:uid="{71922C60-0944-45F7-BF06-CB27583C4F8E}">
      <text>
        <r>
          <rPr>
            <sz val="9"/>
            <color indexed="81"/>
            <rFont val="Tahoma"/>
            <family val="2"/>
          </rPr>
          <t xml:space="preserve">With respect to its programs, services, activities, and employment practices, Colorado Housing and Finance Authority does not discriminate on the basis of race, color, religion, sex (including gender, gender identity, sexual orientation, and sexual harassment), age, national origin, disability, or any other protected classification under federal, state, or local law.
</t>
        </r>
      </text>
    </comment>
    <comment ref="A86" authorId="0" shapeId="0" xr:uid="{E54402F2-B98A-4BD2-8856-0E7ED249ACE0}">
      <text>
        <r>
          <rPr>
            <b/>
            <sz val="9"/>
            <color indexed="81"/>
            <rFont val="Tahoma"/>
            <family val="2"/>
          </rPr>
          <t>The single purpose entity that is awarded Housing Credits for a Project pursuant to this QAP and which
owns or will own the Project; the Owner shall be Controlled by the Applicant.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Paula Harrison</author>
    <author>Kaylen Lanser</author>
    <author>Megan Herrera</author>
    <author>Sara Surprenant</author>
    <author>Pablo Payan</author>
  </authors>
  <commentList>
    <comment ref="C2" authorId="0" shapeId="0" xr:uid="{895F9530-5E8A-444E-BC74-389AC95D1E92}">
      <text>
        <r>
          <rPr>
            <b/>
            <sz val="9"/>
            <color indexed="81"/>
            <rFont val="Tahoma"/>
            <family val="2"/>
          </rPr>
          <t>&lt;[[TCDeals] - [TC Property Current Stage (Seq: 1)] TC Total Vacancy Allowance - Both]&gt;</t>
        </r>
      </text>
    </comment>
    <comment ref="C3" authorId="0" shapeId="0" xr:uid="{5F91CD73-97B0-4E67-BA73-7EC9A64BE18A}">
      <text>
        <r>
          <rPr>
            <b/>
            <sz val="9"/>
            <color indexed="81"/>
            <rFont val="Tahoma"/>
            <family val="2"/>
          </rPr>
          <t>&lt;[[TCDeals] - [TC Property Current Stage (Seq: 1)] Annual EGI Low Income Units - Both]&gt;</t>
        </r>
      </text>
    </comment>
    <comment ref="C4" authorId="0" shapeId="0" xr:uid="{5B474844-DD22-4828-8E9C-EFA9C04FE59E}">
      <text>
        <r>
          <rPr>
            <b/>
            <sz val="9"/>
            <color indexed="81"/>
            <rFont val="Tahoma"/>
            <family val="2"/>
          </rPr>
          <t>&lt;[[TCDeals] - [TC Property Current Stage (Seq: 1)] Debt Coverage Ratio Year 1 - Both]&gt;</t>
        </r>
      </text>
    </comment>
    <comment ref="C5" authorId="0" shapeId="0" xr:uid="{2BB8216E-508A-4064-9433-B8C3B91A6B12}">
      <text>
        <r>
          <rPr>
            <b/>
            <sz val="9"/>
            <color indexed="81"/>
            <rFont val="Tahoma"/>
            <family val="2"/>
          </rPr>
          <t>&lt;[[TCDeals] - [TC Property Current Stage (Seq: 1)] Debt Coverage Ratio Year 2 - Both]&gt;</t>
        </r>
      </text>
    </comment>
    <comment ref="C6" authorId="0" shapeId="0" xr:uid="{476AD571-4D4A-46B6-84BF-0A0BB194060A}">
      <text>
        <r>
          <rPr>
            <b/>
            <sz val="9"/>
            <color indexed="81"/>
            <rFont val="Tahoma"/>
            <family val="2"/>
          </rPr>
          <t>&lt;[[TCDeals] - [TC Property Current Stage (Seq: 1)] Debt Coverage Ratio Year 15 - Both]&gt;</t>
        </r>
      </text>
    </comment>
    <comment ref="C7" authorId="0" shapeId="0" xr:uid="{AB3C2DBD-3BC7-4738-8810-3CE1A468D338}">
      <text>
        <r>
          <rPr>
            <b/>
            <sz val="9"/>
            <color indexed="81"/>
            <rFont val="Tahoma"/>
            <family val="2"/>
          </rPr>
          <t>&lt;[[TCDeals] - [TC Property Current Stage (Seq: 1)] - [Property Points (Seq: 1)] Partnership/Asset Mgt Fees (Year 1) - Both]&gt;</t>
        </r>
      </text>
    </comment>
    <comment ref="C8" authorId="1" shapeId="0" xr:uid="{9C3E5021-F814-4EDC-B0BC-AC6BBDD78FBD}">
      <text>
        <r>
          <rPr>
            <b/>
            <sz val="9"/>
            <color indexed="81"/>
            <rFont val="Tahoma"/>
            <family val="2"/>
          </rPr>
          <t>&lt;[[TCDeals] - [TC Property Current Stage (Seq: 1)] - [Property Points (Seq: 1)] Bond Fees (Year1) - Both]&gt;</t>
        </r>
      </text>
    </comment>
    <comment ref="C9" authorId="1" shapeId="0" xr:uid="{FA107A18-CBB2-4E31-9793-E76B6AA0CAC9}">
      <text>
        <r>
          <rPr>
            <b/>
            <sz val="9"/>
            <color indexed="81"/>
            <rFont val="Tahoma"/>
            <family val="2"/>
          </rPr>
          <t>&lt;[[TCDeals] - [TC Property Current Stage (Seq: 1)] - [Property Points (Seq: 1)] Deferred Developer Fee Year 1 - Both]&gt;</t>
        </r>
      </text>
    </comment>
    <comment ref="C10" authorId="1" shapeId="0" xr:uid="{85D01A46-A533-405F-B8F5-885F38B186C3}">
      <text>
        <r>
          <rPr>
            <b/>
            <sz val="9"/>
            <color indexed="81"/>
            <rFont val="Tahoma"/>
            <family val="2"/>
          </rPr>
          <t>&lt;[[TCDeals] - [TC Property Current Stage (Seq: 1)] - [Property Points (Seq: 1)] Other Number year 1 - Both]&gt;</t>
        </r>
      </text>
    </comment>
    <comment ref="C11" authorId="1" shapeId="0" xr:uid="{70B17157-4F59-4482-A55A-0E03D96A522F}">
      <text>
        <r>
          <rPr>
            <b/>
            <sz val="9"/>
            <color indexed="81"/>
            <rFont val="Tahoma"/>
            <family val="2"/>
          </rPr>
          <t>&lt;[[TCDeals] - [TC Property Current Stage (Seq: 1)] - [Property Points (Seq: 1)] Other Specify Name year 1 - Both]&gt;</t>
        </r>
      </text>
    </comment>
    <comment ref="C12" authorId="0" shapeId="0" xr:uid="{0AB889AD-5DFD-4A9B-84D4-CAB2C7AC1F73}">
      <text>
        <r>
          <rPr>
            <b/>
            <sz val="9"/>
            <color indexed="81"/>
            <rFont val="Tahoma"/>
            <family val="2"/>
          </rPr>
          <t>&lt;[[TCDeals] - [TC Property Current Stage (Seq: 1)] - [Property Points (Seq: 1)] Cash Flow Pledged to PSH Services (Year 1) - Both]&gt;</t>
        </r>
      </text>
    </comment>
    <comment ref="C13" authorId="0" shapeId="0" xr:uid="{13371318-1ED7-4826-BCD9-05C7FC70A3C5}">
      <text>
        <r>
          <rPr>
            <b/>
            <sz val="9"/>
            <color indexed="81"/>
            <rFont val="Tahoma"/>
            <family val="2"/>
          </rPr>
          <t>&lt;[[TCDeals] - [TC Property Current Stage (Seq: 1)] - [Property Points (Seq: 1)] Proforma, Income &amp; Expense Other (Year 1) - Both]&gt;</t>
        </r>
      </text>
    </comment>
    <comment ref="C14" authorId="0" shapeId="0" xr:uid="{E96B3149-8846-4A58-BFBA-802EF64A81C5}">
      <text>
        <r>
          <rPr>
            <b/>
            <sz val="9"/>
            <color indexed="81"/>
            <rFont val="Tahoma"/>
            <family val="2"/>
          </rPr>
          <t>&lt;[[TCDeals] - [TC Property Current Stage (Seq: 1)] - [Property Points (Seq: 1)] Partnership/Asset Mgt. Fees (Year 2) - Both]&gt;</t>
        </r>
      </text>
    </comment>
    <comment ref="C15" authorId="1" shapeId="0" xr:uid="{17399038-61F7-4058-9825-C6D4B32BAFB3}">
      <text>
        <r>
          <rPr>
            <b/>
            <sz val="9"/>
            <color indexed="81"/>
            <rFont val="Tahoma"/>
            <family val="2"/>
          </rPr>
          <t>&lt;[[TCDeals] - [TC Property Current Stage (Seq: 1)] - [Property Points (Seq: 1)] Bond Fees (Year 2) - Both]&gt;</t>
        </r>
      </text>
    </comment>
    <comment ref="C16" authorId="1" shapeId="0" xr:uid="{EB1AFCFA-27E9-4E5E-B161-E88F1411584C}">
      <text>
        <r>
          <rPr>
            <b/>
            <sz val="9"/>
            <color indexed="81"/>
            <rFont val="Tahoma"/>
            <family val="2"/>
          </rPr>
          <t>&lt;[[TCDeals] - [TC Property Current Stage (Seq: 1)] - [Property Points (Seq: 1)] Deferred Developer Fee (Year 2) - Both]&gt;</t>
        </r>
      </text>
    </comment>
    <comment ref="C17" authorId="1" shapeId="0" xr:uid="{3AA22FF0-3F2F-4542-A75D-3B3C34D21DC1}">
      <text>
        <r>
          <rPr>
            <b/>
            <sz val="9"/>
            <color indexed="81"/>
            <rFont val="Tahoma"/>
            <family val="2"/>
          </rPr>
          <t>&lt;[[TCDeals] - [TC Property Current Stage (Seq: 1)] - [Property Points (Seq: 1)] Other Number year 2 - Both]&gt;</t>
        </r>
      </text>
    </comment>
    <comment ref="C18" authorId="1" shapeId="0" xr:uid="{75884086-936A-403F-B84C-45811E07DD89}">
      <text>
        <r>
          <rPr>
            <b/>
            <sz val="9"/>
            <color indexed="81"/>
            <rFont val="Tahoma"/>
            <family val="2"/>
          </rPr>
          <t>&lt;[[TCDeals] - [TC Property Current Stage (Seq: 1)] - [Property Points (Seq: 1)] Other Specify Name year 2 - Both]&gt;</t>
        </r>
      </text>
    </comment>
    <comment ref="C19" authorId="0" shapeId="0" xr:uid="{D9404C6F-BB57-4AA6-B47D-FA30F8A99ED3}">
      <text>
        <r>
          <rPr>
            <b/>
            <sz val="9"/>
            <color indexed="81"/>
            <rFont val="Tahoma"/>
            <family val="2"/>
          </rPr>
          <t>&lt;[[TCDeals] - [TC Property Current Stage (Seq: 1)] - [Property Points (Seq: 1)] Cash Flow Pledged to PSH Services (Year 2) - Both]&gt;</t>
        </r>
      </text>
    </comment>
    <comment ref="C20" authorId="0" shapeId="0" xr:uid="{1795508E-EC3E-4D7B-8306-3C925E856E31}">
      <text>
        <r>
          <rPr>
            <b/>
            <sz val="9"/>
            <color indexed="81"/>
            <rFont val="Tahoma"/>
            <family val="2"/>
          </rPr>
          <t>&lt;[[TCDeals] - [TC Property Current Stage (Seq: 1)] - [Property Points (Seq: 1)] Proforma, Income &amp; Expense Other (Year 2) - Both]&gt;</t>
        </r>
      </text>
    </comment>
    <comment ref="C21" authorId="0" shapeId="0" xr:uid="{3A5A05B0-D0A0-4DD0-BF6C-5201AF1D7DE8}">
      <text>
        <r>
          <rPr>
            <b/>
            <sz val="9"/>
            <color indexed="81"/>
            <rFont val="Tahoma"/>
            <family val="2"/>
          </rPr>
          <t>&lt;[[TCDeals] - [TC Property Current Stage (Seq: 1)] - [Property Points (Seq: 1)] Partnership/Asset Mgt. Fees (Year 3) - Both]&gt;</t>
        </r>
      </text>
    </comment>
    <comment ref="C22" authorId="1" shapeId="0" xr:uid="{C9B2C704-5017-461B-B0E1-83AAF549D008}">
      <text>
        <r>
          <rPr>
            <b/>
            <sz val="9"/>
            <color indexed="81"/>
            <rFont val="Tahoma"/>
            <family val="2"/>
          </rPr>
          <t>&lt;[[TCDeals] - [TC Property Current Stage (Seq: 1)] - [Property Points (Seq: 1)] Bond Fees (Year 3) - Both]&gt;</t>
        </r>
      </text>
    </comment>
    <comment ref="C23" authorId="1" shapeId="0" xr:uid="{73B72D99-E663-4707-9F29-807812C475CC}">
      <text>
        <r>
          <rPr>
            <b/>
            <sz val="9"/>
            <color indexed="81"/>
            <rFont val="Tahoma"/>
            <family val="2"/>
          </rPr>
          <t>&lt;[[TCDeals] - [TC Property Current Stage (Seq: 1)] - [Property Points (Seq: 1)] Deferred Developer Fee Year 3 - Both]&gt;</t>
        </r>
      </text>
    </comment>
    <comment ref="C24" authorId="1" shapeId="0" xr:uid="{9ECF2C8A-9129-4E38-B1A6-5F07BA636FC3}">
      <text>
        <r>
          <rPr>
            <b/>
            <sz val="9"/>
            <color indexed="81"/>
            <rFont val="Tahoma"/>
            <family val="2"/>
          </rPr>
          <t>&lt;[[TCDeals] - [TC Property Current Stage (Seq: 1)] - [Property Points (Seq: 1)] Other Number year 3 - Both]&gt;</t>
        </r>
      </text>
    </comment>
    <comment ref="C25" authorId="1" shapeId="0" xr:uid="{00339FBA-22A2-4A31-98BB-BE3CFA6CAA74}">
      <text>
        <r>
          <rPr>
            <b/>
            <sz val="9"/>
            <color indexed="81"/>
            <rFont val="Tahoma"/>
            <family val="2"/>
          </rPr>
          <t>&lt;[[TCDeals] - [TC Property Current Stage (Seq: 1)] - [Property Points (Seq: 1)] Other Specify Name year 3 - Both]&gt;</t>
        </r>
      </text>
    </comment>
    <comment ref="C26" authorId="0" shapeId="0" xr:uid="{1DE47484-50EA-4676-9B6B-38AD4C6BB95D}">
      <text>
        <r>
          <rPr>
            <b/>
            <sz val="9"/>
            <color indexed="81"/>
            <rFont val="Tahoma"/>
            <family val="2"/>
          </rPr>
          <t>&lt;[[TCDeals] - [TC Property Current Stage (Seq: 1)] - [Property Points (Seq: 1)] Cash Flow Pledged to PSH Services (Year 3) - Both]&gt;</t>
        </r>
      </text>
    </comment>
    <comment ref="C27" authorId="0" shapeId="0" xr:uid="{341006E7-76AE-43E7-B90B-F0DA9C07FE35}">
      <text>
        <r>
          <rPr>
            <b/>
            <sz val="9"/>
            <color indexed="81"/>
            <rFont val="Tahoma"/>
            <family val="2"/>
          </rPr>
          <t>&lt;[[TCDeals] - [TC Property Current Stage (Seq: 1)] - [Property Points (Seq: 1)] Proforma, Income &amp; Expense Other (Year 3) - Both]&gt;</t>
        </r>
      </text>
    </comment>
    <comment ref="C28" authorId="0" shapeId="0" xr:uid="{A9E24240-886A-4ED6-9D14-C81115B36D3B}">
      <text>
        <r>
          <rPr>
            <b/>
            <sz val="9"/>
            <color indexed="81"/>
            <rFont val="Tahoma"/>
            <family val="2"/>
          </rPr>
          <t>&lt;[[TCDeals] - [TC Property Current Stage (Seq: 1)] - [Property Points (Seq: 1)] Partnership/Asset Mgt. Fees (Year 4) - Both]&gt;</t>
        </r>
      </text>
    </comment>
    <comment ref="C29" authorId="1" shapeId="0" xr:uid="{79737873-6783-41E8-B903-EFAF9795F179}">
      <text>
        <r>
          <rPr>
            <b/>
            <sz val="9"/>
            <color indexed="81"/>
            <rFont val="Tahoma"/>
            <family val="2"/>
          </rPr>
          <t>&lt;[[TCDeals] - [TC Property Current Stage (Seq: 1)] - [Property Points (Seq: 1)] Bond Fees (Year 4) - Both]&gt;</t>
        </r>
      </text>
    </comment>
    <comment ref="C30" authorId="1" shapeId="0" xr:uid="{C3ABE6E2-B948-4900-9BCB-74E1BA5AFACE}">
      <text>
        <r>
          <rPr>
            <b/>
            <sz val="9"/>
            <color indexed="81"/>
            <rFont val="Tahoma"/>
            <family val="2"/>
          </rPr>
          <t>&lt;[[TCDeals] - [TC Property Current Stage (Seq: 1)] - [Property Points (Seq: 1)] Deferred Developer Fee Year 4 - Both]&gt;</t>
        </r>
      </text>
    </comment>
    <comment ref="C31" authorId="1" shapeId="0" xr:uid="{4D6AEC46-E3C4-4896-809D-FF2CB673BB6A}">
      <text>
        <r>
          <rPr>
            <b/>
            <sz val="9"/>
            <color indexed="81"/>
            <rFont val="Tahoma"/>
            <family val="2"/>
          </rPr>
          <t>&lt;[[TCDeals] - [TC Property Current Stage (Seq: 1)] - [Property Points (Seq: 1)] Other Number year 4 - Both]&gt;</t>
        </r>
      </text>
    </comment>
    <comment ref="C32" authorId="1" shapeId="0" xr:uid="{CB5E7213-6DCE-4320-A08A-D35DFD6DB282}">
      <text>
        <r>
          <rPr>
            <b/>
            <sz val="9"/>
            <color indexed="81"/>
            <rFont val="Tahoma"/>
            <family val="2"/>
          </rPr>
          <t>&lt;[[TCDeals] - [TC Property Current Stage (Seq: 1)] - [Property Points (Seq: 1)] Other Specify Name year 4 - Both]&gt;</t>
        </r>
      </text>
    </comment>
    <comment ref="C33" authorId="0" shapeId="0" xr:uid="{CF873C83-D402-4DDC-8019-B33E864763E3}">
      <text>
        <r>
          <rPr>
            <b/>
            <sz val="9"/>
            <color indexed="81"/>
            <rFont val="Tahoma"/>
            <family val="2"/>
          </rPr>
          <t>&lt;[[TCDeals] - [TC Property Current Stage (Seq: 1)] - [Property Points (Seq: 1)] Cash Flow Pledged to PSH Services (Year 4) - Both]&gt;</t>
        </r>
      </text>
    </comment>
    <comment ref="C34" authorId="0" shapeId="0" xr:uid="{C47B3948-FFC2-4B9F-AA4D-03DD3C96E32D}">
      <text>
        <r>
          <rPr>
            <b/>
            <sz val="9"/>
            <color indexed="81"/>
            <rFont val="Tahoma"/>
            <family val="2"/>
          </rPr>
          <t>&lt;[[TCDeals] - [TC Property Current Stage (Seq: 1)] - [Property Points (Seq: 1)] Proforma, Income &amp; Expense Other (Year 4) - Both]&gt;</t>
        </r>
      </text>
    </comment>
    <comment ref="C35" authorId="0" shapeId="0" xr:uid="{CEDAD75F-44AD-4DF9-8ADD-F19B081DB535}">
      <text>
        <r>
          <rPr>
            <b/>
            <sz val="9"/>
            <color indexed="81"/>
            <rFont val="Tahoma"/>
            <family val="2"/>
          </rPr>
          <t>&lt;[[TCDeals] - [TC Property Current Stage (Seq: 1)] - [Property Points (Seq: 1)] Partnership/Asset Mgt. Fees (Year 5) - Both]&gt;</t>
        </r>
      </text>
    </comment>
    <comment ref="C36" authorId="1" shapeId="0" xr:uid="{A76304AE-27C4-4C0F-AD57-C99366FFD88E}">
      <text>
        <r>
          <rPr>
            <b/>
            <sz val="9"/>
            <color indexed="81"/>
            <rFont val="Tahoma"/>
            <family val="2"/>
          </rPr>
          <t>&lt;[[TCDeals] - [TC Property Current Stage (Seq: 1)] - [Property Points (Seq: 1)] Bond Fees Year 5 - Both]&gt;</t>
        </r>
      </text>
    </comment>
    <comment ref="C37" authorId="1" shapeId="0" xr:uid="{C57F88AE-B98E-4C63-A950-849A819B9E2B}">
      <text>
        <r>
          <rPr>
            <b/>
            <sz val="9"/>
            <color indexed="81"/>
            <rFont val="Tahoma"/>
            <family val="2"/>
          </rPr>
          <t>&lt;[[TCDeals] - [TC Property Current Stage (Seq: 1)] - [Property Points (Seq: 1)] Deferred Developer Fee Year 5 - Both]&gt;</t>
        </r>
      </text>
    </comment>
    <comment ref="C38" authorId="1" shapeId="0" xr:uid="{52776AAC-1558-4B7A-8992-787629E4C1EB}">
      <text>
        <r>
          <rPr>
            <b/>
            <sz val="9"/>
            <color indexed="81"/>
            <rFont val="Tahoma"/>
            <family val="2"/>
          </rPr>
          <t>&lt;[[TCDeals] - [TC Property Current Stage (Seq: 1)] - [Property Points (Seq: 1)] Other Number year 5 - Both]&gt;</t>
        </r>
      </text>
    </comment>
    <comment ref="C39" authorId="1" shapeId="0" xr:uid="{2FE551CD-71CD-44A7-8C5A-F140736B4B44}">
      <text>
        <r>
          <rPr>
            <b/>
            <sz val="9"/>
            <color indexed="81"/>
            <rFont val="Tahoma"/>
            <family val="2"/>
          </rPr>
          <t>&lt;[[TCDeals] - [TC Property Current Stage (Seq: 1)] - [Property Points (Seq: 1)] Other Specify Name year 5 - Both]&gt;</t>
        </r>
      </text>
    </comment>
    <comment ref="C40" authorId="0" shapeId="0" xr:uid="{5C956F68-12B9-4206-A019-07A0E25E7250}">
      <text>
        <r>
          <rPr>
            <b/>
            <sz val="9"/>
            <color indexed="81"/>
            <rFont val="Tahoma"/>
            <family val="2"/>
          </rPr>
          <t>&lt;[[TCDeals] - [TC Property Current Stage (Seq: 1)] - [Property Points (Seq: 1)] Cash Flow Pledged to PSH Services (Year 5) - Both]&gt;</t>
        </r>
      </text>
    </comment>
    <comment ref="C41" authorId="0" shapeId="0" xr:uid="{0E223AFD-22F7-4DF6-BEC2-FAA70B58A5F6}">
      <text>
        <r>
          <rPr>
            <b/>
            <sz val="9"/>
            <color indexed="81"/>
            <rFont val="Tahoma"/>
            <family val="2"/>
          </rPr>
          <t>&lt;[[TCDeals] - [TC Property Current Stage (Seq: 1)] - [Property Points (Seq: 1)] Proforma, Income &amp; Expense Other (Year 5) - Both]&gt;</t>
        </r>
      </text>
    </comment>
    <comment ref="C42" authorId="0" shapeId="0" xr:uid="{FFF24126-168D-42DE-B07A-0F9A7769913C}">
      <text>
        <r>
          <rPr>
            <b/>
            <sz val="9"/>
            <color indexed="81"/>
            <rFont val="Tahoma"/>
            <family val="2"/>
          </rPr>
          <t>&lt;[[TCDeals] - [TC Property Current Stage (Seq: 1)] - [Property Points (Seq: 1)] Partnership/Asset Mgt. Fees (Year 6) - Both]&gt;</t>
        </r>
      </text>
    </comment>
    <comment ref="C43" authorId="1" shapeId="0" xr:uid="{A2F08053-5500-42C1-96C4-C513CE7A77E6}">
      <text>
        <r>
          <rPr>
            <b/>
            <sz val="9"/>
            <color indexed="81"/>
            <rFont val="Tahoma"/>
            <family val="2"/>
          </rPr>
          <t>&lt;[[TCDeals] - [TC Property Current Stage (Seq: 1)] - [Property Points (Seq: 1)] Bond Fees Year 6 - Both]&gt;</t>
        </r>
      </text>
    </comment>
    <comment ref="C44" authorId="1" shapeId="0" xr:uid="{61B54DDA-C503-42B1-BFBC-861B6F9E9084}">
      <text>
        <r>
          <rPr>
            <b/>
            <sz val="9"/>
            <color indexed="81"/>
            <rFont val="Tahoma"/>
            <family val="2"/>
          </rPr>
          <t>&lt;[[TCDeals] - [TC Property Current Stage (Seq: 1)] - [Property Points (Seq: 1)] Deferred Developer Fee Year 6 - Both]&gt;</t>
        </r>
      </text>
    </comment>
    <comment ref="C45" authorId="1" shapeId="0" xr:uid="{C574CA19-D848-4A5D-A82D-6D209427F1F4}">
      <text>
        <r>
          <rPr>
            <b/>
            <sz val="9"/>
            <color indexed="81"/>
            <rFont val="Tahoma"/>
            <family val="2"/>
          </rPr>
          <t>&lt;[[TCDeals] - [TC Property Current Stage (Seq: 1)] - [Property Points (Seq: 1)] Other Number year 6 - Both]&gt;</t>
        </r>
      </text>
    </comment>
    <comment ref="C46" authorId="1" shapeId="0" xr:uid="{E6FEDE31-CCF3-40EE-A517-3586AF4F4415}">
      <text>
        <r>
          <rPr>
            <b/>
            <sz val="9"/>
            <color indexed="81"/>
            <rFont val="Tahoma"/>
            <family val="2"/>
          </rPr>
          <t>&lt;[[TCDeals] - [TC Property Current Stage (Seq: 1)] - [Property Points (Seq: 1)] Other Specify Name year 6 - Both]&gt;</t>
        </r>
      </text>
    </comment>
    <comment ref="C47" authorId="0" shapeId="0" xr:uid="{FFA81610-A9BA-404B-A56F-CC568025087E}">
      <text>
        <r>
          <rPr>
            <b/>
            <sz val="9"/>
            <color indexed="81"/>
            <rFont val="Tahoma"/>
            <family val="2"/>
          </rPr>
          <t>&lt;[[TCDeals] - [TC Property Current Stage (Seq: 1)] - [Property Points (Seq: 1)] Cash Flow Pledged to PSH Services (Year 6) - Both]&gt;</t>
        </r>
      </text>
    </comment>
    <comment ref="C48" authorId="0" shapeId="0" xr:uid="{F51ABA82-AD7F-4A3F-B76A-13EF44750A05}">
      <text>
        <r>
          <rPr>
            <b/>
            <sz val="9"/>
            <color indexed="81"/>
            <rFont val="Tahoma"/>
            <family val="2"/>
          </rPr>
          <t>&lt;[[TCDeals] - [TC Property Current Stage (Seq: 1)] - [Property Points (Seq: 1)] Proforma, Income &amp; Expense Other (Year 6) - Both]&gt;</t>
        </r>
      </text>
    </comment>
    <comment ref="C49" authorId="0" shapeId="0" xr:uid="{4C0AA5A8-C25A-469F-85E9-072905E25886}">
      <text>
        <r>
          <rPr>
            <b/>
            <sz val="9"/>
            <color indexed="81"/>
            <rFont val="Tahoma"/>
            <family val="2"/>
          </rPr>
          <t>&lt;[[TCDeals] - [TC Property Current Stage (Seq: 1)] - [Property Points (Seq: 1)] Partnership/Asset Mgt. Fees (Year 7) - Both]&gt;</t>
        </r>
      </text>
    </comment>
    <comment ref="C50" authorId="1" shapeId="0" xr:uid="{2B4AA6E0-B0F7-4A80-B707-D4E5BBB0AD02}">
      <text>
        <r>
          <rPr>
            <b/>
            <sz val="9"/>
            <color indexed="81"/>
            <rFont val="Tahoma"/>
            <family val="2"/>
          </rPr>
          <t>&lt;[[TCDeals] - [TC Property Current Stage (Seq: 1)] - [Property Points (Seq: 1)] Bond Fees Year 7 - Both]&gt;</t>
        </r>
      </text>
    </comment>
    <comment ref="C51" authorId="1" shapeId="0" xr:uid="{34A2C507-59C5-47C3-81D9-256A6E6B436E}">
      <text>
        <r>
          <rPr>
            <b/>
            <sz val="9"/>
            <color indexed="81"/>
            <rFont val="Tahoma"/>
            <family val="2"/>
          </rPr>
          <t>&lt;[[TCDeals] - [TC Property Current Stage (Seq: 1)] - [Property Points (Seq: 1)] Deferred Developer Fee Year 7 - Both]&gt;</t>
        </r>
      </text>
    </comment>
    <comment ref="C52" authorId="1" shapeId="0" xr:uid="{40C60E5E-F1E0-4E94-9925-0A1C798843F3}">
      <text>
        <r>
          <rPr>
            <b/>
            <sz val="9"/>
            <color indexed="81"/>
            <rFont val="Tahoma"/>
            <family val="2"/>
          </rPr>
          <t>&lt;[[TCDeals] - [TC Property Current Stage (Seq: 1)] - [Property Points (Seq: 1)] Other Number year 7 - Both]&gt;</t>
        </r>
      </text>
    </comment>
    <comment ref="C53" authorId="1" shapeId="0" xr:uid="{4FC8FF03-571B-4D16-93AF-8D0EC8A412BC}">
      <text>
        <r>
          <rPr>
            <b/>
            <sz val="9"/>
            <color indexed="81"/>
            <rFont val="Tahoma"/>
            <family val="2"/>
          </rPr>
          <t>&lt;[[TCDeals] - [TC Property Current Stage (Seq: 1)] - [Property Points (Seq: 1)] Other Specify Name year 7 - Both]&gt;</t>
        </r>
      </text>
    </comment>
    <comment ref="C54" authorId="0" shapeId="0" xr:uid="{CE570208-6634-4999-9B85-EC2063AEC936}">
      <text>
        <r>
          <rPr>
            <b/>
            <sz val="9"/>
            <color indexed="81"/>
            <rFont val="Tahoma"/>
            <family val="2"/>
          </rPr>
          <t>&lt;[[TCDeals] - [TC Property Current Stage (Seq: 1)] - [Property Points (Seq: 1)] Cash Flow Pledged to PSH Services (Year 7) - Both]&gt;</t>
        </r>
      </text>
    </comment>
    <comment ref="C55" authorId="0" shapeId="0" xr:uid="{60C7ED14-F58E-4EB2-8C0E-452317DD5D4C}">
      <text>
        <r>
          <rPr>
            <b/>
            <sz val="9"/>
            <color indexed="81"/>
            <rFont val="Tahoma"/>
            <family val="2"/>
          </rPr>
          <t>&lt;[[TCDeals] - [TC Property Current Stage (Seq: 1)] - [Property Points (Seq: 1)] Proforma, Income &amp; Expense Other (Year 7) - Both]&gt;</t>
        </r>
      </text>
    </comment>
    <comment ref="C56" authorId="0" shapeId="0" xr:uid="{493DA4F6-2DDE-4374-A112-A64B96940059}">
      <text>
        <r>
          <rPr>
            <b/>
            <sz val="9"/>
            <color indexed="81"/>
            <rFont val="Tahoma"/>
            <family val="2"/>
          </rPr>
          <t>&lt;[[TCDeals] - [TC Property Current Stage (Seq: 1)] - [Property Points (Seq: 1)] Partnership/Asset Mgt. Fees (Year 8) - Both]&gt;</t>
        </r>
      </text>
    </comment>
    <comment ref="C57" authorId="1" shapeId="0" xr:uid="{9B968452-A2F6-438B-B122-89F2C3921154}">
      <text>
        <r>
          <rPr>
            <b/>
            <sz val="9"/>
            <color indexed="81"/>
            <rFont val="Tahoma"/>
            <family val="2"/>
          </rPr>
          <t>&lt;[[TCDeals] - [TC Property Current Stage (Seq: 1)] - [Property Points (Seq: 1)] Bond Fees Year 8 - Both]&gt;</t>
        </r>
      </text>
    </comment>
    <comment ref="C58" authorId="1" shapeId="0" xr:uid="{53F1819A-DC05-4BBF-838E-9F7130B86027}">
      <text>
        <r>
          <rPr>
            <b/>
            <sz val="9"/>
            <color indexed="81"/>
            <rFont val="Tahoma"/>
            <family val="2"/>
          </rPr>
          <t>&lt;[[TCDeals] - [TC Property Current Stage (Seq: 1)] - [Property Points (Seq: 1)] Deferred Developer Fee Year 8 - Both]&gt;</t>
        </r>
      </text>
    </comment>
    <comment ref="C59" authorId="1" shapeId="0" xr:uid="{86D9FD37-8D82-4336-9E4B-5582EC6C8859}">
      <text>
        <r>
          <rPr>
            <b/>
            <sz val="9"/>
            <color indexed="81"/>
            <rFont val="Tahoma"/>
            <family val="2"/>
          </rPr>
          <t>&lt;[[TCDeals] - [TC Property Current Stage (Seq: 1)] - [Property Points (Seq: 1)] Other Number year 8 - Both]&gt;</t>
        </r>
      </text>
    </comment>
    <comment ref="C60" authorId="1" shapeId="0" xr:uid="{0A3D10A6-151B-4FB0-9598-21A3A172385D}">
      <text>
        <r>
          <rPr>
            <b/>
            <sz val="9"/>
            <color indexed="81"/>
            <rFont val="Tahoma"/>
            <family val="2"/>
          </rPr>
          <t>&lt;[[TCDeals] - [TC Property Current Stage (Seq: 1)] - [Property Points (Seq: 1)] Other Specify Name year 8 - Both]&gt;</t>
        </r>
      </text>
    </comment>
    <comment ref="C61" authorId="0" shapeId="0" xr:uid="{AA8E6B02-6467-4E33-BAE2-CDD9A482CC14}">
      <text>
        <r>
          <rPr>
            <b/>
            <sz val="9"/>
            <color indexed="81"/>
            <rFont val="Tahoma"/>
            <family val="2"/>
          </rPr>
          <t>&lt;[[TCDeals] - [TC Property Current Stage (Seq: 1)] - [Property Points (Seq: 1)] Cash Flow Pledged to PSH Services (Year 8) - Both]&gt;</t>
        </r>
      </text>
    </comment>
    <comment ref="C62" authorId="0" shapeId="0" xr:uid="{9850BE2B-030F-40AF-A17E-08EF0B56EF25}">
      <text>
        <r>
          <rPr>
            <b/>
            <sz val="9"/>
            <color indexed="81"/>
            <rFont val="Tahoma"/>
            <family val="2"/>
          </rPr>
          <t>&lt;[[TCDeals] - [TC Property Current Stage (Seq: 1)] - [Property Points (Seq: 1)] Proforma, Income &amp; Expense Other (Year 8) - Both]&gt;</t>
        </r>
      </text>
    </comment>
    <comment ref="C63" authorId="0" shapeId="0" xr:uid="{35A7DF8C-C688-4AE1-A894-664B33E2272D}">
      <text>
        <r>
          <rPr>
            <b/>
            <sz val="9"/>
            <color indexed="81"/>
            <rFont val="Tahoma"/>
            <family val="2"/>
          </rPr>
          <t>&lt;[[TCDeals] - [TC Property Current Stage (Seq: 1)] - [Property Points (Seq: 1)] Partnership/Asset Mgt. Fees (Year 9) - Both]&gt;</t>
        </r>
      </text>
    </comment>
    <comment ref="C64" authorId="1" shapeId="0" xr:uid="{E24BC5CA-C522-4576-9A71-C6A714DC4A5F}">
      <text>
        <r>
          <rPr>
            <b/>
            <sz val="9"/>
            <color indexed="81"/>
            <rFont val="Tahoma"/>
            <family val="2"/>
          </rPr>
          <t>&lt;[[TCDeals] - [TC Property Current Stage (Seq: 1)] - [Property Points (Seq: 1)] Bond Fees Year 9 - Both]&gt;</t>
        </r>
      </text>
    </comment>
    <comment ref="C65" authorId="1" shapeId="0" xr:uid="{544A66D6-3BBB-4CBA-A89A-8E3ACE01772D}">
      <text>
        <r>
          <rPr>
            <b/>
            <sz val="9"/>
            <color indexed="81"/>
            <rFont val="Tahoma"/>
            <family val="2"/>
          </rPr>
          <t>&lt;[[TCDeals] - [TC Property Current Stage (Seq: 1)] - [Property Points (Seq: 1)] Deferred Developer Fee Year 9 - Both]&gt;</t>
        </r>
      </text>
    </comment>
    <comment ref="C66" authorId="1" shapeId="0" xr:uid="{D983BA8B-CDCE-4A2B-B322-5E7B5939FCFF}">
      <text>
        <r>
          <rPr>
            <b/>
            <sz val="9"/>
            <color indexed="81"/>
            <rFont val="Tahoma"/>
            <family val="2"/>
          </rPr>
          <t>&lt;[[TCDeals] - [TC Property Current Stage (Seq: 1)] - [Property Points (Seq: 1)] Other Number year 9 - Both]&gt;</t>
        </r>
      </text>
    </comment>
    <comment ref="C67" authorId="1" shapeId="0" xr:uid="{98F6B041-E812-4D19-BC78-2DCB9350FE9E}">
      <text>
        <r>
          <rPr>
            <b/>
            <sz val="9"/>
            <color indexed="81"/>
            <rFont val="Tahoma"/>
            <family val="2"/>
          </rPr>
          <t>&lt;[[TCDeals] - [TC Property Current Stage (Seq: 1)] - [Property Points (Seq: 1)] Other Specify Name year 9 - Both]&gt;</t>
        </r>
      </text>
    </comment>
    <comment ref="C68" authorId="0" shapeId="0" xr:uid="{1BC35A4B-6FBF-438B-A2BF-40015A88B1B5}">
      <text>
        <r>
          <rPr>
            <b/>
            <sz val="9"/>
            <color indexed="81"/>
            <rFont val="Tahoma"/>
            <family val="2"/>
          </rPr>
          <t>&lt;[[TCDeals] - [TC Property Current Stage (Seq: 1)] - [Property Points (Seq: 1)] Cash Flow Pledged to PSH Services (Year 9) - Both]&gt;</t>
        </r>
      </text>
    </comment>
    <comment ref="C69" authorId="0" shapeId="0" xr:uid="{25952B3B-5FD5-4BC9-B1B5-4A863DF220CB}">
      <text>
        <r>
          <rPr>
            <b/>
            <sz val="9"/>
            <color indexed="81"/>
            <rFont val="Tahoma"/>
            <family val="2"/>
          </rPr>
          <t>&lt;[[TCDeals] - [TC Property Current Stage (Seq: 1)] - [Property Points (Seq: 1)] Proforma, Income &amp; Expense Other (Year 9) - Both]&gt;</t>
        </r>
      </text>
    </comment>
    <comment ref="C70" authorId="0" shapeId="0" xr:uid="{72CBA6C5-0424-4433-82E6-78840ADD0841}">
      <text>
        <r>
          <rPr>
            <b/>
            <sz val="9"/>
            <color indexed="81"/>
            <rFont val="Tahoma"/>
            <family val="2"/>
          </rPr>
          <t>&lt;[[TCDeals] - [TC Property Current Stage (Seq: 1)] - [Property Points (Seq: 1)] Partnership/Asset Mgt. Fees (Year 10) - Both]&gt;</t>
        </r>
      </text>
    </comment>
    <comment ref="C71" authorId="1" shapeId="0" xr:uid="{6606469D-C21E-4BC3-B9B4-AF5BF7F6C805}">
      <text>
        <r>
          <rPr>
            <b/>
            <sz val="9"/>
            <color indexed="81"/>
            <rFont val="Tahoma"/>
            <family val="2"/>
          </rPr>
          <t>&lt;[[TCDeals] - [TC Property Current Stage (Seq: 1)] - [Property Points (Seq: 1)] Bond Fees Year 10 - Both]&gt;</t>
        </r>
      </text>
    </comment>
    <comment ref="C72" authorId="1" shapeId="0" xr:uid="{155CA323-B087-4245-AFA7-02E6FFBBD229}">
      <text>
        <r>
          <rPr>
            <b/>
            <sz val="9"/>
            <color indexed="81"/>
            <rFont val="Tahoma"/>
            <family val="2"/>
          </rPr>
          <t>&lt;[[TCDeals] - [TC Property Current Stage (Seq: 1)] - [Property Points (Seq: 1)] Deferred Developer Fee Year 10 - Both]&gt;</t>
        </r>
      </text>
    </comment>
    <comment ref="C73" authorId="1" shapeId="0" xr:uid="{950B0F28-B524-4B4E-A849-1EECD55E2E99}">
      <text>
        <r>
          <rPr>
            <b/>
            <sz val="9"/>
            <color indexed="81"/>
            <rFont val="Tahoma"/>
            <family val="2"/>
          </rPr>
          <t>&lt;[[TCDeals] - [TC Property Current Stage (Seq: 1)] - [Property Points (Seq: 1)] Other Number year 10 - Both]&gt;</t>
        </r>
      </text>
    </comment>
    <comment ref="C74" authorId="1" shapeId="0" xr:uid="{80DD4533-0D9F-43B1-8692-0AC8D9A462CE}">
      <text>
        <r>
          <rPr>
            <b/>
            <sz val="9"/>
            <color indexed="81"/>
            <rFont val="Tahoma"/>
            <family val="2"/>
          </rPr>
          <t>&lt;[[TCDeals] - [TC Property Current Stage (Seq: 1)] - [Property Points (Seq: 1)] Other Specify Name year 10 - Both]&gt;</t>
        </r>
      </text>
    </comment>
    <comment ref="C75" authorId="0" shapeId="0" xr:uid="{3323F0EA-27F8-45AA-897F-215B69FF4BA8}">
      <text>
        <r>
          <rPr>
            <b/>
            <sz val="9"/>
            <color indexed="81"/>
            <rFont val="Tahoma"/>
            <family val="2"/>
          </rPr>
          <t>&lt;[[TCDeals] - [TC Property Current Stage (Seq: 1)] - [Property Points (Seq: 1)] Cash Flow Pledged to PSH Services (Year 10) - Both]&gt;</t>
        </r>
      </text>
    </comment>
    <comment ref="C76" authorId="0" shapeId="0" xr:uid="{DA4755A7-E98E-4880-9238-199604CEC357}">
      <text>
        <r>
          <rPr>
            <b/>
            <sz val="9"/>
            <color indexed="81"/>
            <rFont val="Tahoma"/>
            <family val="2"/>
          </rPr>
          <t>&lt;[[TCDeals] - [TC Property Current Stage (Seq: 1)] - [Property Points (Seq: 1)] Proforma, Income &amp; Expense Other (Year 10) - Both]&gt;</t>
        </r>
      </text>
    </comment>
    <comment ref="C77" authorId="0" shapeId="0" xr:uid="{36F98EE6-9A61-422C-9271-6ECA9951AA99}">
      <text>
        <r>
          <rPr>
            <b/>
            <sz val="9"/>
            <color indexed="81"/>
            <rFont val="Tahoma"/>
            <family val="2"/>
          </rPr>
          <t>&lt;[[TCDeals] - [TC Property Current Stage (Seq: 1)] - [Property Points (Seq: 1)] Partnership/Asset Mgt. Fees (Year 11) - Both]&gt;</t>
        </r>
      </text>
    </comment>
    <comment ref="C78" authorId="1" shapeId="0" xr:uid="{803BCAFD-3AA4-4562-9834-2E5175E10A78}">
      <text>
        <r>
          <rPr>
            <b/>
            <sz val="9"/>
            <color indexed="81"/>
            <rFont val="Tahoma"/>
            <family val="2"/>
          </rPr>
          <t>&lt;[[TCDeals] - [TC Property Current Stage (Seq: 1)] - [Property Points (Seq: 1)] Bond Fees Year 11 - Both]&gt;</t>
        </r>
      </text>
    </comment>
    <comment ref="C79" authorId="1" shapeId="0" xr:uid="{3DBF6D73-51FE-4FF6-8142-DCA66D42D172}">
      <text>
        <r>
          <rPr>
            <b/>
            <sz val="9"/>
            <color indexed="81"/>
            <rFont val="Tahoma"/>
            <family val="2"/>
          </rPr>
          <t>&lt;[[TCDeals] - [TC Property Current Stage (Seq: 1)] - [Property Points (Seq: 1)] Deferred Developer Fee Year 11 - Both]&gt;</t>
        </r>
      </text>
    </comment>
    <comment ref="C80" authorId="1" shapeId="0" xr:uid="{1BAA8FE4-116F-4333-B86C-6603D7324470}">
      <text>
        <r>
          <rPr>
            <b/>
            <sz val="9"/>
            <color indexed="81"/>
            <rFont val="Tahoma"/>
            <family val="2"/>
          </rPr>
          <t>&lt;[[TCDeals] - [TC Property Current Stage (Seq: 1)] - [Property Points (Seq: 1)] Other Number year 11 - Both]&gt;</t>
        </r>
      </text>
    </comment>
    <comment ref="C81" authorId="1" shapeId="0" xr:uid="{FF66717C-29D1-444A-9676-2FADC56E6D0B}">
      <text>
        <r>
          <rPr>
            <b/>
            <sz val="9"/>
            <color indexed="81"/>
            <rFont val="Tahoma"/>
            <family val="2"/>
          </rPr>
          <t>&lt;[[TCDeals] - [TC Property Current Stage (Seq: 1)] - [Property Points (Seq: 1)] Other Specify Name year 11 - Both]&gt;</t>
        </r>
      </text>
    </comment>
    <comment ref="C82" authorId="0" shapeId="0" xr:uid="{41F2D80B-6085-479B-8497-6FFB386B89ED}">
      <text>
        <r>
          <rPr>
            <b/>
            <sz val="9"/>
            <color indexed="81"/>
            <rFont val="Tahoma"/>
            <family val="2"/>
          </rPr>
          <t>&lt;[[TCDeals] - [TC Property Current Stage (Seq: 1)] - [Property Points (Seq: 1)] Cash Flow Pledged to PSH Services (Year 11) - Both]&gt;</t>
        </r>
      </text>
    </comment>
    <comment ref="C83" authorId="0" shapeId="0" xr:uid="{19C13884-4980-4BF0-AAF5-8588C3BB3FBF}">
      <text>
        <r>
          <rPr>
            <b/>
            <sz val="9"/>
            <color indexed="81"/>
            <rFont val="Tahoma"/>
            <family val="2"/>
          </rPr>
          <t>&lt;[[TCDeals] - [TC Property Current Stage (Seq: 1)] - [Property Points (Seq: 1)] Proforma, Income &amp; Expense Other (Year 11) - Both]&gt;</t>
        </r>
      </text>
    </comment>
    <comment ref="C84" authorId="0" shapeId="0" xr:uid="{5BA4931C-2364-4826-9932-095893930C97}">
      <text>
        <r>
          <rPr>
            <b/>
            <sz val="9"/>
            <color indexed="81"/>
            <rFont val="Tahoma"/>
            <family val="2"/>
          </rPr>
          <t>&lt;[[TCDeals] - [TC Property Current Stage (Seq: 1)] - [Property Points (Seq: 1)] Partnership/Asset Mgt. Fees (Year 12) - Both]&gt;</t>
        </r>
      </text>
    </comment>
    <comment ref="C85" authorId="1" shapeId="0" xr:uid="{5F494026-18F4-49F2-B430-C5D98746A4F9}">
      <text>
        <r>
          <rPr>
            <b/>
            <sz val="9"/>
            <color indexed="81"/>
            <rFont val="Tahoma"/>
            <family val="2"/>
          </rPr>
          <t>&lt;[[TCDeals] - [TC Property Current Stage (Seq: 1)] - [Property Points (Seq: 1)] Bond Fees Year 12 - Both]&gt;</t>
        </r>
      </text>
    </comment>
    <comment ref="C86" authorId="1" shapeId="0" xr:uid="{4210698D-6C42-42AD-AA95-938F0A2ECF83}">
      <text>
        <r>
          <rPr>
            <b/>
            <sz val="9"/>
            <color indexed="81"/>
            <rFont val="Tahoma"/>
            <family val="2"/>
          </rPr>
          <t>&lt;[[TCDeals] - [TC Property Current Stage (Seq: 1)] - [Property Points (Seq: 1)] Deferred Developer Fee Year 12 - Both]&gt;</t>
        </r>
      </text>
    </comment>
    <comment ref="C87" authorId="1" shapeId="0" xr:uid="{6FD90B97-62E6-46A8-9B28-42C6D384FA9B}">
      <text>
        <r>
          <rPr>
            <b/>
            <sz val="9"/>
            <color indexed="81"/>
            <rFont val="Tahoma"/>
            <family val="2"/>
          </rPr>
          <t>&lt;[[TCDeals] - [TC Property Current Stage (Seq: 1)] - [Property Points (Seq: 1)] Other Number year 12 - Both]&gt;</t>
        </r>
      </text>
    </comment>
    <comment ref="C88" authorId="1" shapeId="0" xr:uid="{EB5BA614-F153-44EA-8988-47BD8C3EEDB3}">
      <text>
        <r>
          <rPr>
            <b/>
            <sz val="9"/>
            <color indexed="81"/>
            <rFont val="Tahoma"/>
            <family val="2"/>
          </rPr>
          <t>&lt;[[TCDeals] - [TC Property Current Stage (Seq: 1)] - [Property Points (Seq: 1)] Other Specify Name year 12 - Both]&gt;</t>
        </r>
      </text>
    </comment>
    <comment ref="C89" authorId="0" shapeId="0" xr:uid="{AEE18F78-7923-492A-8934-B2D4C6EF8F6B}">
      <text>
        <r>
          <rPr>
            <b/>
            <sz val="9"/>
            <color indexed="81"/>
            <rFont val="Tahoma"/>
            <family val="2"/>
          </rPr>
          <t>&lt;[[TCDeals] - [TC Property Current Stage (Seq: 1)] - [Property Points (Seq: 1)] Cash Flow Pledged to PSH Services (Year 12) - Both]&gt;</t>
        </r>
      </text>
    </comment>
    <comment ref="C90" authorId="0" shapeId="0" xr:uid="{A6A1179C-45CE-4ACA-8C03-C6FFCE7C78DF}">
      <text>
        <r>
          <rPr>
            <b/>
            <sz val="9"/>
            <color indexed="81"/>
            <rFont val="Tahoma"/>
            <family val="2"/>
          </rPr>
          <t>&lt;[[TCDeals] - [TC Property Current Stage (Seq: 1)] - [Property Points (Seq: 1)] Proforma, Income &amp; Expense Other (Year 12) - Both]&gt;</t>
        </r>
      </text>
    </comment>
    <comment ref="C91" authorId="0" shapeId="0" xr:uid="{D7F7A96C-9CB0-4750-9B65-C3B0583EC5B5}">
      <text>
        <r>
          <rPr>
            <b/>
            <sz val="9"/>
            <color indexed="81"/>
            <rFont val="Tahoma"/>
            <family val="2"/>
          </rPr>
          <t>&lt;[[TCDeals] - [TC Property Current Stage (Seq: 1)] - [Property Points (Seq: 1)] Partnership/Asset Mgt. Fees (Year 13) - Both]&gt;</t>
        </r>
      </text>
    </comment>
    <comment ref="C92" authorId="1" shapeId="0" xr:uid="{644A6BBB-83F2-469D-83AF-16A8C17ED36A}">
      <text>
        <r>
          <rPr>
            <b/>
            <sz val="9"/>
            <color indexed="81"/>
            <rFont val="Tahoma"/>
            <family val="2"/>
          </rPr>
          <t>&lt;[[TCDeals] - [TC Property Current Stage (Seq: 1)] - [Property Points (Seq: 1)] Bond Fees Year 13 - Both]&gt;</t>
        </r>
      </text>
    </comment>
    <comment ref="C93" authorId="1" shapeId="0" xr:uid="{14EA171F-19A0-4DB1-9F58-EF708553DF26}">
      <text>
        <r>
          <rPr>
            <b/>
            <sz val="9"/>
            <color indexed="81"/>
            <rFont val="Tahoma"/>
            <family val="2"/>
          </rPr>
          <t>&lt;[[TCDeals] - [TC Property Current Stage (Seq: 1)] - [Property Points (Seq: 1)] Deferred Developer Fee Year 13 - Both]&gt;</t>
        </r>
      </text>
    </comment>
    <comment ref="C94" authorId="1" shapeId="0" xr:uid="{547A441F-5EC2-4FFD-BB66-D356A35A92F8}">
      <text>
        <r>
          <rPr>
            <b/>
            <sz val="9"/>
            <color indexed="81"/>
            <rFont val="Tahoma"/>
            <family val="2"/>
          </rPr>
          <t>&lt;[[TCDeals] - [TC Property Current Stage (Seq: 1)] - [Property Points (Seq: 1)] Other Number year 13 - Both]&gt;</t>
        </r>
      </text>
    </comment>
    <comment ref="C95" authorId="1" shapeId="0" xr:uid="{2A72793F-87FC-4A14-B262-AC9BFBA0E9E5}">
      <text>
        <r>
          <rPr>
            <b/>
            <sz val="9"/>
            <color indexed="81"/>
            <rFont val="Tahoma"/>
            <family val="2"/>
          </rPr>
          <t>&lt;[[TCDeals] - [TC Property Current Stage (Seq: 1)] - [Property Points (Seq: 1)] Other Specify Name year 13 - Both]&gt;</t>
        </r>
      </text>
    </comment>
    <comment ref="C96" authorId="0" shapeId="0" xr:uid="{B6B962A9-A06C-45E3-B5EA-E24CAD71B34E}">
      <text>
        <r>
          <rPr>
            <b/>
            <sz val="9"/>
            <color indexed="81"/>
            <rFont val="Tahoma"/>
            <family val="2"/>
          </rPr>
          <t>&lt;[[TCDeals] - [TC Property Current Stage (Seq: 1)] - [Property Points (Seq: 1)] Cash Flow Pledged to PSH Services (Year 13) - Both]&gt;</t>
        </r>
      </text>
    </comment>
    <comment ref="C97" authorId="0" shapeId="0" xr:uid="{F8663120-64F4-45B9-80FE-D33C890549B2}">
      <text>
        <r>
          <rPr>
            <b/>
            <sz val="9"/>
            <color indexed="81"/>
            <rFont val="Tahoma"/>
            <family val="2"/>
          </rPr>
          <t>&lt;[[TCDeals] - [TC Property Current Stage (Seq: 1)] - [Property Points (Seq: 1)] Proforma, Income &amp; Expense Other (Year 13) - Both]&gt;</t>
        </r>
      </text>
    </comment>
    <comment ref="C98" authorId="0" shapeId="0" xr:uid="{4F8B3DB3-AD1E-4622-B77B-471AE9D81C28}">
      <text>
        <r>
          <rPr>
            <b/>
            <sz val="9"/>
            <color indexed="81"/>
            <rFont val="Tahoma"/>
            <family val="2"/>
          </rPr>
          <t>&lt;[[TCDeals] - [TC Property Current Stage (Seq: 1)] - [Property Points (Seq: 1)] Partnership/Asset Mgt. Fees (Year 14) - Both]&gt;</t>
        </r>
      </text>
    </comment>
    <comment ref="C99" authorId="1" shapeId="0" xr:uid="{53663D0F-56EE-4222-9D4C-ED1839D668C4}">
      <text>
        <r>
          <rPr>
            <b/>
            <sz val="9"/>
            <color indexed="81"/>
            <rFont val="Tahoma"/>
            <family val="2"/>
          </rPr>
          <t>&lt;[[TCDeals] - [TC Property Current Stage (Seq: 1)] - [Property Points (Seq: 1)] Bond Fees Year 14 - Both]&gt;</t>
        </r>
      </text>
    </comment>
    <comment ref="C100" authorId="1" shapeId="0" xr:uid="{CA27B476-0281-41CE-811B-C2182958C6E0}">
      <text>
        <r>
          <rPr>
            <b/>
            <sz val="9"/>
            <color indexed="81"/>
            <rFont val="Tahoma"/>
            <family val="2"/>
          </rPr>
          <t>&lt;[[TCDeals] - [TC Property Current Stage (Seq: 1)] - [Property Points (Seq: 1)] Deferred Developer Fee Year 14 - Both]&gt;</t>
        </r>
      </text>
    </comment>
    <comment ref="C101" authorId="1" shapeId="0" xr:uid="{D3D7B018-7713-4FD7-86A0-DCB486A677E1}">
      <text>
        <r>
          <rPr>
            <b/>
            <sz val="9"/>
            <color indexed="81"/>
            <rFont val="Tahoma"/>
            <family val="2"/>
          </rPr>
          <t>&lt;[[TCDeals] - [TC Property Current Stage (Seq: 1)] - [Property Points (Seq: 1)] Other Number year 14 - Both]&gt;</t>
        </r>
      </text>
    </comment>
    <comment ref="C102" authorId="1" shapeId="0" xr:uid="{FAC206EF-04B4-4FF8-8944-3057CE810C80}">
      <text>
        <r>
          <rPr>
            <b/>
            <sz val="9"/>
            <color indexed="81"/>
            <rFont val="Tahoma"/>
            <family val="2"/>
          </rPr>
          <t>&lt;[[TCDeals] - [TC Property Current Stage (Seq: 1)] - [Property Points (Seq: 1)] Other Specify Name year 14 - Both]&gt;</t>
        </r>
      </text>
    </comment>
    <comment ref="C103" authorId="0" shapeId="0" xr:uid="{5BD360F3-631D-4313-9FC5-8041997A9F8C}">
      <text>
        <r>
          <rPr>
            <b/>
            <sz val="9"/>
            <color indexed="81"/>
            <rFont val="Tahoma"/>
            <family val="2"/>
          </rPr>
          <t>&lt;[[TCDeals] - [TC Property Current Stage (Seq: 1)] - [Property Points (Seq: 1)] Cash Flow Pledged to PSH Services (Year 14) - Both]&gt;</t>
        </r>
      </text>
    </comment>
    <comment ref="C104" authorId="0" shapeId="0" xr:uid="{378FC9F5-EC1C-42BA-A13B-ACA626C354B5}">
      <text>
        <r>
          <rPr>
            <b/>
            <sz val="9"/>
            <color indexed="81"/>
            <rFont val="Tahoma"/>
            <family val="2"/>
          </rPr>
          <t>&lt;[[TCDeals] - [TC Property Current Stage (Seq: 1)] - [Property Points (Seq: 1)] Proforma, Income &amp; Expense Other (Year 14) - Both]&gt;</t>
        </r>
      </text>
    </comment>
    <comment ref="C105" authorId="0" shapeId="0" xr:uid="{7B6B7C12-5C5C-4433-8D9A-3FD80A4668CD}">
      <text>
        <r>
          <rPr>
            <b/>
            <sz val="9"/>
            <color indexed="81"/>
            <rFont val="Tahoma"/>
            <family val="2"/>
          </rPr>
          <t>&lt;[[TCDeals] - [TC Property Current Stage (Seq: 1)] - [Property Points (Seq: 1)] Partnership/Asset Mgt. Fees (Year 15) - Both]&gt;</t>
        </r>
      </text>
    </comment>
    <comment ref="C106" authorId="1" shapeId="0" xr:uid="{3E43A3DE-8AC3-4E3A-AB41-BF6BB02600D1}">
      <text>
        <r>
          <rPr>
            <b/>
            <sz val="9"/>
            <color indexed="81"/>
            <rFont val="Tahoma"/>
            <family val="2"/>
          </rPr>
          <t>&lt;[[TCDeals] - [TC Property Current Stage (Seq: 1)] - [Property Points (Seq: 1)] Bond Fees(Year 15) - Both]&gt;</t>
        </r>
      </text>
    </comment>
    <comment ref="C107" authorId="1" shapeId="0" xr:uid="{A29F5D12-9BF0-492C-87D1-58AF61686709}">
      <text>
        <r>
          <rPr>
            <b/>
            <sz val="9"/>
            <color indexed="81"/>
            <rFont val="Tahoma"/>
            <family val="2"/>
          </rPr>
          <t>&lt;[[TCDeals] - [TC Property Current Stage (Seq: 1)] - [Property Points (Seq: 1)] Deferred Developer Fee (Year 15) - Both]&gt;</t>
        </r>
      </text>
    </comment>
    <comment ref="C108" authorId="1" shapeId="0" xr:uid="{172101A1-CBCD-4961-AAF6-AB198524BED2}">
      <text>
        <r>
          <rPr>
            <b/>
            <sz val="9"/>
            <color indexed="81"/>
            <rFont val="Tahoma"/>
            <family val="2"/>
          </rPr>
          <t>&lt;[[TCDeals] - [TC Property Current Stage (Seq: 1)] - [Property Points (Seq: 1)] Other(Year 15) - Both]&gt;</t>
        </r>
      </text>
    </comment>
    <comment ref="C109" authorId="1" shapeId="0" xr:uid="{361A7EB6-EF06-4FF0-A7F4-A32FCDF530C9}">
      <text>
        <r>
          <rPr>
            <b/>
            <sz val="9"/>
            <color indexed="81"/>
            <rFont val="Tahoma"/>
            <family val="2"/>
          </rPr>
          <t>&lt;[[TCDeals] - [TC Property Current Stage (Seq: 1)] - [Property Points (Seq: 1)] Other Specify Name(Year 15) - Both]&gt;</t>
        </r>
      </text>
    </comment>
    <comment ref="C110" authorId="0" shapeId="0" xr:uid="{AEB19320-E757-47EB-800C-5C4B9E4DD741}">
      <text>
        <r>
          <rPr>
            <b/>
            <sz val="9"/>
            <color indexed="81"/>
            <rFont val="Tahoma"/>
            <family val="2"/>
          </rPr>
          <t>&lt;[[TCDeals] - [TC Property Current Stage (Seq: 1)] - [Property Points (Seq: 1)] Cash Flow Pledged to PSH Services (Year 15) - Both]&gt;</t>
        </r>
      </text>
    </comment>
    <comment ref="C111" authorId="0" shapeId="0" xr:uid="{707A9F21-334B-4967-8AD3-D926CD76E8B1}">
      <text>
        <r>
          <rPr>
            <b/>
            <sz val="9"/>
            <color indexed="81"/>
            <rFont val="Tahoma"/>
            <family val="2"/>
          </rPr>
          <t>&lt;[[TCDeals] - [TC Property Current Stage (Seq: 1)] - [Property Points (Seq: 1)] Proforma, Income &amp; Expense Other (Year 15) - Both]&gt;</t>
        </r>
      </text>
    </comment>
    <comment ref="C112" authorId="1" shapeId="0" xr:uid="{C107A0DB-38B8-4B22-ACA0-AC3497B529CA}">
      <text>
        <r>
          <rPr>
            <b/>
            <sz val="9"/>
            <color indexed="81"/>
            <rFont val="Tahoma"/>
            <family val="2"/>
          </rPr>
          <t>&lt;[[TCDeals] - [TC Property Current Stage (Seq: 1)] - [Property Points (Seq: 1)] Cash Flow Available for Distribution (Year 1) - Both]&gt;</t>
        </r>
      </text>
    </comment>
    <comment ref="C113" authorId="1" shapeId="0" xr:uid="{BFA5ED7D-5448-48BD-B269-13D253516A71}">
      <text>
        <r>
          <rPr>
            <b/>
            <sz val="9"/>
            <color indexed="81"/>
            <rFont val="Tahoma"/>
            <family val="2"/>
          </rPr>
          <t>&lt;[[TCDeals] - [TC Property Current Stage (Seq: 1)] - [Property Points (Seq: 1)] Cash Flow Available for Distribution (Year 2) - Both]&gt;</t>
        </r>
      </text>
    </comment>
    <comment ref="C114" authorId="1" shapeId="0" xr:uid="{65787866-CA4C-42AE-928A-083ECA5FB81A}">
      <text>
        <r>
          <rPr>
            <b/>
            <sz val="9"/>
            <color indexed="81"/>
            <rFont val="Tahoma"/>
            <family val="2"/>
          </rPr>
          <t>&lt;[[TCDeals] - [TC Property Current Stage (Seq: 1)] - [Property Points (Seq: 1)] Cash Flow Available for Distribution (Year 3) - Both]&gt;</t>
        </r>
      </text>
    </comment>
    <comment ref="C115" authorId="1" shapeId="0" xr:uid="{8114AB01-6372-4A5C-863A-949A0B308405}">
      <text>
        <r>
          <rPr>
            <b/>
            <sz val="9"/>
            <color indexed="81"/>
            <rFont val="Tahoma"/>
            <family val="2"/>
          </rPr>
          <t>&lt;[[TCDeals] - [TC Property Current Stage (Seq: 1)] - [Property Points (Seq: 1)] Cash Flow Available for Distribution (Year 4) - Both]&gt;</t>
        </r>
      </text>
    </comment>
    <comment ref="C116" authorId="1" shapeId="0" xr:uid="{9AC900D6-AF81-45DD-B8A0-26FE3FB44F06}">
      <text>
        <r>
          <rPr>
            <b/>
            <sz val="9"/>
            <color indexed="81"/>
            <rFont val="Tahoma"/>
            <family val="2"/>
          </rPr>
          <t>&lt;[[TCDeals] - [TC Property Current Stage (Seq: 1)] - [Property Points (Seq: 1)] Cash Flow Available for Distribution (Year 5) - Both]&gt;</t>
        </r>
      </text>
    </comment>
    <comment ref="C117" authorId="1" shapeId="0" xr:uid="{10D07129-9EFF-4036-94D7-3E58C2823D0B}">
      <text>
        <r>
          <rPr>
            <b/>
            <sz val="9"/>
            <color indexed="81"/>
            <rFont val="Tahoma"/>
            <family val="2"/>
          </rPr>
          <t>&lt;[[TCDeals] - [TC Property Current Stage (Seq: 1)] - [Property Points (Seq: 1)] Cash Flow Available for Distribution (Year 6) - Both]&gt;</t>
        </r>
      </text>
    </comment>
    <comment ref="C118" authorId="1" shapeId="0" xr:uid="{C69B298F-C8DE-43DB-A413-7A0B6C67AB43}">
      <text>
        <r>
          <rPr>
            <b/>
            <sz val="9"/>
            <color indexed="81"/>
            <rFont val="Tahoma"/>
            <family val="2"/>
          </rPr>
          <t>&lt;[[TCDeals] - [TC Property Current Stage (Seq: 1)] - [Property Points (Seq: 1)] Cash Flow Available for Distribution (Year 7) - Both]&gt;</t>
        </r>
      </text>
    </comment>
    <comment ref="C119" authorId="1" shapeId="0" xr:uid="{42289622-8007-40D8-85FE-2ED7A7322004}">
      <text>
        <r>
          <rPr>
            <b/>
            <sz val="9"/>
            <color indexed="81"/>
            <rFont val="Tahoma"/>
            <family val="2"/>
          </rPr>
          <t>&lt;[[TCDeals] - [TC Property Current Stage (Seq: 1)] - [Property Points (Seq: 1)] Cash Flow Available for Distribution (Year 8) - Both]&gt;</t>
        </r>
      </text>
    </comment>
    <comment ref="C120" authorId="1" shapeId="0" xr:uid="{BBCF1CEE-A925-4093-B6F4-33E37A023846}">
      <text>
        <r>
          <rPr>
            <b/>
            <sz val="9"/>
            <color indexed="81"/>
            <rFont val="Tahoma"/>
            <family val="2"/>
          </rPr>
          <t>&lt;[[TCDeals] - [TC Property Current Stage (Seq: 1)] - [Property Points (Seq: 1)] Cash Flow Available for Distribution (Year 9) - Both]&gt;</t>
        </r>
      </text>
    </comment>
    <comment ref="C121" authorId="1" shapeId="0" xr:uid="{CEE2CA67-0727-4C3C-B91D-7BA991D93AC0}">
      <text>
        <r>
          <rPr>
            <b/>
            <sz val="9"/>
            <color indexed="81"/>
            <rFont val="Tahoma"/>
            <family val="2"/>
          </rPr>
          <t>&lt;[[TCDeals] - [TC Property Current Stage (Seq: 1)] - [Property Points (Seq: 1)] Cash Flow Available for Distribution (Year 10) - Both]&gt;</t>
        </r>
      </text>
    </comment>
    <comment ref="C122" authorId="1" shapeId="0" xr:uid="{796EE5C5-47DB-4044-87E3-90D3208A6BA3}">
      <text>
        <r>
          <rPr>
            <b/>
            <sz val="9"/>
            <color indexed="81"/>
            <rFont val="Tahoma"/>
            <family val="2"/>
          </rPr>
          <t>&lt;[[TCDeals] - [TC Property Current Stage (Seq: 1)] - [Property Points (Seq: 1)] Cash Flow Available for Distribution (Year 11) - Both]&gt;</t>
        </r>
      </text>
    </comment>
    <comment ref="C123" authorId="1" shapeId="0" xr:uid="{D643BA36-697A-4387-9CC4-E346EE0C3E46}">
      <text>
        <r>
          <rPr>
            <b/>
            <sz val="9"/>
            <color indexed="81"/>
            <rFont val="Tahoma"/>
            <family val="2"/>
          </rPr>
          <t>&lt;[[TCDeals] - [TC Property Current Stage (Seq: 1)] - [Property Points (Seq: 1)] Cash Flow Available for Distribution (Year 12) - Both]&gt;</t>
        </r>
      </text>
    </comment>
    <comment ref="C124" authorId="1" shapeId="0" xr:uid="{4B759F66-1514-43C7-A1DB-1556ECA45437}">
      <text>
        <r>
          <rPr>
            <b/>
            <sz val="9"/>
            <color indexed="81"/>
            <rFont val="Tahoma"/>
            <family val="2"/>
          </rPr>
          <t>&lt;[[TCDeals] - [TC Property Current Stage (Seq: 1)] - [Property Points (Seq: 1)] Cash Flow Available for Distribution (Year 13) - Both]&gt;</t>
        </r>
      </text>
    </comment>
    <comment ref="C125" authorId="1" shapeId="0" xr:uid="{0C832623-594F-4DB9-9CA2-06B0E4D8CDF8}">
      <text>
        <r>
          <rPr>
            <b/>
            <sz val="9"/>
            <color indexed="81"/>
            <rFont val="Tahoma"/>
            <family val="2"/>
          </rPr>
          <t>&lt;[[TCDeals] - [TC Property Current Stage (Seq: 1)] - [Property Points (Seq: 1)] Cash Flow Available for Distribution (Year 14) - Both]&gt;</t>
        </r>
      </text>
    </comment>
    <comment ref="C126" authorId="1" shapeId="0" xr:uid="{A0A0FA69-5ED6-4012-895C-EA88FD1D92F4}">
      <text>
        <r>
          <rPr>
            <b/>
            <sz val="9"/>
            <color indexed="81"/>
            <rFont val="Tahoma"/>
            <family val="2"/>
          </rPr>
          <t>&lt;[[TCDeals] - [TC Property Current Stage (Seq: 1)] - [Property Points (Seq: 1)] Cash Flow Available for Distribution (Year 15) - Both]&gt;</t>
        </r>
      </text>
    </comment>
    <comment ref="C127" authorId="1" shapeId="0" xr:uid="{3E5924DC-8AA0-4412-85C9-5C4608A835C4}">
      <text>
        <r>
          <rPr>
            <b/>
            <sz val="9"/>
            <color indexed="81"/>
            <rFont val="Tahoma"/>
            <family val="2"/>
          </rPr>
          <t>&lt;[[TCDeals] - [TC Property Current Stage (Seq: 1)] - [Property Points (Seq: 1)] Cash Flow Available after above obligations (Year 1) - Both]&gt;</t>
        </r>
      </text>
    </comment>
    <comment ref="C128" authorId="1" shapeId="0" xr:uid="{23C0BBEC-7ED5-42F6-AEBC-58C509294EFF}">
      <text>
        <r>
          <rPr>
            <b/>
            <sz val="9"/>
            <color indexed="81"/>
            <rFont val="Tahoma"/>
            <family val="2"/>
          </rPr>
          <t>&lt;[[TCDeals] - [TC Property Current Stage (Seq: 1)] - [Property Points (Seq: 1)] Cash Flow Available after above obligations (Year 2) - Both]&gt;</t>
        </r>
      </text>
    </comment>
    <comment ref="C129" authorId="1" shapeId="0" xr:uid="{0C5EDDF7-6C39-467B-B503-B06A7C4A96E9}">
      <text>
        <r>
          <rPr>
            <b/>
            <sz val="9"/>
            <color indexed="81"/>
            <rFont val="Tahoma"/>
            <family val="2"/>
          </rPr>
          <t>&lt;[[TCDeals] - [TC Property Current Stage (Seq: 1)] - [Property Points (Seq: 1)] Cash Flow Available after above obligations (Year 3) - Both]&gt;</t>
        </r>
      </text>
    </comment>
    <comment ref="C130" authorId="1" shapeId="0" xr:uid="{7DCC4FCC-CEB1-4207-AA62-4E1D5ABF829A}">
      <text>
        <r>
          <rPr>
            <b/>
            <sz val="9"/>
            <color indexed="81"/>
            <rFont val="Tahoma"/>
            <family val="2"/>
          </rPr>
          <t>&lt;[[TCDeals] - [TC Property Current Stage (Seq: 1)] - [Property Points (Seq: 1)] Cash Flow Available after above obligations (Year 4) - Both]&gt;</t>
        </r>
      </text>
    </comment>
    <comment ref="C131" authorId="1" shapeId="0" xr:uid="{1AF4AF95-5F0B-4D92-9F64-59754E4D2F01}">
      <text>
        <r>
          <rPr>
            <b/>
            <sz val="9"/>
            <color indexed="81"/>
            <rFont val="Tahoma"/>
            <family val="2"/>
          </rPr>
          <t>&lt;[[TCDeals] - [TC Property Current Stage (Seq: 1)] - [Property Points (Seq: 1)] Cash Flow Available after above obligations (Year 5) - Both]&gt;</t>
        </r>
      </text>
    </comment>
    <comment ref="C132" authorId="1" shapeId="0" xr:uid="{9FEB6B70-EA45-444D-8C38-18C6DC2CA960}">
      <text>
        <r>
          <rPr>
            <b/>
            <sz val="9"/>
            <color indexed="81"/>
            <rFont val="Tahoma"/>
            <family val="2"/>
          </rPr>
          <t>&lt;[[TCDeals] - [TC Property Current Stage (Seq: 1)] - [Property Points (Seq: 1)] Cash Flow Available after above obligations (Year 6) - Both]&gt;</t>
        </r>
      </text>
    </comment>
    <comment ref="C133" authorId="1" shapeId="0" xr:uid="{C23BFD5E-D0DF-4913-9394-8A586DE8FF1E}">
      <text>
        <r>
          <rPr>
            <b/>
            <sz val="9"/>
            <color indexed="81"/>
            <rFont val="Tahoma"/>
            <family val="2"/>
          </rPr>
          <t>&lt;[[TCDeals] - [TC Property Current Stage (Seq: 1)] - [Property Points (Seq: 1)] Cash Flow Available after above obligations (Year 7) - Both]&gt;</t>
        </r>
      </text>
    </comment>
    <comment ref="C134" authorId="1" shapeId="0" xr:uid="{86B7580A-5886-40D5-84DC-0C81B478053D}">
      <text>
        <r>
          <rPr>
            <b/>
            <sz val="9"/>
            <color indexed="81"/>
            <rFont val="Tahoma"/>
            <family val="2"/>
          </rPr>
          <t>&lt;[[TCDeals] - [TC Property Current Stage (Seq: 1)] - [Property Points (Seq: 1)] Cash Flow Available after above obligations (Year 8) - Both]&gt;</t>
        </r>
      </text>
    </comment>
    <comment ref="C135" authorId="1" shapeId="0" xr:uid="{5920BB4D-D106-4930-BA27-5DDC7781345B}">
      <text>
        <r>
          <rPr>
            <b/>
            <sz val="9"/>
            <color indexed="81"/>
            <rFont val="Tahoma"/>
            <family val="2"/>
          </rPr>
          <t>&lt;[[TCDeals] - [TC Property Current Stage (Seq: 1)] - [Property Points (Seq: 1)] Cash Flow Available after above obligations (Year 9) - Both]&gt;</t>
        </r>
      </text>
    </comment>
    <comment ref="C136" authorId="1" shapeId="0" xr:uid="{DE408D07-DC12-4ABF-BD2F-232DB883EE45}">
      <text>
        <r>
          <rPr>
            <b/>
            <sz val="9"/>
            <color indexed="81"/>
            <rFont val="Tahoma"/>
            <family val="2"/>
          </rPr>
          <t>&lt;[[TCDeals] - [TC Property Current Stage (Seq: 1)] - [Property Points (Seq: 1)] Cash Flow Available after above obligations (Year 10) - Both]&gt;</t>
        </r>
      </text>
    </comment>
    <comment ref="C137" authorId="1" shapeId="0" xr:uid="{474E386F-21F9-4B7B-BA17-ACFAA73A18FF}">
      <text>
        <r>
          <rPr>
            <b/>
            <sz val="9"/>
            <color indexed="81"/>
            <rFont val="Tahoma"/>
            <family val="2"/>
          </rPr>
          <t>&lt;[[TCDeals] - [TC Property Current Stage (Seq: 1)] - [Property Points (Seq: 1)] Cash Flow Available after above obligations (Year 11) - Both]&gt;</t>
        </r>
      </text>
    </comment>
    <comment ref="C138" authorId="1" shapeId="0" xr:uid="{4A081420-CF40-4C55-B262-A329FAD945E9}">
      <text>
        <r>
          <rPr>
            <b/>
            <sz val="9"/>
            <color indexed="81"/>
            <rFont val="Tahoma"/>
            <family val="2"/>
          </rPr>
          <t>&lt;[[TCDeals] - [TC Property Current Stage (Seq: 1)] - [Property Points (Seq: 1)] Cash Flow Available after above obligations (Year 12) - Both]&gt;</t>
        </r>
      </text>
    </comment>
    <comment ref="C139" authorId="1" shapeId="0" xr:uid="{C730DC03-E6E0-4B8C-97CA-54FE79AC754B}">
      <text>
        <r>
          <rPr>
            <b/>
            <sz val="9"/>
            <color indexed="81"/>
            <rFont val="Tahoma"/>
            <family val="2"/>
          </rPr>
          <t>&lt;[[TCDeals] - [TC Property Current Stage (Seq: 1)] - [Property Points (Seq: 1)] Cash Flow Available after above obligations (Year 13) - Both]&gt;</t>
        </r>
      </text>
    </comment>
    <comment ref="C140" authorId="1" shapeId="0" xr:uid="{95876D37-BE9D-4929-BCFC-8AEDE7ACE3CD}">
      <text>
        <r>
          <rPr>
            <b/>
            <sz val="9"/>
            <color indexed="81"/>
            <rFont val="Tahoma"/>
            <family val="2"/>
          </rPr>
          <t>&lt;[[TCDeals] - [TC Property Current Stage (Seq: 1)] - [Property Points (Seq: 1)] Cash Flow Available after above obligations (Year 14) - Both]&gt;</t>
        </r>
      </text>
    </comment>
    <comment ref="C141" authorId="1" shapeId="0" xr:uid="{CCBB8487-B63D-4DB3-9F4E-ABAB52965E93}">
      <text>
        <r>
          <rPr>
            <b/>
            <sz val="9"/>
            <color indexed="81"/>
            <rFont val="Tahoma"/>
            <family val="2"/>
          </rPr>
          <t>&lt;[[TCDeals] - [TC Property Current Stage (Seq: 1)] - [Property Points (Seq: 1)] Cash Flow Available after above obligations (Year 15) - Both]&gt;</t>
        </r>
      </text>
    </comment>
    <comment ref="C142" authorId="1" shapeId="0" xr:uid="{742F92B8-A758-481A-92BC-477913F42FEC}">
      <text>
        <r>
          <rPr>
            <b/>
            <sz val="9"/>
            <color indexed="81"/>
            <rFont val="Tahoma"/>
            <family val="2"/>
          </rPr>
          <t>&lt;[[TCDeals] - [TC Property Current Stage (Seq: 1)] - [Property Points (Seq: 1)] Deferred Developer Fee - Both]&gt;</t>
        </r>
      </text>
    </comment>
    <comment ref="C143" authorId="1" shapeId="0" xr:uid="{C3B426A0-373D-47BC-A582-0B8F13DEF958}">
      <text>
        <r>
          <rPr>
            <b/>
            <sz val="9"/>
            <color indexed="81"/>
            <rFont val="Tahoma"/>
            <family val="2"/>
          </rPr>
          <t>&lt;[[TCDeals] - [TC Property Current Stage (Seq: 1)] - [Property Points (Seq: 1)] 10 Year Cash Flow After Debt Service - Both]&gt;</t>
        </r>
      </text>
    </comment>
    <comment ref="C144" authorId="1" shapeId="0" xr:uid="{57D99346-3751-4BEE-B93B-86A885892ACA}">
      <text>
        <r>
          <rPr>
            <b/>
            <sz val="9"/>
            <color indexed="81"/>
            <rFont val="Tahoma"/>
            <family val="2"/>
          </rPr>
          <t>&lt;[[TCDeals] - [TC Property Current Stage (Seq: 1)] - [Property Points (Seq: 1)] 15 Year Cash Flow After Debt Service - Both]&gt;</t>
        </r>
      </text>
    </comment>
    <comment ref="C145" authorId="1" shapeId="0" xr:uid="{334D7343-FC96-4921-8C98-1354AB26A43B}">
      <text>
        <r>
          <rPr>
            <b/>
            <sz val="9"/>
            <color indexed="81"/>
            <rFont val="Tahoma"/>
            <family val="2"/>
          </rPr>
          <t>&lt;[[TCDeals] - [TC Property Current Stage (Seq: 1)] - [Property Points (Seq: 1)] Is The 10 Year cash flow available after obligations payable test has been met - Both]&gt;</t>
        </r>
      </text>
    </comment>
    <comment ref="C146" authorId="1" shapeId="0" xr:uid="{8F464ABF-4B1B-4B99-8A41-6FE96BE88B21}">
      <text>
        <r>
          <rPr>
            <b/>
            <sz val="9"/>
            <color indexed="81"/>
            <rFont val="Tahoma"/>
            <family val="2"/>
          </rPr>
          <t>&lt;[[TCDeals] - [TC Property Current Stage (Seq: 1)] - [Property Points (Seq: 1)] Is The 15 Year cash flow available after obligations payable test has been met - Both]&gt;</t>
        </r>
      </text>
    </comment>
    <comment ref="C147" authorId="0" shapeId="0" xr:uid="{E5474BAE-F9F1-4AA8-A3D5-5BFED2B8E1BA}">
      <text>
        <r>
          <rPr>
            <b/>
            <sz val="9"/>
            <color indexed="81"/>
            <rFont val="Tahoma"/>
            <family val="2"/>
          </rPr>
          <t>&lt;[[TCDeals] - [TC Property Current Stage (Seq: 1)] Admin Bookkeeping Fees - Both]&gt;</t>
        </r>
      </text>
    </comment>
    <comment ref="C148" authorId="0" shapeId="0" xr:uid="{08EF60F5-FFBA-455E-B0F6-D27E184740B0}">
      <text>
        <r>
          <rPr>
            <b/>
            <sz val="9"/>
            <color indexed="81"/>
            <rFont val="Tahoma"/>
            <family val="2"/>
          </rPr>
          <t>&lt;[[TCDeals] - [TC Property Current Stage (Seq: 1)] Admin Adv Mrktg - Both]&gt;</t>
        </r>
      </text>
    </comment>
    <comment ref="C149" authorId="0" shapeId="0" xr:uid="{2A194129-E8F7-4E2B-8F86-D024CA793DC7}">
      <text>
        <r>
          <rPr>
            <b/>
            <sz val="9"/>
            <color indexed="81"/>
            <rFont val="Tahoma"/>
            <family val="2"/>
          </rPr>
          <t>&lt;[[TCDeals] - [TC Property Current Stage (Seq: 1)] Admin Legal - Both]&gt;</t>
        </r>
      </text>
    </comment>
    <comment ref="C150" authorId="0" shapeId="0" xr:uid="{2EFAD475-CB18-49B9-A427-8A91EDD52D43}">
      <text>
        <r>
          <rPr>
            <b/>
            <sz val="9"/>
            <color indexed="81"/>
            <rFont val="Tahoma"/>
            <family val="2"/>
          </rPr>
          <t>&lt;[[TCDeals] - [TC Property Current Stage (Seq: 1)] - [Property Points (Seq: 1)] Leased Equipment - Both]&gt;</t>
        </r>
      </text>
    </comment>
    <comment ref="C151" authorId="0" shapeId="0" xr:uid="{7DA7ADAC-E8AC-41DC-BFAD-4C48B1A29D55}">
      <text>
        <r>
          <rPr>
            <b/>
            <sz val="9"/>
            <color indexed="81"/>
            <rFont val="Tahoma"/>
            <family val="2"/>
          </rPr>
          <t>&lt;[[TCDeals] - [TC Property Current Stage (Seq: 1)] Admin Mgt Fee - Both]&gt;</t>
        </r>
      </text>
    </comment>
    <comment ref="C152" authorId="0" shapeId="0" xr:uid="{859030CB-FE93-44C2-AF9D-5CE0C800D5F5}">
      <text>
        <r>
          <rPr>
            <b/>
            <sz val="9"/>
            <color indexed="81"/>
            <rFont val="Tahoma"/>
            <family val="2"/>
          </rPr>
          <t>&lt;[[TCDeals] - [TC Property Current Stage (Seq: 1)] Admin Mgt Salaries - Both]&gt;</t>
        </r>
      </text>
    </comment>
    <comment ref="C153" authorId="0" shapeId="0" xr:uid="{5802FFAD-E11B-4349-9574-22377B81080A}">
      <text>
        <r>
          <rPr>
            <b/>
            <sz val="9"/>
            <color indexed="81"/>
            <rFont val="Tahoma"/>
            <family val="2"/>
          </rPr>
          <t>&lt;[[TCDeals] - [TC Property Current Stage (Seq: 1)] - [Property Points (Seq: 1)] Management Payroll Tax - Both]&gt;</t>
        </r>
      </text>
    </comment>
    <comment ref="C154" authorId="0" shapeId="0" xr:uid="{83DC5CFB-F57F-4D2E-88EB-0DEEE7AF301E}">
      <text>
        <r>
          <rPr>
            <b/>
            <sz val="9"/>
            <color indexed="81"/>
            <rFont val="Tahoma"/>
            <family val="2"/>
          </rPr>
          <t>&lt;[[TCDeals] - [TC Property Current Stage (Seq: 1)] Admin Office Model Apt - Both]&gt;</t>
        </r>
      </text>
    </comment>
    <comment ref="C155" authorId="0" shapeId="0" xr:uid="{2BE97AAD-127E-4743-BA5D-3561E8A211A2}">
      <text>
        <r>
          <rPr>
            <b/>
            <sz val="9"/>
            <color indexed="81"/>
            <rFont val="Tahoma"/>
            <family val="2"/>
          </rPr>
          <t>&lt;[[TCDeals] - [TC Property Current Stage (Seq: 1)] Admin Office Salaries - Both]&gt;</t>
        </r>
      </text>
    </comment>
    <comment ref="C156" authorId="0" shapeId="0" xr:uid="{73BF1BBD-81E8-44E6-917A-42A0260DBC83}">
      <text>
        <r>
          <rPr>
            <b/>
            <sz val="9"/>
            <color indexed="81"/>
            <rFont val="Tahoma"/>
            <family val="2"/>
          </rPr>
          <t>&lt;[[TCDeals] - [TC Property Current Stage (Seq: 1)] Admin Telephone Answering Svc - Both]&gt;</t>
        </r>
      </text>
    </comment>
    <comment ref="A157" authorId="0" shapeId="0" xr:uid="{62788570-BF2C-49F4-9D50-6BB5E67D6B1B}">
      <text>
        <r>
          <rPr>
            <b/>
            <sz val="9"/>
            <color indexed="81"/>
            <rFont val="Tahoma"/>
            <family val="2"/>
          </rPr>
          <t>&lt;[[TCDeals] - [TC Property Current Stage (Seq: 1)] - [Property Points (Seq: 1)] Administration Other Comment - Both]&gt;</t>
        </r>
      </text>
    </comment>
    <comment ref="C157" authorId="0" shapeId="0" xr:uid="{C84D21E4-42A1-47E1-8851-B31459C82A0A}">
      <text>
        <r>
          <rPr>
            <b/>
            <sz val="9"/>
            <color indexed="81"/>
            <rFont val="Tahoma"/>
            <family val="2"/>
          </rPr>
          <t>&lt;[[TCDeals] - [TC Property Current Stage (Seq: 1)] - [Property Points (Seq: 1)] Administration - Other - Both]&gt;</t>
        </r>
      </text>
    </comment>
    <comment ref="A158" authorId="0" shapeId="0" xr:uid="{D151FCD8-4012-4F98-AA0E-4317EC070734}">
      <text>
        <r>
          <rPr>
            <b/>
            <sz val="9"/>
            <color indexed="81"/>
            <rFont val="Tahoma"/>
            <family val="2"/>
          </rPr>
          <t>&lt;[[TCDeals] - [TC Property Current Stage (Seq: 1)] - [Property Points (Seq: 1)] Administration Other 2  Comment - Both]&gt;</t>
        </r>
      </text>
    </comment>
    <comment ref="C158" authorId="0" shapeId="0" xr:uid="{F15BE53F-2A9F-4B05-854B-CF8EF3DD027D}">
      <text>
        <r>
          <rPr>
            <b/>
            <sz val="9"/>
            <color indexed="81"/>
            <rFont val="Tahoma"/>
            <family val="2"/>
          </rPr>
          <t>&lt;[[TCDeals] - [TC Property Current Stage (Seq: 1)] - [Property Points (Seq: 1)] Administration - Other 2 - Both]&gt;</t>
        </r>
      </text>
    </comment>
    <comment ref="A159" authorId="0" shapeId="0" xr:uid="{B55DE795-B9CA-412A-BCF3-5D60C06543EB}">
      <text>
        <r>
          <rPr>
            <b/>
            <sz val="9"/>
            <color indexed="81"/>
            <rFont val="Tahoma"/>
            <family val="2"/>
          </rPr>
          <t>&lt;[[TCDeals] - [TC Property Current Stage (Seq: 1)] - [Property Points (Seq: 1)] Administration Other 3  Comment - Both]&gt;</t>
        </r>
      </text>
    </comment>
    <comment ref="C159" authorId="0" shapeId="0" xr:uid="{35B911DF-07E4-41C7-A55A-D5EDD57623E2}">
      <text>
        <r>
          <rPr>
            <b/>
            <sz val="9"/>
            <color indexed="81"/>
            <rFont val="Tahoma"/>
            <family val="2"/>
          </rPr>
          <t>&lt;[[TCDeals] - [TC Property Current Stage (Seq: 1)] - [Property Points (Seq: 1)] Administration - Other 3 - Both]&gt;</t>
        </r>
      </text>
    </comment>
    <comment ref="C160" authorId="0" shapeId="0" xr:uid="{741AD41B-9F21-4B4E-AD8F-8FCF931ECF6E}">
      <text>
        <r>
          <rPr>
            <b/>
            <sz val="9"/>
            <color indexed="81"/>
            <rFont val="Tahoma"/>
            <family val="2"/>
          </rPr>
          <t>&lt;[[TCDeals] - [TC Property Current Stage (Seq: 1)] Utilities Fuel Oil - Both]&gt;</t>
        </r>
      </text>
    </comment>
    <comment ref="C161" authorId="0" shapeId="0" xr:uid="{B8AFC99A-25A2-4E73-A5E2-5FEC412D7141}">
      <text>
        <r>
          <rPr>
            <b/>
            <sz val="9"/>
            <color indexed="81"/>
            <rFont val="Tahoma"/>
            <family val="2"/>
          </rPr>
          <t>&lt;[[TCDeals] - [TC Property Current Stage (Seq: 1)] Utilities Electricity - Both]&gt;</t>
        </r>
      </text>
    </comment>
    <comment ref="C162" authorId="0" shapeId="0" xr:uid="{E7522431-E0F1-48CF-BB2D-1E59F154A3AC}">
      <text>
        <r>
          <rPr>
            <b/>
            <sz val="9"/>
            <color indexed="81"/>
            <rFont val="Tahoma"/>
            <family val="2"/>
          </rPr>
          <t>&lt;[[TCDeals] - [TC Property Current Stage (Seq: 1)] Utilities Water - Both]&gt;</t>
        </r>
      </text>
    </comment>
    <comment ref="C163" authorId="0" shapeId="0" xr:uid="{EDED8B66-EC36-4D66-9D5E-1FE6C220F0AC}">
      <text>
        <r>
          <rPr>
            <b/>
            <sz val="9"/>
            <color indexed="81"/>
            <rFont val="Tahoma"/>
            <family val="2"/>
          </rPr>
          <t>&lt;[[TCDeals] - [TC Property Current Stage (Seq: 1)] Utilities Sewer - Both]&gt;</t>
        </r>
      </text>
    </comment>
    <comment ref="C164" authorId="0" shapeId="0" xr:uid="{C17F80A4-FB84-4845-AB5F-3EAA1FF2EE45}">
      <text>
        <r>
          <rPr>
            <b/>
            <sz val="9"/>
            <color indexed="81"/>
            <rFont val="Tahoma"/>
            <family val="2"/>
          </rPr>
          <t>&lt;[[TCDeals] - [TC Property Current Stage (Seq: 1)] Utilities Gas - Both]&gt;</t>
        </r>
      </text>
    </comment>
    <comment ref="C165" authorId="0" shapeId="0" xr:uid="{0DA70E49-2C20-47D1-A18D-C516EAE52EF4}">
      <text>
        <r>
          <rPr>
            <b/>
            <sz val="9"/>
            <color indexed="81"/>
            <rFont val="Tahoma"/>
            <family val="2"/>
          </rPr>
          <t>&lt;[[TCDeals] - [TC Property Current Stage (Seq: 1)] Oper Trash Removal - Both]&gt;</t>
        </r>
      </text>
    </comment>
    <comment ref="C166" authorId="0" shapeId="0" xr:uid="{BE56A84F-4512-4C0A-A601-CDE117446F32}">
      <text>
        <r>
          <rPr>
            <b/>
            <sz val="9"/>
            <color indexed="81"/>
            <rFont val="Tahoma"/>
            <family val="2"/>
          </rPr>
          <t>&lt;[[TCDeals] - [TC Property Current Stage (Seq: 1)] Oper Security Payroll - Both]&gt;</t>
        </r>
      </text>
    </comment>
    <comment ref="C167" authorId="0" shapeId="0" xr:uid="{4001EEDC-B58C-49E1-924C-84C3982FB29B}">
      <text>
        <r>
          <rPr>
            <b/>
            <sz val="9"/>
            <color indexed="81"/>
            <rFont val="Tahoma"/>
            <family val="2"/>
          </rPr>
          <t>&lt;[[TCDeals] - [TC Property Current Stage (Seq: 1)] - [Property Points (Seq: 1)] Operation - Cable - Both]&gt;</t>
        </r>
      </text>
    </comment>
    <comment ref="A168" authorId="0" shapeId="0" xr:uid="{81B7FF5E-6369-48FC-A804-B33D53FDE20A}">
      <text>
        <r>
          <rPr>
            <b/>
            <sz val="9"/>
            <color indexed="81"/>
            <rFont val="Tahoma"/>
            <family val="2"/>
          </rPr>
          <t>&lt;[[TCDeals] - [TC Property Current Stage (Seq: 1)] - [Property Points (Seq: 1)] Operation Other Comment - Both]&gt;</t>
        </r>
      </text>
    </comment>
    <comment ref="C168" authorId="0" shapeId="0" xr:uid="{CDFBB760-760B-4327-AC95-C76FAD062696}">
      <text>
        <r>
          <rPr>
            <b/>
            <sz val="9"/>
            <color indexed="81"/>
            <rFont val="Tahoma"/>
            <family val="2"/>
          </rPr>
          <t>&lt;[[TCDeals] - [TC Property Current Stage (Seq: 1)] - [Property Points (Seq: 1)] Operation - Other - Both]&gt;</t>
        </r>
      </text>
    </comment>
    <comment ref="A169" authorId="0" shapeId="0" xr:uid="{A014B23A-7A20-4E6D-9AD6-7011DD3B465B}">
      <text>
        <r>
          <rPr>
            <b/>
            <sz val="9"/>
            <color indexed="81"/>
            <rFont val="Tahoma"/>
            <family val="2"/>
          </rPr>
          <t>&lt;[[TCDeals] - [TC Property Current Stage (Seq: 1)] - [Property Points (Seq: 1)] Operation Other 2 Comment - Both]&gt;</t>
        </r>
      </text>
    </comment>
    <comment ref="C169" authorId="0" shapeId="0" xr:uid="{1127992A-16FF-45AD-AEF1-F58B648F9F42}">
      <text>
        <r>
          <rPr>
            <b/>
            <sz val="9"/>
            <color indexed="81"/>
            <rFont val="Tahoma"/>
            <family val="2"/>
          </rPr>
          <t>&lt;[[TCDeals] - [TC Property Current Stage (Seq: 1)] - [Property Points (Seq: 1)] Operation - Other 2 - Both]&gt;</t>
        </r>
      </text>
    </comment>
    <comment ref="A170" authorId="0" shapeId="0" xr:uid="{F329FFC9-7FB3-4261-8DE8-BBD9E080591D}">
      <text>
        <r>
          <rPr>
            <b/>
            <sz val="9"/>
            <color indexed="81"/>
            <rFont val="Tahoma"/>
            <family val="2"/>
          </rPr>
          <t>&lt;[[TCDeals] - [TC Property Current Stage (Seq: 1)] - [Property Points (Seq: 1)] Operation Other 3 Comment - Both]&gt;</t>
        </r>
      </text>
    </comment>
    <comment ref="C170" authorId="0" shapeId="0" xr:uid="{7F139962-0840-4B88-8223-A2CF754027D7}">
      <text>
        <r>
          <rPr>
            <b/>
            <sz val="9"/>
            <color indexed="81"/>
            <rFont val="Tahoma"/>
            <family val="2"/>
          </rPr>
          <t>&lt;[[TCDeals] - [TC Property Current Stage (Seq: 1)] - [Property Points (Seq: 1)] Operation - Other 3 - Both]&gt;</t>
        </r>
      </text>
    </comment>
    <comment ref="A171" authorId="0" shapeId="0" xr:uid="{503FC021-F97D-47CC-8A71-0A2F7C8C4992}">
      <text>
        <r>
          <rPr>
            <b/>
            <sz val="9"/>
            <color indexed="81"/>
            <rFont val="Tahoma"/>
            <family val="2"/>
          </rPr>
          <t>&lt;[[TCDeals] - [TC Property Current Stage (Seq: 1)] - [Property Points (Seq: 1)] Operation Other 4 Comment - Both]&gt;</t>
        </r>
      </text>
    </comment>
    <comment ref="C171" authorId="0" shapeId="0" xr:uid="{7410D32F-5D96-4D0E-88F4-2E3EED3F518C}">
      <text>
        <r>
          <rPr>
            <b/>
            <sz val="9"/>
            <color indexed="81"/>
            <rFont val="Tahoma"/>
            <family val="2"/>
          </rPr>
          <t>&lt;[[TCDeals] - [TC Property Current Stage (Seq: 1)] - [Property Points (Seq: 1)] Operation - Other 4 - Both]&gt;</t>
        </r>
      </text>
    </comment>
    <comment ref="C172" authorId="0" shapeId="0" xr:uid="{29828C8B-D6FC-4225-851D-7064F59BDB2B}">
      <text>
        <r>
          <rPr>
            <b/>
            <sz val="9"/>
            <color indexed="81"/>
            <rFont val="Tahoma"/>
            <family val="2"/>
          </rPr>
          <t>&lt;[[TCDeals] - [TC Property Current Stage (Seq: 1)] Oper Elevator Maint Contract - Both]&gt;</t>
        </r>
      </text>
    </comment>
    <comment ref="C173" authorId="0" shapeId="0" xr:uid="{2C48700B-9D91-4F02-B35C-B117FA0FB423}">
      <text>
        <r>
          <rPr>
            <b/>
            <sz val="9"/>
            <color indexed="81"/>
            <rFont val="Tahoma"/>
            <family val="2"/>
          </rPr>
          <t>&lt;[[TCDeals] - [TC Property Current Stage (Seq: 1)] Oper Exterminating - Both]&gt;</t>
        </r>
      </text>
    </comment>
    <comment ref="C174" authorId="0" shapeId="0" xr:uid="{69C6FC2E-0E63-42A8-8E34-98F7CA810678}">
      <text>
        <r>
          <rPr>
            <b/>
            <sz val="9"/>
            <color indexed="81"/>
            <rFont val="Tahoma"/>
            <family val="2"/>
          </rPr>
          <t>&lt;[[TCDeals] - [TC Property Current Stage (Seq: 1)] Oper Grounds Contract - Both]&gt;</t>
        </r>
      </text>
    </comment>
    <comment ref="C175" authorId="0" shapeId="0" xr:uid="{D62FE61D-82D5-437A-83B0-F559FE2A65B9}">
      <text>
        <r>
          <rPr>
            <b/>
            <sz val="9"/>
            <color indexed="81"/>
            <rFont val="Tahoma"/>
            <family val="2"/>
          </rPr>
          <t>&lt;[[TCDeals] - [TC Property Current Stage (Seq: 1)] Oper Repairs Contract - Both]&gt;</t>
        </r>
      </text>
    </comment>
    <comment ref="C176" authorId="0" shapeId="0" xr:uid="{815D5CC7-F82C-4004-B2C3-445B67B116AE}">
      <text>
        <r>
          <rPr>
            <b/>
            <sz val="9"/>
            <color indexed="81"/>
            <rFont val="Tahoma"/>
            <family val="2"/>
          </rPr>
          <t>&lt;[[TCDeals] - [TC Property Current Stage (Seq: 1)] Oper Maint Repair Payroll - Both]&gt;</t>
        </r>
      </text>
    </comment>
    <comment ref="C177" authorId="0" shapeId="0" xr:uid="{66AC3ECB-B853-4570-8C56-2105837DA8A1}">
      <text>
        <r>
          <rPr>
            <b/>
            <sz val="9"/>
            <color indexed="81"/>
            <rFont val="Tahoma"/>
            <family val="2"/>
          </rPr>
          <t>&lt;[[TCDeals] - [TC Property Current Stage (Seq: 1)] Oper Repairs Material - Both]&gt;</t>
        </r>
      </text>
    </comment>
    <comment ref="C178" authorId="0" shapeId="0" xr:uid="{3CC4BD52-28B6-4F57-8F0C-F59FC00307E5}">
      <text>
        <r>
          <rPr>
            <b/>
            <sz val="9"/>
            <color indexed="81"/>
            <rFont val="Tahoma"/>
            <family val="2"/>
          </rPr>
          <t>&lt;[[TCDeals] - [TC Property Current Stage (Seq: 1)] - [Property Points (Seq: 1)] Maintenance - Contracts - Both]&gt;</t>
        </r>
      </text>
    </comment>
    <comment ref="C179" authorId="0" shapeId="0" xr:uid="{E796381C-3857-420D-862A-031A68825E69}">
      <text>
        <r>
          <rPr>
            <b/>
            <sz val="9"/>
            <color indexed="81"/>
            <rFont val="Tahoma"/>
            <family val="2"/>
          </rPr>
          <t>&lt;[[TCDeals] - [TC Property Current Stage (Seq: 1)] Oper Decorating Payroll Contract - Both]&gt;</t>
        </r>
      </text>
    </comment>
    <comment ref="C180" authorId="0" shapeId="0" xr:uid="{C87508E0-131A-49DB-B875-711A634ED836}">
      <text>
        <r>
          <rPr>
            <b/>
            <sz val="9"/>
            <color indexed="81"/>
            <rFont val="Tahoma"/>
            <family val="2"/>
          </rPr>
          <t>&lt;[[TCDeals] - [TC Property Current Stage (Seq: 1)] Oper Snow Removal - Both]&gt;</t>
        </r>
      </text>
    </comment>
    <comment ref="A181" authorId="0" shapeId="0" xr:uid="{A8FFC545-A13B-41BF-8800-623CC2860FF5}">
      <text>
        <r>
          <rPr>
            <b/>
            <sz val="9"/>
            <color indexed="81"/>
            <rFont val="Tahoma"/>
            <family val="2"/>
          </rPr>
          <t>&lt;[[TCDeals] - [TC Property Current Stage (Seq: 1)] - [Property Points (Seq: 1)] Maintenance Other Comment - Both]&gt;</t>
        </r>
      </text>
    </comment>
    <comment ref="C181" authorId="0" shapeId="0" xr:uid="{F5AD8EA0-7237-44A4-A9B6-377ACC886B04}">
      <text>
        <r>
          <rPr>
            <b/>
            <sz val="9"/>
            <color indexed="81"/>
            <rFont val="Tahoma"/>
            <family val="2"/>
          </rPr>
          <t>&lt;[[TCDeals] - [TC Property Current Stage (Seq: 1)] - [Property Points (Seq: 1)] Maintenance - Other - Both]&gt;</t>
        </r>
      </text>
    </comment>
    <comment ref="A182" authorId="0" shapeId="0" xr:uid="{8BF99BEE-96D4-41E4-A37D-121AFAAB19C2}">
      <text>
        <r>
          <rPr>
            <b/>
            <sz val="9"/>
            <color indexed="81"/>
            <rFont val="Tahoma"/>
            <family val="2"/>
          </rPr>
          <t>&lt;[[TCDeals] - [TC Property Current Stage (Seq: 1)] - [Property Points (Seq: 1)] Maintenance Other 2 Comment - Both]&gt;</t>
        </r>
      </text>
    </comment>
    <comment ref="C182" authorId="0" shapeId="0" xr:uid="{66284876-F72B-4DBB-91C3-200D28C478A6}">
      <text>
        <r>
          <rPr>
            <b/>
            <sz val="9"/>
            <color indexed="81"/>
            <rFont val="Tahoma"/>
            <family val="2"/>
          </rPr>
          <t>&lt;[[TCDeals] - [TC Property Current Stage (Seq: 1)] - [Property Points (Seq: 1)] Maintenance - Other 2 - Both]&gt;</t>
        </r>
      </text>
    </comment>
    <comment ref="A183" authorId="0" shapeId="0" xr:uid="{65582801-7B57-4A6B-A1EE-2C18C0CBC84E}">
      <text>
        <r>
          <rPr>
            <b/>
            <sz val="9"/>
            <color indexed="81"/>
            <rFont val="Tahoma"/>
            <family val="2"/>
          </rPr>
          <t>&lt;[[TCDeals] - [TC Property Current Stage (Seq: 1)] - [Property Points (Seq: 1)] Maintenance Other 3 Comment - Both]&gt;</t>
        </r>
      </text>
    </comment>
    <comment ref="C183" authorId="0" shapeId="0" xr:uid="{EEC12389-ED6D-4B84-AB83-F2D86AD007CF}">
      <text>
        <r>
          <rPr>
            <b/>
            <sz val="9"/>
            <color indexed="81"/>
            <rFont val="Tahoma"/>
            <family val="2"/>
          </rPr>
          <t>&lt;[[TCDeals] - [TC Property Current Stage (Seq: 1)] - [Property Points (Seq: 1)] Maintenance - Other 3 - Both]&gt;</t>
        </r>
      </text>
    </comment>
    <comment ref="C184" authorId="0" shapeId="0" xr:uid="{67734D0D-1C37-4723-A3B8-3FE247B0995B}">
      <text>
        <r>
          <rPr>
            <b/>
            <sz val="9"/>
            <color indexed="81"/>
            <rFont val="Tahoma"/>
            <family val="2"/>
          </rPr>
          <t>&lt;[[TCDeals] - [TC Property Current Stage (Seq: 1)] TI Real Estate Taxes - Both]&gt;</t>
        </r>
      </text>
    </comment>
    <comment ref="C185" authorId="0" shapeId="0" xr:uid="{E818BED3-C2B6-48EA-9061-828326203921}">
      <text>
        <r>
          <rPr>
            <b/>
            <sz val="9"/>
            <color indexed="81"/>
            <rFont val="Tahoma"/>
            <family val="2"/>
          </rPr>
          <t>&lt;[[TCDeals] - [TC Property Current Stage (Seq: 1)] - [Property Points (Seq: 1)] Fix Expenses - Payment in Lieu of Taxes - Both]&gt;</t>
        </r>
      </text>
    </comment>
    <comment ref="C186" authorId="0" shapeId="0" xr:uid="{055CDF68-225A-4D98-9B84-94629B258D7A}">
      <text>
        <r>
          <rPr>
            <b/>
            <sz val="9"/>
            <color indexed="81"/>
            <rFont val="Tahoma"/>
            <family val="2"/>
          </rPr>
          <t>&lt;[[TCDeals] - [TC Property Current Stage (Seq: 1)] TI Misc - Both]&gt;</t>
        </r>
      </text>
    </comment>
    <comment ref="C187" authorId="0" shapeId="0" xr:uid="{B1EBF35B-2C49-4FBE-B766-B6507ABD4626}">
      <text>
        <r>
          <rPr>
            <b/>
            <sz val="9"/>
            <color indexed="81"/>
            <rFont val="Tahoma"/>
            <family val="2"/>
          </rPr>
          <t>&lt;[[TCDeals] - [TC Property Current Stage (Seq: 1)] TI Prop Liability Insurance - Both]&gt;</t>
        </r>
      </text>
    </comment>
    <comment ref="C188" authorId="0" shapeId="0" xr:uid="{586008E4-7A51-495B-82A1-9CFD23DDD14D}">
      <text>
        <r>
          <rPr>
            <b/>
            <sz val="9"/>
            <color indexed="81"/>
            <rFont val="Tahoma"/>
            <family val="2"/>
          </rPr>
          <t>&lt;[[TCDeals] - [TC Property Current Stage (Seq: 1)] TI Payroll Taxes - Both]&gt;</t>
        </r>
      </text>
    </comment>
    <comment ref="A189" authorId="0" shapeId="0" xr:uid="{E7C4A041-30A7-4944-8B25-39C26592BE5B}">
      <text>
        <r>
          <rPr>
            <b/>
            <sz val="9"/>
            <color indexed="81"/>
            <rFont val="Tahoma"/>
            <family val="2"/>
          </rPr>
          <t>&lt;[[TCDeals] - [TC Property Current Stage (Seq: 1)] - [Property Points (Seq: 1)] Fix Expenses Other Comment - Both]&gt;</t>
        </r>
      </text>
    </comment>
    <comment ref="C189" authorId="0" shapeId="0" xr:uid="{9BB03F49-38FA-4DAB-9B9B-BA3EC5F05FC4}">
      <text>
        <r>
          <rPr>
            <b/>
            <sz val="9"/>
            <color indexed="81"/>
            <rFont val="Tahoma"/>
            <family val="2"/>
          </rPr>
          <t>&lt;[[TCDeals] - [TC Property Current Stage (Seq: 1)] - [Property Points (Seq: 1)] Fix Expenses - Other - Both]&gt;</t>
        </r>
      </text>
    </comment>
    <comment ref="A190" authorId="0" shapeId="0" xr:uid="{D84DA53A-50EC-4809-B901-ACCD2F649841}">
      <text>
        <r>
          <rPr>
            <b/>
            <sz val="9"/>
            <color indexed="81"/>
            <rFont val="Tahoma"/>
            <family val="2"/>
          </rPr>
          <t>&lt;[[TCDeals] - [TC Property Current Stage (Seq: 1)] - [Property Points (Seq: 1)] Fix Expenses Other 2 Comment - Both]&gt;</t>
        </r>
      </text>
    </comment>
    <comment ref="C190" authorId="0" shapeId="0" xr:uid="{28D6FC62-06A0-4912-AF85-A2878C176BFD}">
      <text>
        <r>
          <rPr>
            <b/>
            <sz val="9"/>
            <color indexed="81"/>
            <rFont val="Tahoma"/>
            <family val="2"/>
          </rPr>
          <t>&lt;[[TCDeals] - [TC Property Current Stage (Seq: 1)] - [Property Points (Seq: 1)] Fix Expenses - Other 2 - Both]&gt;</t>
        </r>
      </text>
    </comment>
    <comment ref="C192" authorId="0" shapeId="0" xr:uid="{E74A7F35-AB61-404F-BF91-4BAA7B7F2772}">
      <text>
        <r>
          <rPr>
            <b/>
            <sz val="9"/>
            <color indexed="81"/>
            <rFont val="Tahoma"/>
            <family val="2"/>
          </rPr>
          <t>&lt;[[TCDeals] - [TC Property Current Stage (Seq: 1)] - [Property Points (Seq: 1)] PUPA - Both]&gt;</t>
        </r>
      </text>
    </comment>
    <comment ref="C193" authorId="0" shapeId="0" xr:uid="{8D61A1B9-3D00-4968-8CC4-8ABAA02EE57C}">
      <text>
        <r>
          <rPr>
            <b/>
            <sz val="9"/>
            <color indexed="81"/>
            <rFont val="Tahoma"/>
            <family val="2"/>
          </rPr>
          <t>&lt;[[TCDeals] - [TC Property Current Stage (Seq: 1)] - [Property Points (Seq: 1)] Total Annual Residential Operating Expenses - Both]&gt;</t>
        </r>
      </text>
    </comment>
    <comment ref="C194" authorId="0" shapeId="0" xr:uid="{8EDD0617-7CF4-4B6C-9743-A33760AD74C6}">
      <text>
        <r>
          <rPr>
            <b/>
            <sz val="9"/>
            <color indexed="81"/>
            <rFont val="Tahoma"/>
            <family val="2"/>
          </rPr>
          <t>&lt;[[TCDeals] - [TC Property Current Stage (Seq: 1)] - [Property Points (Seq: 1)] Total Annual Commercial Operating Expenses - Both]&gt;</t>
        </r>
      </text>
    </comment>
    <comment ref="C195" authorId="0" shapeId="0" xr:uid="{07418BA2-3F6C-4EB1-99C7-4469797641CE}">
      <text>
        <r>
          <rPr>
            <b/>
            <sz val="9"/>
            <color indexed="81"/>
            <rFont val="Tahoma"/>
            <family val="2"/>
          </rPr>
          <t>&lt;[[TCDeals] - [TC Property Current Stage (Seq: 1)] - [Property Points (Seq: 1)] Total Per Unit Annual Replacement Reserves - Both]&gt;</t>
        </r>
      </text>
    </comment>
    <comment ref="C196" authorId="1" shapeId="0" xr:uid="{A62F9E02-2A81-41F1-8999-967839448CBA}">
      <text>
        <r>
          <rPr>
            <b/>
            <sz val="9"/>
            <color indexed="81"/>
            <rFont val="Tahoma"/>
            <family val="2"/>
          </rPr>
          <t>&lt;[[TCDeals] - [TC Property Current Stage (Seq: 1)] - [Property Points (Seq: 1)] Development Operating Reserve Requirement - Both]&gt;</t>
        </r>
      </text>
    </comment>
    <comment ref="C197" authorId="0" shapeId="0" xr:uid="{008A049D-8983-4715-A6B3-8897AB1FAE85}">
      <text>
        <r>
          <rPr>
            <b/>
            <sz val="9"/>
            <color indexed="81"/>
            <rFont val="Tahoma"/>
            <family val="2"/>
          </rPr>
          <t>&lt;[[TCDeals] - [TC Property Current Stage (Seq: 1)] - [Property Points (Seq: 1)] Method 1 Federal - Both]&gt;</t>
        </r>
      </text>
    </comment>
    <comment ref="C198" authorId="0" shapeId="0" xr:uid="{4DFAA02C-54B6-44E6-B503-9CD7FE565CE2}">
      <text>
        <r>
          <rPr>
            <b/>
            <sz val="9"/>
            <color indexed="81"/>
            <rFont val="Tahoma"/>
            <family val="2"/>
          </rPr>
          <t>&lt;[[TCDeals] - [TC Property Current Stage (Seq: 1)] - [Property Points (Seq: 1)] Method 1 State - Both]&gt;</t>
        </r>
      </text>
    </comment>
    <comment ref="C199" authorId="0" shapeId="0" xr:uid="{8F518231-4C6A-4C03-9958-120D2408AE8E}">
      <text>
        <r>
          <rPr>
            <b/>
            <sz val="9"/>
            <color indexed="81"/>
            <rFont val="Tahoma"/>
            <family val="2"/>
          </rPr>
          <t>&lt;[[TCDeals] - [TC Property Current Stage (Seq: 1)] - [Property Points (Seq: 1)] Method 2 Federal - Both]&gt;</t>
        </r>
      </text>
    </comment>
    <comment ref="C200" authorId="0" shapeId="0" xr:uid="{AF0F478A-0D53-448F-93BB-4CF64F0A766A}">
      <text>
        <r>
          <rPr>
            <b/>
            <sz val="9"/>
            <color indexed="81"/>
            <rFont val="Tahoma"/>
            <family val="2"/>
          </rPr>
          <t>&lt;[[TCDeals] - [TC Property Current Stage (Seq: 1)] - [Property Points (Seq: 1)] Method 2 State - Both]&gt;</t>
        </r>
      </text>
    </comment>
    <comment ref="C201" authorId="0" shapeId="0" xr:uid="{794929FC-C95E-4350-BAB6-429F5B6F8A66}">
      <text>
        <r>
          <rPr>
            <b/>
            <sz val="9"/>
            <color indexed="81"/>
            <rFont val="Tahoma"/>
            <family val="2"/>
          </rPr>
          <t>&lt;[[TCDeals] - [TC Property Current Stage (Seq: 1)] - [Property Points (Seq: 1)] Method 3 Federal - Both]&gt;</t>
        </r>
      </text>
    </comment>
    <comment ref="C202" authorId="0" shapeId="0" xr:uid="{3F08270D-D188-4F12-9E78-55AB1D10EA48}">
      <text>
        <r>
          <rPr>
            <b/>
            <sz val="9"/>
            <color indexed="81"/>
            <rFont val="Tahoma"/>
            <family val="2"/>
          </rPr>
          <t>&lt;[[TCDeals] - [TC Property Current Stage (Seq: 1)] - [Property Points (Seq: 1)] Method 3 State - Both]&gt;</t>
        </r>
      </text>
    </comment>
    <comment ref="C203" authorId="0" shapeId="0" xr:uid="{2078FE72-3422-43CB-958F-D69102FA41B6}">
      <text>
        <r>
          <rPr>
            <b/>
            <sz val="9"/>
            <color indexed="81"/>
            <rFont val="Tahoma"/>
            <family val="2"/>
          </rPr>
          <t>&lt;[[TCDeals] - [TC Property Current Stage (Seq: 1)] Deferred Dev Fee - Both]&gt;</t>
        </r>
      </text>
    </comment>
    <comment ref="C204" authorId="0" shapeId="0" xr:uid="{C7789472-4CC9-428D-B69F-27063FD1D59A}">
      <text>
        <r>
          <rPr>
            <b/>
            <sz val="9"/>
            <color indexed="81"/>
            <rFont val="Tahoma"/>
            <family val="2"/>
          </rPr>
          <t>&lt;[[TCDeals] - [TC Property Current Stage (Seq: 1)] Equity Gap - Both]&gt;</t>
        </r>
      </text>
    </comment>
    <comment ref="C205" authorId="0" shapeId="0" xr:uid="{F3417EE7-0353-4847-9988-EF0A0FEB8090}">
      <text>
        <r>
          <rPr>
            <b/>
            <sz val="9"/>
            <color indexed="81"/>
            <rFont val="Tahoma"/>
            <family val="2"/>
          </rPr>
          <t>&lt;[[TCDeals] - [TC Property Current Stage (Seq: 1)] - [Property Points (Seq: 1)] Gap Vaule - Both]&gt;</t>
        </r>
      </text>
    </comment>
    <comment ref="C206" authorId="0" shapeId="0" xr:uid="{69010831-470E-4224-8110-971BB25964DA}">
      <text>
        <r>
          <rPr>
            <b/>
            <sz val="9"/>
            <color indexed="81"/>
            <rFont val="Tahoma"/>
            <family val="2"/>
          </rPr>
          <t>&lt;[[TCDeals] - [TC Property Current Stage (Seq: 1)] Equity Dollars per Credit - Both]&gt;</t>
        </r>
      </text>
    </comment>
    <comment ref="C207" authorId="0" shapeId="0" xr:uid="{8726B6A7-D607-4FA7-B653-6B7B6DE725BF}">
      <text>
        <r>
          <rPr>
            <b/>
            <sz val="9"/>
            <color indexed="81"/>
            <rFont val="Tahoma"/>
            <family val="2"/>
          </rPr>
          <t>&lt;[[TCDeals] - [TC Property Current Stage (Seq: 1)] Annual Credit Required - Both]&gt;</t>
        </r>
      </text>
    </comment>
    <comment ref="C208" authorId="0" shapeId="0" xr:uid="{D0BA4367-D251-499D-AB79-C3D07CBE1DBB}">
      <text>
        <r>
          <rPr>
            <b/>
            <sz val="9"/>
            <color indexed="81"/>
            <rFont val="Tahoma"/>
            <family val="2"/>
          </rPr>
          <t>&lt;[[TCDeals] - [TC Property Current Stage (Seq: 1)] Total Annual Credit Amount Request - Both]&gt;</t>
        </r>
      </text>
    </comment>
    <comment ref="C209" authorId="0" shapeId="0" xr:uid="{1A964C53-2EB2-49D5-ABD2-B86F053BEC81}">
      <text>
        <r>
          <rPr>
            <b/>
            <sz val="9"/>
            <color indexed="81"/>
            <rFont val="Tahoma"/>
            <family val="2"/>
          </rPr>
          <t>&lt;[[TCDeals] - [TC Property Current Stage (Seq: 1)] Credit Amount Issued - Both]&gt;</t>
        </r>
      </text>
    </comment>
    <comment ref="C210" authorId="0" shapeId="0" xr:uid="{7A147598-9DB4-48F3-A1F8-C000AD67005B}">
      <text>
        <r>
          <rPr>
            <b/>
            <sz val="9"/>
            <color indexed="81"/>
            <rFont val="Tahoma"/>
            <family val="2"/>
          </rPr>
          <t>&lt;[[TCDeals] - [TC Property Current Stage (Seq: 1)] - [Property Points (Seq: 1)] State Credit Amount Issued - Both]&gt;</t>
        </r>
      </text>
    </comment>
    <comment ref="C211" authorId="1" shapeId="0" xr:uid="{4FAB60DE-45C5-4740-A4A0-75161F1D034B}">
      <text>
        <r>
          <rPr>
            <b/>
            <sz val="9"/>
            <color indexed="81"/>
            <rFont val="Tahoma"/>
            <family val="2"/>
          </rPr>
          <t>&lt;[[TCDeals] - [TC Property Current Stage (Seq: 1)] - [Property Points (Seq: 1)] State Tax Credit Equity - Both]&gt;</t>
        </r>
      </text>
    </comment>
    <comment ref="C212" authorId="0" shapeId="0" xr:uid="{44916AB8-E406-4808-8038-606955B8D02B}">
      <text>
        <r>
          <rPr>
            <b/>
            <sz val="9"/>
            <color indexed="81"/>
            <rFont val="Tahoma"/>
            <family val="2"/>
          </rPr>
          <t>&lt;[[TCDeals] - [TC Property Current Stage (Seq: 1)] - [Property Points (Seq: 1)] State Qualified - Both]&gt;</t>
        </r>
      </text>
    </comment>
    <comment ref="C213" authorId="0" shapeId="0" xr:uid="{62731728-4515-421C-A425-753A698A4F4F}">
      <text>
        <r>
          <rPr>
            <b/>
            <sz val="9"/>
            <color indexed="81"/>
            <rFont val="Tahoma"/>
            <family val="2"/>
          </rPr>
          <t>&lt;[[TCDeals] - [TC Property Current Stage (Seq: 1)] - [Property Points (Seq: 1)] Eligible Basis - Both]&gt;</t>
        </r>
      </text>
    </comment>
    <comment ref="C214" authorId="0" shapeId="0" xr:uid="{FB221258-A08D-4AE1-8573-646281EA4A96}">
      <text>
        <r>
          <rPr>
            <b/>
            <sz val="9"/>
            <color indexed="81"/>
            <rFont val="Tahoma"/>
            <family val="2"/>
          </rPr>
          <t>&lt;[[TCDeals] - [TC Property Current Stage (Seq: 1)] - [Property Points (Seq: 1)] Is Locking Applicable Percentage? - Both]&gt;</t>
        </r>
      </text>
    </comment>
    <comment ref="C215" authorId="0" shapeId="0" xr:uid="{A8E83900-77B6-4A86-B0F1-45A5DB8638CC}">
      <text>
        <r>
          <rPr>
            <b/>
            <sz val="9"/>
            <color indexed="81"/>
            <rFont val="Tahoma"/>
            <family val="2"/>
          </rPr>
          <t>&lt;[[TCDeals] - [TC Property Current Stage (Seq: 1)] - [Property Points (Seq: 1)] 9% APR - Both]&gt;</t>
        </r>
      </text>
    </comment>
    <comment ref="C216" authorId="0" shapeId="0" xr:uid="{A4F9AF66-C132-4F14-9C58-A87717A2F441}">
      <text>
        <r>
          <rPr>
            <b/>
            <sz val="9"/>
            <color indexed="81"/>
            <rFont val="Tahoma"/>
            <family val="2"/>
          </rPr>
          <t>&lt;[[TCDeals] RFO Date Received - Both]&gt;</t>
        </r>
      </text>
    </comment>
    <comment ref="C217" authorId="0" shapeId="0" xr:uid="{0BB0C9CD-78EC-46BD-9CAF-822009DD8768}">
      <text>
        <r>
          <rPr>
            <b/>
            <sz val="9"/>
            <color indexed="81"/>
            <rFont val="Tahoma"/>
            <family val="2"/>
          </rPr>
          <t>&lt;[[TCDeals] - [TC Property Current Stage (Seq: 1)] - [Property Points (Seq: 1)] Anticipated Placed in Service Date - Both]&gt;</t>
        </r>
      </text>
    </comment>
    <comment ref="C218" authorId="0" shapeId="0" xr:uid="{C6A69C13-15F0-463B-A92B-39E983C70782}">
      <text>
        <r>
          <rPr>
            <b/>
            <sz val="9"/>
            <color indexed="81"/>
            <rFont val="Tahoma"/>
            <family val="2"/>
          </rPr>
          <t>&lt;[[TCDeals] - [TC Property Current Stage (Seq: 1)] - [Property Points (Seq: 1)] Number of Floors in the Tallest Building - Both]&gt;</t>
        </r>
      </text>
    </comment>
    <comment ref="C219" authorId="0" shapeId="0" xr:uid="{86662CFA-6C64-4F3C-B0D8-0A7082A852C8}">
      <text>
        <r>
          <rPr>
            <b/>
            <sz val="9"/>
            <color indexed="81"/>
            <rFont val="Tahoma"/>
            <family val="2"/>
          </rPr>
          <t>&lt;[[TCDeals] - [TC Property Current Stage (Seq: 1)] - [Property Points (Seq: 1)] Number of Parking Spaces - Both]&gt;</t>
        </r>
      </text>
    </comment>
    <comment ref="C220" authorId="0" shapeId="0" xr:uid="{F6810612-DCF1-44E2-B3A6-72647C33B650}">
      <text>
        <r>
          <rPr>
            <b/>
            <sz val="9"/>
            <color indexed="81"/>
            <rFont val="Tahoma"/>
            <family val="2"/>
          </rPr>
          <t>&lt;[[TCDeals] - [TC Property Current Stage (Seq: 1)] - [Property Points (Seq: 1)] Optional Field 358 - Both]&gt;</t>
        </r>
      </text>
    </comment>
    <comment ref="C221" authorId="1" shapeId="0" xr:uid="{81ACEC72-DA79-4083-8B97-7AB46D5C4CB7}">
      <text>
        <r>
          <rPr>
            <b/>
            <sz val="9"/>
            <color indexed="81"/>
            <rFont val="Tahoma"/>
            <family val="2"/>
          </rPr>
          <t>&lt;[[TCDeals] - [TC Property Current Stage (Seq: 1)] - [Property Points (Seq: 1)] PAB Contact Name - Both]&gt;</t>
        </r>
      </text>
    </comment>
    <comment ref="C222" authorId="1" shapeId="0" xr:uid="{C20A6773-5B73-4A13-BDE1-2EBD5ECC7E09}">
      <text>
        <r>
          <rPr>
            <b/>
            <sz val="9"/>
            <color indexed="81"/>
            <rFont val="Tahoma"/>
            <family val="2"/>
          </rPr>
          <t>&lt;[[TCDeals] - [TC Property Current Stage (Seq: 1)] - [Property Points (Seq: 1)] PAB Issuer Address - Both]&gt;</t>
        </r>
      </text>
    </comment>
    <comment ref="C223" authorId="1" shapeId="0" xr:uid="{1261FDCC-A5B9-40AD-8517-AC510CACE6D1}">
      <text>
        <r>
          <rPr>
            <b/>
            <sz val="9"/>
            <color indexed="81"/>
            <rFont val="Tahoma"/>
            <family val="2"/>
          </rPr>
          <t>&lt;[[TCDeals] - [TC Property Current Stage (Seq: 1)] - [Property Points (Seq: 1)] PAB Issuer City - Both]&gt;</t>
        </r>
      </text>
    </comment>
    <comment ref="C224" authorId="1" shapeId="0" xr:uid="{04092283-88B9-4A49-8C9E-A2EDC647F521}">
      <text>
        <r>
          <rPr>
            <b/>
            <sz val="9"/>
            <color indexed="81"/>
            <rFont val="Tahoma"/>
            <family val="2"/>
          </rPr>
          <t>&lt;[[TCDeals] - [TC Property Current Stage (Seq: 1)] - [Property Points (Seq: 1)] PAB Issuer State - Both]&gt;</t>
        </r>
      </text>
    </comment>
    <comment ref="C225" authorId="1" shapeId="0" xr:uid="{79D488EB-7415-4C03-9F8C-1AC43FD71F1C}">
      <text>
        <r>
          <rPr>
            <b/>
            <sz val="9"/>
            <color indexed="81"/>
            <rFont val="Tahoma"/>
            <family val="2"/>
          </rPr>
          <t>&lt;[[TCDeals] - [TC Property Current Stage (Seq: 1)] - [Property Points (Seq: 1)] PAB Issuer Zip Code - Both]&gt;</t>
        </r>
      </text>
    </comment>
    <comment ref="C226" authorId="1" shapeId="0" xr:uid="{79B136E0-94BE-470E-8575-1BFF0C4D61FD}">
      <text>
        <r>
          <rPr>
            <b/>
            <sz val="9"/>
            <color indexed="81"/>
            <rFont val="Tahoma"/>
            <family val="2"/>
          </rPr>
          <t>&lt;[[TCDeals] - [TC Property Current Stage (Seq: 1)] - [Property Points (Seq: 1)] PAB Amount - Both]&gt;</t>
        </r>
      </text>
    </comment>
    <comment ref="C227" authorId="1" shapeId="0" xr:uid="{52B8BF34-D807-441A-B7A2-0A8BC64A06AF}">
      <text>
        <r>
          <rPr>
            <b/>
            <sz val="9"/>
            <color indexed="81"/>
            <rFont val="Tahoma"/>
            <family val="2"/>
          </rPr>
          <t>&lt;[[TCDeals] - [TC Property Current Stage (Seq: 1)] - [Property Points (Seq: 1)] PAB Amount Currency - Both]&gt;</t>
        </r>
      </text>
    </comment>
    <comment ref="C228" authorId="0" shapeId="0" xr:uid="{49C01B8E-A909-48FF-9CDB-C402EE49DFC8}">
      <text>
        <r>
          <rPr>
            <b/>
            <sz val="9"/>
            <color indexed="81"/>
            <rFont val="Tahoma"/>
            <family val="2"/>
          </rPr>
          <t>&lt;[[TCDeals] - [TC Property Current Stage (Seq: 1)] - [Property Points (Seq: 1)] PAB Mortgage % - Both]&gt;</t>
        </r>
      </text>
    </comment>
    <comment ref="C229" authorId="0" shapeId="0" xr:uid="{AADAF63E-1BDD-44F4-909B-60CE78E2C6FC}">
      <text>
        <r>
          <rPr>
            <b/>
            <sz val="9"/>
            <color indexed="81"/>
            <rFont val="Tahoma"/>
            <family val="2"/>
          </rPr>
          <t>&lt;[[TCDeals] - [TC Property Current Stage (Seq: 1)] - [Property Points (Seq: 1)] State CHFA DDA Boost Amount - Both]&gt;</t>
        </r>
      </text>
    </comment>
    <comment ref="C230" authorId="0" shapeId="0" xr:uid="{F0D1EF8E-61C3-477E-BB48-8A6BF9B88F59}">
      <text>
        <r>
          <rPr>
            <b/>
            <sz val="9"/>
            <color indexed="81"/>
            <rFont val="Tahoma"/>
            <family val="2"/>
          </rPr>
          <t>&lt;[[TCDeals] - [TC Property Current Stage (Seq: 1)] - [Property Points (Seq: 1)] State CHFA DDA Boost Percent - Both]&gt;</t>
        </r>
      </text>
    </comment>
    <comment ref="C231" authorId="1" shapeId="0" xr:uid="{9138AC00-D9E2-45AC-A7D3-D2C75D9E913C}">
      <text>
        <r>
          <rPr>
            <b/>
            <sz val="9"/>
            <color indexed="81"/>
            <rFont val="Tahoma"/>
            <family val="2"/>
          </rPr>
          <t>&lt;[[TCDeals] - [TC Property Current Stage (Seq: 1)] - [Property Points (Seq: 1)] Is CHFA Basis Boost - Both]&gt;</t>
        </r>
      </text>
    </comment>
    <comment ref="C232" authorId="0" shapeId="0" xr:uid="{30C017DA-40C9-4D7E-857C-A87D68A752E4}">
      <text>
        <r>
          <rPr>
            <b/>
            <sz val="9"/>
            <color indexed="81"/>
            <rFont val="Tahoma"/>
            <family val="2"/>
          </rPr>
          <t>&lt;[[TCDeals] - [TC Property Current Stage (Seq: 1)] Is Tax Exempt Bonds - Both]&gt;</t>
        </r>
      </text>
    </comment>
    <comment ref="C234" authorId="0" shapeId="0" xr:uid="{ABF5F66D-881F-4516-BAEF-BD8328F3C351}">
      <text>
        <r>
          <rPr>
            <b/>
            <sz val="9"/>
            <color indexed="81"/>
            <rFont val="Tahoma"/>
            <family val="2"/>
          </rPr>
          <t>&lt;[[TCDeals] - [TC Property Current Stage (Seq: 1)] Address 1 - Both]&gt;</t>
        </r>
      </text>
    </comment>
    <comment ref="C235" authorId="0" shapeId="0" xr:uid="{1F9269C5-3DF3-40E4-BBD1-80E41E8F78CA}">
      <text>
        <r>
          <rPr>
            <b/>
            <sz val="9"/>
            <color indexed="81"/>
            <rFont val="Tahoma"/>
            <family val="2"/>
          </rPr>
          <t>&lt;[[TCDeals] - [TC Property Current Stage (Seq: 1)] City - Both]&gt;</t>
        </r>
      </text>
    </comment>
    <comment ref="C236" authorId="0" shapeId="0" xr:uid="{16D71AB3-5F77-47EA-B861-BB511FF8DD71}">
      <text>
        <r>
          <rPr>
            <b/>
            <sz val="9"/>
            <color indexed="81"/>
            <rFont val="Tahoma"/>
            <family val="2"/>
          </rPr>
          <t>&lt;[[TCDeals] - [TC Property Current Stage (Seq: 1)] State - Both]&gt;</t>
        </r>
      </text>
    </comment>
    <comment ref="C237" authorId="0" shapeId="0" xr:uid="{E9CD31E9-02C3-40F2-AE1A-314D59F5040B}">
      <text>
        <r>
          <rPr>
            <b/>
            <sz val="9"/>
            <color indexed="81"/>
            <rFont val="Tahoma"/>
            <family val="2"/>
          </rPr>
          <t>&lt;[[TCDeals] - [TC Property Current Stage (Seq: 1)] Zip Code - Both]&gt;</t>
        </r>
      </text>
    </comment>
    <comment ref="C238" authorId="0" shapeId="0" xr:uid="{EC4ADF5E-FC15-4ED1-B14E-5D8F15F9B5BA}">
      <text>
        <r>
          <rPr>
            <b/>
            <sz val="9"/>
            <color indexed="81"/>
            <rFont val="Tahoma"/>
            <family val="2"/>
          </rPr>
          <t>&lt;[[TCDeals] - [TC Property Current Stage (Seq: 1)] Census Tract - Both]&gt;</t>
        </r>
      </text>
    </comment>
    <comment ref="C239" authorId="0" shapeId="0" xr:uid="{59FEB809-5CE1-4017-B12B-8C5E92496D1D}">
      <text>
        <r>
          <rPr>
            <b/>
            <sz val="9"/>
            <color indexed="81"/>
            <rFont val="Tahoma"/>
            <family val="2"/>
          </rPr>
          <t>&lt;[[TCDeals] - [TC Property Current Stage (Seq: 1)] Congressional District - Both]&gt;</t>
        </r>
      </text>
    </comment>
    <comment ref="C240" authorId="0" shapeId="0" xr:uid="{39DBCB53-0BCE-426C-9BD0-D4D892B99E15}">
      <text>
        <r>
          <rPr>
            <b/>
            <sz val="9"/>
            <color indexed="81"/>
            <rFont val="Tahoma"/>
            <family val="2"/>
          </rPr>
          <t>&lt;[[TCDeals] - [TC Property Current Stage (Seq: 1)] State Senate District - Both]&gt;</t>
        </r>
      </text>
    </comment>
    <comment ref="C241" authorId="0" shapeId="0" xr:uid="{5A31DC0E-49B5-4820-94F1-474499F15690}">
      <text>
        <r>
          <rPr>
            <b/>
            <sz val="9"/>
            <color indexed="81"/>
            <rFont val="Tahoma"/>
            <family val="2"/>
          </rPr>
          <t>&lt;[[TCDeals] - [TC Property Current Stage (Seq: 1)] State House District - Both]&gt;</t>
        </r>
      </text>
    </comment>
    <comment ref="C242" authorId="0" shapeId="0" xr:uid="{5C518D8E-8E7C-4EA0-80DD-CE7C9A9F5ABB}">
      <text>
        <r>
          <rPr>
            <b/>
            <sz val="9"/>
            <color indexed="81"/>
            <rFont val="Tahoma"/>
            <family val="2"/>
          </rPr>
          <t>&lt;[[TCDeals] - [TC Property Current Stage (Seq: 1)] Jurisdiction - Both]&gt;</t>
        </r>
      </text>
    </comment>
    <comment ref="C244" authorId="0" shapeId="0" xr:uid="{BB4B309F-5D86-4083-894D-1FDBCFA5691D}">
      <text>
        <r>
          <rPr>
            <b/>
            <sz val="9"/>
            <color indexed="81"/>
            <rFont val="Tahoma"/>
            <family val="2"/>
          </rPr>
          <t>&lt;[[TCDeals] - [TC Property Current Stage (Seq: 1)] Is Zoned Correctly - Both]&gt;</t>
        </r>
      </text>
    </comment>
    <comment ref="C245" authorId="0" shapeId="0" xr:uid="{62CA4A43-60DF-4BC8-A5B2-7E24581A5219}">
      <text>
        <r>
          <rPr>
            <b/>
            <sz val="9"/>
            <color indexed="81"/>
            <rFont val="Tahoma"/>
            <family val="2"/>
          </rPr>
          <t>&lt;[[TCDeals] - [TC Property Current Stage (Seq: 1)] Is Section 221d4 - Both]&gt;</t>
        </r>
      </text>
    </comment>
    <comment ref="C246" authorId="0" shapeId="0" xr:uid="{B93FD313-C625-4E91-82D5-C1C31922ECDC}">
      <text>
        <r>
          <rPr>
            <b/>
            <sz val="9"/>
            <color indexed="81"/>
            <rFont val="Tahoma"/>
            <family val="2"/>
          </rPr>
          <t>&lt;[[TCDeals] - [TC Property Current Stage (Seq: 1)] Is Section 223f - Both]&gt;</t>
        </r>
      </text>
    </comment>
    <comment ref="C247" authorId="0" shapeId="0" xr:uid="{9891A22A-E3D9-4169-970C-572375CF24CB}">
      <text>
        <r>
          <rPr>
            <b/>
            <sz val="9"/>
            <color indexed="81"/>
            <rFont val="Tahoma"/>
            <family val="2"/>
          </rPr>
          <t>&lt;[[TCDeals] - [TC Property Current Stage (Seq: 1)] Is HOME Funds - Both]&gt;</t>
        </r>
      </text>
    </comment>
    <comment ref="C248" authorId="0" shapeId="0" xr:uid="{21911AF0-E364-4FD7-A161-7B95DF947F82}">
      <text>
        <r>
          <rPr>
            <b/>
            <sz val="9"/>
            <color indexed="81"/>
            <rFont val="Tahoma"/>
            <family val="2"/>
          </rPr>
          <t>&lt;[[TCDeals] - [TC Property Current Stage (Seq: 1)] Is Taxable Bonds - Both]&gt;</t>
        </r>
      </text>
    </comment>
    <comment ref="C249" authorId="0" shapeId="0" xr:uid="{F2A2D8EF-F11B-407E-8E27-CAF1947DC3B9}">
      <text>
        <r>
          <rPr>
            <b/>
            <sz val="9"/>
            <color indexed="81"/>
            <rFont val="Tahoma"/>
            <family val="2"/>
          </rPr>
          <t>&lt;[[TCDeals] - [TC Property Current Stage (Seq: 1)] Is CDBG - Both]&gt;</t>
        </r>
      </text>
    </comment>
    <comment ref="C250" authorId="0" shapeId="0" xr:uid="{5D81F5CA-A23C-4878-ACB0-97C347041DEA}">
      <text>
        <r>
          <rPr>
            <b/>
            <sz val="9"/>
            <color indexed="81"/>
            <rFont val="Tahoma"/>
            <family val="2"/>
          </rPr>
          <t>&lt;[[TCDeals] - [TC Property Current Stage (Seq: 1)] Has Federal Subsidies - Both]&gt;</t>
        </r>
      </text>
    </comment>
    <comment ref="C251" authorId="0" shapeId="0" xr:uid="{1414F3CC-0578-48CF-BFE2-34DA81E17294}">
      <text>
        <r>
          <rPr>
            <b/>
            <sz val="9"/>
            <color indexed="81"/>
            <rFont val="Tahoma"/>
            <family val="2"/>
          </rPr>
          <t>&lt;[[TCDeals] - [TC Property Current Stage (Seq: 1)] - [Property Points (Seq: 1)] Is McKinney Act Homeless - Both]&gt;</t>
        </r>
      </text>
    </comment>
    <comment ref="C252" authorId="0" shapeId="0" xr:uid="{CC0DF604-6075-4B07-9512-29E1F0C27FD6}">
      <text>
        <r>
          <rPr>
            <b/>
            <sz val="9"/>
            <color indexed="81"/>
            <rFont val="Tahoma"/>
            <family val="2"/>
          </rPr>
          <t>&lt;[[TCDeals] - [TC Property Current Stage (Seq: 1)] - [Property Points (Seq: 1)] Is Federal Historic Rehabilitation Tax Credits - Both]&gt;</t>
        </r>
      </text>
    </comment>
    <comment ref="C253" authorId="0" shapeId="0" xr:uid="{05532E73-FD6C-49EF-8698-CDA50D94F61F}">
      <text>
        <r>
          <rPr>
            <b/>
            <sz val="9"/>
            <color indexed="81"/>
            <rFont val="Tahoma"/>
            <family val="2"/>
          </rPr>
          <t>&lt;[[TCDeals] - [TC Property Current Stage (Seq: 1)] - [Property Points (Seq: 1)] Is State Historic Rehabilitation Tax Credits - Both]&gt;</t>
        </r>
      </text>
    </comment>
    <comment ref="C254" authorId="1" shapeId="0" xr:uid="{24793632-2274-4AA6-942B-7F7D45D9B43F}">
      <text>
        <r>
          <rPr>
            <b/>
            <sz val="9"/>
            <color indexed="81"/>
            <rFont val="Tahoma"/>
            <family val="2"/>
          </rPr>
          <t>&lt;[[TCDeals] - [TC Property Current Stage (Seq: 1)] - [Property Points (Seq: 1)] Type of Heating in Unit - Both]&gt;</t>
        </r>
      </text>
    </comment>
    <comment ref="C255" authorId="1" shapeId="0" xr:uid="{A6D32A1E-190B-4BF8-BBFE-309CDFE2171B}">
      <text>
        <r>
          <rPr>
            <b/>
            <sz val="9"/>
            <color indexed="81"/>
            <rFont val="Tahoma"/>
            <family val="2"/>
          </rPr>
          <t>&lt;[[TCDeals] - [TC Property Current Stage (Seq: 1)] - [Property Points (Seq: 1)] Type of Heating Common Area - Both]&gt;</t>
        </r>
      </text>
    </comment>
    <comment ref="C256" authorId="1" shapeId="0" xr:uid="{D82E6DE2-93C2-44EB-8F45-950399F09390}">
      <text>
        <r>
          <rPr>
            <b/>
            <sz val="9"/>
            <color indexed="81"/>
            <rFont val="Tahoma"/>
            <family val="2"/>
          </rPr>
          <t>&lt;[[TCDeals] - [TC Property Current Stage (Seq: 1)] - [Property Points (Seq: 1)] Type of Cooling In-Unit2 - Both]&gt;</t>
        </r>
      </text>
    </comment>
    <comment ref="C257" authorId="1" shapeId="0" xr:uid="{5D17BD9D-18B5-4064-840E-C8374E83F1D1}">
      <text>
        <r>
          <rPr>
            <b/>
            <sz val="9"/>
            <color indexed="81"/>
            <rFont val="Tahoma"/>
            <family val="2"/>
          </rPr>
          <t>&lt;[[TCDeals] - [TC Property Current Stage (Seq: 1)] - [Property Points (Seq: 1)] Type of Cooling Common Areas - Both]&gt;</t>
        </r>
      </text>
    </comment>
    <comment ref="C258" authorId="1" shapeId="0" xr:uid="{97FAF4EF-1978-4B91-B116-E0B63648ACC7}">
      <text>
        <r>
          <rPr>
            <b/>
            <sz val="9"/>
            <color indexed="81"/>
            <rFont val="Tahoma"/>
            <family val="2"/>
          </rPr>
          <t>&lt;[[TCDeals] - [TC Property Current Stage (Seq: 1)] - [Property Points (Seq: 1)] Unit HVAC System - Both]&gt;</t>
        </r>
      </text>
    </comment>
    <comment ref="C259" authorId="1" shapeId="0" xr:uid="{E392C7AC-1B67-4BBF-8F33-C224BF640C6D}">
      <text>
        <r>
          <rPr>
            <b/>
            <sz val="9"/>
            <color indexed="81"/>
            <rFont val="Tahoma"/>
            <family val="2"/>
          </rPr>
          <t>&lt;[[TCDeals] - [TC Property Current Stage (Seq: 1)] - [Property Points (Seq: 1)] Type of Domestic Hot Water System - Both]&gt;</t>
        </r>
      </text>
    </comment>
    <comment ref="C260" authorId="1" shapeId="0" xr:uid="{413367F4-F8C8-46ED-A6EA-A98FEFE6A24C}">
      <text>
        <r>
          <rPr>
            <b/>
            <sz val="9"/>
            <color indexed="81"/>
            <rFont val="Tahoma"/>
            <family val="2"/>
          </rPr>
          <t>&lt;[[TCDeals] - [TC Property Current Stage (Seq: 1)] - [Property Points (Seq: 1)] Type of Ventilation System - Both]&gt;</t>
        </r>
      </text>
    </comment>
    <comment ref="C261" authorId="1" shapeId="0" xr:uid="{EDA03784-33CB-4BD8-9D7F-31E413EC4D3C}">
      <text>
        <r>
          <rPr>
            <b/>
            <sz val="9"/>
            <color indexed="81"/>
            <rFont val="Tahoma"/>
            <family val="2"/>
          </rPr>
          <t>&lt;[[TCDeals] - [TC Property Current Stage (Seq: 1)] - [Property Points (Seq: 1)] Is All-Electric Development - Both]&gt;</t>
        </r>
      </text>
    </comment>
    <comment ref="C262" authorId="1" shapeId="0" xr:uid="{858184D3-F7E9-44DE-A28D-9CDC63E0C168}">
      <text>
        <r>
          <rPr>
            <b/>
            <sz val="9"/>
            <color indexed="81"/>
            <rFont val="Tahoma"/>
            <family val="2"/>
          </rPr>
          <t>&lt;[[TCDeals] - [TC Property Current Stage (Seq: 1)] - [Property Points (Seq: 1)] Is Electrification-Ready Development - Both]&gt;</t>
        </r>
      </text>
    </comment>
    <comment ref="C263" authorId="1" shapeId="0" xr:uid="{23D53FB0-4CFC-40A7-BF36-C7E937546DB4}">
      <text>
        <r>
          <rPr>
            <b/>
            <sz val="9"/>
            <color indexed="81"/>
            <rFont val="Tahoma"/>
            <family val="2"/>
          </rPr>
          <t>&lt;[[TCDeals] - [TC Property Current Stage (Seq: 1)] - [Property Points (Seq: 1)] Green System - Both]&gt;</t>
        </r>
      </text>
    </comment>
    <comment ref="C264" authorId="1" shapeId="0" xr:uid="{69F46336-27BB-49AB-AE1C-7B655D0DC636}">
      <text>
        <r>
          <rPr>
            <b/>
            <sz val="9"/>
            <color indexed="81"/>
            <rFont val="Tahoma"/>
            <family val="2"/>
          </rPr>
          <t>&lt;[[TCDeals] - [TC Property Current Stage (Seq: 1)] - [Property Points (Seq: 1)] Type of Energy Efficiency Certification - Both]&gt;</t>
        </r>
      </text>
    </comment>
    <comment ref="C265" authorId="0" shapeId="0" xr:uid="{C868AAD7-B5A7-4E40-AB7A-66A89EF002A6}">
      <text>
        <r>
          <rPr>
            <b/>
            <sz val="9"/>
            <color indexed="81"/>
            <rFont val="Tahoma"/>
            <family val="2"/>
          </rPr>
          <t>&lt;[[TCDeals] - [TC Property Current Stage (Seq: 1)] Fed Historic Credit Amt - Both]&gt;</t>
        </r>
      </text>
    </comment>
    <comment ref="C266" authorId="0" shapeId="0" xr:uid="{F192BFC1-5C57-4915-8105-98BE97BBD0CC}">
      <text>
        <r>
          <rPr>
            <b/>
            <sz val="9"/>
            <color indexed="81"/>
            <rFont val="Tahoma"/>
            <family val="2"/>
          </rPr>
          <t>&lt;[[TCDeals] - [TC Property Current Stage (Seq: 1)] HFA Historic Credit Net - Both]&gt;</t>
        </r>
      </text>
    </comment>
    <comment ref="C267" authorId="0" shapeId="0" xr:uid="{C7C14068-257D-47CA-BFB7-46D0EA1D555D}">
      <text>
        <r>
          <rPr>
            <b/>
            <sz val="9"/>
            <color indexed="81"/>
            <rFont val="Tahoma"/>
            <family val="2"/>
          </rPr>
          <t>&lt;[[TCDeals] - [TC Property Current Stage (Seq: 1)] Total Grant Amount - Both]&gt;</t>
        </r>
      </text>
    </comment>
    <comment ref="C268" authorId="0" shapeId="0" xr:uid="{1CC73115-8A0C-41F4-93E1-F9105FAC3EB5}">
      <text>
        <r>
          <rPr>
            <b/>
            <sz val="9"/>
            <color indexed="81"/>
            <rFont val="Tahoma"/>
            <family val="2"/>
          </rPr>
          <t>&lt;[[TCDeals] - [TC Property Current Stage (Seq: 1)] Cash Inv Equity - Both]&gt;</t>
        </r>
      </text>
    </comment>
    <comment ref="C269" authorId="0" shapeId="0" xr:uid="{7279D7D5-FFE8-4A0F-B257-A28EC8CC5ED8}">
      <text>
        <r>
          <rPr>
            <b/>
            <sz val="9"/>
            <color indexed="81"/>
            <rFont val="Tahoma"/>
            <family val="2"/>
          </rPr>
          <t>&lt;[[TCDeals] - [TC Property Current Stage (Seq: 1)] - [Property Points (Seq: 1)] Is Solar Tax Credits/ETC - Both]&gt;</t>
        </r>
      </text>
    </comment>
    <comment ref="C270" authorId="1" shapeId="0" xr:uid="{124E8CA4-5961-4356-BE83-0952C6FD1698}">
      <text>
        <r>
          <rPr>
            <b/>
            <sz val="9"/>
            <color indexed="81"/>
            <rFont val="Tahoma"/>
            <family val="2"/>
          </rPr>
          <t>&lt;[[TCDeals] - [TC Property Current Stage (Seq: 1)] - [Property Points (Seq: 1)] 45L Energy Efficiency Home Credit - Both]&gt;</t>
        </r>
      </text>
    </comment>
    <comment ref="C271" authorId="1" shapeId="0" xr:uid="{D188AD1B-938D-44BE-85AD-0E85BFFCF4AF}">
      <text>
        <r>
          <rPr>
            <b/>
            <sz val="9"/>
            <color indexed="81"/>
            <rFont val="Tahoma"/>
            <family val="2"/>
          </rPr>
          <t>&lt;[[TCDeals] - [TC Property Current Stage (Seq: 1)] - [Property Points (Seq: 1)] Enter the Amount of the 45L EEH Credit - Both]&gt;</t>
        </r>
      </text>
    </comment>
    <comment ref="C272" authorId="1" shapeId="0" xr:uid="{7E009577-5115-409A-9CE8-A38A97ABE367}">
      <text>
        <r>
          <rPr>
            <b/>
            <sz val="9"/>
            <color indexed="81"/>
            <rFont val="Tahoma"/>
            <family val="2"/>
          </rPr>
          <t>&lt;[[TCDeals] - [TC Property Current Stage (Seq: 1)] - [Property Points (Seq: 1)] Investment Tax Credit (ITC) - Both]&gt;</t>
        </r>
      </text>
    </comment>
    <comment ref="C273" authorId="1" shapeId="0" xr:uid="{13FFE404-2C07-4ADE-9ADA-CAC98B8056D2}">
      <text>
        <r>
          <rPr>
            <b/>
            <sz val="9"/>
            <color indexed="81"/>
            <rFont val="Tahoma"/>
            <family val="2"/>
          </rPr>
          <t>&lt;[[TCDeals] - [TC Property Current Stage (Seq: 1)] - [Property Points (Seq: 1)] Enter the Amount of the ITC - Both]&gt;</t>
        </r>
      </text>
    </comment>
    <comment ref="C274" authorId="0" shapeId="0" xr:uid="{DEFDC7CF-F706-4919-8C17-2BC705459CC2}">
      <text>
        <r>
          <rPr>
            <b/>
            <sz val="9"/>
            <color indexed="81"/>
            <rFont val="Tahoma"/>
            <family val="2"/>
          </rPr>
          <t>&lt;[[TCDeals] - [TC Property Current Stage (Seq: 1)] - [Property Points (Seq: 1)] Is CDBG DR - Both]&gt;</t>
        </r>
      </text>
    </comment>
    <comment ref="C275" authorId="1" shapeId="0" xr:uid="{C066675E-1990-42A4-9590-E588F0769D49}">
      <text>
        <r>
          <rPr>
            <b/>
            <sz val="9"/>
            <color indexed="81"/>
            <rFont val="Tahoma"/>
            <family val="2"/>
          </rPr>
          <t>&lt;[[TCDeals] - [TC Property Current Stage (Seq: 1)] - [Property Points (Seq: 1)] Is FHA Insurance-Risk-Sharing - Both]&gt;</t>
        </r>
      </text>
    </comment>
    <comment ref="C276" authorId="1" shapeId="0" xr:uid="{56B01326-C7FE-4720-A45A-640D0E6DA316}">
      <text>
        <r>
          <rPr>
            <b/>
            <sz val="9"/>
            <color indexed="81"/>
            <rFont val="Tahoma"/>
            <family val="2"/>
          </rPr>
          <t>&lt;[[TCDeals] - [TC Property Current Stage (Seq: 1)] - [Property Points (Seq: 1)] Is Tax Exempt Bond Financing - Both]&gt;</t>
        </r>
      </text>
    </comment>
    <comment ref="C277" authorId="0" shapeId="0" xr:uid="{B91F2BEF-A0C2-4BA9-BF58-AD413CB7011B}">
      <text>
        <r>
          <rPr>
            <b/>
            <sz val="9"/>
            <color indexed="81"/>
            <rFont val="Tahoma"/>
            <family val="2"/>
          </rPr>
          <t>&lt;[[TCDeals] - [TC Property Current Stage (Seq: 1)] - [Property Points (Seq: 1)] Enter name of Entity Transferring Bond Cap - Both]&gt;</t>
        </r>
      </text>
    </comment>
    <comment ref="C278" authorId="1" shapeId="0" xr:uid="{FB6A66E4-A74E-42A3-91F6-AB25446B6F27}">
      <text>
        <r>
          <rPr>
            <b/>
            <sz val="9"/>
            <color indexed="81"/>
            <rFont val="Tahoma"/>
            <family val="2"/>
          </rPr>
          <t>&lt;[[TCDeals] - [TC Property Current Stage (Seq: 1)] - [Property Points (Seq: 1)] Enter the Total Amount of Bond Cap Being Transferred - Both]&gt;</t>
        </r>
      </text>
    </comment>
    <comment ref="C279" authorId="0" shapeId="0" xr:uid="{B43B5BF7-77B8-4121-B763-8C9B32A9CD80}">
      <text>
        <r>
          <rPr>
            <b/>
            <sz val="9"/>
            <color indexed="81"/>
            <rFont val="Tahoma"/>
            <family val="2"/>
          </rPr>
          <t>&lt;[[TCDeals] - [TC Property Current Stage (Seq: 1)] - [Property Points (Seq: 1)] Is FHLB Affordable Housing Program - Both]&gt;</t>
        </r>
      </text>
    </comment>
    <comment ref="C280" authorId="0" shapeId="0" xr:uid="{ACF5D408-8944-4267-8004-1E2190099118}">
      <text>
        <r>
          <rPr>
            <b/>
            <sz val="9"/>
            <color indexed="81"/>
            <rFont val="Tahoma"/>
            <family val="2"/>
          </rPr>
          <t>&lt;[[TCDeals] - [TC Property Current Stage (Seq: 1)] - [Property Points (Seq: 1)] Total Amount of A Bonds being issued - Both]&gt;</t>
        </r>
      </text>
    </comment>
    <comment ref="C281" authorId="0" shapeId="0" xr:uid="{25615C4F-44F8-4BB1-9C85-00C7BD70C993}">
      <text>
        <r>
          <rPr>
            <b/>
            <sz val="9"/>
            <color indexed="81"/>
            <rFont val="Tahoma"/>
            <family val="2"/>
          </rPr>
          <t>&lt;[[TCDeals] - [TC Property Current Stage (Seq: 1)] - [Property Points (Seq: 1)] Total Amount of B Bonds being issued - Both]&gt;</t>
        </r>
      </text>
    </comment>
    <comment ref="C282" authorId="1" shapeId="0" xr:uid="{A0C47569-9D55-41C4-95E2-B38E424ACC31}">
      <text>
        <r>
          <rPr>
            <b/>
            <sz val="9"/>
            <color indexed="81"/>
            <rFont val="Tahoma"/>
            <family val="2"/>
          </rPr>
          <t>&lt;[[TCDeals] - [TC Property Current Stage (Seq: 1)] - [Property Points (Seq: 1)] Total Amount of C Bonds being issued - Both]&gt;</t>
        </r>
      </text>
    </comment>
    <comment ref="C283" authorId="0" shapeId="0" xr:uid="{63676286-7BED-4D01-B86A-E4CA7785E1E3}">
      <text>
        <r>
          <rPr>
            <b/>
            <sz val="9"/>
            <color indexed="81"/>
            <rFont val="Tahoma"/>
            <family val="2"/>
          </rPr>
          <t>&lt;[[TCDeals] - [TC Property Current Stage (Seq: 1)] - [Property Points (Seq: 1)] Amount of the Solar Tax Credit - Both]&gt;</t>
        </r>
      </text>
    </comment>
    <comment ref="C284" authorId="0" shapeId="0" xr:uid="{96E7D5B8-AD33-4C5B-B305-9D1E28C95C3D}">
      <text>
        <r>
          <rPr>
            <b/>
            <sz val="9"/>
            <color indexed="81"/>
            <rFont val="Tahoma"/>
            <family val="2"/>
          </rPr>
          <t>&lt;[[TCDeals] - [TC Property Current Stage (Seq: 1)] - [Property Points (Seq: 1)] Number of Project-based Vouchers - Both]&gt;</t>
        </r>
      </text>
    </comment>
    <comment ref="C285" authorId="0" shapeId="0" xr:uid="{19A3A5E4-B183-42A0-9C25-3CFF379EBFC6}">
      <text>
        <r>
          <rPr>
            <b/>
            <sz val="9"/>
            <color indexed="81"/>
            <rFont val="Tahoma"/>
            <family val="2"/>
          </rPr>
          <t>&lt;[[TCDeals] - [TC Property Current Stage (Seq: 1)] Is S8 Project Based - Both]&gt;</t>
        </r>
      </text>
    </comment>
    <comment ref="C286" authorId="1" shapeId="0" xr:uid="{BB8EC506-A6DC-4726-B5B6-CA5974F9309F}">
      <text>
        <r>
          <rPr>
            <b/>
            <sz val="9"/>
            <color indexed="81"/>
            <rFont val="Tahoma"/>
            <family val="2"/>
          </rPr>
          <t>&lt;[[TCDeals] - [TC Property Current Stage (Seq: 1)] - [Property Points (Seq: 1)] State Funds - DOH Vouchers - Both]&gt;</t>
        </r>
      </text>
    </comment>
    <comment ref="C287" authorId="1" shapeId="0" xr:uid="{837E1607-F054-4F64-9352-C813966C1D16}">
      <text>
        <r>
          <rPr>
            <b/>
            <sz val="9"/>
            <color indexed="81"/>
            <rFont val="Tahoma"/>
            <family val="2"/>
          </rPr>
          <t>&lt;[[TCDeals] - [TC Property Current Stage (Seq: 1)] - [Property Points (Seq: 1)] Voucher Administrator(s) - Both]&gt;</t>
        </r>
      </text>
    </comment>
    <comment ref="C288" authorId="1" shapeId="0" xr:uid="{7278BE20-8479-40D9-8464-D93F63E40A31}">
      <text>
        <r>
          <rPr>
            <b/>
            <sz val="9"/>
            <color indexed="81"/>
            <rFont val="Tahoma"/>
            <family val="2"/>
          </rPr>
          <t>&lt;[[TCDeals] - [TC Property Current Stage (Seq: 1)] - [Property Points (Seq: 1)] Number of Vouchers - Both]&gt;</t>
        </r>
      </text>
    </comment>
    <comment ref="C289" authorId="1" shapeId="0" xr:uid="{EB88BFFC-C530-4C1F-9F2F-8E2440A6DEC6}">
      <text>
        <r>
          <rPr>
            <b/>
            <sz val="9"/>
            <color indexed="81"/>
            <rFont val="Tahoma"/>
            <family val="2"/>
          </rPr>
          <t>&lt;[[TCDeals] - [TC Property Current Stage (Seq: 1)] - [Property Points (Seq: 1)] Type of Vouchers - Both]&gt;</t>
        </r>
      </text>
    </comment>
    <comment ref="C290" authorId="0" shapeId="0" xr:uid="{286D94AE-4508-4220-B39B-6A3F2CD0C9A0}">
      <text>
        <r>
          <rPr>
            <b/>
            <sz val="9"/>
            <color indexed="81"/>
            <rFont val="Tahoma"/>
            <family val="2"/>
          </rPr>
          <t>&lt;[[TCDeals] - [TC Property Current Stage (Seq: 1)] - [Property Points (Seq: 1)] Is RD 514 - Both]&gt;</t>
        </r>
      </text>
    </comment>
    <comment ref="C291" authorId="0" shapeId="0" xr:uid="{10D606DB-33F9-4359-9333-E36EECBD52EE}">
      <text>
        <r>
          <rPr>
            <b/>
            <sz val="9"/>
            <color indexed="81"/>
            <rFont val="Tahoma"/>
            <family val="2"/>
          </rPr>
          <t>&lt;[[TCDeals] - [TC Property Current Stage (Seq: 1)] Has RD 515 Assistance - Both]&gt;</t>
        </r>
      </text>
    </comment>
    <comment ref="C292" authorId="1" shapeId="0" xr:uid="{0E5BF8CA-95C5-45F6-B0DA-38039746DC45}">
      <text>
        <r>
          <rPr>
            <b/>
            <sz val="9"/>
            <color indexed="81"/>
            <rFont val="Tahoma"/>
            <family val="2"/>
          </rPr>
          <t>&lt;[[TCDeals] - [TC Property Current Stage (Seq: 1)] - [Property Points (Seq: 1)] Radon Mitigation - Both]&gt;</t>
        </r>
      </text>
    </comment>
    <comment ref="C293" authorId="1" shapeId="0" xr:uid="{FED9464C-5203-44CE-A465-DAED6BCAEAC6}">
      <text>
        <r>
          <rPr>
            <b/>
            <sz val="9"/>
            <color indexed="81"/>
            <rFont val="Tahoma"/>
            <family val="2"/>
          </rPr>
          <t>&lt;[[TCDeals] - [TC Property Current Stage (Seq: 1)] - [Property Points (Seq: 1)] Is Water-Wise Landscaping2 - Both]&gt;</t>
        </r>
      </text>
    </comment>
    <comment ref="C294" authorId="0" shapeId="0" xr:uid="{4A262C40-2CDB-4C88-AF48-4C6F7E0E766D}">
      <text>
        <r>
          <rPr>
            <b/>
            <sz val="9"/>
            <color indexed="81"/>
            <rFont val="Tahoma"/>
            <family val="2"/>
          </rPr>
          <t>&lt;[[TCDeals] - [TC Property Current Stage (Seq: 1)] Is QCT - Both]&gt;</t>
        </r>
      </text>
    </comment>
    <comment ref="C295" authorId="0" shapeId="0" xr:uid="{7B374C9D-D636-416B-8045-24CF2ADDE697}">
      <text>
        <r>
          <rPr>
            <b/>
            <sz val="9"/>
            <color indexed="81"/>
            <rFont val="Tahoma"/>
            <family val="2"/>
          </rPr>
          <t>&lt;[[TCDeals] - [TC Property Current Stage (Seq: 1)] Is DDA - Both]&gt;</t>
        </r>
      </text>
    </comment>
    <comment ref="C296" authorId="0" shapeId="0" xr:uid="{A94D1347-5254-40A5-92C9-970BB27EF34D}">
      <text>
        <r>
          <rPr>
            <b/>
            <sz val="9"/>
            <color indexed="81"/>
            <rFont val="Tahoma"/>
            <family val="2"/>
          </rPr>
          <t>&lt;[[TCDeals] - [TC Property Current Stage (Seq: 1)] - [Property Points (Seq: 1)] Is SADDA - Both]&gt;</t>
        </r>
      </text>
    </comment>
    <comment ref="C297" authorId="1" shapeId="0" xr:uid="{3878D1AC-3FA9-4E33-B2A5-372C059B572B}">
      <text>
        <r>
          <rPr>
            <b/>
            <sz val="9"/>
            <color indexed="81"/>
            <rFont val="Tahoma"/>
            <family val="2"/>
          </rPr>
          <t>&lt;[[TCDeals] - [TC Property Current Stage (Seq: 1)] Is SADDA - Both]&gt;</t>
        </r>
      </text>
    </comment>
    <comment ref="C298" authorId="0" shapeId="0" xr:uid="{0F0BACFA-B50F-41C5-9657-ED1550FDDB8A}">
      <text>
        <r>
          <rPr>
            <b/>
            <sz val="9"/>
            <color indexed="81"/>
            <rFont val="Tahoma"/>
            <family val="2"/>
          </rPr>
          <t>&lt;[[TCDeals] - [TC Property Current Stage (Seq: 1)] AllocType Requested - Both]&gt;</t>
        </r>
      </text>
    </comment>
    <comment ref="C299" authorId="0" shapeId="0" xr:uid="{6D119EAB-BFB0-4E8D-8923-604ADFFF50F4}">
      <text>
        <r>
          <rPr>
            <b/>
            <sz val="9"/>
            <color indexed="81"/>
            <rFont val="Tahoma"/>
            <family val="2"/>
          </rPr>
          <t>&lt;[[TCDeals] - [TC Property Current Stage (Seq: 1)] - [Property Points (Seq: 1)] Is Resyndication - Both]&gt;</t>
        </r>
      </text>
    </comment>
    <comment ref="C300" authorId="0" shapeId="0" xr:uid="{14D118F3-8EF7-41CF-898C-98B3AB9C6729}">
      <text>
        <r>
          <rPr>
            <b/>
            <sz val="9"/>
            <color indexed="81"/>
            <rFont val="Tahoma"/>
            <family val="2"/>
          </rPr>
          <t>&lt;[[TCDeals] - [TC Property Current Stage (Seq: 1)] Site Control Type - Both]&gt;</t>
        </r>
      </text>
    </comment>
    <comment ref="C301" authorId="0" shapeId="0" xr:uid="{E10A9E88-6F15-4C5E-B31B-2F7F394012C9}">
      <text>
        <r>
          <rPr>
            <b/>
            <sz val="9"/>
            <color indexed="81"/>
            <rFont val="Tahoma"/>
            <family val="2"/>
          </rPr>
          <t>&lt;[[TCDeals] - [TC Property Current Stage (Seq: 1)] Bldg Alloc Type - Both]&gt;</t>
        </r>
      </text>
    </comment>
    <comment ref="C303" authorId="0" shapeId="0" xr:uid="{1DAA6C58-92CF-4F38-8BA7-6549C5B94E47}">
      <text>
        <r>
          <rPr>
            <b/>
            <sz val="9"/>
            <color indexed="81"/>
            <rFont val="Tahoma"/>
            <family val="2"/>
          </rPr>
          <t>&lt;[[TCDeals] - [TC Property Current Stage (Seq: 1)] Has Family Preference - Both]&gt;</t>
        </r>
      </text>
    </comment>
    <comment ref="C304" authorId="0" shapeId="0" xr:uid="{57E929D5-8626-4443-8E57-9AC8217F1D55}">
      <text>
        <r>
          <rPr>
            <b/>
            <sz val="9"/>
            <color indexed="81"/>
            <rFont val="Tahoma"/>
            <family val="2"/>
          </rPr>
          <t>&lt;[[TCDeals] - [TC Property Current Stage (Seq: 1)] Target Type - Both]&gt;</t>
        </r>
      </text>
    </comment>
    <comment ref="C305" authorId="0" shapeId="0" xr:uid="{83D849AE-04ED-4035-A404-65C36FA7C6A7}">
      <text>
        <r>
          <rPr>
            <b/>
            <sz val="9"/>
            <color indexed="81"/>
            <rFont val="Tahoma"/>
            <family val="2"/>
          </rPr>
          <t>&lt;[[TCDeals] - [TC Property Current Stage (Seq: 1)] - [Property Points (Seq: 1)] Special Needs - Both]&gt;</t>
        </r>
      </text>
    </comment>
    <comment ref="C306" authorId="0" shapeId="0" xr:uid="{2C420F00-9649-42AF-B449-3D0008B4E6BB}">
      <text>
        <r>
          <rPr>
            <b/>
            <sz val="9"/>
            <color indexed="81"/>
            <rFont val="Tahoma"/>
            <family val="2"/>
          </rPr>
          <t>&lt;[[TCDeals] - [TC Property Current Stage (Seq: 1)] - [Property Points (Seq: 1)] Family - Both]&gt;</t>
        </r>
      </text>
    </comment>
    <comment ref="C307" authorId="0" shapeId="0" xr:uid="{D60E77D1-48D0-41BA-B759-BDF26C928158}">
      <text>
        <r>
          <rPr>
            <b/>
            <sz val="9"/>
            <color indexed="81"/>
            <rFont val="Tahoma"/>
            <family val="2"/>
          </rPr>
          <t>&lt;[[TCDeals] - [TC Property Current Stage (Seq: 1)] - [Property Points (Seq: 1)] Homeless - Both]&gt;</t>
        </r>
      </text>
    </comment>
    <comment ref="C308" authorId="0" shapeId="0" xr:uid="{B58AEAD2-CBF8-4502-83D0-560E3654D5D6}">
      <text>
        <r>
          <rPr>
            <b/>
            <sz val="9"/>
            <color indexed="81"/>
            <rFont val="Tahoma"/>
            <family val="2"/>
          </rPr>
          <t>&lt;[[TCDeals] - [TC Property Current Stage (Seq: 1)] - [Property Points (Seq: 1)] Senior - Both]&gt;</t>
        </r>
      </text>
    </comment>
    <comment ref="C309" authorId="0" shapeId="0" xr:uid="{00097234-E8E2-4578-AC17-C62C29BE271E}">
      <text>
        <r>
          <rPr>
            <b/>
            <sz val="9"/>
            <color indexed="81"/>
            <rFont val="Tahoma"/>
            <family val="2"/>
          </rPr>
          <t>&lt;[[TCDeals] - [TC Property Current Stage (Seq: 1)] - [Property Points (Seq: 1)] Veterans - Both]&gt;</t>
        </r>
      </text>
    </comment>
    <comment ref="C310" authorId="0" shapeId="0" xr:uid="{6B5F5E5E-CDF5-42FC-A311-53A997A03797}">
      <text>
        <r>
          <rPr>
            <b/>
            <sz val="9"/>
            <color indexed="81"/>
            <rFont val="Tahoma"/>
            <family val="2"/>
          </rPr>
          <t>&lt;[[TCDeals] - [TC Property Current Stage (Seq: 1)] - [Property Points (Seq: 1)] Permanent Supportive Housing - Both]&gt;</t>
        </r>
      </text>
    </comment>
    <comment ref="C311" authorId="2" shapeId="0" xr:uid="{8213C2CA-090C-40A6-87D8-39EC5D6C1898}">
      <text>
        <r>
          <rPr>
            <b/>
            <sz val="9"/>
            <color indexed="81"/>
            <rFont val="Tahoma"/>
            <family val="2"/>
          </rPr>
          <t>&lt;[[TCDeals] - [TC Property Current Stage (Seq: 1)] - [Property Points (Seq: 1)] New Construction Units - Both]&gt;</t>
        </r>
      </text>
    </comment>
    <comment ref="C312" authorId="2" shapeId="0" xr:uid="{4E4920F9-D501-4701-9CB0-3DBD963B4422}">
      <text>
        <r>
          <rPr>
            <b/>
            <sz val="9"/>
            <color indexed="81"/>
            <rFont val="Tahoma"/>
            <family val="2"/>
          </rPr>
          <t>&lt;[[TCDeals] - [TC Property Current Stage (Seq: 1)] - [Property Points (Seq: 1)] Acq/Rehab or Rehab Only Units - Both]&gt;</t>
        </r>
      </text>
    </comment>
    <comment ref="C313" authorId="0" shapeId="0" xr:uid="{4171A08E-6702-4D26-AC3A-D38E10B0E260}">
      <text>
        <r>
          <rPr>
            <b/>
            <sz val="9"/>
            <color indexed="81"/>
            <rFont val="Tahoma"/>
            <family val="2"/>
          </rPr>
          <t>&lt;[[TCDeals] - [TC Property Current Stage (Seq: 1)] Num Buildings - Both]&gt;</t>
        </r>
      </text>
    </comment>
    <comment ref="C314" authorId="0" shapeId="0" xr:uid="{79001CC4-73FF-462D-AF88-E17CDA4508F5}">
      <text>
        <r>
          <rPr>
            <b/>
            <sz val="9"/>
            <color indexed="81"/>
            <rFont val="Tahoma"/>
            <family val="2"/>
          </rPr>
          <t>&lt;[[TCDeals] - [TC Property Current Stage (Seq: 1)] Is Low Rise - Both]&gt;</t>
        </r>
      </text>
    </comment>
    <comment ref="C315" authorId="0" shapeId="0" xr:uid="{1A4FEDCA-0587-4084-BAAA-2CFB8C94C02E}">
      <text>
        <r>
          <rPr>
            <b/>
            <sz val="9"/>
            <color indexed="81"/>
            <rFont val="Tahoma"/>
            <family val="2"/>
          </rPr>
          <t>&lt;[[TCDeals] - [TC Property Current Stage (Seq: 1)] Is Mid Rise - Both]&gt;</t>
        </r>
      </text>
    </comment>
    <comment ref="C316" authorId="0" shapeId="0" xr:uid="{85C28036-5E4F-4E59-A4F1-B8D19476F860}">
      <text>
        <r>
          <rPr>
            <b/>
            <sz val="9"/>
            <color indexed="81"/>
            <rFont val="Tahoma"/>
            <family val="2"/>
          </rPr>
          <t>&lt;[[TCDeals] - [TC Property Current Stage (Seq: 1)] Is High Rise - Both]&gt;</t>
        </r>
      </text>
    </comment>
    <comment ref="C317" authorId="0" shapeId="0" xr:uid="{431BA1E2-4104-4A7A-B64A-8FA06D1CD3C3}">
      <text>
        <r>
          <rPr>
            <b/>
            <sz val="9"/>
            <color indexed="81"/>
            <rFont val="Tahoma"/>
            <family val="2"/>
          </rPr>
          <t>&lt;[[TCDeals] - [TC Property Current Stage (Seq: 1)] Has Elevator - Both]&gt;</t>
        </r>
      </text>
    </comment>
    <comment ref="C318" authorId="0" shapeId="0" xr:uid="{8D4C3A1C-9519-49A0-8969-4F40742CF3DA}">
      <text>
        <r>
          <rPr>
            <b/>
            <sz val="9"/>
            <color indexed="81"/>
            <rFont val="Tahoma"/>
            <family val="2"/>
          </rPr>
          <t>&lt;[[TCDeals] - [TC Property Current Stage (Seq: 1)] - [Property Points (Seq: 1)] Parcel Size - Both]&gt;</t>
        </r>
      </text>
    </comment>
    <comment ref="C319" authorId="0" shapeId="0" xr:uid="{5D49C584-5B1C-48F4-828E-158F33D5E3F6}">
      <text>
        <r>
          <rPr>
            <b/>
            <sz val="9"/>
            <color indexed="81"/>
            <rFont val="Tahoma"/>
            <family val="2"/>
          </rPr>
          <t>&lt;[[TCDeals] - [TC Property Current Stage (Seq: 1)] - [Property Points (Seq: 1)] Building Construction - Both]&gt;</t>
        </r>
      </text>
    </comment>
    <comment ref="C320" authorId="0" shapeId="0" xr:uid="{77EAAF68-7A51-4803-BD8E-AE3A7F81D30E}">
      <text>
        <r>
          <rPr>
            <b/>
            <sz val="9"/>
            <color indexed="81"/>
            <rFont val="Tahoma"/>
            <family val="2"/>
          </rPr>
          <t>&lt;[[TCDeals] - [TC Property Current Stage (Seq: 1)] - [Property Points (Seq: 1)] Construction Duration - Both]&gt;</t>
        </r>
      </text>
    </comment>
    <comment ref="C321" authorId="0" shapeId="0" xr:uid="{5AFA2F6A-A83D-42F7-A9FC-E99D3392977A}">
      <text>
        <r>
          <rPr>
            <b/>
            <sz val="9"/>
            <color indexed="81"/>
            <rFont val="Tahoma"/>
            <family val="2"/>
          </rPr>
          <t>&lt;[[TCDeals] - [TC Property Current Stage (Seq: 1)] - [Property Points (Seq: 1)] Construction Loan Amount - Both]&gt;</t>
        </r>
      </text>
    </comment>
    <comment ref="C322" authorId="0" shapeId="0" xr:uid="{1CCE33B9-C0A2-47AD-83FD-3B92490D0F4E}">
      <text>
        <r>
          <rPr>
            <b/>
            <sz val="9"/>
            <color indexed="81"/>
            <rFont val="Tahoma"/>
            <family val="2"/>
          </rPr>
          <t>&lt;[[TCDeals] - [TC Property Current Stage (Seq: 1)] - [Property Points (Seq: 1)] Construction Loan Rate - Both]&gt;</t>
        </r>
      </text>
    </comment>
    <comment ref="C323" authorId="0" shapeId="0" xr:uid="{A1CB53A8-443A-454B-8F38-A3B76FE23720}">
      <text>
        <r>
          <rPr>
            <b/>
            <sz val="9"/>
            <color indexed="81"/>
            <rFont val="Tahoma"/>
            <family val="2"/>
          </rPr>
          <t>&lt;[[TCDeals] - [TC Property Current Stage (Seq: 1)] - [Property Points (Seq: 1)] Construction Interest From Budget - Both]&gt;</t>
        </r>
      </text>
    </comment>
    <comment ref="B325" authorId="1" shapeId="0" xr:uid="{C3234D3F-A46A-49C4-A21E-86CF45935AB7}">
      <text>
        <r>
          <rPr>
            <b/>
            <sz val="9"/>
            <color indexed="81"/>
            <rFont val="Tahoma"/>
            <family val="2"/>
          </rPr>
          <t>&lt;[[TCDeals] - [TC Property Current Stage (Seq: 1)] - [Property Points (Seq: 1)] Timeline - Inducement  Resolution - Both]&gt;</t>
        </r>
      </text>
    </comment>
    <comment ref="B326" authorId="1" shapeId="0" xr:uid="{B1889F4C-B414-4DCE-A4CC-02F562DB3277}">
      <text>
        <r>
          <rPr>
            <b/>
            <sz val="9"/>
            <color indexed="81"/>
            <rFont val="Tahoma"/>
            <family val="2"/>
          </rPr>
          <t>&lt;[[TCDeals] - [TC Property Current Stage (Seq: 1)] - [Property Points (Seq: 1)] Timeline - Final Resolution - Both]&gt;</t>
        </r>
      </text>
    </comment>
    <comment ref="B327" authorId="1" shapeId="0" xr:uid="{C7A80FC2-7481-4421-A214-BF9A1E90E24A}">
      <text>
        <r>
          <rPr>
            <b/>
            <sz val="9"/>
            <color indexed="81"/>
            <rFont val="Tahoma"/>
            <family val="2"/>
          </rPr>
          <t>&lt;[[TCDeals] - [TC Property Current Stage (Seq: 1)] - [Property Points (Seq: 1)] Timeline - Construction Loan Closing - Both]&gt;</t>
        </r>
      </text>
    </comment>
    <comment ref="B328" authorId="1" shapeId="0" xr:uid="{259AE36D-8B6F-460B-A0D1-2D5B35A0A60F}">
      <text>
        <r>
          <rPr>
            <b/>
            <sz val="9"/>
            <color indexed="81"/>
            <rFont val="Tahoma"/>
            <family val="2"/>
          </rPr>
          <t>&lt;[[TCDeals] - [TC Property Current Stage (Seq: 1)] - [Property Points (Seq: 1)] Timeline - Close Acquisition (if applicable) - Both]&gt;</t>
        </r>
      </text>
    </comment>
    <comment ref="B329" authorId="1" shapeId="0" xr:uid="{F545D689-5150-4D25-BD8D-28246D3195D7}">
      <text>
        <r>
          <rPr>
            <b/>
            <sz val="9"/>
            <color indexed="81"/>
            <rFont val="Tahoma"/>
            <family val="2"/>
          </rPr>
          <t>&lt;[[TCDeals] - [TC Property Current Stage (Seq: 1)] - [Property Points (Seq: 1)] All Loan Closed - Both]&gt;</t>
        </r>
      </text>
    </comment>
    <comment ref="B330" authorId="1" shapeId="0" xr:uid="{DAABE4E3-9DE7-4B2C-B66F-B584E8A2E282}">
      <text>
        <r>
          <rPr>
            <b/>
            <sz val="9"/>
            <color indexed="81"/>
            <rFont val="Tahoma"/>
            <family val="2"/>
          </rPr>
          <t>&lt;[[TCDeals] - [TC Property Current Stage (Seq: 1)] - [Property Points (Seq: 1)] Timeline - Execute Partnership Agreement - Both]&gt;</t>
        </r>
      </text>
    </comment>
    <comment ref="B331" authorId="1" shapeId="0" xr:uid="{90A17DC3-DB7F-4B5E-9F6F-D3095590EC15}">
      <text>
        <r>
          <rPr>
            <b/>
            <sz val="9"/>
            <color indexed="81"/>
            <rFont val="Tahoma"/>
            <family val="2"/>
          </rPr>
          <t>&lt;[[TCDeals] - [TC Property Current Stage (Seq: 1)] - [Property Points (Seq: 1)] Timeline - Submit Carryover Application for 9% Project - Both]&gt;</t>
        </r>
      </text>
    </comment>
    <comment ref="B332" authorId="1" shapeId="0" xr:uid="{1BE5FB20-8B61-46E5-BC71-74681F92206B}">
      <text>
        <r>
          <rPr>
            <b/>
            <sz val="9"/>
            <color indexed="81"/>
            <rFont val="Tahoma"/>
            <family val="2"/>
          </rPr>
          <t>&lt;[[TCDeals] - [TC Property Current Stage (Seq: 1)] - [Property Points (Seq: 1)] Submit Milestone Documentation for AHTC - Both]&gt;</t>
        </r>
      </text>
    </comment>
    <comment ref="B333" authorId="1" shapeId="0" xr:uid="{D9E04047-6248-499D-9374-940ACD24F87A}">
      <text>
        <r>
          <rPr>
            <b/>
            <sz val="9"/>
            <color indexed="81"/>
            <rFont val="Tahoma"/>
            <family val="2"/>
          </rPr>
          <t>&lt;[[TCDeals] - [TC Property Current Stage (Seq: 1)] - [Property Points (Seq: 1)] Construction Drawings approved by Plannin/Building Dept - Both]&gt;</t>
        </r>
      </text>
    </comment>
    <comment ref="B334" authorId="1" shapeId="0" xr:uid="{3F4F7A42-4DB1-4D6E-8A63-9139880BB07B}">
      <text>
        <r>
          <rPr>
            <b/>
            <sz val="9"/>
            <color indexed="81"/>
            <rFont val="Tahoma"/>
            <family val="2"/>
          </rPr>
          <t>&lt;[[TCDeals] - [TC Property Current Stage (Seq: 1)] - [Property Points (Seq: 1)] Timeline - Zoning or Rezoning Final Approved - Both]&gt;</t>
        </r>
      </text>
    </comment>
    <comment ref="B335" authorId="1" shapeId="0" xr:uid="{57064F30-7B2E-494F-A96F-62B65C65E53B}">
      <text>
        <r>
          <rPr>
            <b/>
            <sz val="9"/>
            <color indexed="81"/>
            <rFont val="Tahoma"/>
            <family val="2"/>
          </rPr>
          <t>&lt;[[TCDeals] - [TC Property Current Stage (Seq: 1)] - [Property Points (Seq: 1)] Groundbreaking Ceremony - Both]&gt;</t>
        </r>
      </text>
    </comment>
    <comment ref="B336" authorId="1" shapeId="0" xr:uid="{968A45F6-C863-41A2-883B-C51EBC4C7E47}">
      <text>
        <r>
          <rPr>
            <b/>
            <sz val="9"/>
            <color indexed="81"/>
            <rFont val="Tahoma"/>
            <family val="2"/>
          </rPr>
          <t>&lt;[[TCDeals] - [TC Property Current Stage (Seq: 1)] - [Property Points (Seq: 1)] Building Permit(s) Issued - Both]&gt;</t>
        </r>
      </text>
    </comment>
    <comment ref="B337" authorId="1" shapeId="0" xr:uid="{1DF12E77-F440-4883-8D4A-7F19FDE82FC1}">
      <text>
        <r>
          <rPr>
            <b/>
            <sz val="9"/>
            <color indexed="81"/>
            <rFont val="Tahoma"/>
            <family val="2"/>
          </rPr>
          <t>&lt;[[TCDeals] - [TC Property Current Stage (Seq: 1)] - [Property Points (Seq: 1)] Complete Construction &amp; Placed-In Service (Obtain Certs of Occupancy)Comments - Both]&gt;</t>
        </r>
      </text>
    </comment>
    <comment ref="B338" authorId="1" shapeId="0" xr:uid="{B6943813-C886-41F9-AB4F-F514F2333DB1}">
      <text>
        <r>
          <rPr>
            <b/>
            <sz val="9"/>
            <color indexed="81"/>
            <rFont val="Tahoma"/>
            <family val="2"/>
          </rPr>
          <t>&lt;[[TCDeals] - [TC Property Current Stage (Seq: 1)] - [Property Points (Seq: 1)] Timeline - Submit LIHTC PIS Application for LURA to CHFA - Both]&gt;</t>
        </r>
      </text>
    </comment>
    <comment ref="B339" authorId="1" shapeId="0" xr:uid="{5F0565E5-3722-4F10-9390-ECBEC2F3668D}">
      <text>
        <r>
          <rPr>
            <b/>
            <sz val="9"/>
            <color indexed="81"/>
            <rFont val="Tahoma"/>
            <family val="2"/>
          </rPr>
          <t>&lt;[[TCDeals] - [TC Property Current Stage (Seq: 1)] - [Property Points (Seq: 1)] Grand Opening - Both]&gt;</t>
        </r>
      </text>
    </comment>
    <comment ref="B340" authorId="1" shapeId="0" xr:uid="{9CAFFA06-05A4-44A0-A79C-CC6533D67435}">
      <text>
        <r>
          <rPr>
            <b/>
            <sz val="9"/>
            <color indexed="81"/>
            <rFont val="Tahoma"/>
            <family val="2"/>
          </rPr>
          <t>&lt;[[TCDeals] - [TC Property Current Stage (Seq: 1)] - [Property Points (Seq: 1)] Timeline - Stabilization Permanent Loan - Both]&gt;</t>
        </r>
      </text>
    </comment>
    <comment ref="B341" authorId="1" shapeId="0" xr:uid="{B410F127-B74F-42F8-A149-DBBD74746FA5}">
      <text>
        <r>
          <rPr>
            <b/>
            <sz val="9"/>
            <color indexed="81"/>
            <rFont val="Tahoma"/>
            <family val="2"/>
          </rPr>
          <t>&lt;[[TCDeals] - [TC Property Current Stage (Seq: 1)] - [Property Points (Seq: 1)] Convert to Permanent Loan - Both]&gt;</t>
        </r>
      </text>
    </comment>
    <comment ref="B342" authorId="1" shapeId="0" xr:uid="{6142DF3F-0D28-44CD-A14C-54B779843679}">
      <text>
        <r>
          <rPr>
            <b/>
            <sz val="9"/>
            <color indexed="81"/>
            <rFont val="Tahoma"/>
            <family val="2"/>
          </rPr>
          <t>&lt;[[TCDeals] - [TC Property Current Stage (Seq: 1)] - [Property Points (Seq: 1)] Timeline - Final Application to ColoradoHFA - Both]&gt;</t>
        </r>
      </text>
    </comment>
    <comment ref="C343" authorId="0" shapeId="0" xr:uid="{AA9E1EB3-9486-4759-84BD-83556B9D8639}">
      <text>
        <r>
          <rPr>
            <b/>
            <sz val="9"/>
            <color indexed="81"/>
            <rFont val="Tahoma"/>
            <family val="2"/>
          </rPr>
          <t>&lt;[[TCDeals] - [TC Property Current Stage (Seq: 1)] - [Actual Property Costs (Seq: 1)] Land Acq Cost - Both]&gt;</t>
        </r>
      </text>
    </comment>
    <comment ref="C344" authorId="0" shapeId="0" xr:uid="{0AF10BB7-42EF-4D19-AC72-948DEC773A53}">
      <text>
        <r>
          <rPr>
            <b/>
            <sz val="9"/>
            <color indexed="81"/>
            <rFont val="Tahoma"/>
            <family val="2"/>
          </rPr>
          <t>&lt;[[TCDeals] - [TC Property Current Stage (Seq: 1)] - [Actual Property Costs (Seq: 1)] Existing Improvements Cost - Both]&gt;</t>
        </r>
      </text>
    </comment>
    <comment ref="C345" authorId="0" shapeId="0" xr:uid="{0AFFA23D-4D38-4D4E-A10D-134C0B5D2BDE}">
      <text>
        <r>
          <rPr>
            <b/>
            <sz val="9"/>
            <color indexed="81"/>
            <rFont val="Tahoma"/>
            <family val="2"/>
          </rPr>
          <t>&lt;[[TCDeals] - [TC Property Current Stage (Seq: 1)] - [Actual Property Costs (Seq: 1)] Demolition - Both]&gt;</t>
        </r>
      </text>
    </comment>
    <comment ref="C346" authorId="0" shapeId="0" xr:uid="{1FD4444E-DA96-4DBD-92D5-4765B27E8631}">
      <text>
        <r>
          <rPr>
            <b/>
            <sz val="9"/>
            <color indexed="81"/>
            <rFont val="Tahoma"/>
            <family val="2"/>
          </rPr>
          <t>&lt;[[TCDeals] - [TC Property Current Stage (Seq: 1)] - [Actual Property Costs (Seq: 1)] Site Work - Both]&gt;</t>
        </r>
      </text>
    </comment>
    <comment ref="C347" authorId="0" shapeId="0" xr:uid="{8C967E98-DD22-434B-8FF2-F89679E9E6FA}">
      <text>
        <r>
          <rPr>
            <b/>
            <sz val="9"/>
            <color indexed="81"/>
            <rFont val="Tahoma"/>
            <family val="2"/>
          </rPr>
          <t>&lt;[[TCDeals] - [TC Property Current Stage (Seq: 1)] - [Actual Property Costs (Seq: 1)] Off Site Improvements - Both]&gt;</t>
        </r>
      </text>
    </comment>
    <comment ref="C348" authorId="0" shapeId="0" xr:uid="{521C41AE-4AF6-4A47-A9AF-EA483483967B}">
      <text>
        <r>
          <rPr>
            <b/>
            <sz val="9"/>
            <color indexed="81"/>
            <rFont val="Tahoma"/>
            <family val="2"/>
          </rPr>
          <t>&lt;[[TCDeals] - [TC Property Current Stage (Seq: 1)] - [Actual Property Costs (Seq: 1)] Unit Structures New - Both]&gt;</t>
        </r>
      </text>
    </comment>
    <comment ref="C349" authorId="0" shapeId="0" xr:uid="{A11E2D24-6B3D-48CD-B737-0B39A0F8AD9D}">
      <text>
        <r>
          <rPr>
            <b/>
            <sz val="9"/>
            <color indexed="81"/>
            <rFont val="Tahoma"/>
            <family val="2"/>
          </rPr>
          <t>&lt;[[TCDeals] - [TC Property Current Stage (Seq: 1)] - [Actual Property Costs (Seq: 1)] Unit Structures Rehab - Both]&gt;</t>
        </r>
      </text>
    </comment>
    <comment ref="C350" authorId="0" shapeId="0" xr:uid="{DF7A5204-0123-4921-BD43-2A78A35ED8DA}">
      <text>
        <r>
          <rPr>
            <b/>
            <sz val="9"/>
            <color indexed="81"/>
            <rFont val="Tahoma"/>
            <family val="2"/>
          </rPr>
          <t>&lt;[[TCDeals] - [TC Property Current Stage (Seq: 1)] - [Actual Property Costs (Seq: 1)] Accessory Buildings - Both]&gt;</t>
        </r>
      </text>
    </comment>
    <comment ref="C351" authorId="0" shapeId="0" xr:uid="{7E7F7A20-EA1B-49D8-A0D9-744725D981A7}">
      <text>
        <r>
          <rPr>
            <b/>
            <sz val="9"/>
            <color indexed="81"/>
            <rFont val="Tahoma"/>
            <family val="2"/>
          </rPr>
          <t>&lt;[[TCDeals] - [TC Property Current Stage (Seq: 1)] - [Actual Property Costs (Seq: 1)] Geothermal - Both]&gt;</t>
        </r>
      </text>
    </comment>
    <comment ref="C352" authorId="0" shapeId="0" xr:uid="{2AE16294-C99E-4BD2-ADBE-F35D4B8A94B6}">
      <text>
        <r>
          <rPr>
            <b/>
            <sz val="9"/>
            <color indexed="81"/>
            <rFont val="Tahoma"/>
            <family val="2"/>
          </rPr>
          <t>&lt;[[TCDeals] - [TC Property Current Stage (Seq: 1)] - [Actual Property Costs (Seq: 1)] General Requirements - Both]&gt;</t>
        </r>
      </text>
    </comment>
    <comment ref="C353" authorId="0" shapeId="0" xr:uid="{8658C90B-32BB-4D2D-A106-43B97DCD2BB6}">
      <text>
        <r>
          <rPr>
            <b/>
            <sz val="9"/>
            <color indexed="81"/>
            <rFont val="Tahoma"/>
            <family val="2"/>
          </rPr>
          <t>&lt;[[TCDeals] - [TC Property Current Stage (Seq: 1)] - [Actual Property Costs (Seq: 1)] Builders Overhead - Both]&gt;</t>
        </r>
      </text>
    </comment>
    <comment ref="C354" authorId="0" shapeId="0" xr:uid="{1603124C-2B32-40D1-AE98-A88FBB3044F6}">
      <text>
        <r>
          <rPr>
            <b/>
            <sz val="9"/>
            <color indexed="81"/>
            <rFont val="Tahoma"/>
            <family val="2"/>
          </rPr>
          <t>&lt;[[TCDeals] - [TC Property Current Stage (Seq: 1)] - [Actual Property Costs (Seq: 1)] Builders Profit - Both]&gt;</t>
        </r>
      </text>
    </comment>
    <comment ref="C355" authorId="0" shapeId="0" xr:uid="{7329F9DA-0E29-4C56-BC94-EE6F5123D78F}">
      <text>
        <r>
          <rPr>
            <b/>
            <sz val="9"/>
            <color indexed="81"/>
            <rFont val="Tahoma"/>
            <family val="2"/>
          </rPr>
          <t>&lt;[[TCDeals] - [TC Property Current Stage (Seq: 1)] - [Actual Property Costs (Seq: 1)] Other Contingency Total - Both]&gt;</t>
        </r>
      </text>
    </comment>
    <comment ref="C356" authorId="0" shapeId="0" xr:uid="{F3EE90AC-834D-48D3-9110-F562630D520F}">
      <text>
        <r>
          <rPr>
            <b/>
            <sz val="9"/>
            <color indexed="81"/>
            <rFont val="Tahoma"/>
            <family val="2"/>
          </rPr>
          <t>&lt;[[TCDeals] - [TC Property Current Stage (Seq: 1)] - [Property Points (Seq: 1)] Owner Hard Cost Contingency - Both]&gt;</t>
        </r>
      </text>
    </comment>
    <comment ref="C357" authorId="0" shapeId="0" xr:uid="{AD7C58E0-FD4D-405D-8DA1-460CB3162161}">
      <text>
        <r>
          <rPr>
            <b/>
            <sz val="9"/>
            <color indexed="81"/>
            <rFont val="Tahoma"/>
            <family val="2"/>
          </rPr>
          <t>&lt;[[TCDeals] - [TC Property Current Stage (Seq: 1)] - [Actual Property Costs (Seq: 1)] Special Equipment - Both]&gt;</t>
        </r>
      </text>
    </comment>
    <comment ref="C358" authorId="0" shapeId="0" xr:uid="{920539F1-5819-42ED-91D7-50102783C024}">
      <text>
        <r>
          <rPr>
            <b/>
            <sz val="9"/>
            <color indexed="81"/>
            <rFont val="Tahoma"/>
            <family val="2"/>
          </rPr>
          <t>&lt;[[TCDeals] - [TC Property Current Stage (Seq: 1)] - [Actual Property Costs (Seq: 1)] Building Permit - Both]&gt;</t>
        </r>
      </text>
    </comment>
    <comment ref="A359" authorId="0" shapeId="0" xr:uid="{3B142A66-1C7B-4E11-AA9A-F9EE2F615383}">
      <text>
        <r>
          <rPr>
            <b/>
            <sz val="9"/>
            <color indexed="81"/>
            <rFont val="Tahoma"/>
            <family val="2"/>
          </rPr>
          <t>&lt;[[TCDeals] - [TC Property Current Stage (Seq: 1)] - [Property Points (Seq: 1)] Rehab &amp; New Cost Other Comment - Both]&gt;</t>
        </r>
      </text>
    </comment>
    <comment ref="C359" authorId="0" shapeId="0" xr:uid="{E8BE2816-1681-4649-B20C-2DA04DA44668}">
      <text>
        <r>
          <rPr>
            <b/>
            <sz val="9"/>
            <color indexed="81"/>
            <rFont val="Tahoma"/>
            <family val="2"/>
          </rPr>
          <t>&lt;[[TCDeals] - [TC Property Current Stage (Seq: 1)] - [Property Points (Seq: 1)] Rehab &amp; New Other Cost 1 - Both]&gt;</t>
        </r>
      </text>
    </comment>
    <comment ref="A360" authorId="0" shapeId="0" xr:uid="{5FFC549B-E504-4D74-B672-12083EF209B7}">
      <text>
        <r>
          <rPr>
            <b/>
            <sz val="9"/>
            <color indexed="81"/>
            <rFont val="Tahoma"/>
            <family val="2"/>
          </rPr>
          <t>&lt;[[TCDeals] - [TC Property Current Stage (Seq: 1)] - [Property Points (Seq: 1)] Rehab &amp; New Cost Other 2 Comment - Both]&gt;</t>
        </r>
      </text>
    </comment>
    <comment ref="C360" authorId="0" shapeId="0" xr:uid="{FD78193F-D11F-4E50-A6DE-AB840E161ABB}">
      <text>
        <r>
          <rPr>
            <b/>
            <sz val="9"/>
            <color indexed="81"/>
            <rFont val="Tahoma"/>
            <family val="2"/>
          </rPr>
          <t>&lt;[[TCDeals] - [TC Property Current Stage (Seq: 1)] - [Property Points (Seq: 1)] Rehab &amp; New Other Cost 2 - Both]&gt;</t>
        </r>
      </text>
    </comment>
    <comment ref="A361" authorId="0" shapeId="0" xr:uid="{D1EB4359-CC70-484D-A505-A6099180EED2}">
      <text>
        <r>
          <rPr>
            <b/>
            <sz val="9"/>
            <color indexed="81"/>
            <rFont val="Tahoma"/>
            <family val="2"/>
          </rPr>
          <t>&lt;[[TCDeals] - [TC Property Current Stage (Seq: 1)] - [Property Points (Seq: 1)] Rehab &amp; New Cost Other 3 Comment - Both]&gt;</t>
        </r>
      </text>
    </comment>
    <comment ref="C361" authorId="0" shapeId="0" xr:uid="{862A0CEC-EF00-45C9-9092-52D2CC376FB3}">
      <text>
        <r>
          <rPr>
            <b/>
            <sz val="9"/>
            <color indexed="81"/>
            <rFont val="Tahoma"/>
            <family val="2"/>
          </rPr>
          <t>&lt;[[TCDeals] - [TC Property Current Stage (Seq: 1)] - [Property Points (Seq: 1)] Rehab &amp; New Other Cost 3 - Both]&gt;</t>
        </r>
      </text>
    </comment>
    <comment ref="C362" authorId="0" shapeId="0" xr:uid="{B78C403B-69E7-40B1-ADAE-C7D4BF5C1754}">
      <text>
        <r>
          <rPr>
            <b/>
            <sz val="9"/>
            <color indexed="81"/>
            <rFont val="Tahoma"/>
            <family val="2"/>
          </rPr>
          <t>&lt;[[TCDeals] - [TC Property Current Stage (Seq: 1)] - [Actual Property Costs (Seq: 1)] Arch Engin Design Fee - Both]&gt;</t>
        </r>
      </text>
    </comment>
    <comment ref="C363" authorId="0" shapeId="0" xr:uid="{55D04405-D86A-485F-8E6E-2BBF704ACA65}">
      <text>
        <r>
          <rPr>
            <b/>
            <sz val="9"/>
            <color indexed="81"/>
            <rFont val="Tahoma"/>
            <family val="2"/>
          </rPr>
          <t>&lt;[[TCDeals] - [TC Property Current Stage (Seq: 1)] - [Actual Property Costs (Seq: 1)] Arch Supervision Fee - Both]&gt;</t>
        </r>
      </text>
    </comment>
    <comment ref="C364" authorId="0" shapeId="0" xr:uid="{7A957F00-5041-4C84-AD17-3E763C3A476D}">
      <text>
        <r>
          <rPr>
            <b/>
            <sz val="9"/>
            <color indexed="81"/>
            <rFont val="Tahoma"/>
            <family val="2"/>
          </rPr>
          <t>&lt;[[TCDeals] - [TC Property Current Stage (Seq: 1)] - [Actual Property Costs (Seq: 1)] Lawns - Both]&gt;</t>
        </r>
      </text>
    </comment>
    <comment ref="C365" authorId="0" shapeId="0" xr:uid="{6F27E50D-3BE9-4D59-B8AC-6D9D9EA69BEB}">
      <text>
        <r>
          <rPr>
            <b/>
            <sz val="9"/>
            <color indexed="81"/>
            <rFont val="Tahoma"/>
            <family val="2"/>
          </rPr>
          <t>&lt;[[TCDeals] - [TC Property Current Stage (Seq: 1)] - [Actual Property Costs (Seq: 1)] Structure Mech Study - Both]&gt;</t>
        </r>
      </text>
    </comment>
    <comment ref="C366" authorId="0" shapeId="0" xr:uid="{14A04995-51B5-4900-9053-1EA8A1C7288F}">
      <text>
        <r>
          <rPr>
            <b/>
            <sz val="9"/>
            <color indexed="81"/>
            <rFont val="Tahoma"/>
            <family val="2"/>
          </rPr>
          <t>&lt;[[TCDeals] - [TC Property Current Stage (Seq: 1)] - [Actual Property Costs (Seq: 1)] Engineering - Both]&gt;</t>
        </r>
      </text>
    </comment>
    <comment ref="C367" authorId="0" shapeId="0" xr:uid="{16E8B710-E147-4D9F-9077-200798C7F9D4}">
      <text>
        <r>
          <rPr>
            <b/>
            <sz val="9"/>
            <color indexed="81"/>
            <rFont val="Tahoma"/>
            <family val="2"/>
          </rPr>
          <t>&lt;[[TCDeals] - [TC Property Current Stage (Seq: 1)] - [Property Points (Seq: 1)] Other Engineering - Both]&gt;</t>
        </r>
      </text>
    </comment>
    <comment ref="C368" authorId="0" shapeId="0" xr:uid="{34218A20-9915-49AA-A22E-4FFE8B839D54}">
      <text>
        <r>
          <rPr>
            <b/>
            <sz val="9"/>
            <color indexed="81"/>
            <rFont val="Tahoma"/>
            <family val="2"/>
          </rPr>
          <t>&lt;[[TCDeals] - [TC Property Current Stage (Seq: 1)] - [Property Points (Seq: 1)] Surveyor - Both]&gt;</t>
        </r>
      </text>
    </comment>
    <comment ref="C369" authorId="0" shapeId="0" xr:uid="{9F349418-E1C4-45AD-B7E3-3B9EB52597B1}">
      <text>
        <r>
          <rPr>
            <b/>
            <sz val="9"/>
            <color indexed="81"/>
            <rFont val="Tahoma"/>
            <family val="2"/>
          </rPr>
          <t>&lt;[[TCDeals] - [TC Property Current Stage (Seq: 1)] - [Actual Property Costs (Seq: 1)] Closing Legal Fees - Both]&gt;</t>
        </r>
      </text>
    </comment>
    <comment ref="C370" authorId="0" shapeId="0" xr:uid="{1007F042-E600-4C9E-A793-BE3680335941}">
      <text>
        <r>
          <rPr>
            <b/>
            <sz val="9"/>
            <color indexed="81"/>
            <rFont val="Tahoma"/>
            <family val="2"/>
          </rPr>
          <t>&lt;[[TCDeals] - [TC Property Current Stage (Seq: 1)] - [Property Points (Seq: 1)] Green Consultant - Both]&gt;</t>
        </r>
      </text>
    </comment>
    <comment ref="C371" authorId="0" shapeId="0" xr:uid="{A79CEDC8-6F57-4902-BA25-A000BB2F3BEA}">
      <text>
        <r>
          <rPr>
            <b/>
            <sz val="9"/>
            <color indexed="81"/>
            <rFont val="Tahoma"/>
            <family val="2"/>
          </rPr>
          <t>&lt;[[TCDeals] - [TC Property Current Stage (Seq: 1)] - [Property Points (Seq: 1)] Green Charrette - Both]&gt;</t>
        </r>
      </text>
    </comment>
    <comment ref="C372" authorId="0" shapeId="0" xr:uid="{572F2064-B466-4180-A377-C1D1B8EB4A67}">
      <text>
        <r>
          <rPr>
            <b/>
            <sz val="9"/>
            <color indexed="81"/>
            <rFont val="Tahoma"/>
            <family val="2"/>
          </rPr>
          <t>&lt;[[TCDeals] - [TC Property Current Stage (Seq: 1)] - [Property Points (Seq: 1)] Construction Accounting - Both]&gt;</t>
        </r>
      </text>
    </comment>
    <comment ref="A373" authorId="0" shapeId="0" xr:uid="{8A533632-A2E4-4E49-BB68-834DB7B226C5}">
      <text>
        <r>
          <rPr>
            <b/>
            <sz val="9"/>
            <color indexed="81"/>
            <rFont val="Tahoma"/>
            <family val="2"/>
          </rPr>
          <t>&lt;[[TCDeals] - [TC Property Current Stage (Seq: 1)] - [Property Points (Seq: 1)] Professional Fees Other Comment - Both]&gt;</t>
        </r>
      </text>
    </comment>
    <comment ref="C373" authorId="0" shapeId="0" xr:uid="{2C37A486-452B-42B4-968F-F86D3BC1B607}">
      <text>
        <r>
          <rPr>
            <b/>
            <sz val="9"/>
            <color indexed="81"/>
            <rFont val="Tahoma"/>
            <family val="2"/>
          </rPr>
          <t>&lt;[[TCDeals] - [TC Property Current Stage (Seq: 1)] - [Property Points (Seq: 1)] Professional Fees Other 1 - Both]&gt;</t>
        </r>
      </text>
    </comment>
    <comment ref="A374" authorId="0" shapeId="0" xr:uid="{8B1DC804-C678-4747-BFF4-8031807C0DD3}">
      <text>
        <r>
          <rPr>
            <b/>
            <sz val="9"/>
            <color indexed="81"/>
            <rFont val="Tahoma"/>
            <family val="2"/>
          </rPr>
          <t>&lt;[[TCDeals] - [TC Property Current Stage (Seq: 1)] - [Property Points (Seq: 1)] Professional Fees Other 2 Comment - Both]&gt;</t>
        </r>
      </text>
    </comment>
    <comment ref="C374" authorId="0" shapeId="0" xr:uid="{3D06CA74-052F-45AB-8454-3C655098CEEF}">
      <text>
        <r>
          <rPr>
            <b/>
            <sz val="9"/>
            <color indexed="81"/>
            <rFont val="Tahoma"/>
            <family val="2"/>
          </rPr>
          <t>&lt;[[TCDeals] - [TC Property Current Stage (Seq: 1)] - [Property Points (Seq: 1)] Professional Fees Other 2 - Both]&gt;</t>
        </r>
      </text>
    </comment>
    <comment ref="A375" authorId="0" shapeId="0" xr:uid="{BDF4A705-0CE0-45A3-B2DF-1A93104EA133}">
      <text>
        <r>
          <rPr>
            <b/>
            <sz val="9"/>
            <color indexed="81"/>
            <rFont val="Tahoma"/>
            <family val="2"/>
          </rPr>
          <t>&lt;[[TCDeals] - [TC Property Current Stage (Seq: 1)] - [Property Points (Seq: 1)] Professional Fees Other 3 Comment - Both]&gt;</t>
        </r>
      </text>
    </comment>
    <comment ref="C375" authorId="0" shapeId="0" xr:uid="{6B220424-0688-4C8F-908F-FA33A90DA95F}">
      <text>
        <r>
          <rPr>
            <b/>
            <sz val="9"/>
            <color indexed="81"/>
            <rFont val="Tahoma"/>
            <family val="2"/>
          </rPr>
          <t>&lt;[[TCDeals] - [TC Property Current Stage (Seq: 1)] - [Property Points (Seq: 1)] Professional Fees Other 3 - Both]&gt;</t>
        </r>
      </text>
    </comment>
    <comment ref="C376" authorId="0" shapeId="0" xr:uid="{10A142DB-7A32-4D12-81B9-39C454ACA1CB}">
      <text>
        <r>
          <rPr>
            <b/>
            <sz val="9"/>
            <color indexed="81"/>
            <rFont val="Tahoma"/>
            <family val="2"/>
          </rPr>
          <t>&lt;[[TCDeals] - [TC Property Current Stage (Seq: 1)] - [Actual Property Costs (Seq: 1)] Insurance Construction - Both]&gt;</t>
        </r>
      </text>
    </comment>
    <comment ref="C377" authorId="0" shapeId="0" xr:uid="{05B04E91-B448-4E50-BDD7-C9D01AAF8726}">
      <text>
        <r>
          <rPr>
            <b/>
            <sz val="9"/>
            <color indexed="81"/>
            <rFont val="Tahoma"/>
            <family val="2"/>
          </rPr>
          <t>&lt;[[TCDeals] - [TC Property Current Stage (Seq: 1)] - [Property Points (Seq: 1)] Builder's Risk Insurance - Both]&gt;</t>
        </r>
      </text>
    </comment>
    <comment ref="C378" authorId="0" shapeId="0" xr:uid="{51AC5CF1-85D8-4FC1-9BB7-36F94F0C4DDD}">
      <text>
        <r>
          <rPr>
            <b/>
            <sz val="9"/>
            <color indexed="81"/>
            <rFont val="Tahoma"/>
            <family val="2"/>
          </rPr>
          <t>&lt;[[TCDeals] - [TC Property Current Stage (Seq: 1)] - [Actual Property Costs (Seq: 1)] Bonding Fee - Both]&gt;</t>
        </r>
      </text>
    </comment>
    <comment ref="C379" authorId="0" shapeId="0" xr:uid="{705F4BD5-7795-411E-BFC5-4847CFB74D6D}">
      <text>
        <r>
          <rPr>
            <b/>
            <sz val="9"/>
            <color indexed="81"/>
            <rFont val="Tahoma"/>
            <family val="2"/>
          </rPr>
          <t>&lt;[[TCDeals] - [TC Property Current Stage (Seq: 1)] - [Actual Property Costs (Seq: 1)] Constr Interest - Both]&gt;</t>
        </r>
      </text>
    </comment>
    <comment ref="C380" authorId="0" shapeId="0" xr:uid="{D84143BB-9327-46CD-B90A-DE36F955F6F4}">
      <text>
        <r>
          <rPr>
            <b/>
            <sz val="9"/>
            <color indexed="81"/>
            <rFont val="Tahoma"/>
            <family val="2"/>
          </rPr>
          <t>&lt;[[TCDeals] - [TC Property Current Stage (Seq: 1)] - [Actual Property Costs (Seq: 1)] Constr Loan Orig Fee - Both]&gt;</t>
        </r>
      </text>
    </comment>
    <comment ref="C381" authorId="0" shapeId="0" xr:uid="{BBD6E304-3286-4100-9C47-BE7C3ABC93C5}">
      <text>
        <r>
          <rPr>
            <b/>
            <sz val="9"/>
            <color indexed="81"/>
            <rFont val="Tahoma"/>
            <family val="2"/>
          </rPr>
          <t>&lt;[[TCDeals] - [TC Property Current Stage (Seq: 1)] - [Actual Property Costs (Seq: 1)] Tap Fees - Both]&gt;</t>
        </r>
      </text>
    </comment>
    <comment ref="C382" authorId="0" shapeId="0" xr:uid="{6423E492-23F4-4EE5-9359-5F813F9721DB}">
      <text>
        <r>
          <rPr>
            <b/>
            <sz val="9"/>
            <color indexed="81"/>
            <rFont val="Tahoma"/>
            <family val="2"/>
          </rPr>
          <t>&lt;[[TCDeals] - [TC Property Current Stage (Seq: 1)] - [Property Points (Seq: 1)] Impact fees - Both]&gt;</t>
        </r>
      </text>
    </comment>
    <comment ref="C383" authorId="0" shapeId="0" xr:uid="{1DEA7C81-950D-4CDD-B4C2-920246584036}">
      <text>
        <r>
          <rPr>
            <b/>
            <sz val="9"/>
            <color indexed="81"/>
            <rFont val="Tahoma"/>
            <family val="2"/>
          </rPr>
          <t>&lt;[[TCDeals] - [TC Property Current Stage (Seq: 1)] - [Actual Property Costs (Seq: 1)] Other Construction1 - Both]&gt;</t>
        </r>
      </text>
    </comment>
    <comment ref="C384" authorId="0" shapeId="0" xr:uid="{7D674F97-39D3-4E13-B5BB-182B013D8E5C}">
      <text>
        <r>
          <rPr>
            <b/>
            <sz val="9"/>
            <color indexed="81"/>
            <rFont val="Tahoma"/>
            <family val="2"/>
          </rPr>
          <t>&lt;[[TCDeals] - [TC Property Current Stage (Seq: 1)] - [Actual Property Costs (Seq: 1)] Other Construction2 - Both]&gt;</t>
        </r>
      </text>
    </comment>
    <comment ref="C385" authorId="0" shapeId="0" xr:uid="{E23A31A8-F10B-4C51-8371-B00D7116362C}">
      <text>
        <r>
          <rPr>
            <b/>
            <sz val="9"/>
            <color indexed="81"/>
            <rFont val="Tahoma"/>
            <family val="2"/>
          </rPr>
          <t>&lt;[[TCDeals] - [TC Property Current Stage (Seq: 1)] - [Property Points (Seq: 1)] 3rd Party/Bank Inspections/Admin - Both]&gt;</t>
        </r>
      </text>
    </comment>
    <comment ref="C386" authorId="0" shapeId="0" xr:uid="{8F4E9FD2-68B9-4291-B349-EB8DE50AE791}">
      <text>
        <r>
          <rPr>
            <b/>
            <sz val="9"/>
            <color indexed="81"/>
            <rFont val="Tahoma"/>
            <family val="2"/>
          </rPr>
          <t>&lt;[[TCDeals] - [TC Property Current Stage (Seq: 1)] - [Property Points (Seq: 1)] Title &amp; Recording - Both]&gt;</t>
        </r>
      </text>
    </comment>
    <comment ref="C387" authorId="0" shapeId="0" xr:uid="{3D5A5A91-59F7-4DB3-ACC9-46600B26807F}">
      <text>
        <r>
          <rPr>
            <b/>
            <sz val="9"/>
            <color indexed="81"/>
            <rFont val="Tahoma"/>
            <family val="2"/>
          </rPr>
          <t>&lt;[[TCDeals] - [TC Property Current Stage (Seq: 1)] - [Actual Property Costs (Seq: 1)] Other Perm Loan Fees - Both]&gt;</t>
        </r>
      </text>
    </comment>
    <comment ref="C388" authorId="0" shapeId="0" xr:uid="{0EE2A583-9164-4EF2-B764-B6EB27057D1B}">
      <text>
        <r>
          <rPr>
            <b/>
            <sz val="9"/>
            <color indexed="81"/>
            <rFont val="Tahoma"/>
            <family val="2"/>
          </rPr>
          <t>&lt;[[TCDeals] - [TC Property Current Stage (Seq: 1)] - [Actual Property Costs (Seq: 1)] Taxes Construction - Both]&gt;</t>
        </r>
      </text>
    </comment>
    <comment ref="C389" authorId="0" shapeId="0" xr:uid="{4D362601-63E5-4F92-BBAB-0780D7259F3E}">
      <text>
        <r>
          <rPr>
            <b/>
            <sz val="9"/>
            <color indexed="81"/>
            <rFont val="Tahoma"/>
            <family val="2"/>
          </rPr>
          <t>&lt;[[TCDeals] - [TC Property Current Stage (Seq: 1)] - [Property Points (Seq: 1)] Bridge Loan - Both]&gt;</t>
        </r>
      </text>
    </comment>
    <comment ref="C390" authorId="2" shapeId="0" xr:uid="{CEB532EB-FB75-4C96-A487-89899AC2E468}">
      <text>
        <r>
          <rPr>
            <b/>
            <sz val="9"/>
            <color indexed="81"/>
            <rFont val="Tahoma"/>
            <family val="2"/>
          </rPr>
          <t>&lt;[[TCDeals] - [TC Property Current Stage (Seq: 1)] - [Property Points (Seq: 1)] Bond Issuance Costs amortized during construction - Both]&gt;</t>
        </r>
      </text>
    </comment>
    <comment ref="C391" authorId="0" shapeId="0" xr:uid="{93B07E0B-B9F3-4358-B270-E1C803E84115}">
      <text>
        <r>
          <rPr>
            <b/>
            <sz val="9"/>
            <color indexed="81"/>
            <rFont val="Tahoma"/>
            <family val="2"/>
          </rPr>
          <t>&lt;[[TCDeals] - [TC Property Current Stage (Seq: 1)] - [Actual Property Costs (Seq: 1)] Other Construction3 - Both]&gt;</t>
        </r>
      </text>
    </comment>
    <comment ref="A392" authorId="0" shapeId="0" xr:uid="{46FBFC06-C8A5-442A-A2E1-A9F072245444}">
      <text>
        <r>
          <rPr>
            <b/>
            <sz val="9"/>
            <color indexed="81"/>
            <rFont val="Tahoma"/>
            <family val="2"/>
          </rPr>
          <t>&lt;[[TCDeals] - [TC Property Current Stage (Seq: 1)] - [Property Points (Seq: 1)] Construction Interim Cost Other 1 Comment - Both]&gt;</t>
        </r>
      </text>
    </comment>
    <comment ref="C392" authorId="0" shapeId="0" xr:uid="{D22386BE-A183-41EF-817E-B20CD27585AE}">
      <text>
        <r>
          <rPr>
            <b/>
            <sz val="9"/>
            <color indexed="81"/>
            <rFont val="Tahoma"/>
            <family val="2"/>
          </rPr>
          <t>&lt;[[TCDeals] - [TC Property Current Stage (Seq: 1)] - [Property Points (Seq: 1)] Construction Interim Cost Other 1 - Both]&gt;</t>
        </r>
      </text>
    </comment>
    <comment ref="A393" authorId="0" shapeId="0" xr:uid="{0E5E4B94-635B-4836-84A0-5200C03D212E}">
      <text>
        <r>
          <rPr>
            <b/>
            <sz val="9"/>
            <color indexed="81"/>
            <rFont val="Tahoma"/>
            <family val="2"/>
          </rPr>
          <t>&lt;[[TCDeals] - [TC Property Current Stage (Seq: 1)] - [Property Points (Seq: 1)] Construction Interim Cost Other 2 Comment - Both]&gt;</t>
        </r>
      </text>
    </comment>
    <comment ref="C393" authorId="0" shapeId="0" xr:uid="{7F3DAB63-C4D2-42A4-ADBD-B21E7F2A1673}">
      <text>
        <r>
          <rPr>
            <b/>
            <sz val="9"/>
            <color indexed="81"/>
            <rFont val="Tahoma"/>
            <family val="2"/>
          </rPr>
          <t>&lt;[[TCDeals] - [TC Property Current Stage (Seq: 1)] - [Property Points (Seq: 1)] Construction Interim Cost Other 2 - Both]&gt;</t>
        </r>
      </text>
    </comment>
    <comment ref="C394" authorId="0" shapeId="0" xr:uid="{AA27C44A-0996-4E7C-8BB3-4789154A257C}">
      <text>
        <r>
          <rPr>
            <b/>
            <sz val="9"/>
            <color indexed="81"/>
            <rFont val="Tahoma"/>
            <family val="2"/>
          </rPr>
          <t>&lt;[[TCDeals] - [TC Property Current Stage (Seq: 1)] - [Property Points (Seq: 1)] Bond Premium - Both]&gt;</t>
        </r>
      </text>
    </comment>
    <comment ref="C395" authorId="0" shapeId="0" xr:uid="{70CE71DB-71DE-407A-8FF8-9F757E67E1A9}">
      <text>
        <r>
          <rPr>
            <b/>
            <sz val="9"/>
            <color indexed="81"/>
            <rFont val="Tahoma"/>
            <family val="2"/>
          </rPr>
          <t>&lt;[[TCDeals] - [TC Property Current Stage (Seq: 1)] - [Property Points (Seq: 1)] Bond Issue 30-day lag reserve - Both]&gt;</t>
        </r>
      </text>
    </comment>
    <comment ref="C396" authorId="0" shapeId="0" xr:uid="{70F35218-B933-46AB-B73E-AA204ECAE8F9}">
      <text>
        <r>
          <rPr>
            <b/>
            <sz val="9"/>
            <color indexed="81"/>
            <rFont val="Tahoma"/>
            <family val="2"/>
          </rPr>
          <t>&lt;[[TCDeals] - [TC Property Current Stage (Seq: 1)] - [Property Points (Seq: 1)] Bond Cost of Issuance - Both]&gt;</t>
        </r>
      </text>
    </comment>
    <comment ref="C397" authorId="0" shapeId="0" xr:uid="{91C776B2-6C8A-4C7B-9E2E-D5B6C05CD729}">
      <text>
        <r>
          <rPr>
            <b/>
            <sz val="9"/>
            <color indexed="81"/>
            <rFont val="Tahoma"/>
            <family val="2"/>
          </rPr>
          <t>&lt;[[TCDeals] - [TC Property Current Stage (Seq: 1)] - [Property Points (Seq: 1)] Discount Points - Both]&gt;</t>
        </r>
      </text>
    </comment>
    <comment ref="C398" authorId="0" shapeId="0" xr:uid="{A9011E0E-6E1D-47EB-B570-4C7B43485D22}">
      <text>
        <r>
          <rPr>
            <b/>
            <sz val="9"/>
            <color indexed="81"/>
            <rFont val="Tahoma"/>
            <family val="2"/>
          </rPr>
          <t>&lt;[[TCDeals] - [TC Property Current Stage (Seq: 1)] - [Actual Property Costs (Seq: 1)] Perm Loan Fee - Both]&gt;</t>
        </r>
      </text>
    </comment>
    <comment ref="C399" authorId="0" shapeId="0" xr:uid="{0CB8E67C-97E2-429E-976A-85887D25BE6D}">
      <text>
        <r>
          <rPr>
            <b/>
            <sz val="9"/>
            <color indexed="81"/>
            <rFont val="Tahoma"/>
            <family val="2"/>
          </rPr>
          <t>&lt;[[TCDeals] - [TC Property Current Stage (Seq: 1)] - [Actual Property Costs (Seq: 1)] Credit Enhancement - Both]&gt;</t>
        </r>
      </text>
    </comment>
    <comment ref="C400" authorId="0" shapeId="0" xr:uid="{E7FE311D-B758-4D4F-BC66-DBCA4F310D3A}">
      <text>
        <r>
          <rPr>
            <b/>
            <sz val="9"/>
            <color indexed="81"/>
            <rFont val="Tahoma"/>
            <family val="2"/>
          </rPr>
          <t>&lt;[[TCDeals] - [TC Property Current Stage (Seq: 1)] - [Actual Property Costs (Seq: 1)] Title And Recording - Both]&gt;</t>
        </r>
      </text>
    </comment>
    <comment ref="C401" authorId="0" shapeId="0" xr:uid="{EF62DCD0-0E19-4917-859F-493980CE6725}">
      <text>
        <r>
          <rPr>
            <b/>
            <sz val="9"/>
            <color indexed="81"/>
            <rFont val="Tahoma"/>
            <family val="2"/>
          </rPr>
          <t>&lt;[[TCDeals] - [TC Property Current Stage (Seq: 1)] - [Property Points (Seq: 1)] Legal Fees - Both]&gt;</t>
        </r>
      </text>
    </comment>
    <comment ref="C402" authorId="0" shapeId="0" xr:uid="{22FF3C41-EF8A-43E9-9367-6A58537056B0}">
      <text>
        <r>
          <rPr>
            <b/>
            <sz val="9"/>
            <color indexed="81"/>
            <rFont val="Tahoma"/>
            <family val="2"/>
          </rPr>
          <t>&lt;[[TCDeals] - [TC Property Current Stage (Seq: 1)] - [Property Points (Seq: 1)] Prepaid MIP - Both]&gt;</t>
        </r>
      </text>
    </comment>
    <comment ref="C403" authorId="0" shapeId="0" xr:uid="{9FC90BC1-E21F-4FC9-A0FF-7DB03D946C72}">
      <text>
        <r>
          <rPr>
            <b/>
            <sz val="9"/>
            <color indexed="81"/>
            <rFont val="Tahoma"/>
            <family val="2"/>
          </rPr>
          <t>&lt;[[TCDeals] - [TC Property Current Stage (Seq: 1)] - [Property Points (Seq: 1)] Forward Rate Lock - Both]&gt;</t>
        </r>
      </text>
    </comment>
    <comment ref="C404" authorId="0" shapeId="0" xr:uid="{1357EBC7-C1A9-4D90-A71A-311296B79A3D}">
      <text>
        <r>
          <rPr>
            <b/>
            <sz val="9"/>
            <color indexed="81"/>
            <rFont val="Tahoma"/>
            <family val="2"/>
          </rPr>
          <t>&lt;[[TCDeals] - [TC Property Current Stage (Seq: 1)] - [Property Points (Seq: 1)] Conversion Fee - Both]&gt;</t>
        </r>
      </text>
    </comment>
    <comment ref="A405" authorId="0" shapeId="0" xr:uid="{D05B5404-E60E-4930-A7B9-56803EA89BCB}">
      <text>
        <r>
          <rPr>
            <b/>
            <sz val="9"/>
            <color indexed="81"/>
            <rFont val="Tahoma"/>
            <family val="2"/>
          </rPr>
          <t>&lt;[[TCDeals] - [TC Property Current Stage (Seq: 1)] - [Property Points (Seq: 1)] Permanent Financing Other Cost 1 Comment - Both]&gt;</t>
        </r>
      </text>
    </comment>
    <comment ref="C405" authorId="0" shapeId="0" xr:uid="{6AC66F15-E8E1-4B7B-9C93-04069379C910}">
      <text>
        <r>
          <rPr>
            <b/>
            <sz val="9"/>
            <color indexed="81"/>
            <rFont val="Tahoma"/>
            <family val="2"/>
          </rPr>
          <t>&lt;[[TCDeals] - [TC Property Current Stage (Seq: 1)] - [Property Points (Seq: 1)] Permanent Financing Other Cost 1 - Both]&gt;</t>
        </r>
      </text>
    </comment>
    <comment ref="A406" authorId="0" shapeId="0" xr:uid="{1902F908-9874-4F53-835E-A5651BF8A84A}">
      <text>
        <r>
          <rPr>
            <b/>
            <sz val="9"/>
            <color indexed="81"/>
            <rFont val="Tahoma"/>
            <family val="2"/>
          </rPr>
          <t>&lt;[[TCDeals] - [TC Property Current Stage (Seq: 1)] - [Property Points (Seq: 1)] Permanent Financing Other Cost 2 Comment - Both]&gt;</t>
        </r>
      </text>
    </comment>
    <comment ref="C406" authorId="0" shapeId="0" xr:uid="{F019B8CD-B739-4AA9-9F3D-36A07B31CE3A}">
      <text>
        <r>
          <rPr>
            <b/>
            <sz val="9"/>
            <color indexed="81"/>
            <rFont val="Tahoma"/>
            <family val="2"/>
          </rPr>
          <t>&lt;[[TCDeals] - [TC Property Current Stage (Seq: 1)] - [Property Points (Seq: 1)] Permanent Financing Other Cost 2 - Both]&gt;</t>
        </r>
      </text>
    </comment>
    <comment ref="A407" authorId="0" shapeId="0" xr:uid="{339F9223-CB5A-4638-9A8A-159DBA5585E1}">
      <text>
        <r>
          <rPr>
            <b/>
            <sz val="9"/>
            <color indexed="81"/>
            <rFont val="Tahoma"/>
            <family val="2"/>
          </rPr>
          <t>&lt;[[TCDeals] - [TC Property Current Stage (Seq: 1)] - [Property Points (Seq: 1)] Permanent Financing Other Cost 3 Comment - Both]&gt;</t>
        </r>
      </text>
    </comment>
    <comment ref="C407" authorId="0" shapeId="0" xr:uid="{966A21D9-2CE8-4C27-8EB7-7ADDACB0F392}">
      <text>
        <r>
          <rPr>
            <b/>
            <sz val="9"/>
            <color indexed="81"/>
            <rFont val="Tahoma"/>
            <family val="2"/>
          </rPr>
          <t>&lt;[[TCDeals] - [TC Property Current Stage (Seq: 1)] - [Property Points (Seq: 1)] Permanent Financing Other Cost 3 - Both]&gt;</t>
        </r>
      </text>
    </comment>
    <comment ref="C408" authorId="0" shapeId="0" xr:uid="{4745F769-046D-4C48-9A62-4F43604C3CFA}">
      <text>
        <r>
          <rPr>
            <b/>
            <sz val="9"/>
            <color indexed="81"/>
            <rFont val="Tahoma"/>
            <family val="2"/>
          </rPr>
          <t>&lt;[[TCDeals] - [TC Property Current Stage (Seq: 1)] - [Property Points (Seq: 1)] Marketing/Leasing Costs - Both]&gt;</t>
        </r>
      </text>
    </comment>
    <comment ref="C409" authorId="0" shapeId="0" xr:uid="{58036896-ADAA-472A-A762-5A13B75C8C5C}">
      <text>
        <r>
          <rPr>
            <b/>
            <sz val="9"/>
            <color indexed="81"/>
            <rFont val="Tahoma"/>
            <family val="2"/>
          </rPr>
          <t>&lt;[[TCDeals] - [TC Property Current Stage (Seq: 1)] - [Property Points (Seq: 1)] Cost Estimating/Capital Needs Assessment - Both]&gt;</t>
        </r>
      </text>
    </comment>
    <comment ref="C410" authorId="0" shapeId="0" xr:uid="{792CF891-A968-42D2-8F51-D2DC5E67CE8D}">
      <text>
        <r>
          <rPr>
            <b/>
            <sz val="9"/>
            <color indexed="81"/>
            <rFont val="Tahoma"/>
            <family val="2"/>
          </rPr>
          <t>&lt;[[TCDeals] - [TC Property Current Stage (Seq: 1)] - [Actual Property Costs (Seq: 1)] Soil Borings - Both]&gt;</t>
        </r>
      </text>
    </comment>
    <comment ref="C411" authorId="0" shapeId="0" xr:uid="{2755F3F0-6099-47A9-99DD-F10E69FBA2F7}">
      <text>
        <r>
          <rPr>
            <b/>
            <sz val="9"/>
            <color indexed="81"/>
            <rFont val="Tahoma"/>
            <family val="2"/>
          </rPr>
          <t>&lt;[[TCDeals] - [TC Property Current Stage (Seq: 1)] - [Actual Property Costs (Seq: 1)] Appraisal Fee - Both]&gt;</t>
        </r>
      </text>
    </comment>
    <comment ref="C412" authorId="0" shapeId="0" xr:uid="{CE20041E-BFA5-45C0-9E16-7877A840737A}">
      <text>
        <r>
          <rPr>
            <b/>
            <sz val="9"/>
            <color indexed="81"/>
            <rFont val="Tahoma"/>
            <family val="2"/>
          </rPr>
          <t>&lt;[[TCDeals] - [TC Property Current Stage (Seq: 1)] - [Actual Property Costs (Seq: 1)] Market Study - Both]&gt;</t>
        </r>
      </text>
    </comment>
    <comment ref="C413" authorId="0" shapeId="0" xr:uid="{FFE0F954-8F18-45EE-9336-B7DBC6A65C9B}">
      <text>
        <r>
          <rPr>
            <b/>
            <sz val="9"/>
            <color indexed="81"/>
            <rFont val="Tahoma"/>
            <family val="2"/>
          </rPr>
          <t>&lt;[[TCDeals] - [TC Property Current Stage (Seq: 1)] - [Actual Property Costs (Seq: 1)] Enviro Study - Both]&gt;</t>
        </r>
      </text>
    </comment>
    <comment ref="C414" authorId="0" shapeId="0" xr:uid="{5A6FDFAF-F064-4187-B3FC-C81F94D7EDA9}">
      <text>
        <r>
          <rPr>
            <b/>
            <sz val="9"/>
            <color indexed="81"/>
            <rFont val="Tahoma"/>
            <family val="2"/>
          </rPr>
          <t>&lt;[[TCDeals] - [TC Property Current Stage (Seq: 1)] - [Property Points (Seq: 1)] Other Studies (traffic, wetlands, etc.) - Both]&gt;</t>
        </r>
      </text>
    </comment>
    <comment ref="C415" authorId="0" shapeId="0" xr:uid="{86AA9410-2CA4-4BCD-ACFF-545B4FC1F3AE}">
      <text>
        <r>
          <rPr>
            <b/>
            <sz val="9"/>
            <color indexed="81"/>
            <rFont val="Tahoma"/>
            <family val="2"/>
          </rPr>
          <t>&lt;[[TCDeals] - [TC Property Current Stage (Seq: 1)] - [Actual Property Costs (Seq: 1)] Tax Credit Fee - Both]&gt;</t>
        </r>
      </text>
    </comment>
    <comment ref="C416" authorId="0" shapeId="0" xr:uid="{4FD3F6B1-6063-42AB-8D52-465581C5034D}">
      <text>
        <r>
          <rPr>
            <b/>
            <sz val="9"/>
            <color indexed="81"/>
            <rFont val="Tahoma"/>
            <family val="2"/>
          </rPr>
          <t>&lt;[[TCDeals] - [TC Property Current Stage (Seq: 1)] - [Property Points (Seq: 1)] Compliance Fees - Both]&gt;</t>
        </r>
      </text>
    </comment>
    <comment ref="C417" authorId="0" shapeId="0" xr:uid="{CAFAAAAC-8994-4670-821B-37D00F12D134}">
      <text>
        <r>
          <rPr>
            <b/>
            <sz val="9"/>
            <color indexed="81"/>
            <rFont val="Tahoma"/>
            <family val="2"/>
          </rPr>
          <t>&lt;[[TCDeals] - [TC Property Current Stage (Seq: 1)] - [Actual Property Costs (Seq: 1)] Cost Cert Fee - Both]&gt;</t>
        </r>
      </text>
    </comment>
    <comment ref="C418" authorId="0" shapeId="0" xr:uid="{D47873CC-EE69-4119-A854-D889B3CB74DC}">
      <text>
        <r>
          <rPr>
            <b/>
            <sz val="9"/>
            <color indexed="81"/>
            <rFont val="Tahoma"/>
            <family val="2"/>
          </rPr>
          <t>&lt;[[TCDeals] - [TC Property Current Stage (Seq: 1)] - [Property Points (Seq: 1)] Green Certification Fees (LEED Certification, etc.) - Both]&gt;</t>
        </r>
      </text>
    </comment>
    <comment ref="C419" authorId="0" shapeId="0" xr:uid="{2F47F274-B516-4BF2-BEF9-B331B361BB7C}">
      <text>
        <r>
          <rPr>
            <b/>
            <sz val="9"/>
            <color indexed="81"/>
            <rFont val="Tahoma"/>
            <family val="2"/>
          </rPr>
          <t>&lt;[[TCDeals] - [TC Property Current Stage (Seq: 1)] - [Property Points (Seq: 1)] Relocation - Temporary - Both]&gt;</t>
        </r>
      </text>
    </comment>
    <comment ref="C420" authorId="0" shapeId="0" xr:uid="{CCAA5D68-4BFB-408C-834B-CB1FC939C5C4}">
      <text>
        <r>
          <rPr>
            <b/>
            <sz val="9"/>
            <color indexed="81"/>
            <rFont val="Tahoma"/>
            <family val="2"/>
          </rPr>
          <t>&lt;[[TCDeals] - [TC Property Current Stage (Seq: 1)] - [Property Points (Seq: 1)] Relocation - Permanent - Both]&gt;</t>
        </r>
      </text>
    </comment>
    <comment ref="C421" authorId="0" shapeId="0" xr:uid="{6ED14D87-10F8-4433-9EC4-06D5D0BD1793}">
      <text>
        <r>
          <rPr>
            <b/>
            <sz val="9"/>
            <color indexed="81"/>
            <rFont val="Tahoma"/>
            <family val="2"/>
          </rPr>
          <t>&lt;[[TCDeals] - [TC Property Current Stage (Seq: 1)] - [Property Points (Seq: 1)] Soft Cost Contingency - Both]&gt;</t>
        </r>
      </text>
    </comment>
    <comment ref="A422" authorId="0" shapeId="0" xr:uid="{C51729B0-713E-4BF3-92E6-51695B7CE968}">
      <text>
        <r>
          <rPr>
            <b/>
            <sz val="9"/>
            <color indexed="81"/>
            <rFont val="Tahoma"/>
            <family val="2"/>
          </rPr>
          <t>&lt;[[TCDeals] - [TC Property Current Stage (Seq: 1)] - [Property Points (Seq: 1)] Soft Cost Other 1 Comment - Both]&gt;</t>
        </r>
      </text>
    </comment>
    <comment ref="C422" authorId="0" shapeId="0" xr:uid="{51B14673-D101-4700-B23E-4247F52E2F31}">
      <text>
        <r>
          <rPr>
            <b/>
            <sz val="9"/>
            <color indexed="81"/>
            <rFont val="Tahoma"/>
            <family val="2"/>
          </rPr>
          <t>&lt;[[TCDeals] - [TC Property Current Stage (Seq: 1)] - [Property Points (Seq: 1)] Soft Cost Other 1 - Both]&gt;</t>
        </r>
      </text>
    </comment>
    <comment ref="A423" authorId="0" shapeId="0" xr:uid="{6B9F71B0-2FF2-4AEE-A2B0-43497DB4CBA7}">
      <text>
        <r>
          <rPr>
            <b/>
            <sz val="9"/>
            <color indexed="81"/>
            <rFont val="Tahoma"/>
            <family val="2"/>
          </rPr>
          <t>&lt;[[TCDeals] - [TC Property Current Stage (Seq: 1)] - [Property Points (Seq: 1)] Soft Cost Other 2 Comment - Both]&gt;</t>
        </r>
      </text>
    </comment>
    <comment ref="C423" authorId="0" shapeId="0" xr:uid="{EFF8E93F-364B-4C4D-B14A-704DC474A3E0}">
      <text>
        <r>
          <rPr>
            <b/>
            <sz val="9"/>
            <color indexed="81"/>
            <rFont val="Tahoma"/>
            <family val="2"/>
          </rPr>
          <t>&lt;[[TCDeals] - [TC Property Current Stage (Seq: 1)] - [Property Points (Seq: 1)] Soft Cost Other 2 - Both]&gt;</t>
        </r>
      </text>
    </comment>
    <comment ref="A424" authorId="0" shapeId="0" xr:uid="{AF4BB61C-AF73-4A05-B7A4-44EE9B26F757}">
      <text>
        <r>
          <rPr>
            <b/>
            <sz val="9"/>
            <color indexed="81"/>
            <rFont val="Tahoma"/>
            <family val="2"/>
          </rPr>
          <t>&lt;[[TCDeals] - [TC Property Current Stage (Seq: 1)] - [Property Points (Seq: 1)] Soft Cost Other 3 Comment - Both]&gt;</t>
        </r>
      </text>
    </comment>
    <comment ref="C424" authorId="0" shapeId="0" xr:uid="{46A6FCBA-D657-4158-8C1A-4C6BE9F0D87E}">
      <text>
        <r>
          <rPr>
            <b/>
            <sz val="9"/>
            <color indexed="81"/>
            <rFont val="Tahoma"/>
            <family val="2"/>
          </rPr>
          <t>&lt;[[TCDeals] - [TC Property Current Stage (Seq: 1)] - [Property Points (Seq: 1)] Soft Cost Other 3 - Both]&gt;</t>
        </r>
      </text>
    </comment>
    <comment ref="C425" authorId="0" shapeId="0" xr:uid="{FE12B97C-BC9E-42F7-BC56-68309758AA81}">
      <text>
        <r>
          <rPr>
            <b/>
            <sz val="9"/>
            <color indexed="81"/>
            <rFont val="Tahoma"/>
            <family val="2"/>
          </rPr>
          <t>&lt;[[TCDeals] - [TC Property Current Stage (Seq: 1)] - [Property Points (Seq: 1)] Organization Costs - Both]&gt;</t>
        </r>
      </text>
    </comment>
    <comment ref="C426" authorId="0" shapeId="0" xr:uid="{645229B9-0AFF-4387-B723-C93CAE096378}">
      <text>
        <r>
          <rPr>
            <b/>
            <sz val="9"/>
            <color indexed="81"/>
            <rFont val="Tahoma"/>
            <family val="2"/>
          </rPr>
          <t>&lt;[[TCDeals] - [TC Property Current Stage (Seq: 1)] - [Property Points (Seq: 1)] Tax Opinion - Both]&gt;</t>
        </r>
      </text>
    </comment>
    <comment ref="C427" authorId="0" shapeId="0" xr:uid="{0956955B-C474-4B94-95C5-61CA866D99F4}">
      <text>
        <r>
          <rPr>
            <b/>
            <sz val="9"/>
            <color indexed="81"/>
            <rFont val="Tahoma"/>
            <family val="2"/>
          </rPr>
          <t>&lt;[[TCDeals] - [TC Property Current Stage (Seq: 1)] - [Property Points (Seq: 1)] Syndication Legal Fees - Both]&gt;</t>
        </r>
      </text>
    </comment>
    <comment ref="A428" authorId="0" shapeId="0" xr:uid="{47874130-A5C7-43E7-B643-245B95A58963}">
      <text>
        <r>
          <rPr>
            <b/>
            <sz val="9"/>
            <color indexed="81"/>
            <rFont val="Tahoma"/>
            <family val="2"/>
          </rPr>
          <t>&lt;[[TCDeals] - [TC Property Current Stage (Seq: 1)] - [Property Points (Seq: 1)] Syndication Cost Other 1 Comment - Both]&gt;</t>
        </r>
      </text>
    </comment>
    <comment ref="C428" authorId="0" shapeId="0" xr:uid="{D6D4F15C-464D-4B0E-8159-B83BC2497C9C}">
      <text>
        <r>
          <rPr>
            <b/>
            <sz val="9"/>
            <color indexed="81"/>
            <rFont val="Tahoma"/>
            <family val="2"/>
          </rPr>
          <t>&lt;[[TCDeals] - [TC Property Current Stage (Seq: 1)] - [Property Points (Seq: 1)] Syndication Cost Other 1 - Both]&gt;</t>
        </r>
      </text>
    </comment>
    <comment ref="A429" authorId="0" shapeId="0" xr:uid="{13F441FA-9388-4941-872D-FB65708E5D49}">
      <text>
        <r>
          <rPr>
            <b/>
            <sz val="9"/>
            <color indexed="81"/>
            <rFont val="Tahoma"/>
            <family val="2"/>
          </rPr>
          <t>&lt;[[TCDeals] - [TC Property Current Stage (Seq: 1)] - [Property Points (Seq: 1)] Syndication Cost Other 2 Comment - Both]&gt;</t>
        </r>
      </text>
    </comment>
    <comment ref="C429" authorId="0" shapeId="0" xr:uid="{5CE5270E-9FF6-4027-B980-801FA4C0F436}">
      <text>
        <r>
          <rPr>
            <b/>
            <sz val="9"/>
            <color indexed="81"/>
            <rFont val="Tahoma"/>
            <family val="2"/>
          </rPr>
          <t>&lt;[[TCDeals] - [TC Property Current Stage (Seq: 1)] - [Property Points (Seq: 1)] Syndication Cost Other 2 - Both]&gt;</t>
        </r>
      </text>
    </comment>
    <comment ref="A430" authorId="0" shapeId="0" xr:uid="{DBD05BA3-3390-4C6C-AA93-72C17FDD237C}">
      <text>
        <r>
          <rPr>
            <b/>
            <sz val="9"/>
            <color indexed="81"/>
            <rFont val="Tahoma"/>
            <family val="2"/>
          </rPr>
          <t>&lt;[[TCDeals] - [TC Property Current Stage (Seq: 1)] - [Property Points (Seq: 1)] Syndication Cost Other 3 Comment - Both]&gt;</t>
        </r>
      </text>
    </comment>
    <comment ref="C430" authorId="0" shapeId="0" xr:uid="{F41E9303-3E02-447A-80CF-0EB82927AA06}">
      <text>
        <r>
          <rPr>
            <b/>
            <sz val="9"/>
            <color indexed="81"/>
            <rFont val="Tahoma"/>
            <family val="2"/>
          </rPr>
          <t>&lt;[[TCDeals] - [TC Property Current Stage (Seq: 1)] - [Property Points (Seq: 1)] Syndication Cost Other 3 - Both]&gt;</t>
        </r>
      </text>
    </comment>
    <comment ref="C431" authorId="0" shapeId="0" xr:uid="{F299DC43-5333-47D8-B6F3-ADA50D34C1BE}">
      <text>
        <r>
          <rPr>
            <b/>
            <sz val="9"/>
            <color indexed="81"/>
            <rFont val="Tahoma"/>
            <family val="2"/>
          </rPr>
          <t>&lt;[[TCDeals] - [TC Property Current Stage (Seq: 1)] - [Actual Property Costs (Seq: 1)] Developer Fees - Both]&gt;</t>
        </r>
      </text>
    </comment>
    <comment ref="C432" authorId="0" shapeId="0" xr:uid="{D0C85303-9515-4784-B10A-F2ECCB59DF44}">
      <text>
        <r>
          <rPr>
            <b/>
            <sz val="9"/>
            <color indexed="81"/>
            <rFont val="Tahoma"/>
            <family val="2"/>
          </rPr>
          <t>&lt;[[TCDeals] - [TC Property Current Stage (Seq: 1)] - [Property Points (Seq: 1)] Developer Overhead - Both]&gt;</t>
        </r>
      </text>
    </comment>
    <comment ref="C433" authorId="0" shapeId="0" xr:uid="{55B252EE-9167-4989-91A5-495E00BC082D}">
      <text>
        <r>
          <rPr>
            <b/>
            <sz val="9"/>
            <color indexed="81"/>
            <rFont val="Tahoma"/>
            <family val="2"/>
          </rPr>
          <t>&lt;[[TCDeals] - [TC Property Current Stage (Seq: 1)] - [Property Points (Seq: 1)] Developer Profit - Both]&gt;</t>
        </r>
      </text>
    </comment>
    <comment ref="C434" authorId="0" shapeId="0" xr:uid="{1CE31F5E-B57E-496B-8E66-DAE608DF0671}">
      <text>
        <r>
          <rPr>
            <b/>
            <sz val="9"/>
            <color indexed="81"/>
            <rFont val="Tahoma"/>
            <family val="2"/>
          </rPr>
          <t>&lt;[[TCDeals] - [TC Property Current Stage (Seq: 1)] - [Property Points (Seq: 1)] PSH developer fee boost (up to 5%) - Both]&gt;</t>
        </r>
      </text>
    </comment>
    <comment ref="C435" authorId="0" shapeId="0" xr:uid="{4F5E23EF-35B9-44AE-8A45-3B964AC3928D}">
      <text>
        <r>
          <rPr>
            <b/>
            <sz val="9"/>
            <color indexed="81"/>
            <rFont val="Tahoma"/>
            <family val="2"/>
          </rPr>
          <t>&lt;[[TCDeals] - [TC Property Current Stage (Seq: 1)] - [Property Points (Seq: 1)] Third Party Development Management/Owner's Rep - Both]&gt;</t>
        </r>
      </text>
    </comment>
    <comment ref="C436" authorId="0" shapeId="0" xr:uid="{662BDEDF-AAA0-423F-8728-2EE958DE24FE}">
      <text>
        <r>
          <rPr>
            <b/>
            <sz val="9"/>
            <color indexed="81"/>
            <rFont val="Tahoma"/>
            <family val="2"/>
          </rPr>
          <t>&lt;[[TCDeals] - [TC Property Current Stage (Seq: 1)] - [Property Points (Seq: 1)] Financial/Tax Credit Consultant, Application Preparation, etc. - Both]&gt;</t>
        </r>
      </text>
    </comment>
    <comment ref="C437" authorId="0" shapeId="0" xr:uid="{DD0E1C75-5B81-4BE0-A1C4-47F374444D20}">
      <text>
        <r>
          <rPr>
            <b/>
            <sz val="9"/>
            <color indexed="81"/>
            <rFont val="Tahoma"/>
            <family val="2"/>
          </rPr>
          <t>&lt;[[TCDeals] - [TC Property Current Stage (Seq: 1)] - [Property Points (Seq: 1)] Other Consultant Fees - Both]&gt;</t>
        </r>
      </text>
    </comment>
    <comment ref="C438" authorId="0" shapeId="0" xr:uid="{1A474457-9ADB-4DBA-ACDD-4BCEB15EC3D8}">
      <text>
        <r>
          <rPr>
            <b/>
            <sz val="9"/>
            <color indexed="81"/>
            <rFont val="Tahoma"/>
            <family val="2"/>
          </rPr>
          <t>&lt;[[TCDeals] - [TC Property Current Stage (Seq: 1)] - [Property Points (Seq: 1)] Rent-up Reserves - Both]&gt;</t>
        </r>
      </text>
    </comment>
    <comment ref="C439" authorId="0" shapeId="0" xr:uid="{2E539AF1-EC72-43A5-89EB-20B55388564D}">
      <text>
        <r>
          <rPr>
            <b/>
            <sz val="9"/>
            <color indexed="81"/>
            <rFont val="Tahoma"/>
            <family val="2"/>
          </rPr>
          <t>&lt;[[TCDeals] - [TC Property Current Stage (Seq: 1)] - [Actual Property Costs (Seq: 1)] Oper Reserve - Both]&gt;</t>
        </r>
      </text>
    </comment>
    <comment ref="C440" authorId="0" shapeId="0" xr:uid="{A518EB8C-012C-4395-B014-69052383F1D7}">
      <text>
        <r>
          <rPr>
            <b/>
            <sz val="9"/>
            <color indexed="81"/>
            <rFont val="Tahoma"/>
            <family val="2"/>
          </rPr>
          <t>&lt;[[TCDeals] - [TC Property Current Stage (Seq: 1)] Replacement Reserves - Both]&gt;</t>
        </r>
      </text>
    </comment>
    <comment ref="C441" authorId="0" shapeId="0" xr:uid="{3F4BE609-469F-48A6-8B58-1A675E6D07AF}">
      <text>
        <r>
          <rPr>
            <b/>
            <sz val="9"/>
            <color indexed="81"/>
            <rFont val="Tahoma"/>
            <family val="2"/>
          </rPr>
          <t>&lt;[[TCDeals] - [TC Property Current Stage (Seq: 1)] - [Property Points (Seq: 1)] Debt Service Reserves - Both]&gt;</t>
        </r>
      </text>
    </comment>
    <comment ref="C442" authorId="0" shapeId="0" xr:uid="{190B870A-D7FA-4714-A410-FB1986A8198D}">
      <text>
        <r>
          <rPr>
            <b/>
            <sz val="9"/>
            <color indexed="81"/>
            <rFont val="Tahoma"/>
            <family val="2"/>
          </rPr>
          <t>&lt;[[TCDeals] - [TC Property Current Stage (Seq: 1)] - [Property Points (Seq: 1)] Operating Reserves - Both]&gt;</t>
        </r>
      </text>
    </comment>
    <comment ref="C443" authorId="0" shapeId="0" xr:uid="{C3016F21-E2A8-43D0-BE6B-6F457AC44604}">
      <text>
        <r>
          <rPr>
            <b/>
            <sz val="9"/>
            <color indexed="81"/>
            <rFont val="Tahoma"/>
            <family val="2"/>
          </rPr>
          <t>&lt;[[TCDeals] - [TC Property Current Stage (Seq: 1)] - [Property Points (Seq: 1)] Project Reserves Other 2 - Both]&gt;</t>
        </r>
      </text>
    </comment>
    <comment ref="C444" authorId="0" shapeId="0" xr:uid="{4049999D-2809-4461-8D7A-9EABA4BACB67}">
      <text>
        <r>
          <rPr>
            <b/>
            <sz val="9"/>
            <color indexed="81"/>
            <rFont val="Tahoma"/>
            <family val="2"/>
          </rPr>
          <t>&lt;[[TCDeals] - [TC Property Current Stage (Seq: 1)] - [Property Points (Seq: 1)] Total Project Costs - Both]&gt;</t>
        </r>
      </text>
    </comment>
    <comment ref="C445" authorId="0" shapeId="0" xr:uid="{737AA197-F785-453B-99CD-90615AEB65BA}">
      <text>
        <r>
          <rPr>
            <b/>
            <sz val="9"/>
            <color indexed="81"/>
            <rFont val="Tahoma"/>
            <family val="2"/>
          </rPr>
          <t>&lt;[[TCDeals] - [TC Property Current Stage (Seq: 1)] - [Property Points (Seq: 1)] 4% Eligible Basis - Both]&gt;</t>
        </r>
      </text>
    </comment>
    <comment ref="C446" authorId="0" shapeId="0" xr:uid="{E64D36E5-022A-4D19-BFE8-5A77CAEA643E}">
      <text>
        <r>
          <rPr>
            <b/>
            <sz val="9"/>
            <color indexed="81"/>
            <rFont val="Tahoma"/>
            <family val="2"/>
          </rPr>
          <t>&lt;[[TCDeals] - [TC Property Current Stage (Seq: 1)] - [Property Points (Seq: 1)] 9 Percent Eligible Basis - Both]&gt;</t>
        </r>
      </text>
    </comment>
    <comment ref="C447" authorId="0" shapeId="0" xr:uid="{070497CB-2EB8-4257-82AA-1AE5E2E373C9}">
      <text>
        <r>
          <rPr>
            <b/>
            <sz val="9"/>
            <color indexed="81"/>
            <rFont val="Tahoma"/>
            <family val="2"/>
          </rPr>
          <t>&lt;[[TCDeals] - [TC Property Current Stage (Seq: 1)] - [Property Points (Seq: 1)] Aggregate Basis for PAB-Financed Developments Only - Both]&gt;</t>
        </r>
      </text>
    </comment>
    <comment ref="C448" authorId="0" shapeId="0" xr:uid="{6CBB8152-9639-4826-AF77-D1B500F85419}">
      <text>
        <r>
          <rPr>
            <b/>
            <sz val="9"/>
            <color indexed="81"/>
            <rFont val="Tahoma"/>
            <family val="2"/>
          </rPr>
          <t>&lt;[[TCDeals] - [TC Property Current Stage (Seq: 1)] - [Property Points (Seq: 1)] Private Activity Bond Mortgage Amount - Both]&gt;</t>
        </r>
      </text>
    </comment>
    <comment ref="C449" authorId="0" shapeId="0" xr:uid="{C2C061F9-765E-4314-8EF7-5141753B2B54}">
      <text>
        <r>
          <rPr>
            <b/>
            <sz val="9"/>
            <color indexed="81"/>
            <rFont val="Tahoma"/>
            <family val="2"/>
          </rPr>
          <t>&lt;[[TCDeals] - [TC Property Current Stage (Seq: 1)] - [Property Points (Seq: 1)] Optional Field 468 - Both]&gt;</t>
        </r>
      </text>
    </comment>
    <comment ref="C450" authorId="0" shapeId="0" xr:uid="{AFA8CE07-75C9-400D-B67E-3FF87EE1F202}">
      <text>
        <r>
          <rPr>
            <b/>
            <sz val="9"/>
            <color indexed="81"/>
            <rFont val="Tahoma"/>
            <family val="2"/>
          </rPr>
          <t>&lt;[[TCDeals] - [TC Property Current Stage (Seq: 1)] - [Property Points (Seq: 1)] Hard Costs/Square Foot - Both]&gt;</t>
        </r>
      </text>
    </comment>
    <comment ref="C451" authorId="0" shapeId="0" xr:uid="{1E452E3A-25CE-438C-BA41-CE9ADDA417D2}">
      <text>
        <r>
          <rPr>
            <b/>
            <sz val="9"/>
            <color indexed="81"/>
            <rFont val="Tahoma"/>
            <family val="2"/>
          </rPr>
          <t>&lt;[[TCDeals] - [TC Property Current Stage (Seq: 1)] - [Property Points (Seq: 1)] Hard Costs/Unit - Both]&gt;</t>
        </r>
      </text>
    </comment>
    <comment ref="C452" authorId="0" shapeId="0" xr:uid="{43A16F64-573F-4359-A30B-933EC1DB3A62}">
      <text>
        <r>
          <rPr>
            <b/>
            <sz val="9"/>
            <color indexed="81"/>
            <rFont val="Tahoma"/>
            <family val="2"/>
          </rPr>
          <t>&lt;[[TCDeals] - [TC Property Current Stage (Seq: 1)] - [Property Points (Seq: 1)] Optional Field 459 - Both]&gt;</t>
        </r>
      </text>
    </comment>
    <comment ref="C453" authorId="0" shapeId="0" xr:uid="{E9C53475-4BAC-47CE-AD24-83B9965FADA5}">
      <text>
        <r>
          <rPr>
            <b/>
            <sz val="9"/>
            <color indexed="81"/>
            <rFont val="Tahoma"/>
            <family val="2"/>
          </rPr>
          <t>&lt;[[TCDeals] - [TC Property Current Stage (Seq: 1)] - [Property Points (Seq: 1)] Optional Field 460 - Both]&gt;</t>
        </r>
      </text>
    </comment>
    <comment ref="C454" authorId="0" shapeId="0" xr:uid="{C5E61F85-E4BC-46AD-9482-86677D060B8C}">
      <text>
        <r>
          <rPr>
            <b/>
            <sz val="9"/>
            <color indexed="81"/>
            <rFont val="Tahoma"/>
            <family val="2"/>
          </rPr>
          <t>&lt;[[TCDeals] - [TC Property Current Stage (Seq: 1)] - [Property Points (Seq: 1)] Dev Costs/Square Foot - Both]&gt;</t>
        </r>
      </text>
    </comment>
    <comment ref="C455" authorId="0" shapeId="0" xr:uid="{C100155E-3661-4FAA-9B6D-5E69032CE2C8}">
      <text>
        <r>
          <rPr>
            <b/>
            <sz val="9"/>
            <color indexed="81"/>
            <rFont val="Tahoma"/>
            <family val="2"/>
          </rPr>
          <t>&lt;[[TCDeals] - [TC Property Current Stage (Seq: 1)] - [Property Points (Seq: 1)] Dev Costs/Unit - Both]&gt;</t>
        </r>
      </text>
    </comment>
    <comment ref="C456" authorId="0" shapeId="0" xr:uid="{85186AB5-00AE-4F4A-B812-6B29E3993350}">
      <text>
        <r>
          <rPr>
            <b/>
            <sz val="9"/>
            <color indexed="81"/>
            <rFont val="Tahoma"/>
            <family val="2"/>
          </rPr>
          <t>&lt;[[TCDeals] - [TC Property Current Stage (Seq: 1)] - [Property Points (Seq: 1)] Reserves/Square Foot - Both]&gt;</t>
        </r>
      </text>
    </comment>
    <comment ref="C457" authorId="0" shapeId="0" xr:uid="{4FA2EE83-025E-49D3-8EA6-BF3D2FCC1C9E}">
      <text>
        <r>
          <rPr>
            <b/>
            <sz val="9"/>
            <color indexed="81"/>
            <rFont val="Tahoma"/>
            <family val="2"/>
          </rPr>
          <t>&lt;[[TCDeals] - [TC Property Current Stage (Seq: 1)] - [Property Points (Seq: 1)] Reserves/Unit - Both]&gt;</t>
        </r>
      </text>
    </comment>
    <comment ref="C458" authorId="0" shapeId="0" xr:uid="{08D2E655-9E5D-4C92-8C9B-CF1A8BB21171}">
      <text>
        <r>
          <rPr>
            <b/>
            <sz val="9"/>
            <color indexed="81"/>
            <rFont val="Tahoma"/>
            <family val="2"/>
          </rPr>
          <t>&lt;[[TCDeals] - [TC Property Current Stage (Seq: 1)] - [Property Points (Seq: 1)] Dev Fee/Square Foot - Both]&gt;</t>
        </r>
      </text>
    </comment>
    <comment ref="C459" authorId="0" shapeId="0" xr:uid="{F87CDB0F-39C0-4B12-B849-20889113DFB9}">
      <text>
        <r>
          <rPr>
            <b/>
            <sz val="9"/>
            <color indexed="81"/>
            <rFont val="Tahoma"/>
            <family val="2"/>
          </rPr>
          <t>&lt;[[TCDeals] - [TC Property Current Stage (Seq: 1)] - [Property Points (Seq: 1)] Dev Fee/Unit - Both]&gt;</t>
        </r>
      </text>
    </comment>
    <comment ref="C462" authorId="0" shapeId="0" xr:uid="{9D9C29C5-6740-43E5-895B-200F1A677162}">
      <text>
        <r>
          <rPr>
            <b/>
            <sz val="9"/>
            <color indexed="81"/>
            <rFont val="Tahoma"/>
            <family val="2"/>
          </rPr>
          <t>&lt;[[TCDeals] - [TC Property Current Stage (Seq: 1)] Finalized Accumulated Basis - Both]&gt;</t>
        </r>
      </text>
    </comment>
    <comment ref="C463" authorId="0" shapeId="0" xr:uid="{5504A0A6-9A00-43B3-8429-8B9045CA6E39}">
      <text>
        <r>
          <rPr>
            <b/>
            <sz val="9"/>
            <color indexed="81"/>
            <rFont val="Tahoma"/>
            <family val="2"/>
          </rPr>
          <t>&lt;[[TCDeals] - [TC Property Current Stage (Seq: 1)] Finalized Reasonably Expected Total Basis - Both]&gt;</t>
        </r>
      </text>
    </comment>
    <comment ref="C465" authorId="0" shapeId="0" xr:uid="{B41ABBA4-1C0F-4E67-8320-7F3AE67834F6}">
      <text>
        <r>
          <rPr>
            <b/>
            <sz val="9"/>
            <color indexed="81"/>
            <rFont val="Tahoma"/>
            <family val="2"/>
          </rPr>
          <t>&lt;[[TCDeals] - [TC Property Current Stage (Seq: 1)] - [TC Unit Detail (Seq: 1)] Issuing Authority - Both]&gt;</t>
        </r>
      </text>
    </comment>
    <comment ref="C466" authorId="0" shapeId="0" xr:uid="{78367758-D8E5-4F3F-83EA-D3691F0302FF}">
      <text>
        <r>
          <rPr>
            <b/>
            <sz val="9"/>
            <color indexed="81"/>
            <rFont val="Tahoma"/>
            <family val="2"/>
          </rPr>
          <t>&lt;[[TCDeals] - [TC Property Current Stage (Seq: 1)] - [TC Unit Detail (Seq: 1)] Income Percentage - Both]&gt;</t>
        </r>
      </text>
    </comment>
    <comment ref="C467" authorId="0" shapeId="0" xr:uid="{639BDF38-B5A2-48CA-AE18-B6E8F2C22EF9}">
      <text>
        <r>
          <rPr>
            <b/>
            <sz val="9"/>
            <color indexed="81"/>
            <rFont val="Tahoma"/>
            <family val="2"/>
          </rPr>
          <t>&lt;[[TCDeals] - [TC Property Current Stage (Seq: 1)] - [TC Unit Detail (Seq: 1)] Income Units - Both]&gt;</t>
        </r>
      </text>
    </comment>
    <comment ref="C468" authorId="0" shapeId="0" xr:uid="{6DB48AC5-5A87-4BA8-88BD-593F4F7A737E}">
      <text>
        <r>
          <rPr>
            <b/>
            <sz val="9"/>
            <color indexed="81"/>
            <rFont val="Tahoma"/>
            <family val="2"/>
          </rPr>
          <t>&lt;[[TCDeals] - [TC Property Current Stage (Seq: 1)] - [TC Unit Detail (Seq: 2)] Issuing Authority - Both]&gt;</t>
        </r>
      </text>
    </comment>
    <comment ref="C469" authorId="0" shapeId="0" xr:uid="{F63AFA72-A520-47EF-B1A1-FFCE52537637}">
      <text>
        <r>
          <rPr>
            <b/>
            <sz val="9"/>
            <color indexed="81"/>
            <rFont val="Tahoma"/>
            <family val="2"/>
          </rPr>
          <t>&lt;[[TCDeals] - [TC Property Current Stage (Seq: 1)] - [TC Unit Detail (Seq: 2)] Income Percentage - Both]&gt;</t>
        </r>
      </text>
    </comment>
    <comment ref="C470" authorId="0" shapeId="0" xr:uid="{EBAEC0D7-D95D-4D15-871C-3A7C860A505A}">
      <text>
        <r>
          <rPr>
            <b/>
            <sz val="9"/>
            <color indexed="81"/>
            <rFont val="Tahoma"/>
            <family val="2"/>
          </rPr>
          <t>&lt;[[TCDeals] - [TC Property Current Stage (Seq: 1)] - [TC Unit Detail (Seq: 2)] Income Units - Both]&gt;</t>
        </r>
      </text>
    </comment>
    <comment ref="C471" authorId="0" shapeId="0" xr:uid="{94E85930-BE1C-4CE5-91DA-C8AC2F34629D}">
      <text>
        <r>
          <rPr>
            <b/>
            <sz val="9"/>
            <color indexed="81"/>
            <rFont val="Tahoma"/>
            <family val="2"/>
          </rPr>
          <t>&lt;[[TCDeals] - [TC Property Current Stage (Seq: 1)] - [TC Unit Detail (Seq: 3)] Issuing Authority - Both]&gt;</t>
        </r>
      </text>
    </comment>
    <comment ref="C472" authorId="0" shapeId="0" xr:uid="{F0D45D72-50EA-40CA-96B8-178386D0634E}">
      <text>
        <r>
          <rPr>
            <b/>
            <sz val="9"/>
            <color indexed="81"/>
            <rFont val="Tahoma"/>
            <family val="2"/>
          </rPr>
          <t>&lt;[[TCDeals] - [TC Property Current Stage (Seq: 1)] - [TC Unit Detail (Seq: 3)] Income Percentage - Both]&gt;</t>
        </r>
      </text>
    </comment>
    <comment ref="C473" authorId="0" shapeId="0" xr:uid="{A6505BF3-049B-489B-A2AF-94FC8BE2D05A}">
      <text>
        <r>
          <rPr>
            <b/>
            <sz val="9"/>
            <color indexed="81"/>
            <rFont val="Tahoma"/>
            <family val="2"/>
          </rPr>
          <t>&lt;[[TCDeals] - [TC Property Current Stage (Seq: 1)] - [TC Unit Detail (Seq: 3)] Income Units - Both]&gt;</t>
        </r>
      </text>
    </comment>
    <comment ref="C474" authorId="0" shapeId="0" xr:uid="{4F6B624E-342A-484B-AFDB-59146D4C72DD}">
      <text>
        <r>
          <rPr>
            <b/>
            <sz val="9"/>
            <color indexed="81"/>
            <rFont val="Tahoma"/>
            <family val="2"/>
          </rPr>
          <t>&lt;[[TCDeals] - [TC Property Current Stage (Seq: 1)] - [TC Unit Detail (Seq: 4)] Issuing Authority - Both]&gt;</t>
        </r>
      </text>
    </comment>
    <comment ref="C475" authorId="0" shapeId="0" xr:uid="{4620799C-83BC-41CA-9B48-4494F8CC7A41}">
      <text>
        <r>
          <rPr>
            <b/>
            <sz val="9"/>
            <color indexed="81"/>
            <rFont val="Tahoma"/>
            <family val="2"/>
          </rPr>
          <t>&lt;[[TCDeals] - [TC Property Current Stage (Seq: 1)] - [TC Unit Detail (Seq: 4)] Income Percentage - Both]&gt;</t>
        </r>
      </text>
    </comment>
    <comment ref="C476" authorId="0" shapeId="0" xr:uid="{00AE769E-71D7-4CD8-84CE-4126B59ADC8F}">
      <text>
        <r>
          <rPr>
            <b/>
            <sz val="9"/>
            <color indexed="81"/>
            <rFont val="Tahoma"/>
            <family val="2"/>
          </rPr>
          <t>&lt;[[TCDeals] - [TC Property Current Stage (Seq: 1)] - [TC Unit Detail (Seq: 4)] Income Units - Both]&gt;</t>
        </r>
      </text>
    </comment>
    <comment ref="C477" authorId="0" shapeId="0" xr:uid="{A7012604-E7F5-414C-A51F-4CB65C41F202}">
      <text>
        <r>
          <rPr>
            <b/>
            <sz val="9"/>
            <color indexed="81"/>
            <rFont val="Tahoma"/>
            <family val="2"/>
          </rPr>
          <t>&lt;[[TCDeals] - [TC Property Current Stage (Seq: 1)] - [TC Unit Detail (Seq: 5)] Issuing Authority - Both]&gt;</t>
        </r>
      </text>
    </comment>
    <comment ref="C478" authorId="0" shapeId="0" xr:uid="{1098C428-3AC1-4607-A55F-5051261D3861}">
      <text>
        <r>
          <rPr>
            <b/>
            <sz val="9"/>
            <color indexed="81"/>
            <rFont val="Tahoma"/>
            <family val="2"/>
          </rPr>
          <t>&lt;[[TCDeals] - [TC Property Current Stage (Seq: 1)] - [TC Unit Detail (Seq: 5)] Income Percentage - Both]&gt;</t>
        </r>
      </text>
    </comment>
    <comment ref="C479" authorId="0" shapeId="0" xr:uid="{FBF3A5C3-E974-40CE-AD3A-BAD15696ED02}">
      <text>
        <r>
          <rPr>
            <b/>
            <sz val="9"/>
            <color indexed="81"/>
            <rFont val="Tahoma"/>
            <family val="2"/>
          </rPr>
          <t>&lt;[[TCDeals] - [TC Property Current Stage (Seq: 1)] - [TC Unit Detail (Seq: 5)] Income Units - Both]&gt;</t>
        </r>
      </text>
    </comment>
    <comment ref="C480" authorId="0" shapeId="0" xr:uid="{41D39894-6003-46F9-988B-12535C4033F3}">
      <text>
        <r>
          <rPr>
            <b/>
            <sz val="9"/>
            <color indexed="81"/>
            <rFont val="Tahoma"/>
            <family val="2"/>
          </rPr>
          <t>&lt;[[TCDeals] - [TC Property Current Stage (Seq: 1)] - [TC Unit Detail (Seq: 6)] Issuing Authority - Both]&gt;</t>
        </r>
      </text>
    </comment>
    <comment ref="C481" authorId="0" shapeId="0" xr:uid="{A9DA6049-AF45-41D3-B032-C5AF0CE75C72}">
      <text>
        <r>
          <rPr>
            <b/>
            <sz val="9"/>
            <color indexed="81"/>
            <rFont val="Tahoma"/>
            <family val="2"/>
          </rPr>
          <t>&lt;[[TCDeals] - [TC Property Current Stage (Seq: 1)] - [TC Unit Detail (Seq: 6)] Income Percentage - Both]&gt;</t>
        </r>
      </text>
    </comment>
    <comment ref="C482" authorId="0" shapeId="0" xr:uid="{3409014E-2721-4146-B54D-489F8D00EEB1}">
      <text>
        <r>
          <rPr>
            <b/>
            <sz val="9"/>
            <color indexed="81"/>
            <rFont val="Tahoma"/>
            <family val="2"/>
          </rPr>
          <t>&lt;[[TCDeals] - [TC Property Current Stage (Seq: 1)] - [TC Unit Detail (Seq: 6)] Income Units - Both]&gt;</t>
        </r>
      </text>
    </comment>
    <comment ref="C483" authorId="0" shapeId="0" xr:uid="{D312F8FC-84EF-4084-B25C-70F07625349C}">
      <text>
        <r>
          <rPr>
            <b/>
            <sz val="9"/>
            <color indexed="81"/>
            <rFont val="Tahoma"/>
            <family val="2"/>
          </rPr>
          <t>&lt;[[TCDeals] - [TC Property Current Stage (Seq: 1)] - [TC Unit Detail (Seq: 7)] Issuing Authority - Both]&gt;</t>
        </r>
      </text>
    </comment>
    <comment ref="C484" authorId="0" shapeId="0" xr:uid="{A57A7CC2-A4D2-410A-A727-4CD6B76D3038}">
      <text>
        <r>
          <rPr>
            <b/>
            <sz val="9"/>
            <color indexed="81"/>
            <rFont val="Tahoma"/>
            <family val="2"/>
          </rPr>
          <t>&lt;[[TCDeals] - [TC Property Current Stage (Seq: 1)] - [TC Unit Detail (Seq: 7)] Income Percentage - Both]&gt;</t>
        </r>
      </text>
    </comment>
    <comment ref="C485" authorId="0" shapeId="0" xr:uid="{6A12F888-2B14-47F6-A7D7-DD15E6083851}">
      <text>
        <r>
          <rPr>
            <b/>
            <sz val="9"/>
            <color indexed="81"/>
            <rFont val="Tahoma"/>
            <family val="2"/>
          </rPr>
          <t>&lt;[[TCDeals] - [TC Property Current Stage (Seq: 1)] - [TC Unit Detail (Seq: 7)] Income Units - Both]&gt;</t>
        </r>
      </text>
    </comment>
    <comment ref="C486" authorId="0" shapeId="0" xr:uid="{833B97EA-86CD-4AA7-A0C6-F71F3E00BEFC}">
      <text>
        <r>
          <rPr>
            <b/>
            <sz val="9"/>
            <color indexed="81"/>
            <rFont val="Tahoma"/>
            <family val="2"/>
          </rPr>
          <t>&lt;[[TCDeals] - [TC Property Current Stage (Seq: 1)] - [TC Unit Detail (Seq: 8)] Issuing Authority - Both]&gt;</t>
        </r>
      </text>
    </comment>
    <comment ref="C487" authorId="0" shapeId="0" xr:uid="{F55D8866-631F-4A71-80BD-B03B644784BD}">
      <text>
        <r>
          <rPr>
            <b/>
            <sz val="9"/>
            <color indexed="81"/>
            <rFont val="Tahoma"/>
            <family val="2"/>
          </rPr>
          <t>&lt;[[TCDeals] - [TC Property Current Stage (Seq: 1)] - [TC Unit Detail (Seq: 8)] Income Percentage - Both]&gt;</t>
        </r>
      </text>
    </comment>
    <comment ref="C488" authorId="0" shapeId="0" xr:uid="{96C33B0C-F89F-4C56-9E8B-31B49C935E08}">
      <text>
        <r>
          <rPr>
            <b/>
            <sz val="9"/>
            <color indexed="81"/>
            <rFont val="Tahoma"/>
            <family val="2"/>
          </rPr>
          <t>&lt;[[TCDeals] - [TC Property Current Stage (Seq: 1)] - [TC Unit Detail (Seq: 8)] Income Units - Both]&gt;</t>
        </r>
      </text>
    </comment>
    <comment ref="C490" authorId="0" shapeId="0" xr:uid="{2BA418A4-C420-4D35-A46E-FF78BEAD8721}">
      <text>
        <r>
          <rPr>
            <b/>
            <sz val="9"/>
            <color indexed="81"/>
            <rFont val="Tahoma"/>
            <family val="2"/>
          </rPr>
          <t>&lt;[[TCDeals] - [TC Property Current Stage (Seq: 1)] - [Property Points (Seq: 1)] Total Employee units - Both]&gt;</t>
        </r>
      </text>
    </comment>
    <comment ref="C491" authorId="0" shapeId="0" xr:uid="{9C083A0E-06BC-409E-8EAD-09DF3A46FBD1}">
      <text>
        <r>
          <rPr>
            <b/>
            <sz val="9"/>
            <color indexed="81"/>
            <rFont val="Tahoma"/>
            <family val="2"/>
          </rPr>
          <t>&lt;[[TCDeals] - [TC Property Current Stage (Seq: 1)] Total Floor Sq Ft - Both]&gt;</t>
        </r>
      </text>
    </comment>
    <comment ref="C492" authorId="0" shapeId="0" xr:uid="{429F5B82-A475-474F-A987-98F030D73D5A}">
      <text>
        <r>
          <rPr>
            <b/>
            <sz val="9"/>
            <color indexed="81"/>
            <rFont val="Tahoma"/>
            <family val="2"/>
          </rPr>
          <t>&lt;[[TCDeals] - [TC Property Current Stage (Seq: 1)] Total Units - Both]&gt;</t>
        </r>
      </text>
    </comment>
    <comment ref="C493" authorId="0" shapeId="0" xr:uid="{F28B6FC5-3CF4-4A8D-BD58-A28A1CCFFBDE}">
      <text>
        <r>
          <rPr>
            <b/>
            <sz val="9"/>
            <color indexed="81"/>
            <rFont val="Tahoma"/>
            <family val="2"/>
          </rPr>
          <t>&lt;[[TCDeals] - [TC Property Current Stage (Seq: 1)] Total Allowance0 BR - Both]&gt;</t>
        </r>
      </text>
    </comment>
    <comment ref="C494" authorId="0" shapeId="0" xr:uid="{05F4D520-E9ED-48E4-9064-0D17C84FA44D}">
      <text>
        <r>
          <rPr>
            <b/>
            <sz val="9"/>
            <color indexed="81"/>
            <rFont val="Tahoma"/>
            <family val="2"/>
          </rPr>
          <t>&lt;[[TCDeals] - [TC Property Current Stage (Seq: 1)] Total Allowance1 BR - Both]&gt;</t>
        </r>
      </text>
    </comment>
    <comment ref="C495" authorId="0" shapeId="0" xr:uid="{2705110C-663F-4EB0-9BAB-281F89F31E1E}">
      <text>
        <r>
          <rPr>
            <b/>
            <sz val="9"/>
            <color indexed="81"/>
            <rFont val="Tahoma"/>
            <family val="2"/>
          </rPr>
          <t>&lt;[[TCDeals] - [TC Property Current Stage (Seq: 1)] Total Allowance2 BR - Both]&gt;</t>
        </r>
      </text>
    </comment>
    <comment ref="C496" authorId="0" shapeId="0" xr:uid="{E57C39DE-F1E3-4F2C-A90B-B6C98596E6AE}">
      <text>
        <r>
          <rPr>
            <b/>
            <sz val="9"/>
            <color indexed="81"/>
            <rFont val="Tahoma"/>
            <family val="2"/>
          </rPr>
          <t>&lt;[[TCDeals] - [TC Property Current Stage (Seq: 1)] Total Allowance3 BR - Both]&gt;</t>
        </r>
      </text>
    </comment>
    <comment ref="C497" authorId="0" shapeId="0" xr:uid="{617B3D2C-FFEF-483A-94A3-930782E41803}">
      <text>
        <r>
          <rPr>
            <b/>
            <sz val="9"/>
            <color indexed="81"/>
            <rFont val="Tahoma"/>
            <family val="2"/>
          </rPr>
          <t>&lt;[[TCDeals] - [TC Property Current Stage (Seq: 1)] Total Allowance4 BR - Both]&gt;</t>
        </r>
      </text>
    </comment>
    <comment ref="C498" authorId="0" shapeId="0" xr:uid="{91B4550E-7894-452F-B487-21A3F58F3A00}">
      <text>
        <r>
          <rPr>
            <b/>
            <sz val="9"/>
            <color indexed="81"/>
            <rFont val="Tahoma"/>
            <family val="2"/>
          </rPr>
          <t>&lt;[[TCDeals] - [TC Property Current Stage (Seq: 1)] - [Property Points (Seq: 1)] Total Allowance 5BR - Both]&gt;</t>
        </r>
      </text>
    </comment>
    <comment ref="C499" authorId="0" shapeId="0" xr:uid="{40066AE8-DF46-4187-8144-7559468E8E3D}">
      <text>
        <r>
          <rPr>
            <b/>
            <sz val="9"/>
            <color indexed="81"/>
            <rFont val="Tahoma"/>
            <family val="2"/>
          </rPr>
          <t>&lt;[[TCDeals] - [TC Property Current Stage (Seq: 1)] - [Property Points (Seq: 1)] Is Do Rents Include Utilities? - Both]&gt;</t>
        </r>
      </text>
    </comment>
    <comment ref="C500" authorId="0" shapeId="0" xr:uid="{ADE795E0-934E-4133-9EB8-035E154DBF0F}">
      <text>
        <r>
          <rPr>
            <b/>
            <sz val="9"/>
            <color indexed="81"/>
            <rFont val="Tahoma"/>
            <family val="2"/>
          </rPr>
          <t>&lt;[[TCDeals] - [TC Property Current Stage (Seq: 1)] - [Property Points (Seq: 1)] Total Residential SF - Both]&gt;</t>
        </r>
      </text>
    </comment>
    <comment ref="C501" authorId="0" shapeId="0" xr:uid="{3749BDBA-626E-44DE-B0EB-6C0C2AF60A51}">
      <text>
        <r>
          <rPr>
            <b/>
            <sz val="9"/>
            <color indexed="81"/>
            <rFont val="Tahoma"/>
            <family val="2"/>
          </rPr>
          <t>&lt;[[TCDeals] - [TC Property Current Stage (Seq: 1)] - [Property Points (Seq: 1)] Total Employee SF - Both]&gt;</t>
        </r>
      </text>
    </comment>
    <comment ref="C502" authorId="0" shapeId="0" xr:uid="{D3917661-46F7-4A21-B0F7-9379F2504558}">
      <text>
        <r>
          <rPr>
            <b/>
            <sz val="9"/>
            <color indexed="81"/>
            <rFont val="Tahoma"/>
            <family val="2"/>
          </rPr>
          <t>&lt;[[TCDeals] - [TC Property Current Stage (Seq: 1)] - [Property Points (Seq: 1)] Common Space SF - Both]&gt;</t>
        </r>
      </text>
    </comment>
    <comment ref="C503" authorId="0" shapeId="0" xr:uid="{37978988-FF61-4132-8717-9D0E414CAB0F}">
      <text>
        <r>
          <rPr>
            <b/>
            <sz val="9"/>
            <color indexed="81"/>
            <rFont val="Tahoma"/>
            <family val="2"/>
          </rPr>
          <t>&lt;[[TCDeals] - [TC Property Current Stage (Seq: 1)] Total Low Income Units - Both]&gt;</t>
        </r>
      </text>
    </comment>
    <comment ref="C504" authorId="0" shapeId="0" xr:uid="{59168418-A195-4D5D-9D18-B89654BA13C0}">
      <text>
        <r>
          <rPr>
            <b/>
            <sz val="9"/>
            <color indexed="81"/>
            <rFont val="Tahoma"/>
            <family val="2"/>
          </rPr>
          <t>&lt;[[TCDeals] - [TC Property Current Stage (Seq: 1)] Commercial Sq Ft - Both]&gt;</t>
        </r>
      </text>
    </comment>
    <comment ref="C505" authorId="0" shapeId="0" xr:uid="{D9A52AE9-2C23-4CED-A85B-D3AEE1CC409C}">
      <text>
        <r>
          <rPr>
            <b/>
            <sz val="9"/>
            <color indexed="81"/>
            <rFont val="Tahoma"/>
            <family val="2"/>
          </rPr>
          <t>&lt;[[TCDeals] - [TC Property Current Stage (Seq: 1)] TC Net Rentable SF - Both]&gt;</t>
        </r>
      </text>
    </comment>
    <comment ref="C506" authorId="0" shapeId="0" xr:uid="{BA051946-955D-46B9-B427-9ADC706190BE}">
      <text>
        <r>
          <rPr>
            <b/>
            <sz val="9"/>
            <color indexed="81"/>
            <rFont val="Tahoma"/>
            <family val="2"/>
          </rPr>
          <t>&lt;[[TCDeals] - [TC Property Current Stage (Seq: 1)] Mkt Net Rentable SF - Both]&gt;</t>
        </r>
      </text>
    </comment>
    <comment ref="C507" authorId="0" shapeId="0" xr:uid="{5BE67F60-EBB4-4948-BA37-A098E5BE98F7}">
      <text>
        <r>
          <rPr>
            <b/>
            <sz val="9"/>
            <color indexed="81"/>
            <rFont val="Tahoma"/>
            <family val="2"/>
          </rPr>
          <t>&lt;[[TCDeals] - [TC Property Current Stage (Seq: 1)] Floor Space Fraction - Both]&gt;</t>
        </r>
      </text>
    </comment>
    <comment ref="C508" authorId="0" shapeId="0" xr:uid="{37C6BF1C-6873-4974-A2F1-E4EF247195F1}">
      <text>
        <r>
          <rPr>
            <b/>
            <sz val="9"/>
            <color indexed="81"/>
            <rFont val="Tahoma"/>
            <family val="2"/>
          </rPr>
          <t>&lt;[[TCDeals] - [TC Property Current Stage (Seq: 1)] Total Bedrooms - Both]&gt;</t>
        </r>
      </text>
    </comment>
    <comment ref="C510" authorId="0" shapeId="0" xr:uid="{56ABCC42-CEE1-4FC1-B55F-00EFA47F1DDB}">
      <text>
        <r>
          <rPr>
            <b/>
            <sz val="9"/>
            <color indexed="81"/>
            <rFont val="Tahoma"/>
            <family val="2"/>
          </rPr>
          <t>&lt;[[TCDeals] - [TC Property Current Stage (Seq: 1)] Extended Use Restriction - Both]&gt;</t>
        </r>
      </text>
    </comment>
    <comment ref="C511" authorId="0" shapeId="0" xr:uid="{F1F5AE0E-17BF-42B3-B4E0-9A4A7E0709D3}">
      <text>
        <r>
          <rPr>
            <b/>
            <sz val="9"/>
            <color indexed="81"/>
            <rFont val="Tahoma"/>
            <family val="2"/>
          </rPr>
          <t>&lt;[[TCDeals] - [TC Property Current Stage (Seq: 1)] Total Score - Both]&gt;</t>
        </r>
      </text>
    </comment>
    <comment ref="C512" authorId="0" shapeId="0" xr:uid="{3BB6CC8D-22C0-4BE0-8920-A9D6B3B85D28}">
      <text>
        <r>
          <rPr>
            <b/>
            <sz val="9"/>
            <color indexed="81"/>
            <rFont val="Tahoma"/>
            <family val="2"/>
          </rPr>
          <t>&lt;[[TCDeals] - [TC Property Current Stage (Seq: 1)] - [Property Points (Seq: 1)] Is Threshold: 40% at 60% of Area Median Income - Both]&gt;</t>
        </r>
      </text>
    </comment>
    <comment ref="C513" authorId="0" shapeId="0" xr:uid="{7678553D-F13B-4A3A-BFB5-2EA6C14B2CD4}">
      <text>
        <r>
          <rPr>
            <b/>
            <sz val="9"/>
            <color indexed="81"/>
            <rFont val="Tahoma"/>
            <family val="2"/>
          </rPr>
          <t>&lt;[[TCDeals] - [TC Property Current Stage (Seq: 1)] - [Property Points (Seq: 1)] Is Threshold: 20% at 50% of Area Median Income - Both]&gt;</t>
        </r>
      </text>
    </comment>
    <comment ref="C514" authorId="0" shapeId="0" xr:uid="{638BD83A-1667-4A39-AE11-6B7300FF3734}">
      <text>
        <r>
          <rPr>
            <b/>
            <sz val="9"/>
            <color indexed="81"/>
            <rFont val="Tahoma"/>
            <family val="2"/>
          </rPr>
          <t>&lt;[[TCDeals] - [TC Property Current Stage (Seq: 1)] - [Property Points (Seq: 1)] Is Optional Field 452 - Both]&gt;</t>
        </r>
      </text>
    </comment>
    <comment ref="C515" authorId="0" shapeId="0" xr:uid="{CBF8AFFC-BAEC-40C7-9810-1CBC64909BCA}">
      <text>
        <r>
          <rPr>
            <b/>
            <sz val="9"/>
            <color indexed="81"/>
            <rFont val="Tahoma"/>
            <family val="2"/>
          </rPr>
          <t>&lt;[[TCDeals] - [TC Property Current Stage (Seq: 1)] - [Property Points (Seq: 1)] Optional Field 469 - Both]&gt;</t>
        </r>
      </text>
    </comment>
    <comment ref="C516" authorId="0" shapeId="0" xr:uid="{3E7ACF03-92E0-4BE1-B0FC-8F45BF7C106C}">
      <text>
        <r>
          <rPr>
            <b/>
            <sz val="9"/>
            <color indexed="81"/>
            <rFont val="Tahoma"/>
            <family val="2"/>
          </rPr>
          <t>&lt;[[TCDeals] - [TC Property Current Stage (Seq: 1)] - [Property Score (Seq: 1)] Bonus A - Both]&gt;</t>
        </r>
      </text>
    </comment>
    <comment ref="C517" authorId="0" shapeId="0" xr:uid="{AC285633-E2D3-40D6-BC2C-6449E401BD0A}">
      <text>
        <r>
          <rPr>
            <b/>
            <sz val="9"/>
            <color indexed="81"/>
            <rFont val="Tahoma"/>
            <family val="2"/>
          </rPr>
          <t>&lt;[[TCDeals] - [TC Property Current Stage (Seq: 1)] - [Property Score (Seq: 1)] Bonus B - Both]&gt;</t>
        </r>
      </text>
    </comment>
    <comment ref="C518" authorId="0" shapeId="0" xr:uid="{45D760E6-DE6B-4262-8A40-1F744EAC1D64}">
      <text>
        <r>
          <rPr>
            <b/>
            <sz val="9"/>
            <color indexed="81"/>
            <rFont val="Tahoma"/>
            <family val="2"/>
          </rPr>
          <t>&lt;[[TCDeals] - [TC Property Current Stage (Seq: 1)] - [Property Score (Seq: 1)] Bonus C - Both]&gt;</t>
        </r>
      </text>
    </comment>
    <comment ref="C519" authorId="0" shapeId="0" xr:uid="{9B5ABF85-688C-4D71-A2FF-60B8544F3E7B}">
      <text>
        <r>
          <rPr>
            <b/>
            <sz val="9"/>
            <color indexed="81"/>
            <rFont val="Tahoma"/>
            <family val="2"/>
          </rPr>
          <t>&lt;[[TCDeals] - [TC Property Current Stage (Seq: 1)] - [Property Score (Seq: 1)] Bonus D - Both]&gt;</t>
        </r>
      </text>
    </comment>
    <comment ref="C520" authorId="0" shapeId="0" xr:uid="{6A06AFA8-636B-45FE-B6CD-09E708E0EDEB}">
      <text>
        <r>
          <rPr>
            <b/>
            <sz val="9"/>
            <color indexed="81"/>
            <rFont val="Tahoma"/>
            <family val="2"/>
          </rPr>
          <t>&lt;[[TCDeals] - [TC Property Current Stage (Seq: 1)] - [Property Score (Seq: 1)] Bonus E - Both]&gt;</t>
        </r>
      </text>
    </comment>
    <comment ref="C521" authorId="0" shapeId="0" xr:uid="{591EDEAB-21CE-499C-89E2-963654027AA6}">
      <text>
        <r>
          <rPr>
            <b/>
            <sz val="9"/>
            <color indexed="81"/>
            <rFont val="Tahoma"/>
            <family val="2"/>
          </rPr>
          <t>&lt;[[TCDeals] - [TC Property Current Stage (Seq: 1)] - [Property Score (Seq: 1)] Bonus F - Both]&gt;</t>
        </r>
      </text>
    </comment>
    <comment ref="C522" authorId="0" shapeId="0" xr:uid="{2BF6BB27-0B05-412B-826A-126B046ABF68}">
      <text>
        <r>
          <rPr>
            <b/>
            <sz val="9"/>
            <color indexed="81"/>
            <rFont val="Tahoma"/>
            <family val="2"/>
          </rPr>
          <t>&lt;[[TCDeals] - [TC Property Current Stage (Seq: 1)] - [Property Score (Seq: 1)] Bonus G - Both]&gt;</t>
        </r>
      </text>
    </comment>
    <comment ref="C523" authorId="0" shapeId="0" xr:uid="{B4558E34-420D-4CE6-806B-05A075107977}">
      <text>
        <r>
          <rPr>
            <b/>
            <sz val="9"/>
            <color indexed="81"/>
            <rFont val="Tahoma"/>
            <family val="2"/>
          </rPr>
          <t>&lt;[[TCDeals] - [TC Property Current Stage (Seq: 1)] - [Property Score (Seq: 1)] Bonus H - Both]&gt;</t>
        </r>
      </text>
    </comment>
    <comment ref="C524" authorId="0" shapeId="0" xr:uid="{AAE7B0A3-3019-4A5B-AA9D-5B0B829D0F78}">
      <text>
        <r>
          <rPr>
            <b/>
            <sz val="9"/>
            <color indexed="81"/>
            <rFont val="Tahoma"/>
            <family val="2"/>
          </rPr>
          <t>&lt;[[TCDeals] - [TC Property Current Stage (Seq: 1)] - [Property Score (Seq: 1)] Bonus K - Both]&gt;</t>
        </r>
      </text>
    </comment>
    <comment ref="C525" authorId="0" shapeId="0" xr:uid="{3AF71094-6319-4CE0-9EC6-7F4F4D658C15}">
      <text>
        <r>
          <rPr>
            <b/>
            <sz val="9"/>
            <color indexed="81"/>
            <rFont val="Tahoma"/>
            <family val="2"/>
          </rPr>
          <t>&lt;[[TCDeals] - [TC Property Current Stage (Seq: 1)] - [Property Score (Seq: 1)] Bonus M - Both]&gt;</t>
        </r>
      </text>
    </comment>
    <comment ref="C526" authorId="0" shapeId="0" xr:uid="{7E559095-5C32-43C8-A009-8B808744F55D}">
      <text>
        <r>
          <rPr>
            <b/>
            <sz val="9"/>
            <color indexed="81"/>
            <rFont val="Tahoma"/>
            <family val="2"/>
          </rPr>
          <t>&lt;[[TCDeals] - [TC Property Current Stage (Seq: 1)] - [Property Score (Seq: 1)] Housing Needs A - Both]&gt;</t>
        </r>
      </text>
    </comment>
    <comment ref="C527" authorId="0" shapeId="0" xr:uid="{9EE6A225-CB75-4236-9F6C-0208D1C29DB1}">
      <text>
        <r>
          <rPr>
            <b/>
            <sz val="9"/>
            <color indexed="81"/>
            <rFont val="Tahoma"/>
            <family val="2"/>
          </rPr>
          <t>&lt;[[TCDeals] - [TC Property Current Stage (Seq: 1)] - [Property Score (Seq: 1)] Housing Needs B - Both]&gt;</t>
        </r>
      </text>
    </comment>
    <comment ref="C528" authorId="0" shapeId="0" xr:uid="{1E0978A5-FA31-4537-889E-245A01C5F71F}">
      <text>
        <r>
          <rPr>
            <b/>
            <sz val="9"/>
            <color indexed="81"/>
            <rFont val="Tahoma"/>
            <family val="2"/>
          </rPr>
          <t>&lt;[[TCDeals] - [TC Property Current Stage (Seq: 1)] - [Property Score (Seq: 1)] Housing Needs C - Both]&gt;</t>
        </r>
      </text>
    </comment>
    <comment ref="C529" authorId="0" shapeId="0" xr:uid="{3B0F1676-33F7-4170-B0D1-D7DCA7FE7986}">
      <text>
        <r>
          <rPr>
            <b/>
            <sz val="9"/>
            <color indexed="81"/>
            <rFont val="Tahoma"/>
            <family val="2"/>
          </rPr>
          <t>&lt;[[TCDeals] - [TC Property Current Stage (Seq: 1)] - [Property Score (Seq: 1)] Housing Needs D - Both]&gt;</t>
        </r>
      </text>
    </comment>
    <comment ref="C530" authorId="0" shapeId="0" xr:uid="{05CC1DA8-37A0-4D95-BE14-84F67B51C3CB}">
      <text>
        <r>
          <rPr>
            <b/>
            <sz val="9"/>
            <color indexed="81"/>
            <rFont val="Tahoma"/>
            <family val="2"/>
          </rPr>
          <t>&lt;[[TCDeals] - [TC Property Current Stage (Seq: 1)] - [Property Score (Seq: 1)] Dev Char A - Both]&gt;</t>
        </r>
      </text>
    </comment>
    <comment ref="C531" authorId="0" shapeId="0" xr:uid="{F51DFE0B-F687-4C69-9552-6136B9F8D4F9}">
      <text>
        <r>
          <rPr>
            <b/>
            <sz val="9"/>
            <color indexed="81"/>
            <rFont val="Tahoma"/>
            <family val="2"/>
          </rPr>
          <t>&lt;[[TCDeals] - [TC Property Current Stage (Seq: 1)] - [Property Score (Seq: 1)] Dev Char B - Both]&gt;</t>
        </r>
      </text>
    </comment>
    <comment ref="C532" authorId="0" shapeId="0" xr:uid="{FE2A68EE-8E21-4A90-B069-4A675555AFBE}">
      <text>
        <r>
          <rPr>
            <b/>
            <sz val="9"/>
            <color indexed="81"/>
            <rFont val="Tahoma"/>
            <family val="2"/>
          </rPr>
          <t>&lt;[[TCDeals] - [TC Property Current Stage (Seq: 1)] - [Property Score (Seq: 1)] Dev Char C - Both]&gt;</t>
        </r>
      </text>
    </comment>
    <comment ref="C533" authorId="0" shapeId="0" xr:uid="{15621177-C997-4938-BDCA-66B8D239B348}">
      <text>
        <r>
          <rPr>
            <b/>
            <sz val="9"/>
            <color indexed="81"/>
            <rFont val="Tahoma"/>
            <family val="2"/>
          </rPr>
          <t>&lt;[[TCDeals] - [TC Property Current Stage (Seq: 1)] - [Property Score (Seq: 1)] Dev Char D - Both]&gt;</t>
        </r>
      </text>
    </comment>
    <comment ref="C534" authorId="0" shapeId="0" xr:uid="{FE1B7283-91F0-4568-BFDC-D063F7236518}">
      <text>
        <r>
          <rPr>
            <b/>
            <sz val="9"/>
            <color indexed="81"/>
            <rFont val="Tahoma"/>
            <family val="2"/>
          </rPr>
          <t>&lt;[[TCDeals] - [TC Property Current Stage (Seq: 1)] - [Property Score (Seq: 1)] Dev Char E - Both]&gt;</t>
        </r>
      </text>
    </comment>
    <comment ref="C535" authorId="0" shapeId="0" xr:uid="{F0150116-2BCC-4321-94FF-F9A2B763586B}">
      <text>
        <r>
          <rPr>
            <b/>
            <sz val="9"/>
            <color indexed="81"/>
            <rFont val="Tahoma"/>
            <family val="2"/>
          </rPr>
          <t>&lt;[[TCDeals] - [TC Property Current Stage (Seq: 1)] - [Property Score (Seq: 1)] Dev Char F - Both]&gt;</t>
        </r>
      </text>
    </comment>
    <comment ref="C536" authorId="0" shapeId="0" xr:uid="{5BA58652-22C5-4970-82A9-CB217708F5D3}">
      <text>
        <r>
          <rPr>
            <b/>
            <sz val="9"/>
            <color indexed="81"/>
            <rFont val="Tahoma"/>
            <family val="2"/>
          </rPr>
          <t>&lt;[[TCDeals] - [TC Property Current Stage (Seq: 1)] - [Property Score (Seq: 1)] Dev Char G - Both]&gt;</t>
        </r>
      </text>
    </comment>
    <comment ref="C537" authorId="0" shapeId="0" xr:uid="{C9F7747B-DBBE-451D-9B77-DB27424C6EB6}">
      <text>
        <r>
          <rPr>
            <b/>
            <sz val="9"/>
            <color indexed="81"/>
            <rFont val="Tahoma"/>
            <family val="2"/>
          </rPr>
          <t>&lt;[[TCDeals] - [TC Property Current Stage (Seq: 1)] - [Property Score (Seq: 1)] Dev Char H - Both]&gt;</t>
        </r>
      </text>
    </comment>
    <comment ref="C538" authorId="2" shapeId="0" xr:uid="{74C92545-C938-4E5C-9A1E-EE0418819C87}">
      <text>
        <r>
          <rPr>
            <b/>
            <sz val="9"/>
            <color indexed="81"/>
            <rFont val="Tahoma"/>
            <family val="2"/>
          </rPr>
          <t>&lt;[[TCDeals] - [TC Property Current Stage (Seq: 1)] - [Property Score (Seq: 1)] Dev Char I - Both]&gt;</t>
        </r>
      </text>
    </comment>
    <comment ref="C539" authorId="2" shapeId="0" xr:uid="{06B9EB84-B570-4D9C-B848-EA6172D9930C}">
      <text>
        <r>
          <rPr>
            <b/>
            <sz val="9"/>
            <color indexed="81"/>
            <rFont val="Tahoma"/>
            <family val="2"/>
          </rPr>
          <t>&lt;[[TCDeals] - [TC Property Current Stage (Seq: 1)] - [Property Score (Seq: 1)] Dev Char J - Both]&gt;</t>
        </r>
      </text>
    </comment>
    <comment ref="C540" authorId="0" shapeId="0" xr:uid="{8E9372FE-F4C9-46A5-A75C-FD7FEB766C59}">
      <text>
        <r>
          <rPr>
            <b/>
            <sz val="9"/>
            <color indexed="81"/>
            <rFont val="Tahoma"/>
            <family val="2"/>
          </rPr>
          <t>&lt;[[TCDeals] - [TC Property Current Stage (Seq: 1)] - [Property Score (Seq: 1)] Sponsor Char A - Both]&gt;</t>
        </r>
      </text>
    </comment>
    <comment ref="C541" authorId="0" shapeId="0" xr:uid="{262D8E22-B913-42AC-BB0B-B8D96467F5E4}">
      <text>
        <r>
          <rPr>
            <b/>
            <sz val="9"/>
            <color indexed="81"/>
            <rFont val="Tahoma"/>
            <family val="2"/>
          </rPr>
          <t>&lt;[[TCDeals] - [TC Property Current Stage (Seq: 1)] - [Property Score (Seq: 1)] Tenant Char A - Both]&gt;</t>
        </r>
      </text>
    </comment>
    <comment ref="C542" authorId="0" shapeId="0" xr:uid="{36D8DB5C-2664-4B23-A130-BF85C6DE4602}">
      <text>
        <r>
          <rPr>
            <b/>
            <sz val="9"/>
            <color indexed="81"/>
            <rFont val="Tahoma"/>
            <family val="2"/>
          </rPr>
          <t>&lt;[[TCDeals] - [TC Property Current Stage (Seq: 1)] - [Property Points (Seq: 1)] Applicant/Sponsor Organization - Both]&gt;</t>
        </r>
      </text>
    </comment>
    <comment ref="C543" authorId="0" shapeId="0" xr:uid="{4DD0E17E-7557-4456-BDD4-C94C8B277BEE}">
      <text>
        <r>
          <rPr>
            <b/>
            <sz val="9"/>
            <color indexed="81"/>
            <rFont val="Tahoma"/>
            <family val="2"/>
          </rPr>
          <t>&lt;[[TCDeals] - [TC Property Current Stage (Seq: 1)] - [Property Points (Seq: 1)] Applicant/Sponsor Contact First Name - Both]&gt;</t>
        </r>
      </text>
    </comment>
    <comment ref="C544" authorId="0" shapeId="0" xr:uid="{6A9603DA-99BD-4176-93F3-735250F44CEB}">
      <text>
        <r>
          <rPr>
            <b/>
            <sz val="9"/>
            <color indexed="81"/>
            <rFont val="Tahoma"/>
            <family val="2"/>
          </rPr>
          <t>&lt;[[TCDeals] - [TC Property Current Stage (Seq: 1)] - [Property Points (Seq: 1)] Applicant/Sponsor Contact Last Name - Both]&gt;</t>
        </r>
      </text>
    </comment>
    <comment ref="C545" authorId="0" shapeId="0" xr:uid="{4BFE5953-6A52-4A80-86B0-FC0EC792FA48}">
      <text>
        <r>
          <rPr>
            <b/>
            <sz val="9"/>
            <color indexed="81"/>
            <rFont val="Tahoma"/>
            <family val="2"/>
          </rPr>
          <t>&lt;[[TCDeals] - [TC Property Current Stage (Seq: 1)] - [Property Points (Seq: 1)] Applicant/Sponsor Address - Both]&gt;</t>
        </r>
      </text>
    </comment>
    <comment ref="C546" authorId="0" shapeId="0" xr:uid="{371CF4FB-342F-4CFD-9CCE-87CA8E3244DF}">
      <text>
        <r>
          <rPr>
            <b/>
            <sz val="9"/>
            <color indexed="81"/>
            <rFont val="Tahoma"/>
            <family val="2"/>
          </rPr>
          <t>&lt;[[TCDeals] - [TC Property Current Stage (Seq: 1)] - [Property Points (Seq: 1)] Applicant/Sponsor City - Both]&gt;</t>
        </r>
      </text>
    </comment>
    <comment ref="C547" authorId="0" shapeId="0" xr:uid="{58C76A72-4861-4FCE-8F84-554597FA7E75}">
      <text>
        <r>
          <rPr>
            <b/>
            <sz val="9"/>
            <color indexed="81"/>
            <rFont val="Tahoma"/>
            <family val="2"/>
          </rPr>
          <t>&lt;[[TCDeals] - [TC Property Current Stage (Seq: 1)] - [Property Points (Seq: 1)] Applicant/Sponsor Phone # - Both]&gt;</t>
        </r>
      </text>
    </comment>
    <comment ref="C548" authorId="0" shapeId="0" xr:uid="{98303806-5868-4A76-A283-72501F134484}">
      <text>
        <r>
          <rPr>
            <b/>
            <sz val="9"/>
            <color indexed="81"/>
            <rFont val="Tahoma"/>
            <family val="2"/>
          </rPr>
          <t>&lt;[[TCDeals] - [TC Property Current Stage (Seq: 1)] - [Property Points (Seq: 1)] Applicant/Sponsor Email - Both]&gt;</t>
        </r>
      </text>
    </comment>
    <comment ref="C549" authorId="0" shapeId="0" xr:uid="{0DC25B0F-4F9D-4E95-895A-4547BA9AAD1A}">
      <text>
        <r>
          <rPr>
            <b/>
            <sz val="9"/>
            <color indexed="81"/>
            <rFont val="Tahoma"/>
            <family val="2"/>
          </rPr>
          <t>&lt;[[TCDeals] - [TC Property Current Stage (Seq: 1)] - [Property Points (Seq: 1)] Applicant/Sponsor State - Both]&gt;</t>
        </r>
      </text>
    </comment>
    <comment ref="C550" authorId="0" shapeId="0" xr:uid="{6B990B07-186C-42B9-B4C6-F3F5A2647E4F}">
      <text>
        <r>
          <rPr>
            <b/>
            <sz val="9"/>
            <color indexed="81"/>
            <rFont val="Tahoma"/>
            <family val="2"/>
          </rPr>
          <t>&lt;[[TCDeals] - [TC Property Current Stage (Seq: 1)] - [Property Points (Seq: 1)] Applicant/Sponsor Zip Code - Both]&gt;</t>
        </r>
      </text>
    </comment>
    <comment ref="C551" authorId="1" shapeId="0" xr:uid="{C6C9B9C3-DE27-4335-AEED-6210C22D93BB}">
      <text>
        <r>
          <rPr>
            <b/>
            <sz val="9"/>
            <color indexed="81"/>
            <rFont val="Tahoma"/>
            <family val="2"/>
          </rPr>
          <t>&lt;[[TCDeals] - [TC Property Current Stage (Seq: 1)] - [Property Points (Seq: 1)] Applicant racial/ethnic composition - Both]&gt;</t>
        </r>
      </text>
    </comment>
    <comment ref="C552" authorId="1" shapeId="0" xr:uid="{EC3B12FC-51DA-4C77-BC2B-15698F0ED4B1}">
      <text>
        <r>
          <rPr>
            <b/>
            <sz val="9"/>
            <color indexed="81"/>
            <rFont val="Tahoma"/>
            <family val="2"/>
          </rPr>
          <t>&lt;[[TCDeals] - [TC Property Current Stage (Seq: 1)] - [Property Points (Seq: 1)] Applicant gender composition - Both]&gt;</t>
        </r>
      </text>
    </comment>
    <comment ref="C553" authorId="0" shapeId="0" xr:uid="{0026AAA0-53C4-40C6-BA68-B1913ABA62FC}">
      <text>
        <r>
          <rPr>
            <b/>
            <sz val="9"/>
            <color indexed="81"/>
            <rFont val="Tahoma"/>
            <family val="2"/>
          </rPr>
          <t>&lt;[[TCDeals] - [TC Property Current Stage (Seq: 1)] Owner Name - Both]&gt;</t>
        </r>
      </text>
    </comment>
    <comment ref="C554" authorId="0" shapeId="0" xr:uid="{848E222B-9285-4DA9-BC68-E31104221409}">
      <text>
        <r>
          <rPr>
            <b/>
            <sz val="9"/>
            <color indexed="81"/>
            <rFont val="Tahoma"/>
            <family val="2"/>
          </rPr>
          <t>&lt;[[TCDeals] - [TC Property Current Stage (Seq: 1)] Owner Contact First Name - Both]&gt;</t>
        </r>
      </text>
    </comment>
    <comment ref="C555" authorId="0" shapeId="0" xr:uid="{D5ABAD21-4075-40C5-85A6-A8C179D54BE9}">
      <text>
        <r>
          <rPr>
            <b/>
            <sz val="9"/>
            <color indexed="81"/>
            <rFont val="Tahoma"/>
            <family val="2"/>
          </rPr>
          <t>&lt;[[TCDeals] - [TC Property Current Stage (Seq: 1)] Owner Contact Last Name - Both]&gt;</t>
        </r>
      </text>
    </comment>
    <comment ref="C556" authorId="0" shapeId="0" xr:uid="{F4E2DD78-E409-44FA-9285-3D9DDFFFFA8D}">
      <text>
        <r>
          <rPr>
            <b/>
            <sz val="9"/>
            <color indexed="81"/>
            <rFont val="Tahoma"/>
            <family val="2"/>
          </rPr>
          <t>&lt;[[TCDeals] - [TC Property Current Stage (Seq: 1)] Owner Address - Both]&gt;</t>
        </r>
      </text>
    </comment>
    <comment ref="C557" authorId="0" shapeId="0" xr:uid="{EAF56B6A-E851-4DBF-9C1C-A6BE4188C67E}">
      <text>
        <r>
          <rPr>
            <b/>
            <sz val="9"/>
            <color indexed="81"/>
            <rFont val="Tahoma"/>
            <family val="2"/>
          </rPr>
          <t>&lt;[[TCDeals] - [TC Property Current Stage (Seq: 1)] Owner City - Both]&gt;</t>
        </r>
      </text>
    </comment>
    <comment ref="C558" authorId="0" shapeId="0" xr:uid="{CE2D0C61-3DA1-4229-A7E8-0948B6DF6945}">
      <text>
        <r>
          <rPr>
            <b/>
            <sz val="9"/>
            <color indexed="81"/>
            <rFont val="Tahoma"/>
            <family val="2"/>
          </rPr>
          <t>&lt;[[TCDeals] - [TC Property Current Stage (Seq: 1)] Owner State - Both]&gt;</t>
        </r>
      </text>
    </comment>
    <comment ref="C559" authorId="0" shapeId="0" xr:uid="{4C3C76FB-67D4-4644-877D-EACBA36FF85E}">
      <text>
        <r>
          <rPr>
            <b/>
            <sz val="9"/>
            <color indexed="81"/>
            <rFont val="Tahoma"/>
            <family val="2"/>
          </rPr>
          <t>&lt;[[TCDeals] - [TC Property Current Stage (Seq: 1)] Owner Zip - Both]&gt;</t>
        </r>
      </text>
    </comment>
    <comment ref="C560" authorId="0" shapeId="0" xr:uid="{E15A52A6-965C-4CD4-B2C6-BAA306262836}">
      <text>
        <r>
          <rPr>
            <b/>
            <sz val="9"/>
            <color indexed="81"/>
            <rFont val="Tahoma"/>
            <family val="2"/>
          </rPr>
          <t>&lt;[[TCDeals] - [TC Property Current Stage (Seq: 1)] Owner Fed Tax Id Number - Both]&gt;</t>
        </r>
      </text>
    </comment>
    <comment ref="C561" authorId="0" shapeId="0" xr:uid="{BA88CF6A-8EF4-48B8-B034-DD35AD45D0F9}">
      <text>
        <r>
          <rPr>
            <b/>
            <sz val="9"/>
            <color indexed="81"/>
            <rFont val="Tahoma"/>
            <family val="2"/>
          </rPr>
          <t>&lt;[[TCDeals] - [TC Property Current Stage (Seq: 1)] Owner Phone - Both]&gt;</t>
        </r>
      </text>
    </comment>
    <comment ref="C562" authorId="0" shapeId="0" xr:uid="{545AA95F-923A-4EC1-AB83-6BC7459AF30C}">
      <text>
        <r>
          <rPr>
            <b/>
            <sz val="9"/>
            <color indexed="81"/>
            <rFont val="Tahoma"/>
            <family val="2"/>
          </rPr>
          <t>&lt;[[TCDeals] - [TC Property Current Stage (Seq: 1)] Owner Email - Both]&gt;</t>
        </r>
      </text>
    </comment>
    <comment ref="C563" authorId="0" shapeId="0" xr:uid="{A210F44A-47F7-4993-A453-79D0E083A8C2}">
      <text>
        <r>
          <rPr>
            <b/>
            <sz val="9"/>
            <color indexed="81"/>
            <rFont val="Tahoma"/>
            <family val="2"/>
          </rPr>
          <t>&lt;[[TCDeals] - [TC Property Current Stage (Seq: 1)] - [Property Points (Seq: 1)] Optional Field 461 - Both]&gt;</t>
        </r>
      </text>
    </comment>
    <comment ref="C564" authorId="1" shapeId="0" xr:uid="{5EDC9F8D-1169-41C7-940C-E83E32720DC2}">
      <text>
        <r>
          <rPr>
            <b/>
            <sz val="9"/>
            <color indexed="81"/>
            <rFont val="Tahoma"/>
            <family val="2"/>
          </rPr>
          <t>&lt;[[TCDeals] - [TC Property Current Stage (Seq: 1)] - [Property Points (Seq: 1)] OWNER Name(s) and State(s) of previous LIHTC properties2 - Both]&gt;</t>
        </r>
      </text>
    </comment>
    <comment ref="C565" authorId="1" shapeId="0" xr:uid="{419FAA1C-E74C-492B-A9E4-2E8200390C28}">
      <text>
        <r>
          <rPr>
            <b/>
            <sz val="9"/>
            <color indexed="81"/>
            <rFont val="Tahoma"/>
            <family val="2"/>
          </rPr>
          <t>&lt;[[TCDeals] - [TC Property Current Stage (Seq: 1)] - [Property Points (Seq: 1)] Owner racial/ethnic composition - Both]&gt;</t>
        </r>
      </text>
    </comment>
    <comment ref="C566" authorId="1" shapeId="0" xr:uid="{DBCC0DD1-B6C7-4BAC-B055-3B092AFBB15A}">
      <text>
        <r>
          <rPr>
            <b/>
            <sz val="9"/>
            <color indexed="81"/>
            <rFont val="Tahoma"/>
            <family val="2"/>
          </rPr>
          <t>&lt;[[TCDeals] - [TC Property Current Stage (Seq: 1)] - [Property Points (Seq: 1)] Owner gender composition - Both]&gt;</t>
        </r>
      </text>
    </comment>
    <comment ref="C567" authorId="0" shapeId="0" xr:uid="{273B7A1D-72B5-4093-8D8D-75C87B101C80}">
      <text>
        <r>
          <rPr>
            <b/>
            <sz val="9"/>
            <color indexed="81"/>
            <rFont val="Tahoma"/>
            <family val="2"/>
          </rPr>
          <t>&lt;[[TCDeals] - [TC Property Current Stage (Seq: 1)] Is Non Profit Involvement - Both]&gt;</t>
        </r>
      </text>
    </comment>
    <comment ref="C568" authorId="0" shapeId="0" xr:uid="{A8B2ACE7-7F92-4E77-927E-48E815F93D66}">
      <text>
        <r>
          <rPr>
            <b/>
            <sz val="9"/>
            <color indexed="81"/>
            <rFont val="Tahoma"/>
            <family val="2"/>
          </rPr>
          <t>&lt;[[TCDeals] - [TC Property Current Stage (Seq: 1)] Contractor Contact Name - Both]&gt;</t>
        </r>
      </text>
    </comment>
    <comment ref="C569" authorId="0" shapeId="0" xr:uid="{628FC45C-2678-49F8-8C22-AEB13FB5A7AD}">
      <text>
        <r>
          <rPr>
            <b/>
            <sz val="9"/>
            <color indexed="81"/>
            <rFont val="Tahoma"/>
            <family val="2"/>
          </rPr>
          <t>&lt;[[TCDeals] - [TC Property Current Stage (Seq: 1)] Contractor Firm Name - Both]&gt;</t>
        </r>
      </text>
    </comment>
    <comment ref="C570" authorId="0" shapeId="0" xr:uid="{CAC11E6E-29BC-4D34-9539-B6A63E008401}">
      <text>
        <r>
          <rPr>
            <b/>
            <sz val="9"/>
            <color indexed="81"/>
            <rFont val="Tahoma"/>
            <family val="2"/>
          </rPr>
          <t>&lt;[[TCDeals] - [TC Property Current Stage (Seq: 1)] Mgt Entity Contact Name - Both]&gt;</t>
        </r>
      </text>
    </comment>
    <comment ref="C571" authorId="0" shapeId="0" xr:uid="{B6240601-6202-40A7-949E-075F66939438}">
      <text>
        <r>
          <rPr>
            <b/>
            <sz val="9"/>
            <color indexed="81"/>
            <rFont val="Tahoma"/>
            <family val="2"/>
          </rPr>
          <t>&lt;[[TCDeals] - [TC Property Current Stage (Seq: 1)] Mgt Entity Firm Name - Both]&gt;</t>
        </r>
      </text>
    </comment>
    <comment ref="C572" authorId="0" shapeId="0" xr:uid="{7CD96426-6957-4D5E-8BA1-8B85243CE4F2}">
      <text>
        <r>
          <rPr>
            <b/>
            <sz val="9"/>
            <color indexed="81"/>
            <rFont val="Tahoma"/>
            <family val="2"/>
          </rPr>
          <t>&lt;[[TCDeals] - [TC Property Current Stage (Seq: 1)] - [Property Points (Seq: 1)] Management Contact Email - Both]&gt;</t>
        </r>
      </text>
    </comment>
    <comment ref="C573" authorId="0" shapeId="0" xr:uid="{27B6FD8C-676B-403A-99D7-A5372701F792}">
      <text>
        <r>
          <rPr>
            <b/>
            <sz val="9"/>
            <color indexed="81"/>
            <rFont val="Tahoma"/>
            <family val="2"/>
          </rPr>
          <t>&lt;[[TCDeals] - [TC Property Current Stage (Seq: 1)] - [Property Points (Seq: 1)] Management Contact Phone - Both]&gt;</t>
        </r>
      </text>
    </comment>
    <comment ref="C574" authorId="0" shapeId="0" xr:uid="{50E955D9-514A-4F25-BE2E-6213CEC174D4}">
      <text>
        <r>
          <rPr>
            <b/>
            <sz val="9"/>
            <color indexed="81"/>
            <rFont val="Tahoma"/>
            <family val="2"/>
          </rPr>
          <t>&lt;[[TCDeals] - [TC Property Current Stage (Seq: 1)] Consultant Contact Name - Both]&gt;</t>
        </r>
      </text>
    </comment>
    <comment ref="C575" authorId="0" shapeId="0" xr:uid="{3EF8CBB4-2961-42D3-8169-130F791592C1}">
      <text>
        <r>
          <rPr>
            <b/>
            <sz val="9"/>
            <color indexed="81"/>
            <rFont val="Tahoma"/>
            <family val="2"/>
          </rPr>
          <t>&lt;[[TCDeals] - [TC Property Current Stage (Seq: 1)] Consultant Firm Name - Both]&gt;</t>
        </r>
      </text>
    </comment>
    <comment ref="C576" authorId="0" shapeId="0" xr:uid="{8171FBCE-8C72-4F9B-ACF4-19FF8B045EDD}">
      <text>
        <r>
          <rPr>
            <b/>
            <sz val="9"/>
            <color indexed="81"/>
            <rFont val="Tahoma"/>
            <family val="2"/>
          </rPr>
          <t>&lt;[[TCDeals] - [TC Property Current Stage (Seq: 1)] Tax Accountant Contact Name - Both]&gt;</t>
        </r>
      </text>
    </comment>
    <comment ref="C577" authorId="0" shapeId="0" xr:uid="{09DC72B1-E02E-42E7-B542-623BC09D945C}">
      <text>
        <r>
          <rPr>
            <b/>
            <sz val="9"/>
            <color indexed="81"/>
            <rFont val="Tahoma"/>
            <family val="2"/>
          </rPr>
          <t>&lt;[[TCDeals] - [TC Property Current Stage (Seq: 1)] Tax Accountant Firm Name - Both]&gt;</t>
        </r>
      </text>
    </comment>
    <comment ref="C578" authorId="0" shapeId="0" xr:uid="{FA778CCA-3A6B-4F0C-A66F-B459BA29E01B}">
      <text>
        <r>
          <rPr>
            <b/>
            <sz val="9"/>
            <color indexed="81"/>
            <rFont val="Tahoma"/>
            <family val="2"/>
          </rPr>
          <t>&lt;[[TCDeals] - [TC Property Current Stage (Seq: 1)] Architect Contact Name - Both]&gt;</t>
        </r>
      </text>
    </comment>
    <comment ref="C579" authorId="0" shapeId="0" xr:uid="{9D437406-7403-4242-8320-9173ADCF6AC9}">
      <text>
        <r>
          <rPr>
            <b/>
            <sz val="9"/>
            <color indexed="81"/>
            <rFont val="Tahoma"/>
            <family val="2"/>
          </rPr>
          <t>&lt;[[TCDeals] - [TC Property Current Stage (Seq: 1)] Architect Firm Name - Both]&gt;</t>
        </r>
      </text>
    </comment>
    <comment ref="C580" authorId="0" shapeId="0" xr:uid="{4937C3F5-DFED-4235-BABD-698BDB1F30C5}">
      <text>
        <r>
          <rPr>
            <b/>
            <sz val="9"/>
            <color indexed="81"/>
            <rFont val="Tahoma"/>
            <family val="2"/>
          </rPr>
          <t>&lt;[[TCDeals] - [TC Property Current Stage (Seq: 1)] Non Profit Name - Both]&gt;</t>
        </r>
      </text>
    </comment>
    <comment ref="C581" authorId="0" shapeId="0" xr:uid="{8929D144-BBBB-4FA5-9DC3-5F03D538CD88}">
      <text>
        <r>
          <rPr>
            <b/>
            <sz val="9"/>
            <color indexed="81"/>
            <rFont val="Tahoma"/>
            <family val="2"/>
          </rPr>
          <t>&lt;[[TCDeals] - [TC Property Current Stage (Seq: 1)] Syndicator - Both]&gt;</t>
        </r>
      </text>
    </comment>
    <comment ref="C582" authorId="0" shapeId="0" xr:uid="{56840161-5368-4042-9DC2-8311E0472197}">
      <text>
        <r>
          <rPr>
            <b/>
            <sz val="9"/>
            <color indexed="81"/>
            <rFont val="Tahoma"/>
            <family val="2"/>
          </rPr>
          <t>&lt;[[TCDeals] - [TC Property Current Stage (Seq: 1)] - [Property Points (Seq: 1)] 3rd Party Estimator Name - Both]&gt;</t>
        </r>
      </text>
    </comment>
    <comment ref="C583" authorId="1" shapeId="0" xr:uid="{FB489BCF-A96E-42DE-AEC0-C5987E4F0981}">
      <text>
        <r>
          <rPr>
            <b/>
            <sz val="9"/>
            <color indexed="81"/>
            <rFont val="Tahoma"/>
            <family val="2"/>
          </rPr>
          <t>&lt;[[TCDeals] - [TC Property Current Stage (Seq: 1)] - [Property Points (Seq: 1)] Construction Lender - Both]&gt;</t>
        </r>
      </text>
    </comment>
    <comment ref="C584" authorId="1" shapeId="0" xr:uid="{AA98BEC9-756A-4FAF-A87F-D8CF9C350D28}">
      <text>
        <r>
          <rPr>
            <b/>
            <sz val="9"/>
            <color indexed="81"/>
            <rFont val="Tahoma"/>
            <family val="2"/>
          </rPr>
          <t>&lt;[[TCDeals] - [TC Property Current Stage (Seq: 1)] - [Property Points (Seq: 1)] Developer Org - Both]&gt;</t>
        </r>
      </text>
    </comment>
    <comment ref="C585" authorId="1" shapeId="0" xr:uid="{777B80A7-E753-4D8E-BBC0-50C1885414AE}">
      <text>
        <r>
          <rPr>
            <b/>
            <sz val="9"/>
            <color indexed="81"/>
            <rFont val="Tahoma"/>
            <family val="2"/>
          </rPr>
          <t>&lt;[[TCDeals] - [TC Property Current Stage (Seq: 1)] - [Property Points (Seq: 1)] Developer First Name - Both]&gt;</t>
        </r>
      </text>
    </comment>
    <comment ref="C586" authorId="1" shapeId="0" xr:uid="{7F5AB4D4-9C0F-4692-8D75-0E2287DA293A}">
      <text>
        <r>
          <rPr>
            <b/>
            <sz val="9"/>
            <color indexed="81"/>
            <rFont val="Tahoma"/>
            <family val="2"/>
          </rPr>
          <t>&lt;[[TCDeals] - [TC Property Current Stage (Seq: 1)] - [Property Points (Seq: 1)] Developer Last Name - Both]&gt;</t>
        </r>
      </text>
    </comment>
    <comment ref="C587" authorId="1" shapeId="0" xr:uid="{FF65BFD0-3C43-478A-B911-282FEF0A1ACA}">
      <text>
        <r>
          <rPr>
            <b/>
            <sz val="9"/>
            <color indexed="81"/>
            <rFont val="Tahoma"/>
            <family val="2"/>
          </rPr>
          <t>&lt;[[TCDeals] - [TC Property Current Stage (Seq: 1)] - [Property Points (Seq: 1)] Developer Phone - Both]&gt;</t>
        </r>
      </text>
    </comment>
    <comment ref="C588" authorId="1" shapeId="0" xr:uid="{E654BB81-C703-4717-875E-9646D4A4E202}">
      <text>
        <r>
          <rPr>
            <b/>
            <sz val="9"/>
            <color indexed="81"/>
            <rFont val="Tahoma"/>
            <family val="2"/>
          </rPr>
          <t>&lt;[[TCDeals] - [TC Property Current Stage (Seq: 1)] - [Property Points (Seq: 1)] Developer Email - Both]&gt;</t>
        </r>
      </text>
    </comment>
    <comment ref="C589" authorId="1" shapeId="0" xr:uid="{B396BE3D-25A7-4444-AFB3-1EBB79BB835B}">
      <text>
        <r>
          <rPr>
            <b/>
            <sz val="9"/>
            <color indexed="81"/>
            <rFont val="Tahoma"/>
            <family val="2"/>
          </rPr>
          <t>&lt;[[TCDeals] - [TC Property Current Stage (Seq: 1)] - [Property Points (Seq: 1)] 3RD PARTY Name(s) and State(s) of previous LIHTC properties - Both]&gt;</t>
        </r>
      </text>
    </comment>
    <comment ref="C590" authorId="1" shapeId="0" xr:uid="{57D75772-0382-4B34-AF91-0A40D344F61C}">
      <text>
        <r>
          <rPr>
            <b/>
            <sz val="9"/>
            <color indexed="81"/>
            <rFont val="Tahoma"/>
            <family val="2"/>
          </rPr>
          <t>&lt;[[TCDeals] - [TC Property Current Stage (Seq: 1)] - [Property Points (Seq: 1)] Developer racial/ethnic composition - Both]&gt;</t>
        </r>
      </text>
    </comment>
    <comment ref="C591" authorId="1" shapeId="0" xr:uid="{54C25C53-32DD-4C70-A4CD-FB78BA253007}">
      <text>
        <r>
          <rPr>
            <b/>
            <sz val="9"/>
            <color indexed="81"/>
            <rFont val="Tahoma"/>
            <family val="2"/>
          </rPr>
          <t>&lt;[[TCDeals] - [TC Property Current Stage (Seq: 1)] - [Property Points (Seq: 1)] Developer gender composition - Both]&gt;</t>
        </r>
      </text>
    </comment>
    <comment ref="C592" authorId="1" shapeId="0" xr:uid="{9E201594-482C-48CC-90DE-7643B301553C}">
      <text>
        <r>
          <rPr>
            <b/>
            <sz val="9"/>
            <color indexed="81"/>
            <rFont val="Tahoma"/>
            <family val="2"/>
          </rPr>
          <t>&lt;[[TCDeals] - [TC Property Current Stage (Seq: 1)] - [Property Points (Seq: 1)] General Partner Contact to be Published Org - Both]&gt;</t>
        </r>
      </text>
    </comment>
    <comment ref="C593" authorId="1" shapeId="0" xr:uid="{5D2CDFF7-8D0C-4699-8EBF-0F98F8F1369C}">
      <text>
        <r>
          <rPr>
            <b/>
            <sz val="9"/>
            <color indexed="81"/>
            <rFont val="Tahoma"/>
            <family val="2"/>
          </rPr>
          <t>&lt;[[TCDeals] - [TC Property Current Stage (Seq: 1)] - [Property Points (Seq: 1)] General Partner Contact to be Published First Name - Both]&gt;</t>
        </r>
      </text>
    </comment>
    <comment ref="C594" authorId="1" shapeId="0" xr:uid="{C4D4BE14-9B2A-44E1-A1F6-D4C642A012A1}">
      <text>
        <r>
          <rPr>
            <b/>
            <sz val="9"/>
            <color indexed="81"/>
            <rFont val="Tahoma"/>
            <family val="2"/>
          </rPr>
          <t>&lt;[[TCDeals] - [TC Property Current Stage (Seq: 1)] - [Property Points (Seq: 1)] General Partner Contact to be Published Last Name - Both]&gt;</t>
        </r>
      </text>
    </comment>
    <comment ref="C595" authorId="1" shapeId="0" xr:uid="{19A9BB75-F94D-4382-8A14-2C13E4633FCA}">
      <text>
        <r>
          <rPr>
            <b/>
            <sz val="9"/>
            <color indexed="81"/>
            <rFont val="Tahoma"/>
            <family val="2"/>
          </rPr>
          <t>&lt;[[TCDeals] - [TC Property Current Stage (Seq: 1)] - [Property Points (Seq: 1)] General Partner Contact to be Published Phone - Both]&gt;</t>
        </r>
      </text>
    </comment>
    <comment ref="C596" authorId="1" shapeId="0" xr:uid="{206BD5BB-489B-4BF9-A90E-FA65009267EF}">
      <text>
        <r>
          <rPr>
            <b/>
            <sz val="9"/>
            <color indexed="81"/>
            <rFont val="Tahoma"/>
            <family val="2"/>
          </rPr>
          <t>&lt;[[TCDeals] - [TC Property Current Stage (Seq: 1)] - [Property Points (Seq: 1)] General Partner Contact to be Published Email - Both]&gt;</t>
        </r>
      </text>
    </comment>
    <comment ref="C597" authorId="1" shapeId="0" xr:uid="{2EA8A265-4BAE-406C-8333-0457AB2D60A4}">
      <text>
        <r>
          <rPr>
            <b/>
            <sz val="9"/>
            <color indexed="81"/>
            <rFont val="Tahoma"/>
            <family val="2"/>
          </rPr>
          <t>&lt;[[TCDeals] - [TC Property Current Stage (Seq: 1)] - [Property Points (Seq: 1)] GENERAL P Name(s) and State(s) of previous LIHTC properties - Both]&gt;</t>
        </r>
      </text>
    </comment>
    <comment ref="C598" authorId="1" shapeId="0" xr:uid="{CF8DD938-A0F4-4E34-AC3F-B824F56AA3C7}">
      <text>
        <r>
          <rPr>
            <b/>
            <sz val="9"/>
            <color indexed="81"/>
            <rFont val="Tahoma"/>
            <family val="2"/>
          </rPr>
          <t>&lt;[[TCDeals] - [TC Property Current Stage (Seq: 1)] - [Property Points (Seq: 1)] General Partner racial/ethnic composition - Both]&gt;</t>
        </r>
      </text>
    </comment>
    <comment ref="C599" authorId="1" shapeId="0" xr:uid="{6FD768CE-06AB-4360-988E-9E994FA1DBEF}">
      <text>
        <r>
          <rPr>
            <b/>
            <sz val="9"/>
            <color indexed="81"/>
            <rFont val="Tahoma"/>
            <family val="2"/>
          </rPr>
          <t>&lt;[[TCDeals] - [TC Property Current Stage (Seq: 1)] - [Property Points (Seq: 1)] General Partner gender composition - Both]&gt;</t>
        </r>
      </text>
    </comment>
    <comment ref="C600" authorId="1" shapeId="0" xr:uid="{5092696D-678F-4449-A1C9-3F868202DD61}">
      <text>
        <r>
          <rPr>
            <b/>
            <sz val="9"/>
            <color indexed="81"/>
            <rFont val="Tahoma"/>
            <family val="2"/>
          </rPr>
          <t>&lt;[[TCDeals] - [TC Property Current Stage (Seq: 1)] - [Property Points (Seq: 1)] Syndicator Organization Name - Both]&gt;</t>
        </r>
      </text>
    </comment>
    <comment ref="C601" authorId="1" shapeId="0" xr:uid="{85EC2D7D-32EF-401F-A644-767B3F1080E7}">
      <text>
        <r>
          <rPr>
            <b/>
            <sz val="9"/>
            <color indexed="81"/>
            <rFont val="Tahoma"/>
            <family val="2"/>
          </rPr>
          <t>&lt;[[TCDeals] - [TC Property Current Stage (Seq: 1)] - [Property Points (Seq: 1)] Syndicator Contact Name - Both]&gt;</t>
        </r>
      </text>
    </comment>
    <comment ref="C602" authorId="1" shapeId="0" xr:uid="{A391D110-EFC7-47C8-941A-21158A24E605}">
      <text>
        <r>
          <rPr>
            <b/>
            <sz val="9"/>
            <color indexed="81"/>
            <rFont val="Tahoma"/>
            <family val="2"/>
          </rPr>
          <t>&lt;[[TCDeals] - [TC Property Current Stage (Seq: 1)] - [Property Points (Seq: 1)] Syndicator Last Name - Both]&gt;</t>
        </r>
      </text>
    </comment>
    <comment ref="C603" authorId="1" shapeId="0" xr:uid="{0B997B97-5BA6-4B99-90A8-EB37E83F2995}">
      <text>
        <r>
          <rPr>
            <b/>
            <sz val="9"/>
            <color indexed="81"/>
            <rFont val="Tahoma"/>
            <family val="2"/>
          </rPr>
          <t>&lt;[[TCDeals] - [TC Property Current Stage (Seq: 1)] - [Property Points (Seq: 1)] Syndicator Phone - Both]&gt;</t>
        </r>
      </text>
    </comment>
    <comment ref="C604" authorId="1" shapeId="0" xr:uid="{8B078BEA-B400-4A48-9042-553815049125}">
      <text>
        <r>
          <rPr>
            <b/>
            <sz val="9"/>
            <color indexed="81"/>
            <rFont val="Tahoma"/>
            <family val="2"/>
          </rPr>
          <t>&lt;[[TCDeals] - [TC Property Current Stage (Seq: 1)] - [Property Points (Seq: 1)] Syndicator Email - Both]&gt;</t>
        </r>
      </text>
    </comment>
    <comment ref="C605" authorId="1" shapeId="0" xr:uid="{AFA77B92-B682-4641-88AD-E5968561E516}">
      <text>
        <r>
          <rPr>
            <b/>
            <sz val="9"/>
            <color indexed="81"/>
            <rFont val="Tahoma"/>
            <family val="2"/>
          </rPr>
          <t>&lt;[[TCDeals] - [TC Property Current Stage (Seq: 1)] - [Property Points (Seq: 1)] State TC Syndicator/Investor Org - Both]&gt;</t>
        </r>
      </text>
    </comment>
    <comment ref="C606" authorId="1" shapeId="0" xr:uid="{8CAA10B3-3E52-4326-8937-8E45E0627C4F}">
      <text>
        <r>
          <rPr>
            <b/>
            <sz val="9"/>
            <color indexed="81"/>
            <rFont val="Tahoma"/>
            <family val="2"/>
          </rPr>
          <t>&lt;[[TCDeals] - [TC Property Current Stage (Seq: 1)] - [Property Points (Seq: 1)] State TC Syndicator/Investor Contact First Name - Both]&gt;</t>
        </r>
      </text>
    </comment>
    <comment ref="C607" authorId="1" shapeId="0" xr:uid="{3EC62541-0477-486F-A9AA-899F579E7CFE}">
      <text>
        <r>
          <rPr>
            <b/>
            <sz val="9"/>
            <color indexed="81"/>
            <rFont val="Tahoma"/>
            <family val="2"/>
          </rPr>
          <t>&lt;[[TCDeals] - [TC Property Current Stage (Seq: 1)] - [Property Points (Seq: 1)] State TC Syndicator/Investor Contact Last Name - Both]&gt;</t>
        </r>
      </text>
    </comment>
    <comment ref="C608" authorId="1" shapeId="0" xr:uid="{54898643-92E4-43C6-998F-4CBF7013B5D2}">
      <text>
        <r>
          <rPr>
            <b/>
            <sz val="9"/>
            <color indexed="81"/>
            <rFont val="Tahoma"/>
            <family val="2"/>
          </rPr>
          <t>&lt;[[TCDeals] - [TC Property Current Stage (Seq: 1)] - [Property Points (Seq: 1)] State TC Syndicator/Investor Phone - Both]&gt;</t>
        </r>
      </text>
    </comment>
    <comment ref="C609" authorId="1" shapeId="0" xr:uid="{FDADAB36-6843-491C-B4AE-6F0AD0F52CDB}">
      <text>
        <r>
          <rPr>
            <b/>
            <sz val="9"/>
            <color indexed="81"/>
            <rFont val="Tahoma"/>
            <family val="2"/>
          </rPr>
          <t>&lt;[[TCDeals] - [TC Property Current Stage (Seq: 1)] - [Property Points (Seq: 1)] State TC Syndicator/Investor Email - Both]&gt;</t>
        </r>
      </text>
    </comment>
    <comment ref="C610" authorId="1" shapeId="0" xr:uid="{DBEE0EC4-3EF9-4BDE-9AB4-BCAF3CD345F3}">
      <text>
        <r>
          <rPr>
            <b/>
            <sz val="9"/>
            <color indexed="81"/>
            <rFont val="Tahoma"/>
            <family val="2"/>
          </rPr>
          <t>&lt;[[TCDeals] - [TC Property Current Stage (Seq: 1)] - [Property Points (Seq: 1)] 3rd Party Estimator Org - Both]&gt;</t>
        </r>
      </text>
    </comment>
    <comment ref="C611" authorId="1" shapeId="0" xr:uid="{D70F9DA8-7AE0-4A23-B19C-3A07DB78F948}">
      <text>
        <r>
          <rPr>
            <b/>
            <sz val="9"/>
            <color indexed="81"/>
            <rFont val="Tahoma"/>
            <family val="2"/>
          </rPr>
          <t>&lt;[[TCDeals] - [TC Property Current Stage (Seq: 1)] - [Property Points (Seq: 1)] 3rd Party Estimator Contact First Name - Both]&gt;</t>
        </r>
      </text>
    </comment>
    <comment ref="C612" authorId="1" shapeId="0" xr:uid="{7171C5DD-C9E2-4F06-82B6-B24D4129AFAF}">
      <text>
        <r>
          <rPr>
            <b/>
            <sz val="9"/>
            <color indexed="81"/>
            <rFont val="Tahoma"/>
            <family val="2"/>
          </rPr>
          <t>&lt;[[TCDeals] - [TC Property Current Stage (Seq: 1)] - [Property Points (Seq: 1)] 3rd Party Estimator Contact Last Name - Both]&gt;</t>
        </r>
      </text>
    </comment>
    <comment ref="C613" authorId="1" shapeId="0" xr:uid="{03A3A0C2-22D7-48AE-A8BE-B9EBDD76BCAF}">
      <text>
        <r>
          <rPr>
            <b/>
            <sz val="9"/>
            <color indexed="81"/>
            <rFont val="Tahoma"/>
            <family val="2"/>
          </rPr>
          <t>&lt;[[TCDeals] - [TC Property Current Stage (Seq: 1)] - [Property Points (Seq: 1)] 3rd Party Estimator Contact Phone - Both]&gt;</t>
        </r>
      </text>
    </comment>
    <comment ref="C614" authorId="1" shapeId="0" xr:uid="{B63E7A72-AD8E-4D69-8621-53A6CDC52FB8}">
      <text>
        <r>
          <rPr>
            <b/>
            <sz val="9"/>
            <color indexed="81"/>
            <rFont val="Tahoma"/>
            <family val="2"/>
          </rPr>
          <t>&lt;[[TCDeals] - [TC Property Current Stage (Seq: 1)] - [Property Points (Seq: 1)] 3rd Party Estimator Email - Both]&gt;</t>
        </r>
      </text>
    </comment>
    <comment ref="C615" authorId="1" shapeId="0" xr:uid="{5CCE21FB-E2C3-448D-A753-4604281AA248}">
      <text>
        <r>
          <rPr>
            <b/>
            <sz val="9"/>
            <color indexed="81"/>
            <rFont val="Tahoma"/>
            <family val="2"/>
          </rPr>
          <t>&lt;[[TCDeals] - [TC Property Current Stage (Seq: 1)] - [Property Points (Seq: 1)] Contractor/General Contractor Org - Both]&gt;</t>
        </r>
      </text>
    </comment>
    <comment ref="C616" authorId="1" shapeId="0" xr:uid="{E89ADA1C-7C6E-4D57-B953-1AD1F70EF865}">
      <text>
        <r>
          <rPr>
            <b/>
            <sz val="9"/>
            <color indexed="81"/>
            <rFont val="Tahoma"/>
            <family val="2"/>
          </rPr>
          <t>&lt;[[TCDeals] - [TC Property Current Stage (Seq: 1)] - [Property Points (Seq: 1)] Contractor/General Contractor First Name - Both]&gt;</t>
        </r>
      </text>
    </comment>
    <comment ref="C617" authorId="1" shapeId="0" xr:uid="{E51FE537-F30D-4A5E-AEC8-6132F883FB61}">
      <text>
        <r>
          <rPr>
            <b/>
            <sz val="9"/>
            <color indexed="81"/>
            <rFont val="Tahoma"/>
            <family val="2"/>
          </rPr>
          <t>&lt;[[TCDeals] - [TC Property Current Stage (Seq: 1)] - [Property Points (Seq: 1)] Contractor/General Contractor Last Name - Both]&gt;</t>
        </r>
      </text>
    </comment>
    <comment ref="C618" authorId="1" shapeId="0" xr:uid="{CBB73AE4-1405-473C-AF1D-5AFD026EC9AF}">
      <text>
        <r>
          <rPr>
            <b/>
            <sz val="9"/>
            <color indexed="81"/>
            <rFont val="Tahoma"/>
            <family val="2"/>
          </rPr>
          <t>&lt;[[TCDeals] - [TC Property Current Stage (Seq: 1)] - [Property Points (Seq: 1)] Contractor/General Contractor Phone - Both]&gt;</t>
        </r>
      </text>
    </comment>
    <comment ref="C619" authorId="1" shapeId="0" xr:uid="{4DD3AFEE-7A02-4A75-88F4-C10FED3360BC}">
      <text>
        <r>
          <rPr>
            <b/>
            <sz val="9"/>
            <color indexed="81"/>
            <rFont val="Tahoma"/>
            <family val="2"/>
          </rPr>
          <t>&lt;[[TCDeals] - [TC Property Current Stage (Seq: 1)] - [Property Points (Seq: 1)] Contractor/General Contractor Email - Both]&gt;</t>
        </r>
      </text>
    </comment>
    <comment ref="C620" authorId="1" shapeId="0" xr:uid="{0821A89E-A184-4F89-8C7A-130370742059}">
      <text>
        <r>
          <rPr>
            <b/>
            <sz val="9"/>
            <color indexed="81"/>
            <rFont val="Tahoma"/>
            <family val="2"/>
          </rPr>
          <t>&lt;[[TCDeals] - [TC Property Current Stage (Seq: 1)] - [Property Points (Seq: 1)] general con Name(s) and State(s) of previous LIHTC properties - Both]&gt;</t>
        </r>
      </text>
    </comment>
    <comment ref="C621" authorId="1" shapeId="0" xr:uid="{31AE60CB-DA84-41EA-B7D0-D8E50B734457}">
      <text>
        <r>
          <rPr>
            <b/>
            <sz val="9"/>
            <color indexed="81"/>
            <rFont val="Tahoma"/>
            <family val="2"/>
          </rPr>
          <t>&lt;[[TCDeals] - [TC Property Current Stage (Seq: 1)] - [Property Points (Seq: 1)] General Contractor racial/ethnic composition - Both]&gt;</t>
        </r>
      </text>
    </comment>
    <comment ref="C622" authorId="1" shapeId="0" xr:uid="{E3C807B1-0E0E-4005-8875-4FEB8A6891D2}">
      <text>
        <r>
          <rPr>
            <b/>
            <sz val="9"/>
            <color indexed="81"/>
            <rFont val="Tahoma"/>
            <family val="2"/>
          </rPr>
          <t>&lt;[[TCDeals] - [TC Property Current Stage (Seq: 1)] - [Property Points (Seq: 1)] General Contractor gender composition - Both]&gt;</t>
        </r>
      </text>
    </comment>
    <comment ref="C623" authorId="1" shapeId="0" xr:uid="{366E358B-6101-4F82-87B9-E2FCF07A1941}">
      <text>
        <r>
          <rPr>
            <b/>
            <sz val="9"/>
            <color indexed="81"/>
            <rFont val="Tahoma"/>
            <family val="2"/>
          </rPr>
          <t>&lt;[[TCDeals] - [TC Property Current Stage (Seq: 1)] - [Property Points (Seq: 1)] Management Company/Management Agent  Org - Both]&gt;</t>
        </r>
      </text>
    </comment>
    <comment ref="C624" authorId="1" shapeId="0" xr:uid="{D3CFD6B3-F2A6-4506-8500-6F56545D1718}">
      <text>
        <r>
          <rPr>
            <b/>
            <sz val="9"/>
            <color indexed="81"/>
            <rFont val="Tahoma"/>
            <family val="2"/>
          </rPr>
          <t>&lt;[[TCDeals] - [TC Property Current Stage (Seq: 1)] - [Property Points (Seq: 1)] Management Company/Management Agent Contact First Name - Both]&gt;</t>
        </r>
      </text>
    </comment>
    <comment ref="C625" authorId="1" shapeId="0" xr:uid="{9EF6BDA6-EFE9-48A3-89D1-5E7B9938BADA}">
      <text>
        <r>
          <rPr>
            <b/>
            <sz val="9"/>
            <color indexed="81"/>
            <rFont val="Tahoma"/>
            <family val="2"/>
          </rPr>
          <t>&lt;[[TCDeals] - [TC Property Current Stage (Seq: 1)] - [Property Points (Seq: 1)] Management Company/Management Agent Contact Last Name - Both]&gt;</t>
        </r>
      </text>
    </comment>
    <comment ref="C626" authorId="1" shapeId="0" xr:uid="{04BE1A25-A2A5-4AEC-8841-5BBD43991793}">
      <text>
        <r>
          <rPr>
            <b/>
            <sz val="9"/>
            <color indexed="81"/>
            <rFont val="Tahoma"/>
            <family val="2"/>
          </rPr>
          <t>&lt;[[TCDeals] - [TC Property Current Stage (Seq: 1)] - [Property Points (Seq: 1)] Management Company/Management Agent Phone - Both]&gt;</t>
        </r>
      </text>
    </comment>
    <comment ref="C627" authorId="1" shapeId="0" xr:uid="{6E208DBF-1164-41E8-9A7E-CB3341087872}">
      <text>
        <r>
          <rPr>
            <b/>
            <sz val="9"/>
            <color indexed="81"/>
            <rFont val="Tahoma"/>
            <family val="2"/>
          </rPr>
          <t>&lt;[[TCDeals] - [TC Property Current Stage (Seq: 1)] - [Property Points (Seq: 1)] Management Company/Management Agent email - Both]&gt;</t>
        </r>
      </text>
    </comment>
    <comment ref="C630" authorId="1" shapeId="0" xr:uid="{8E7DB5E3-E602-46F3-AC95-93138358023D}">
      <text>
        <r>
          <rPr>
            <b/>
            <sz val="9"/>
            <color indexed="81"/>
            <rFont val="Tahoma"/>
            <family val="2"/>
          </rPr>
          <t>&lt;[[TCDeals] - [TC Property Current Stage (Seq: 1)] - [Property Points (Seq: 1)] Consultant Org - Both]&gt;</t>
        </r>
      </text>
    </comment>
    <comment ref="C631" authorId="1" shapeId="0" xr:uid="{A49B77C7-AC88-4AC8-8B1C-3B1BDAAA6EF7}">
      <text>
        <r>
          <rPr>
            <b/>
            <sz val="9"/>
            <color indexed="81"/>
            <rFont val="Tahoma"/>
            <family val="2"/>
          </rPr>
          <t>&lt;[[TCDeals] - [TC Property Current Stage (Seq: 1)] - [Property Points (Seq: 1)] Consultant Contact First Name - Both]&gt;</t>
        </r>
      </text>
    </comment>
    <comment ref="C632" authorId="1" shapeId="0" xr:uid="{25F17FD6-EEC3-4326-BDD6-61123655737D}">
      <text>
        <r>
          <rPr>
            <b/>
            <sz val="9"/>
            <color indexed="81"/>
            <rFont val="Tahoma"/>
            <family val="2"/>
          </rPr>
          <t>&lt;[[TCDeals] - [TC Property Current Stage (Seq: 1)] - [Property Points (Seq: 1)] Consultant Contact Last Name - Both]&gt;</t>
        </r>
      </text>
    </comment>
    <comment ref="C633" authorId="1" shapeId="0" xr:uid="{B46F8E3E-31A7-4165-8EB3-312DADCB64BA}">
      <text>
        <r>
          <rPr>
            <b/>
            <sz val="9"/>
            <color indexed="81"/>
            <rFont val="Tahoma"/>
            <family val="2"/>
          </rPr>
          <t>&lt;[[TCDeals] - [TC Property Current Stage (Seq: 1)] - [Property Points (Seq: 1)] Consultant phone - Both]&gt;</t>
        </r>
      </text>
    </comment>
    <comment ref="C634" authorId="1" shapeId="0" xr:uid="{BA7B896B-2EFC-4203-B6A7-BA64B4546240}">
      <text>
        <r>
          <rPr>
            <b/>
            <sz val="9"/>
            <color indexed="81"/>
            <rFont val="Tahoma"/>
            <family val="2"/>
          </rPr>
          <t>&lt;[[TCDeals] - [TC Property Current Stage (Seq: 1)] - [Property Points (Seq: 1)] Consultant email - Both]&gt;</t>
        </r>
      </text>
    </comment>
    <comment ref="C635" authorId="1" shapeId="0" xr:uid="{E933E579-E466-4456-8531-D6A2DF3A2BF3}">
      <text>
        <r>
          <rPr>
            <b/>
            <sz val="9"/>
            <color indexed="81"/>
            <rFont val="Tahoma"/>
            <family val="2"/>
          </rPr>
          <t>&lt;[[TCDeals] - [TC Property Current Stage (Seq: 1)] - [Property Points (Seq: 1)] Consultant 2 Org Name - Both]&gt;</t>
        </r>
      </text>
    </comment>
    <comment ref="C636" authorId="1" shapeId="0" xr:uid="{654316A3-9DA9-4174-A02D-1243325FD3B3}">
      <text>
        <r>
          <rPr>
            <b/>
            <sz val="9"/>
            <color indexed="81"/>
            <rFont val="Tahoma"/>
            <family val="2"/>
          </rPr>
          <t>&lt;[[TCDeals] - [TC Property Current Stage (Seq: 1)] - [Property Points (Seq: 1)] Consultant 2 Contact First Name - Both]&gt;</t>
        </r>
      </text>
    </comment>
    <comment ref="C637" authorId="1" shapeId="0" xr:uid="{2BE98CCD-A1BC-4579-B184-8CD305E5639D}">
      <text>
        <r>
          <rPr>
            <b/>
            <sz val="9"/>
            <color indexed="81"/>
            <rFont val="Tahoma"/>
            <family val="2"/>
          </rPr>
          <t>&lt;[[TCDeals] - [TC Property Current Stage (Seq: 1)] - [Property Points (Seq: 1)] Consultant 2 Contact Last Name - Both]&gt;</t>
        </r>
      </text>
    </comment>
    <comment ref="C638" authorId="1" shapeId="0" xr:uid="{E50B5B3F-4AE9-49BD-B9FE-8DDC50382938}">
      <text>
        <r>
          <rPr>
            <b/>
            <sz val="9"/>
            <color indexed="81"/>
            <rFont val="Tahoma"/>
            <family val="2"/>
          </rPr>
          <t>&lt;[[TCDeals] - [TC Property Current Stage (Seq: 1)] - [Property Points (Seq: 1)] Consultant 2 Phone - Both]&gt;</t>
        </r>
      </text>
    </comment>
    <comment ref="C639" authorId="1" shapeId="0" xr:uid="{E81139CE-C2F5-456C-9F74-2DE52C832CAE}">
      <text>
        <r>
          <rPr>
            <b/>
            <sz val="9"/>
            <color indexed="81"/>
            <rFont val="Tahoma"/>
            <family val="2"/>
          </rPr>
          <t>&lt;[[TCDeals] - [TC Property Current Stage (Seq: 1)] - [Property Points (Seq: 1)] Consultant 2 Email - Both]&gt;</t>
        </r>
      </text>
    </comment>
    <comment ref="C641" authorId="1" shapeId="0" xr:uid="{30700B53-7A52-4443-9325-C8A26EA9A3FC}">
      <text>
        <r>
          <rPr>
            <b/>
            <sz val="9"/>
            <color indexed="81"/>
            <rFont val="Tahoma"/>
            <family val="2"/>
          </rPr>
          <t>&lt;[[TCDeals] - [TC Property Current Stage (Seq: 1)] - [Property Points (Seq: 1)] Consultant 3 Org Name - Both]&gt;</t>
        </r>
      </text>
    </comment>
    <comment ref="C642" authorId="1" shapeId="0" xr:uid="{EFA89C30-75FD-4D81-9B3F-B79C49EBB738}">
      <text>
        <r>
          <rPr>
            <b/>
            <sz val="9"/>
            <color indexed="81"/>
            <rFont val="Tahoma"/>
            <family val="2"/>
          </rPr>
          <t>&lt;[[TCDeals] - [TC Property Current Stage (Seq: 1)] - [Property Points (Seq: 1)] Consultant 3 Contact First Name - Both]&gt;</t>
        </r>
      </text>
    </comment>
    <comment ref="C643" authorId="1" shapeId="0" xr:uid="{7FCD4A00-7795-4903-A18A-92DE46E552A3}">
      <text>
        <r>
          <rPr>
            <b/>
            <sz val="9"/>
            <color indexed="81"/>
            <rFont val="Tahoma"/>
            <family val="2"/>
          </rPr>
          <t>&lt;[[TCDeals] - [TC Property Current Stage (Seq: 1)] - [Property Points (Seq: 1)] Consultant 3 Contact Last Name - Both]&gt;</t>
        </r>
      </text>
    </comment>
    <comment ref="C644" authorId="1" shapeId="0" xr:uid="{581EA78D-1C06-4776-8512-55BA61118A6A}">
      <text>
        <r>
          <rPr>
            <b/>
            <sz val="9"/>
            <color indexed="81"/>
            <rFont val="Tahoma"/>
            <family val="2"/>
          </rPr>
          <t>&lt;[[TCDeals] - [TC Property Current Stage (Seq: 1)] - [Property Points (Seq: 1)] Consultant 3 Phone - Both]&gt;</t>
        </r>
      </text>
    </comment>
    <comment ref="C645" authorId="1" shapeId="0" xr:uid="{CFABE379-A085-41E3-8934-7D555358B360}">
      <text>
        <r>
          <rPr>
            <b/>
            <sz val="9"/>
            <color indexed="81"/>
            <rFont val="Tahoma"/>
            <family val="2"/>
          </rPr>
          <t>&lt;[[TCDeals] - [TC Property Current Stage (Seq: 1)] - [Property Points (Seq: 1)] Consultant 3 Email - Both]&gt;</t>
        </r>
      </text>
    </comment>
    <comment ref="C646" authorId="1" shapeId="0" xr:uid="{1E9067C8-CC03-462C-AEDF-2C9559544049}">
      <text>
        <r>
          <rPr>
            <b/>
            <sz val="9"/>
            <color indexed="81"/>
            <rFont val="Tahoma"/>
            <family val="2"/>
          </rPr>
          <t>&lt;[[TCDeals] - [TC Property Current Stage (Seq: 1)] - [Property Points (Seq: 1)] Tax Attorney Firm/Law Firm Org - Both]&gt;</t>
        </r>
      </text>
    </comment>
    <comment ref="C647" authorId="1" shapeId="0" xr:uid="{BC5BD7E6-697C-4454-BB7C-CD304B74E72D}">
      <text>
        <r>
          <rPr>
            <b/>
            <sz val="9"/>
            <color indexed="81"/>
            <rFont val="Tahoma"/>
            <family val="2"/>
          </rPr>
          <t>&lt;[[TCDeals] - [TC Property Current Stage (Seq: 1)] - [Property Points (Seq: 1)] Tax Attorney Firm/Law Firm Contact First Name - Both]&gt;</t>
        </r>
      </text>
    </comment>
    <comment ref="C648" authorId="1" shapeId="0" xr:uid="{D1CE0462-2858-45B5-9CD7-63D059BAE6F9}">
      <text>
        <r>
          <rPr>
            <b/>
            <sz val="9"/>
            <color indexed="81"/>
            <rFont val="Tahoma"/>
            <family val="2"/>
          </rPr>
          <t>&lt;[[TCDeals] - [TC Property Current Stage (Seq: 1)] - [Property Points (Seq: 1)] Tax Attorney Firm/Law Firm Contact Last Name - Both]&gt;</t>
        </r>
      </text>
    </comment>
    <comment ref="C649" authorId="1" shapeId="0" xr:uid="{CCA5C8E3-93D8-4728-9206-FEE895E64929}">
      <text>
        <r>
          <rPr>
            <b/>
            <sz val="9"/>
            <color indexed="81"/>
            <rFont val="Tahoma"/>
            <family val="2"/>
          </rPr>
          <t>&lt;[[TCDeals] - [TC Property Current Stage (Seq: 1)] - [Property Points (Seq: 1)] Tax Attorney Firm/Law Firm Phone - Both]&gt;</t>
        </r>
      </text>
    </comment>
    <comment ref="C650" authorId="1" shapeId="0" xr:uid="{64FEA609-E585-488A-B37F-9EF1D0D18199}">
      <text>
        <r>
          <rPr>
            <b/>
            <sz val="9"/>
            <color indexed="81"/>
            <rFont val="Tahoma"/>
            <family val="2"/>
          </rPr>
          <t>&lt;[[TCDeals] - [TC Property Current Stage (Seq: 1)] - [Property Points (Seq: 1)] Tax Attorney Firm/Law Firm Email - Both]&gt;</t>
        </r>
      </text>
    </comment>
    <comment ref="C651" authorId="1" shapeId="0" xr:uid="{F0350B93-7AF6-44F4-B638-F500009203BE}">
      <text>
        <r>
          <rPr>
            <b/>
            <sz val="9"/>
            <color indexed="81"/>
            <rFont val="Tahoma"/>
            <family val="2"/>
          </rPr>
          <t>&lt;[[TCDeals] - [TC Property Current Stage (Seq: 1)] - [Property Points (Seq: 1)] CPA Firm/Accountant Org - Both]&gt;</t>
        </r>
      </text>
    </comment>
    <comment ref="C652" authorId="1" shapeId="0" xr:uid="{5511B0EB-FE42-4247-A28B-99028B739332}">
      <text>
        <r>
          <rPr>
            <b/>
            <sz val="9"/>
            <color indexed="81"/>
            <rFont val="Tahoma"/>
            <family val="2"/>
          </rPr>
          <t>&lt;[[TCDeals] - [TC Property Current Stage (Seq: 1)] - [Property Points (Seq: 1)] CPA Firm/Accountant Contact First Name - Both]&gt;</t>
        </r>
      </text>
    </comment>
    <comment ref="C653" authorId="1" shapeId="0" xr:uid="{52917DF6-CC2C-4CA0-9A42-492B6B8AA444}">
      <text>
        <r>
          <rPr>
            <b/>
            <sz val="9"/>
            <color indexed="81"/>
            <rFont val="Tahoma"/>
            <family val="2"/>
          </rPr>
          <t>&lt;[[TCDeals] - [TC Property Current Stage (Seq: 1)] - [Property Points (Seq: 1)] CPA Firm/Accountant Contact Last Name - Both]&gt;</t>
        </r>
      </text>
    </comment>
    <comment ref="C654" authorId="1" shapeId="0" xr:uid="{C77F773D-4AD2-44A9-85E0-3FF67C72A62C}">
      <text>
        <r>
          <rPr>
            <b/>
            <sz val="9"/>
            <color indexed="81"/>
            <rFont val="Tahoma"/>
            <family val="2"/>
          </rPr>
          <t>&lt;[[TCDeals] - [TC Property Current Stage (Seq: 1)] - [Property Points (Seq: 1)] CPA Firm/Accountant Phone - Both]&gt;</t>
        </r>
      </text>
    </comment>
    <comment ref="C655" authorId="1" shapeId="0" xr:uid="{10878A68-5CA2-4FF9-A074-337123060A75}">
      <text>
        <r>
          <rPr>
            <b/>
            <sz val="9"/>
            <color indexed="81"/>
            <rFont val="Tahoma"/>
            <family val="2"/>
          </rPr>
          <t>&lt;[[TCDeals] - [TC Property Current Stage (Seq: 1)] - [Property Points (Seq: 1)] CPA Firm/Accountant Email - Both]&gt;</t>
        </r>
      </text>
    </comment>
    <comment ref="C656" authorId="1" shapeId="0" xr:uid="{A17B45A5-388D-4AFA-A4E9-F07FB62CB5D8}">
      <text>
        <r>
          <rPr>
            <b/>
            <sz val="9"/>
            <color indexed="81"/>
            <rFont val="Tahoma"/>
            <family val="2"/>
          </rPr>
          <t>&lt;[[TCDeals] - [TC Property Current Stage (Seq: 1)] - [Property Points (Seq: 1)] Architect Org - Both]&gt;</t>
        </r>
      </text>
    </comment>
    <comment ref="C657" authorId="1" shapeId="0" xr:uid="{E5B0F778-51F5-4583-A133-587746A8F86E}">
      <text>
        <r>
          <rPr>
            <b/>
            <sz val="9"/>
            <color indexed="81"/>
            <rFont val="Tahoma"/>
            <family val="2"/>
          </rPr>
          <t>&lt;[[TCDeals] - [TC Property Current Stage (Seq: 1)] - [Property Points (Seq: 1)] Architect Contact First Name - Both]&gt;</t>
        </r>
      </text>
    </comment>
    <comment ref="C658" authorId="1" shapeId="0" xr:uid="{B532BDCD-A827-4A8B-8914-0D1E7CC4EE91}">
      <text>
        <r>
          <rPr>
            <b/>
            <sz val="9"/>
            <color indexed="81"/>
            <rFont val="Tahoma"/>
            <family val="2"/>
          </rPr>
          <t>&lt;[[TCDeals] - [TC Property Current Stage (Seq: 1)] - [Property Points (Seq: 1)] Architect Contact Last Name - Both]&gt;</t>
        </r>
      </text>
    </comment>
    <comment ref="C659" authorId="1" shapeId="0" xr:uid="{5509697C-98D3-4BB7-96BD-D544EF290749}">
      <text>
        <r>
          <rPr>
            <b/>
            <sz val="9"/>
            <color indexed="81"/>
            <rFont val="Tahoma"/>
            <family val="2"/>
          </rPr>
          <t>&lt;[[TCDeals] - [TC Property Current Stage (Seq: 1)] - [Property Points (Seq: 1)] Architect Phone - Both]&gt;</t>
        </r>
      </text>
    </comment>
    <comment ref="C660" authorId="1" shapeId="0" xr:uid="{5F668FAC-35F6-413A-B39A-9F36DA6425D9}">
      <text>
        <r>
          <rPr>
            <b/>
            <sz val="9"/>
            <color indexed="81"/>
            <rFont val="Tahoma"/>
            <family val="2"/>
          </rPr>
          <t>&lt;[[TCDeals] - [TC Property Current Stage (Seq: 1)] - [Property Points (Seq: 1)] Architect Email - Both]&gt;</t>
        </r>
      </text>
    </comment>
    <comment ref="C661" authorId="1" shapeId="0" xr:uid="{2E9BC5C5-EFC4-4371-A8E0-C55C935B795D}">
      <text>
        <r>
          <rPr>
            <b/>
            <sz val="9"/>
            <color indexed="81"/>
            <rFont val="Tahoma"/>
            <family val="2"/>
          </rPr>
          <t>&lt;[[TCDeals] - [TC Property Current Stage (Seq: 1)] - [Property Points (Seq: 1)] Perm Lender Org - Both]&gt;</t>
        </r>
      </text>
    </comment>
    <comment ref="C662" authorId="1" shapeId="0" xr:uid="{CDA7B354-BC45-4F4E-9A1F-20AD59C47839}">
      <text>
        <r>
          <rPr>
            <b/>
            <sz val="9"/>
            <color indexed="81"/>
            <rFont val="Tahoma"/>
            <family val="2"/>
          </rPr>
          <t>&lt;[[TCDeals] - [TC Property Current Stage (Seq: 1)] - [Property Points (Seq: 1)] Perm Lender Contact First Name - Both]&gt;</t>
        </r>
      </text>
    </comment>
    <comment ref="C663" authorId="1" shapeId="0" xr:uid="{270A5CA1-E980-448A-B2A9-EEC1C951EE5E}">
      <text>
        <r>
          <rPr>
            <b/>
            <sz val="9"/>
            <color indexed="81"/>
            <rFont val="Tahoma"/>
            <family val="2"/>
          </rPr>
          <t>&lt;[[TCDeals] - [TC Property Current Stage (Seq: 1)] - [Property Points (Seq: 1)] Perm Lender Contact Last Name - Both]&gt;</t>
        </r>
      </text>
    </comment>
    <comment ref="C664" authorId="1" shapeId="0" xr:uid="{8B8DA5B4-3958-4176-9019-9380269D2786}">
      <text>
        <r>
          <rPr>
            <b/>
            <sz val="9"/>
            <color indexed="81"/>
            <rFont val="Tahoma"/>
            <family val="2"/>
          </rPr>
          <t>&lt;[[TCDeals] - [TC Property Current Stage (Seq: 1)] - [Property Points (Seq: 1)] Perm Lender Phone - Both]&gt;</t>
        </r>
      </text>
    </comment>
    <comment ref="C665" authorId="1" shapeId="0" xr:uid="{3B9679CA-2508-4C2A-B5F5-240F4D95E338}">
      <text>
        <r>
          <rPr>
            <b/>
            <sz val="9"/>
            <color indexed="81"/>
            <rFont val="Tahoma"/>
            <family val="2"/>
          </rPr>
          <t>&lt;[[TCDeals] - [TC Property Current Stage (Seq: 1)] - [Property Points (Seq: 1)] Perm Lender Email - Both]&gt;</t>
        </r>
      </text>
    </comment>
    <comment ref="C666" authorId="1" shapeId="0" xr:uid="{F4DB065A-4576-41EC-B5BE-DC01221B1887}">
      <text>
        <r>
          <rPr>
            <b/>
            <sz val="9"/>
            <color indexed="81"/>
            <rFont val="Tahoma"/>
            <family val="2"/>
          </rPr>
          <t>&lt;[[TCDeals] - [TC Property Current Stage (Seq: 1)] - [Property Points (Seq: 1)] Construction Lender Org - Both]&gt;</t>
        </r>
      </text>
    </comment>
    <comment ref="C667" authorId="1" shapeId="0" xr:uid="{FB24754A-F6E2-4DE2-958A-794BEE9F0943}">
      <text>
        <r>
          <rPr>
            <b/>
            <sz val="9"/>
            <color indexed="81"/>
            <rFont val="Tahoma"/>
            <family val="2"/>
          </rPr>
          <t>&lt;[[TCDeals] - [TC Property Current Stage (Seq: 1)] - [Property Points (Seq: 1)] Construction Lender Contact First Name - Both]&gt;</t>
        </r>
      </text>
    </comment>
    <comment ref="C668" authorId="1" shapeId="0" xr:uid="{FF71EA60-D8FF-46A4-8302-CA45D96D52BB}">
      <text>
        <r>
          <rPr>
            <b/>
            <sz val="9"/>
            <color indexed="81"/>
            <rFont val="Tahoma"/>
            <family val="2"/>
          </rPr>
          <t>&lt;[[TCDeals] - [TC Property Current Stage (Seq: 1)] - [Property Points (Seq: 1)] Construction Lender Contact Last Name - Both]&gt;</t>
        </r>
      </text>
    </comment>
    <comment ref="C669" authorId="1" shapeId="0" xr:uid="{395FE6B0-CF22-4C11-B0A1-9534AD00EAB9}">
      <text>
        <r>
          <rPr>
            <b/>
            <sz val="9"/>
            <color indexed="81"/>
            <rFont val="Tahoma"/>
            <family val="2"/>
          </rPr>
          <t>&lt;[[TCDeals] - [TC Property Current Stage (Seq: 1)] - [Property Points (Seq: 1)] Construction Lender Phone - Both]&gt;</t>
        </r>
      </text>
    </comment>
    <comment ref="C670" authorId="1" shapeId="0" xr:uid="{F77DEB5A-0167-423D-887E-08F78E5BADDB}">
      <text>
        <r>
          <rPr>
            <b/>
            <sz val="9"/>
            <color indexed="81"/>
            <rFont val="Tahoma"/>
            <family val="2"/>
          </rPr>
          <t>&lt;[[TCDeals] - [TC Property Current Stage (Seq: 1)] - [Property Points (Seq: 1)] Construction Lender Email - Both]&gt;</t>
        </r>
      </text>
    </comment>
    <comment ref="C671" authorId="1" shapeId="0" xr:uid="{253140EF-DAC2-4029-AB49-AD69D03B4C73}">
      <text>
        <r>
          <rPr>
            <b/>
            <sz val="9"/>
            <color indexed="81"/>
            <rFont val="Tahoma"/>
            <family val="2"/>
          </rPr>
          <t>&lt;[[TCDeals] - [TC Property Current Stage (Seq: 1)] - [Property Points (Seq: 1)] Environment Review Org - Both]&gt;</t>
        </r>
      </text>
    </comment>
    <comment ref="C672" authorId="1" shapeId="0" xr:uid="{8A95B0EF-63EC-440A-9C2F-B1F6051ADAB3}">
      <text>
        <r>
          <rPr>
            <b/>
            <sz val="9"/>
            <color indexed="81"/>
            <rFont val="Tahoma"/>
            <family val="2"/>
          </rPr>
          <t>&lt;[[TCDeals] - [TC Property Current Stage (Seq: 1)] - [Property Points (Seq: 1)] Environment Review Contact First Name - Both]&gt;</t>
        </r>
      </text>
    </comment>
    <comment ref="C673" authorId="1" shapeId="0" xr:uid="{7AABC994-F907-4810-A198-55655C4F635D}">
      <text>
        <r>
          <rPr>
            <b/>
            <sz val="9"/>
            <color indexed="81"/>
            <rFont val="Tahoma"/>
            <family val="2"/>
          </rPr>
          <t>&lt;[[TCDeals] - [TC Property Current Stage (Seq: 1)] - [Property Points (Seq: 1)] Environment Review Contact Last Name - Both]&gt;</t>
        </r>
      </text>
    </comment>
    <comment ref="C674" authorId="1" shapeId="0" xr:uid="{859A56B1-ED32-4F2D-9794-0188F4861928}">
      <text>
        <r>
          <rPr>
            <b/>
            <sz val="9"/>
            <color indexed="81"/>
            <rFont val="Tahoma"/>
            <family val="2"/>
          </rPr>
          <t>&lt;[[TCDeals] - [TC Property Current Stage (Seq: 1)] - [Property Points (Seq: 1)] Environment Review Phone - Both]&gt;</t>
        </r>
      </text>
    </comment>
    <comment ref="C675" authorId="1" shapeId="0" xr:uid="{FAE17A76-57B8-47F6-800F-82863528A904}">
      <text>
        <r>
          <rPr>
            <b/>
            <sz val="9"/>
            <color indexed="81"/>
            <rFont val="Tahoma"/>
            <family val="2"/>
          </rPr>
          <t>&lt;[[TCDeals] - [TC Property Current Stage (Seq: 1)] - [Property Points (Seq: 1)] Environment Review Email - Both]&gt;</t>
        </r>
      </text>
    </comment>
    <comment ref="C676" authorId="1" shapeId="0" xr:uid="{E751199B-BFFF-4298-AB5F-2605447E2C5B}">
      <text>
        <r>
          <rPr>
            <b/>
            <sz val="9"/>
            <color indexed="81"/>
            <rFont val="Tahoma"/>
            <family val="2"/>
          </rPr>
          <t>&lt;[[TCDeals] - [TC Property Current Stage (Seq: 1)] - [Property Points (Seq: 1)] Capital Needs Preparer/Other Org - Both]&gt;</t>
        </r>
      </text>
    </comment>
    <comment ref="C677" authorId="1" shapeId="0" xr:uid="{5B1826CA-B8A8-4059-A224-31AB6856EED3}">
      <text>
        <r>
          <rPr>
            <b/>
            <sz val="9"/>
            <color indexed="81"/>
            <rFont val="Tahoma"/>
            <family val="2"/>
          </rPr>
          <t>&lt;[[TCDeals] - [TC Property Current Stage (Seq: 1)] - [Property Points (Seq: 1)] Capital Needs Preparer/Other Contact First Name - Both]&gt;</t>
        </r>
      </text>
    </comment>
    <comment ref="C678" authorId="1" shapeId="0" xr:uid="{ED1242F5-5A2C-4086-AB6D-D67778E250B1}">
      <text>
        <r>
          <rPr>
            <b/>
            <sz val="9"/>
            <color indexed="81"/>
            <rFont val="Tahoma"/>
            <family val="2"/>
          </rPr>
          <t>&lt;[[TCDeals] - [TC Property Current Stage (Seq: 1)] - [Property Points (Seq: 1)] Capital Needs Preparer/Other Contact Last Name - Both]&gt;</t>
        </r>
      </text>
    </comment>
    <comment ref="C679" authorId="1" shapeId="0" xr:uid="{B01BCC41-B644-460B-8C24-9D4098B652A9}">
      <text>
        <r>
          <rPr>
            <b/>
            <sz val="9"/>
            <color indexed="81"/>
            <rFont val="Tahoma"/>
            <family val="2"/>
          </rPr>
          <t>&lt;[[TCDeals] - [TC Property Current Stage (Seq: 1)] - [Property Points (Seq: 1)] Capital Needs Preparer/Other Phone - Both]&gt;</t>
        </r>
      </text>
    </comment>
    <comment ref="C680" authorId="1" shapeId="0" xr:uid="{4C54BA71-AC3E-4244-96E3-A1DE6C749CC9}">
      <text>
        <r>
          <rPr>
            <b/>
            <sz val="9"/>
            <color indexed="81"/>
            <rFont val="Tahoma"/>
            <family val="2"/>
          </rPr>
          <t>&lt;[[TCDeals] - [TC Property Current Stage (Seq: 1)] - [Property Points (Seq: 1)] Capital Needs Preparer/Other Email - Both]&gt;</t>
        </r>
      </text>
    </comment>
    <comment ref="C681" authorId="1" shapeId="0" xr:uid="{BCC4621C-E507-42A6-BBC1-5ACC3720CF0C}">
      <text>
        <r>
          <rPr>
            <b/>
            <sz val="9"/>
            <color indexed="81"/>
            <rFont val="Tahoma"/>
            <family val="2"/>
          </rPr>
          <t>&lt;[[TCDeals] - [TC Property Current Stage (Seq: 1)] - [Property Points (Seq: 1)] Green Consultant Org - Both]&gt;</t>
        </r>
      </text>
    </comment>
    <comment ref="C682" authorId="1" shapeId="0" xr:uid="{3264A97B-2E90-4747-A0FC-B27E4C8C46EC}">
      <text>
        <r>
          <rPr>
            <b/>
            <sz val="9"/>
            <color indexed="81"/>
            <rFont val="Tahoma"/>
            <family val="2"/>
          </rPr>
          <t>&lt;[[TCDeals] - [TC Property Current Stage (Seq: 1)] - [Property Points (Seq: 1)] Green Consultant Contact First Name - Both]&gt;</t>
        </r>
      </text>
    </comment>
    <comment ref="C683" authorId="1" shapeId="0" xr:uid="{C706E738-B5B6-46F4-9406-08D8DF4B7FA4}">
      <text>
        <r>
          <rPr>
            <b/>
            <sz val="9"/>
            <color indexed="81"/>
            <rFont val="Tahoma"/>
            <family val="2"/>
          </rPr>
          <t>&lt;[[TCDeals] - [TC Property Current Stage (Seq: 1)] - [Property Points (Seq: 1)] Green Consultant Contact Last Name - Both]&gt;</t>
        </r>
      </text>
    </comment>
    <comment ref="C684" authorId="1" shapeId="0" xr:uid="{91469A89-0361-49B3-9127-6ED656689B9F}">
      <text>
        <r>
          <rPr>
            <b/>
            <sz val="9"/>
            <color indexed="81"/>
            <rFont val="Tahoma"/>
            <family val="2"/>
          </rPr>
          <t>&lt;[[TCDeals] - [TC Property Current Stage (Seq: 1)] - [Property Points (Seq: 1)] Green Consultant Phone - Both]&gt;</t>
        </r>
      </text>
    </comment>
    <comment ref="C685" authorId="1" shapeId="0" xr:uid="{3BAE5637-68E3-4AC4-9810-FA50BBE20388}">
      <text>
        <r>
          <rPr>
            <b/>
            <sz val="9"/>
            <color indexed="81"/>
            <rFont val="Tahoma"/>
            <family val="2"/>
          </rPr>
          <t>&lt;[[TCDeals] - [TC Property Current Stage (Seq: 1)] - [Property Points (Seq: 1)] Green Consultant Email - Both]&gt;</t>
        </r>
      </text>
    </comment>
    <comment ref="C686" authorId="1" shapeId="0" xr:uid="{8F2CABCB-D3EA-4581-8996-90442CE28C70}">
      <text>
        <r>
          <rPr>
            <b/>
            <sz val="9"/>
            <color indexed="81"/>
            <rFont val="Tahoma"/>
            <family val="2"/>
          </rPr>
          <t>&lt;[[TCDeals] - [TC Property Current Stage (Seq: 1)] - [Property Points (Seq: 1)] Fee Turnkey Org - Both]&gt;</t>
        </r>
      </text>
    </comment>
    <comment ref="C687" authorId="1" shapeId="0" xr:uid="{AFA652A4-4151-4556-8F02-E016EC6FCAF7}">
      <text>
        <r>
          <rPr>
            <b/>
            <sz val="9"/>
            <color indexed="81"/>
            <rFont val="Tahoma"/>
            <family val="2"/>
          </rPr>
          <t>&lt;[[TCDeals] - [TC Property Current Stage (Seq: 1)] - [Property Points (Seq: 1)] Fee Turnkey Contact First Name - Both]&gt;</t>
        </r>
      </text>
    </comment>
    <comment ref="C688" authorId="1" shapeId="0" xr:uid="{A3A28887-BEC0-4772-8E89-D3BB4F0ED045}">
      <text>
        <r>
          <rPr>
            <b/>
            <sz val="9"/>
            <color indexed="81"/>
            <rFont val="Tahoma"/>
            <family val="2"/>
          </rPr>
          <t>&lt;[[TCDeals] - [TC Property Current Stage (Seq: 1)] - [Property Points (Seq: 1)] Fee Turnkey Contact Last Name - Both]&gt;</t>
        </r>
      </text>
    </comment>
    <comment ref="C689" authorId="1" shapeId="0" xr:uid="{FD3C2840-5A73-4A62-A120-EA289B28F563}">
      <text>
        <r>
          <rPr>
            <b/>
            <sz val="9"/>
            <color indexed="81"/>
            <rFont val="Tahoma"/>
            <family val="2"/>
          </rPr>
          <t>&lt;[[TCDeals] - [TC Property Current Stage (Seq: 1)] - [Property Points (Seq: 1)] Fee Turnkey Contact Phone - Both]&gt;</t>
        </r>
      </text>
    </comment>
    <comment ref="C690" authorId="1" shapeId="0" xr:uid="{7B0BDD64-33A9-4324-B990-91BF2AC3B975}">
      <text>
        <r>
          <rPr>
            <b/>
            <sz val="9"/>
            <color indexed="81"/>
            <rFont val="Tahoma"/>
            <family val="2"/>
          </rPr>
          <t>&lt;[[TCDeals] - [TC Property Current Stage (Seq: 1)] - [Property Points (Seq: 1)] Fee Turnkey Contact Email - Both]&gt;</t>
        </r>
      </text>
    </comment>
    <comment ref="C691" authorId="1" shapeId="0" xr:uid="{C7BE04D4-5167-4648-8298-BAF983315860}">
      <text>
        <r>
          <rPr>
            <b/>
            <sz val="9"/>
            <color indexed="81"/>
            <rFont val="Tahoma"/>
            <family val="2"/>
          </rPr>
          <t>&lt;[[TCDeals] - [TC Property Current Stage (Seq: 1)] - [Property Points (Seq: 1)] Fee Turnkey Name(s) and State(s) of previous LIHTC properties2 - Both]&gt;</t>
        </r>
      </text>
    </comment>
    <comment ref="C692" authorId="1" shapeId="0" xr:uid="{682BAEB9-B2BC-4CAE-BBA9-D61DD8307999}">
      <text>
        <r>
          <rPr>
            <b/>
            <sz val="9"/>
            <color indexed="81"/>
            <rFont val="Tahoma"/>
            <family val="2"/>
          </rPr>
          <t>&lt;[[TCDeals] - [TC Property Current Stage (Seq: 1)] - [Property Points (Seq: 1)] Fee/Turnkey Developer racial/ethnic composition - Both]&gt;</t>
        </r>
      </text>
    </comment>
    <comment ref="C693" authorId="1" shapeId="0" xr:uid="{D2742CB2-AA79-4FED-B1B8-85A777D53D70}">
      <text>
        <r>
          <rPr>
            <b/>
            <sz val="9"/>
            <color indexed="81"/>
            <rFont val="Tahoma"/>
            <family val="2"/>
          </rPr>
          <t>&lt;[[TCDeals] - [TC Property Current Stage (Seq: 1)] - [Property Points (Seq: 1)] Fee-Turnkey Developer gender composition - Both]&gt;</t>
        </r>
      </text>
    </comment>
    <comment ref="C696" authorId="1" shapeId="0" xr:uid="{37517386-F270-4557-9019-AF82F778EC39}">
      <text>
        <r>
          <rPr>
            <b/>
            <sz val="9"/>
            <color indexed="81"/>
            <rFont val="Tahoma"/>
            <family val="2"/>
          </rPr>
          <t>&lt;[[TCDeals] - [Proxy Entities (Seq: 1)] Name (Doing Business As) - Both]&gt;</t>
        </r>
      </text>
    </comment>
    <comment ref="D696" authorId="1" shapeId="0" xr:uid="{8EBDFEE4-4E3D-404A-B915-5D2F0016CBF8}">
      <text>
        <r>
          <rPr>
            <b/>
            <sz val="9"/>
            <color indexed="81"/>
            <rFont val="Tahoma"/>
            <family val="2"/>
          </rPr>
          <t>&lt;[[TCDeals] - [Proxy Entities (Seq: 1)] Address 1 - Both]&gt;</t>
        </r>
      </text>
    </comment>
    <comment ref="E696" authorId="1" shapeId="0" xr:uid="{E0C75D92-02DC-477A-BD81-158AF54EAA77}">
      <text>
        <r>
          <rPr>
            <b/>
            <sz val="9"/>
            <color indexed="81"/>
            <rFont val="Tahoma"/>
            <family val="2"/>
          </rPr>
          <t>&lt;[[TCDeals] - [Proxy Entities (Seq: 1)] City - Both]&gt;</t>
        </r>
      </text>
    </comment>
    <comment ref="F696" authorId="3" shapeId="0" xr:uid="{852B9AA1-E723-484C-9BC2-BC62B235DDA5}">
      <text>
        <r>
          <rPr>
            <b/>
            <sz val="9"/>
            <color indexed="81"/>
            <rFont val="Tahoma"/>
            <family val="2"/>
          </rPr>
          <t>&lt;[[TCDeals] - [Proxy Entities (Seq: 1)] State - Send]&gt;</t>
        </r>
      </text>
    </comment>
    <comment ref="G696" authorId="1" shapeId="0" xr:uid="{1431309C-F6EE-4F06-B2BA-7091BD449BCC}">
      <text>
        <r>
          <rPr>
            <b/>
            <sz val="9"/>
            <color indexed="81"/>
            <rFont val="Tahoma"/>
            <family val="2"/>
          </rPr>
          <t>&lt;[[TCDeals] - [Proxy Entities (Seq: 1)] Zip Code - Both]&gt;</t>
        </r>
      </text>
    </comment>
    <comment ref="H696" authorId="1" shapeId="0" xr:uid="{CFD40F10-9129-4C9A-8AD5-65E24557F147}">
      <text>
        <r>
          <rPr>
            <b/>
            <sz val="9"/>
            <color indexed="81"/>
            <rFont val="Tahoma"/>
            <family val="2"/>
          </rPr>
          <t>&lt;[[TCDeals] - [Proxy Entities (Seq: 1)] Direct Phone - Both]&gt;</t>
        </r>
      </text>
    </comment>
    <comment ref="I696" authorId="1" shapeId="0" xr:uid="{2AD7E45F-78A6-4652-9A35-2F65AF6B7624}">
      <text>
        <r>
          <rPr>
            <b/>
            <sz val="9"/>
            <color indexed="81"/>
            <rFont val="Tahoma"/>
            <family val="2"/>
          </rPr>
          <t>&lt;[[TCDeals] - [Proxy Entities (Seq: 1)] Email Address 1 - Both]&gt;</t>
        </r>
      </text>
    </comment>
    <comment ref="J696" authorId="1" shapeId="0" xr:uid="{4B03BA64-F1A2-4290-8AD5-390263129A34}">
      <text>
        <r>
          <rPr>
            <b/>
            <sz val="9"/>
            <color indexed="81"/>
            <rFont val="Tahoma"/>
            <family val="2"/>
          </rPr>
          <t>&lt;[[TCDeals] - [Proxy Entities (Seq: 1)] Deal Entity Role - Both]&gt;</t>
        </r>
      </text>
    </comment>
    <comment ref="K696" authorId="1" shapeId="0" xr:uid="{E70BD47C-C3BA-48FB-BF77-51C0D0109585}">
      <text>
        <r>
          <rPr>
            <b/>
            <sz val="9"/>
            <color indexed="81"/>
            <rFont val="Tahoma"/>
            <family val="2"/>
          </rPr>
          <t>&lt;[[TCDeals] - [Proxy Entities (Seq: 1)] Company or Individual? - Both]&gt;</t>
        </r>
      </text>
    </comment>
    <comment ref="C697" authorId="1" shapeId="0" xr:uid="{AEF99263-470A-4D32-902D-99F26655636D}">
      <text>
        <r>
          <rPr>
            <b/>
            <sz val="9"/>
            <color indexed="81"/>
            <rFont val="Tahoma"/>
            <family val="2"/>
          </rPr>
          <t>&lt;[[TCDeals] - [Proxy Entities (Seq: 2)] Name (Doing Business As) - Both]&gt;</t>
        </r>
      </text>
    </comment>
    <comment ref="D697" authorId="1" shapeId="0" xr:uid="{7617EF54-22CA-43F3-B2C2-A990691A5A01}">
      <text>
        <r>
          <rPr>
            <b/>
            <sz val="9"/>
            <color indexed="81"/>
            <rFont val="Tahoma"/>
            <family val="2"/>
          </rPr>
          <t>&lt;[[TCDeals] - [Proxy Entities (Seq: 2)] Address 1 - Both]&gt;</t>
        </r>
      </text>
    </comment>
    <comment ref="E697" authorId="1" shapeId="0" xr:uid="{45344F92-5215-4EE5-A967-672113FB9F75}">
      <text>
        <r>
          <rPr>
            <b/>
            <sz val="9"/>
            <color indexed="81"/>
            <rFont val="Tahoma"/>
            <family val="2"/>
          </rPr>
          <t>&lt;[[TCDeals] - [Proxy Entities (Seq: 2)] City - Both]&gt;</t>
        </r>
      </text>
    </comment>
    <comment ref="F697" authorId="3" shapeId="0" xr:uid="{C7D3FF00-C11D-41B2-A331-D7F0E05FF331}">
      <text>
        <r>
          <rPr>
            <b/>
            <sz val="9"/>
            <color indexed="81"/>
            <rFont val="Tahoma"/>
            <family val="2"/>
          </rPr>
          <t>&lt;[[TCDeals] - [Proxy Entities (Seq: 2)] State - Send]&gt;</t>
        </r>
      </text>
    </comment>
    <comment ref="G697" authorId="1" shapeId="0" xr:uid="{799268F8-C518-40CC-A036-E11E8F20763B}">
      <text>
        <r>
          <rPr>
            <b/>
            <sz val="9"/>
            <color indexed="81"/>
            <rFont val="Tahoma"/>
            <family val="2"/>
          </rPr>
          <t>&lt;[[TCDeals] - [Proxy Entities (Seq: 2)] Zip Code - Both]&gt;</t>
        </r>
      </text>
    </comment>
    <comment ref="H697" authorId="1" shapeId="0" xr:uid="{EDC48A7B-56C6-4482-9259-3AF4F421FBD9}">
      <text>
        <r>
          <rPr>
            <b/>
            <sz val="9"/>
            <color indexed="81"/>
            <rFont val="Tahoma"/>
            <family val="2"/>
          </rPr>
          <t>&lt;[[TCDeals] - [Proxy Entities (Seq: 2)] Direct Phone - Both]&gt;</t>
        </r>
      </text>
    </comment>
    <comment ref="I697" authorId="1" shapeId="0" xr:uid="{F8CDCCD9-C742-4729-ADE8-5B86F52FD5BF}">
      <text>
        <r>
          <rPr>
            <b/>
            <sz val="9"/>
            <color indexed="81"/>
            <rFont val="Tahoma"/>
            <family val="2"/>
          </rPr>
          <t>&lt;[[TCDeals] - [Proxy Entities (Seq: 2)] Email Address 1 - Both]&gt;</t>
        </r>
      </text>
    </comment>
    <comment ref="J697" authorId="1" shapeId="0" xr:uid="{17D8A768-C2B3-43FF-B098-456EB6778FBE}">
      <text>
        <r>
          <rPr>
            <b/>
            <sz val="9"/>
            <color indexed="81"/>
            <rFont val="Tahoma"/>
            <family val="2"/>
          </rPr>
          <t>&lt;[[TCDeals] - [Proxy Entities (Seq: 2)] Deal Entity Role - Both]&gt;</t>
        </r>
      </text>
    </comment>
    <comment ref="K697" authorId="1" shapeId="0" xr:uid="{36556948-C746-4B51-B7FF-A0ABBF833478}">
      <text>
        <r>
          <rPr>
            <b/>
            <sz val="9"/>
            <color indexed="81"/>
            <rFont val="Tahoma"/>
            <family val="2"/>
          </rPr>
          <t>&lt;[[TCDeals] - [Proxy Entities (Seq: 2)] Company or Individual? - Both]&gt;</t>
        </r>
      </text>
    </comment>
    <comment ref="C698" authorId="1" shapeId="0" xr:uid="{6807AC01-2DA9-4413-969A-069864AB0643}">
      <text>
        <r>
          <rPr>
            <b/>
            <sz val="9"/>
            <color indexed="81"/>
            <rFont val="Tahoma"/>
            <family val="2"/>
          </rPr>
          <t>&lt;[[TCDeals] - [Proxy Entities (Seq: 3)] Name (Doing Business As) - Both]&gt;</t>
        </r>
      </text>
    </comment>
    <comment ref="D698" authorId="1" shapeId="0" xr:uid="{F5EDE2DD-C330-482D-B492-3D3B9CFCD278}">
      <text>
        <r>
          <rPr>
            <b/>
            <sz val="9"/>
            <color indexed="81"/>
            <rFont val="Tahoma"/>
            <family val="2"/>
          </rPr>
          <t>&lt;[[TCDeals] - [Proxy Entities (Seq: 3)] Address 1 - Both]&gt;</t>
        </r>
      </text>
    </comment>
    <comment ref="E698" authorId="1" shapeId="0" xr:uid="{95689520-A25C-47BA-A0C5-78220F91171D}">
      <text>
        <r>
          <rPr>
            <b/>
            <sz val="9"/>
            <color indexed="81"/>
            <rFont val="Tahoma"/>
            <family val="2"/>
          </rPr>
          <t>&lt;[[TCDeals] - [Proxy Entities (Seq: 3)] City - Both]&gt;</t>
        </r>
      </text>
    </comment>
    <comment ref="F698" authorId="3" shapeId="0" xr:uid="{238A1912-FA43-44A9-8785-0A8C39893C8E}">
      <text>
        <r>
          <rPr>
            <b/>
            <sz val="9"/>
            <color indexed="81"/>
            <rFont val="Tahoma"/>
            <family val="2"/>
          </rPr>
          <t>&lt;[[TCDeals] - [Proxy Entities (Seq: 3)] State - Send]&gt;</t>
        </r>
      </text>
    </comment>
    <comment ref="G698" authorId="1" shapeId="0" xr:uid="{C7D34B6E-19B5-4913-B3E6-29B02D91ADBB}">
      <text>
        <r>
          <rPr>
            <b/>
            <sz val="9"/>
            <color indexed="81"/>
            <rFont val="Tahoma"/>
            <family val="2"/>
          </rPr>
          <t>&lt;[[TCDeals] - [Proxy Entities (Seq: 3)] Zip Code - Both]&gt;</t>
        </r>
      </text>
    </comment>
    <comment ref="H698" authorId="1" shapeId="0" xr:uid="{51F49A28-BDC8-4A25-B130-041937319FF0}">
      <text>
        <r>
          <rPr>
            <b/>
            <sz val="9"/>
            <color indexed="81"/>
            <rFont val="Tahoma"/>
            <family val="2"/>
          </rPr>
          <t>&lt;[[TCDeals] - [Proxy Entities (Seq: 3)] Direct Phone - Both]&gt;</t>
        </r>
      </text>
    </comment>
    <comment ref="I698" authorId="1" shapeId="0" xr:uid="{4E1AE4A5-1EB2-4BD4-913A-F47C65236773}">
      <text>
        <r>
          <rPr>
            <b/>
            <sz val="9"/>
            <color indexed="81"/>
            <rFont val="Tahoma"/>
            <family val="2"/>
          </rPr>
          <t>&lt;[[TCDeals] - [Proxy Entities (Seq: 3)] Email Address 1 - Both]&gt;</t>
        </r>
      </text>
    </comment>
    <comment ref="J698" authorId="1" shapeId="0" xr:uid="{4C852C63-573B-44B9-BE25-3067B2BF6B26}">
      <text>
        <r>
          <rPr>
            <b/>
            <sz val="9"/>
            <color indexed="81"/>
            <rFont val="Tahoma"/>
            <family val="2"/>
          </rPr>
          <t>&lt;[[TCDeals] - [Proxy Entities (Seq: 3)] Deal Entity Role - Both]&gt;</t>
        </r>
      </text>
    </comment>
    <comment ref="K698" authorId="1" shapeId="0" xr:uid="{9D5D3537-8A64-469B-85EE-55D07FC9A115}">
      <text>
        <r>
          <rPr>
            <b/>
            <sz val="9"/>
            <color indexed="81"/>
            <rFont val="Tahoma"/>
            <family val="2"/>
          </rPr>
          <t>&lt;[[TCDeals] - [Proxy Entities (Seq: 3)] Company or Individual? - Both]&gt;</t>
        </r>
      </text>
    </comment>
    <comment ref="C699" authorId="1" shapeId="0" xr:uid="{E8657BEE-CBA5-41A5-867B-F4B8D3761417}">
      <text>
        <r>
          <rPr>
            <b/>
            <sz val="9"/>
            <color indexed="81"/>
            <rFont val="Tahoma"/>
            <family val="2"/>
          </rPr>
          <t>&lt;[[TCDeals] - [Proxy Entities (Seq: 4)] Name (Doing Business As) - Both]&gt;</t>
        </r>
      </text>
    </comment>
    <comment ref="D699" authorId="1" shapeId="0" xr:uid="{D9E54F00-F05D-4A04-8271-F948C3A73992}">
      <text>
        <r>
          <rPr>
            <b/>
            <sz val="9"/>
            <color indexed="81"/>
            <rFont val="Tahoma"/>
            <family val="2"/>
          </rPr>
          <t>&lt;[[TCDeals] - [Proxy Entities (Seq: 4)] Address 1 - Both]&gt;</t>
        </r>
      </text>
    </comment>
    <comment ref="E699" authorId="1" shapeId="0" xr:uid="{390A7014-F444-4BB7-A93E-BFC90A614A56}">
      <text>
        <r>
          <rPr>
            <b/>
            <sz val="9"/>
            <color indexed="81"/>
            <rFont val="Tahoma"/>
            <family val="2"/>
          </rPr>
          <t>&lt;[[TCDeals] - [Proxy Entities (Seq: 4)] City - Both]&gt;</t>
        </r>
      </text>
    </comment>
    <comment ref="F699" authorId="3" shapeId="0" xr:uid="{E6ED927B-A234-4062-B737-C43E260EEB38}">
      <text>
        <r>
          <rPr>
            <b/>
            <sz val="9"/>
            <color indexed="81"/>
            <rFont val="Tahoma"/>
            <family val="2"/>
          </rPr>
          <t>&lt;[[TCDeals] - [Proxy Entities (Seq: 4)] State - Send]&gt;</t>
        </r>
      </text>
    </comment>
    <comment ref="G699" authorId="1" shapeId="0" xr:uid="{DCF6F512-D57E-43F5-A36F-ADFFAB43B2C0}">
      <text>
        <r>
          <rPr>
            <b/>
            <sz val="9"/>
            <color indexed="81"/>
            <rFont val="Tahoma"/>
            <family val="2"/>
          </rPr>
          <t>&lt;[[TCDeals] - [Proxy Entities (Seq: 4)] Zip Code - Both]&gt;</t>
        </r>
      </text>
    </comment>
    <comment ref="H699" authorId="1" shapeId="0" xr:uid="{557BDDC1-AFDC-4620-9D74-3E229089C2F0}">
      <text>
        <r>
          <rPr>
            <b/>
            <sz val="9"/>
            <color indexed="81"/>
            <rFont val="Tahoma"/>
            <family val="2"/>
          </rPr>
          <t>&lt;[[TCDeals] - [Proxy Entities (Seq: 4)] Direct Phone - Both]&gt;</t>
        </r>
      </text>
    </comment>
    <comment ref="I699" authorId="1" shapeId="0" xr:uid="{6082239B-7AE5-4FFA-9978-A1264A942006}">
      <text>
        <r>
          <rPr>
            <b/>
            <sz val="9"/>
            <color indexed="81"/>
            <rFont val="Tahoma"/>
            <family val="2"/>
          </rPr>
          <t>&lt;[[TCDeals] - [Proxy Entities (Seq: 4)] Email Address 1 - Both]&gt;</t>
        </r>
      </text>
    </comment>
    <comment ref="J699" authorId="1" shapeId="0" xr:uid="{CC647D29-78EE-4F33-9CB5-5DA4A2614168}">
      <text>
        <r>
          <rPr>
            <b/>
            <sz val="9"/>
            <color indexed="81"/>
            <rFont val="Tahoma"/>
            <family val="2"/>
          </rPr>
          <t>&lt;[[TCDeals] - [Proxy Entities (Seq: 4)] Deal Entity Role - Both]&gt;</t>
        </r>
      </text>
    </comment>
    <comment ref="K699" authorId="1" shapeId="0" xr:uid="{58C9A967-3620-4E48-AAB3-F5CD4E3BF026}">
      <text>
        <r>
          <rPr>
            <b/>
            <sz val="9"/>
            <color indexed="81"/>
            <rFont val="Tahoma"/>
            <family val="2"/>
          </rPr>
          <t>&lt;[[TCDeals] - [Proxy Entities (Seq: 4)] Company or Individual? - Both]&gt;</t>
        </r>
      </text>
    </comment>
    <comment ref="C700" authorId="1" shapeId="0" xr:uid="{A0BE99BE-4B28-4848-8C28-9E1741D85EC7}">
      <text>
        <r>
          <rPr>
            <b/>
            <sz val="9"/>
            <color indexed="81"/>
            <rFont val="Tahoma"/>
            <family val="2"/>
          </rPr>
          <t>&lt;[[TCDeals] - [Proxy Entities (Seq: 5)] Name (Doing Business As) - Both]&gt;</t>
        </r>
      </text>
    </comment>
    <comment ref="D700" authorId="1" shapeId="0" xr:uid="{DD7B1929-C549-423F-97FF-ABFC0A603FE3}">
      <text>
        <r>
          <rPr>
            <b/>
            <sz val="9"/>
            <color indexed="81"/>
            <rFont val="Tahoma"/>
            <family val="2"/>
          </rPr>
          <t>&lt;[[TCDeals] - [Proxy Entities (Seq: 5)] Address 1 - Both]&gt;</t>
        </r>
      </text>
    </comment>
    <comment ref="E700" authorId="1" shapeId="0" xr:uid="{EA1289D1-FFBE-49EA-A0CF-A285D015ADA9}">
      <text>
        <r>
          <rPr>
            <b/>
            <sz val="9"/>
            <color indexed="81"/>
            <rFont val="Tahoma"/>
            <family val="2"/>
          </rPr>
          <t>&lt;[[TCDeals] - [Proxy Entities (Seq: 5)] City - Both]&gt;</t>
        </r>
      </text>
    </comment>
    <comment ref="F700" authorId="3" shapeId="0" xr:uid="{F0F65819-9A27-4123-859C-5536C2F1DA14}">
      <text>
        <r>
          <rPr>
            <b/>
            <sz val="9"/>
            <color indexed="81"/>
            <rFont val="Tahoma"/>
            <family val="2"/>
          </rPr>
          <t>&lt;[[TCDeals] - [Proxy Entities (Seq: 5)] State - Send]&gt;</t>
        </r>
      </text>
    </comment>
    <comment ref="G700" authorId="1" shapeId="0" xr:uid="{362446F2-D7E5-4326-8849-21A696D022E4}">
      <text>
        <r>
          <rPr>
            <b/>
            <sz val="9"/>
            <color indexed="81"/>
            <rFont val="Tahoma"/>
            <family val="2"/>
          </rPr>
          <t>&lt;[[TCDeals] - [Proxy Entities (Seq: 5)] Zip Code - Both]&gt;</t>
        </r>
      </text>
    </comment>
    <comment ref="H700" authorId="1" shapeId="0" xr:uid="{BD11244C-6A97-406B-B89D-259382BF7F70}">
      <text>
        <r>
          <rPr>
            <b/>
            <sz val="9"/>
            <color indexed="81"/>
            <rFont val="Tahoma"/>
            <family val="2"/>
          </rPr>
          <t>&lt;[[TCDeals] - [Proxy Entities (Seq: 5)] Direct Phone - Both]&gt;</t>
        </r>
      </text>
    </comment>
    <comment ref="I700" authorId="1" shapeId="0" xr:uid="{E779AF04-570D-424D-8FCB-BDD407616BBB}">
      <text>
        <r>
          <rPr>
            <b/>
            <sz val="9"/>
            <color indexed="81"/>
            <rFont val="Tahoma"/>
            <family val="2"/>
          </rPr>
          <t>&lt;[[TCDeals] - [Proxy Entities (Seq: 5)] Email Address 1 - Both]&gt;</t>
        </r>
      </text>
    </comment>
    <comment ref="J700" authorId="1" shapeId="0" xr:uid="{9EA3C75A-2922-4DAE-B420-D4AC76BE1B49}">
      <text>
        <r>
          <rPr>
            <b/>
            <sz val="9"/>
            <color indexed="81"/>
            <rFont val="Tahoma"/>
            <family val="2"/>
          </rPr>
          <t>&lt;[[TCDeals] - [Proxy Entities (Seq: 5)] Deal Entity Role - Both]&gt;</t>
        </r>
      </text>
    </comment>
    <comment ref="K700" authorId="1" shapeId="0" xr:uid="{14796096-62D0-4785-A0D1-11FC83501149}">
      <text>
        <r>
          <rPr>
            <b/>
            <sz val="9"/>
            <color indexed="81"/>
            <rFont val="Tahoma"/>
            <family val="2"/>
          </rPr>
          <t>&lt;[[TCDeals] - [Proxy Entities (Seq: 5)] Company or Individual? - Both]&gt;</t>
        </r>
      </text>
    </comment>
    <comment ref="C701" authorId="1" shapeId="0" xr:uid="{39B68631-5B31-4394-BBD1-ACC5F2248095}">
      <text>
        <r>
          <rPr>
            <b/>
            <sz val="9"/>
            <color indexed="81"/>
            <rFont val="Tahoma"/>
            <family val="2"/>
          </rPr>
          <t>&lt;[[TCDeals] - [Proxy Entities (Seq: 6)] Name (Doing Business As) - Both]&gt;</t>
        </r>
      </text>
    </comment>
    <comment ref="D701" authorId="1" shapeId="0" xr:uid="{A72BAF23-97AA-4E23-A5EB-B343D4A1F9E4}">
      <text>
        <r>
          <rPr>
            <b/>
            <sz val="9"/>
            <color indexed="81"/>
            <rFont val="Tahoma"/>
            <family val="2"/>
          </rPr>
          <t>&lt;[[TCDeals] - [Proxy Entities (Seq: 6)] Address 1 - Both]&gt;</t>
        </r>
      </text>
    </comment>
    <comment ref="E701" authorId="1" shapeId="0" xr:uid="{331FA482-9E98-4FAE-ACB7-4DEB2435AB4A}">
      <text>
        <r>
          <rPr>
            <b/>
            <sz val="9"/>
            <color indexed="81"/>
            <rFont val="Tahoma"/>
            <family val="2"/>
          </rPr>
          <t>&lt;[[TCDeals] - [Proxy Entities (Seq: 6)] City - Both]&gt;</t>
        </r>
      </text>
    </comment>
    <comment ref="F701" authorId="3" shapeId="0" xr:uid="{03CE1B9F-03E5-4EEE-B19B-D09324AC92E3}">
      <text>
        <r>
          <rPr>
            <b/>
            <sz val="9"/>
            <color indexed="81"/>
            <rFont val="Tahoma"/>
            <family val="2"/>
          </rPr>
          <t>&lt;[[TCDeals] - [Proxy Entities (Seq: 6)] State - Send]&gt;</t>
        </r>
      </text>
    </comment>
    <comment ref="G701" authorId="1" shapeId="0" xr:uid="{9FA2A776-CCA2-415C-A6E1-DC52A2787418}">
      <text>
        <r>
          <rPr>
            <b/>
            <sz val="9"/>
            <color indexed="81"/>
            <rFont val="Tahoma"/>
            <family val="2"/>
          </rPr>
          <t>&lt;[[TCDeals] - [Proxy Entities (Seq: 6)] Zip Code - Both]&gt;</t>
        </r>
      </text>
    </comment>
    <comment ref="H701" authorId="1" shapeId="0" xr:uid="{904F0BBE-7784-4071-A98D-BA515BA057C7}">
      <text>
        <r>
          <rPr>
            <b/>
            <sz val="9"/>
            <color indexed="81"/>
            <rFont val="Tahoma"/>
            <family val="2"/>
          </rPr>
          <t>&lt;[[TCDeals] - [Proxy Entities (Seq: 6)] Direct Phone - Both]&gt;</t>
        </r>
      </text>
    </comment>
    <comment ref="I701" authorId="1" shapeId="0" xr:uid="{88D5D200-FCA5-4BC9-AA0E-5C2114FF070B}">
      <text>
        <r>
          <rPr>
            <b/>
            <sz val="9"/>
            <color indexed="81"/>
            <rFont val="Tahoma"/>
            <family val="2"/>
          </rPr>
          <t>&lt;[[TCDeals] - [Proxy Entities (Seq: 6)] Email Address 1 - Both]&gt;</t>
        </r>
      </text>
    </comment>
    <comment ref="J701" authorId="1" shapeId="0" xr:uid="{F7C1C665-3B79-4BF3-8B13-6FE973E3C882}">
      <text>
        <r>
          <rPr>
            <b/>
            <sz val="9"/>
            <color indexed="81"/>
            <rFont val="Tahoma"/>
            <family val="2"/>
          </rPr>
          <t>&lt;[[TCDeals] - [Proxy Entities (Seq: 6)] Deal Entity Role - Both]&gt;</t>
        </r>
      </text>
    </comment>
    <comment ref="K701" authorId="1" shapeId="0" xr:uid="{504E5D60-FF1F-4662-A8ED-DE8D9D8FA220}">
      <text>
        <r>
          <rPr>
            <b/>
            <sz val="9"/>
            <color indexed="81"/>
            <rFont val="Tahoma"/>
            <family val="2"/>
          </rPr>
          <t>&lt;[[TCDeals] - [Proxy Entities (Seq: 6)] Company or Individual? - Both]&gt;</t>
        </r>
      </text>
    </comment>
    <comment ref="C702" authorId="1" shapeId="0" xr:uid="{2D920416-FE4B-4E82-A8D4-1A2F23195233}">
      <text>
        <r>
          <rPr>
            <b/>
            <sz val="9"/>
            <color indexed="81"/>
            <rFont val="Tahoma"/>
            <family val="2"/>
          </rPr>
          <t>&lt;[[TCDeals] - [Proxy Entities (Seq: 7)] Name (Doing Business As) - Both]&gt;</t>
        </r>
      </text>
    </comment>
    <comment ref="D702" authorId="1" shapeId="0" xr:uid="{A2F51783-613F-48C4-B37B-BC6506FF0BBF}">
      <text>
        <r>
          <rPr>
            <b/>
            <sz val="9"/>
            <color indexed="81"/>
            <rFont val="Tahoma"/>
            <family val="2"/>
          </rPr>
          <t>&lt;[[TCDeals] - [Proxy Entities (Seq: 7)] Address 1 - Both]&gt;</t>
        </r>
      </text>
    </comment>
    <comment ref="E702" authorId="1" shapeId="0" xr:uid="{A8A4B14E-62A0-409D-81E9-2C51D88A8840}">
      <text>
        <r>
          <rPr>
            <b/>
            <sz val="9"/>
            <color indexed="81"/>
            <rFont val="Tahoma"/>
            <family val="2"/>
          </rPr>
          <t>&lt;[[TCDeals] - [Proxy Entities (Seq: 7)] City - Both]&gt;</t>
        </r>
      </text>
    </comment>
    <comment ref="F702" authorId="3" shapeId="0" xr:uid="{EA796649-DC32-4632-B000-B0ACFFFE6F1D}">
      <text>
        <r>
          <rPr>
            <b/>
            <sz val="9"/>
            <color indexed="81"/>
            <rFont val="Tahoma"/>
            <family val="2"/>
          </rPr>
          <t>&lt;[[TCDeals] - [Proxy Entities (Seq: 7)] State - Send]&gt;</t>
        </r>
      </text>
    </comment>
    <comment ref="G702" authorId="1" shapeId="0" xr:uid="{0D797071-0D56-4265-B652-2EDBDBD1FB7D}">
      <text>
        <r>
          <rPr>
            <b/>
            <sz val="9"/>
            <color indexed="81"/>
            <rFont val="Tahoma"/>
            <family val="2"/>
          </rPr>
          <t>&lt;[[TCDeals] - [Proxy Entities (Seq: 7)] Zip Code - Both]&gt;</t>
        </r>
      </text>
    </comment>
    <comment ref="H702" authorId="1" shapeId="0" xr:uid="{98FA34DE-102C-45A7-A95A-722ACB923ADC}">
      <text>
        <r>
          <rPr>
            <b/>
            <sz val="9"/>
            <color indexed="81"/>
            <rFont val="Tahoma"/>
            <family val="2"/>
          </rPr>
          <t>&lt;[[TCDeals] - [Proxy Entities (Seq: 7)] Direct Phone - Both]&gt;</t>
        </r>
      </text>
    </comment>
    <comment ref="I702" authorId="1" shapeId="0" xr:uid="{513C6ADA-8579-4D72-BF2A-C1572A20B265}">
      <text>
        <r>
          <rPr>
            <b/>
            <sz val="9"/>
            <color indexed="81"/>
            <rFont val="Tahoma"/>
            <family val="2"/>
          </rPr>
          <t>&lt;[[TCDeals] - [Proxy Entities (Seq: 7)] Email Address 1 - Both]&gt;</t>
        </r>
      </text>
    </comment>
    <comment ref="J702" authorId="1" shapeId="0" xr:uid="{8F389638-540D-4C68-A954-1B4B8D61F9F5}">
      <text>
        <r>
          <rPr>
            <b/>
            <sz val="9"/>
            <color indexed="81"/>
            <rFont val="Tahoma"/>
            <family val="2"/>
          </rPr>
          <t>&lt;[[TCDeals] - [Proxy Entities (Seq: 7)] Deal Entity Role - Both]&gt;</t>
        </r>
      </text>
    </comment>
    <comment ref="K702" authorId="1" shapeId="0" xr:uid="{068B8127-31D8-4D31-A6ED-50A778D7BC3E}">
      <text>
        <r>
          <rPr>
            <b/>
            <sz val="9"/>
            <color indexed="81"/>
            <rFont val="Tahoma"/>
            <family val="2"/>
          </rPr>
          <t>&lt;[[TCDeals] - [Proxy Entities (Seq: 7)] Company or Individual? - Both]&gt;</t>
        </r>
      </text>
    </comment>
    <comment ref="C703" authorId="1" shapeId="0" xr:uid="{F67A2564-7882-4479-9ED8-6BBF9B01BF44}">
      <text>
        <r>
          <rPr>
            <b/>
            <sz val="9"/>
            <color indexed="81"/>
            <rFont val="Tahoma"/>
            <family val="2"/>
          </rPr>
          <t>&lt;[[TCDeals] - [Proxy Entities (Seq: 8)] Name (Doing Business As) - Both]&gt;</t>
        </r>
      </text>
    </comment>
    <comment ref="D703" authorId="1" shapeId="0" xr:uid="{3D875AEE-6E92-4240-A6C7-4360455FBF5F}">
      <text>
        <r>
          <rPr>
            <b/>
            <sz val="9"/>
            <color indexed="81"/>
            <rFont val="Tahoma"/>
            <family val="2"/>
          </rPr>
          <t>&lt;[[TCDeals] - [Proxy Entities (Seq: 8)] Address 1 - Both]&gt;</t>
        </r>
      </text>
    </comment>
    <comment ref="E703" authorId="1" shapeId="0" xr:uid="{8E63B8C6-D351-46ED-B403-E720E6024156}">
      <text>
        <r>
          <rPr>
            <b/>
            <sz val="9"/>
            <color indexed="81"/>
            <rFont val="Tahoma"/>
            <family val="2"/>
          </rPr>
          <t>&lt;[[TCDeals] - [Proxy Entities (Seq: 8)] City - Both]&gt;</t>
        </r>
      </text>
    </comment>
    <comment ref="F703" authorId="3" shapeId="0" xr:uid="{BB1C09DA-E4F1-46AB-9FEE-DB257369391F}">
      <text>
        <r>
          <rPr>
            <b/>
            <sz val="9"/>
            <color indexed="81"/>
            <rFont val="Tahoma"/>
            <family val="2"/>
          </rPr>
          <t>&lt;[[TCDeals] - [Proxy Entities (Seq: 8)] State - Send]&gt;</t>
        </r>
      </text>
    </comment>
    <comment ref="G703" authorId="1" shapeId="0" xr:uid="{D31FDFA5-885B-4062-92E0-99E45EB03A2A}">
      <text>
        <r>
          <rPr>
            <b/>
            <sz val="9"/>
            <color indexed="81"/>
            <rFont val="Tahoma"/>
            <family val="2"/>
          </rPr>
          <t>&lt;[[TCDeals] - [Proxy Entities (Seq: 8)] Zip Code - Both]&gt;</t>
        </r>
      </text>
    </comment>
    <comment ref="H703" authorId="1" shapeId="0" xr:uid="{93823A4F-D200-4AAF-8E82-1EC6448C0231}">
      <text>
        <r>
          <rPr>
            <b/>
            <sz val="9"/>
            <color indexed="81"/>
            <rFont val="Tahoma"/>
            <family val="2"/>
          </rPr>
          <t>&lt;[[TCDeals] - [Proxy Entities (Seq: 8)] Direct Phone - Both]&gt;</t>
        </r>
      </text>
    </comment>
    <comment ref="I703" authorId="1" shapeId="0" xr:uid="{6B4977E7-5329-4D35-8997-7962342D36D8}">
      <text>
        <r>
          <rPr>
            <b/>
            <sz val="9"/>
            <color indexed="81"/>
            <rFont val="Tahoma"/>
            <family val="2"/>
          </rPr>
          <t>&lt;[[TCDeals] - [Proxy Entities (Seq: 8)] Email Address 1 - Both]&gt;</t>
        </r>
      </text>
    </comment>
    <comment ref="J703" authorId="1" shapeId="0" xr:uid="{1621088C-2D20-4348-ABB4-9134CE82804B}">
      <text>
        <r>
          <rPr>
            <b/>
            <sz val="9"/>
            <color indexed="81"/>
            <rFont val="Tahoma"/>
            <family val="2"/>
          </rPr>
          <t>&lt;[[TCDeals] - [Proxy Entities (Seq: 8)] Deal Entity Role - Both]&gt;</t>
        </r>
      </text>
    </comment>
    <comment ref="K703" authorId="1" shapeId="0" xr:uid="{ABCC3DC7-CD87-4EC4-B6D4-7461A751CEEC}">
      <text>
        <r>
          <rPr>
            <b/>
            <sz val="9"/>
            <color indexed="81"/>
            <rFont val="Tahoma"/>
            <family val="2"/>
          </rPr>
          <t>&lt;[[TCDeals] - [Proxy Entities (Seq: 8)] Company or Individual? - Both]&gt;</t>
        </r>
      </text>
    </comment>
    <comment ref="C704" authorId="1" shapeId="0" xr:uid="{08C67485-BFA8-426D-B975-77234327536C}">
      <text>
        <r>
          <rPr>
            <b/>
            <sz val="9"/>
            <color indexed="81"/>
            <rFont val="Tahoma"/>
            <family val="2"/>
          </rPr>
          <t>&lt;[[TCDeals] - [Proxy Entities (Seq: 9)] Name (Doing Business As) - Both]&gt;</t>
        </r>
      </text>
    </comment>
    <comment ref="D704" authorId="1" shapeId="0" xr:uid="{92D4D21D-9FE1-4DC0-9A9E-53AB5BADE143}">
      <text>
        <r>
          <rPr>
            <b/>
            <sz val="9"/>
            <color indexed="81"/>
            <rFont val="Tahoma"/>
            <family val="2"/>
          </rPr>
          <t>&lt;[[TCDeals] - [Proxy Entities (Seq: 9)] Address 1 - Both]&gt;</t>
        </r>
      </text>
    </comment>
    <comment ref="E704" authorId="1" shapeId="0" xr:uid="{E7CEEF4E-5674-4DD2-BCF8-DECDFC58C77C}">
      <text>
        <r>
          <rPr>
            <b/>
            <sz val="9"/>
            <color indexed="81"/>
            <rFont val="Tahoma"/>
            <family val="2"/>
          </rPr>
          <t>&lt;[[TCDeals] - [Proxy Entities (Seq: 9)] City - Both]&gt;</t>
        </r>
      </text>
    </comment>
    <comment ref="F704" authorId="3" shapeId="0" xr:uid="{234862D2-0F63-4B88-934C-BCB5C14C5BDB}">
      <text>
        <r>
          <rPr>
            <b/>
            <sz val="9"/>
            <color indexed="81"/>
            <rFont val="Tahoma"/>
            <family val="2"/>
          </rPr>
          <t>&lt;[[TCDeals] - [Proxy Entities (Seq: 9)] State - Send]&gt;</t>
        </r>
      </text>
    </comment>
    <comment ref="G704" authorId="1" shapeId="0" xr:uid="{802E36FF-2D6A-4FFD-9D7C-206240DA83C5}">
      <text>
        <r>
          <rPr>
            <b/>
            <sz val="9"/>
            <color indexed="81"/>
            <rFont val="Tahoma"/>
            <family val="2"/>
          </rPr>
          <t>&lt;[[TCDeals] - [Proxy Entities (Seq: 9)] Zip Code - Both]&gt;</t>
        </r>
      </text>
    </comment>
    <comment ref="H704" authorId="1" shapeId="0" xr:uid="{ACCD4CEC-FA60-4195-94B2-10CA63B4FC57}">
      <text>
        <r>
          <rPr>
            <b/>
            <sz val="9"/>
            <color indexed="81"/>
            <rFont val="Tahoma"/>
            <family val="2"/>
          </rPr>
          <t>&lt;[[TCDeals] - [Proxy Entities (Seq: 9)] Direct Phone - Both]&gt;</t>
        </r>
      </text>
    </comment>
    <comment ref="I704" authorId="1" shapeId="0" xr:uid="{71A9AC21-BC49-4B1E-A155-65D121438F71}">
      <text>
        <r>
          <rPr>
            <b/>
            <sz val="9"/>
            <color indexed="81"/>
            <rFont val="Tahoma"/>
            <family val="2"/>
          </rPr>
          <t>&lt;[[TCDeals] - [Proxy Entities (Seq: 9)] Email Address 1 - Both]&gt;</t>
        </r>
      </text>
    </comment>
    <comment ref="J704" authorId="1" shapeId="0" xr:uid="{47110F0B-3512-4B46-AE27-91FCD5D70119}">
      <text>
        <r>
          <rPr>
            <b/>
            <sz val="9"/>
            <color indexed="81"/>
            <rFont val="Tahoma"/>
            <family val="2"/>
          </rPr>
          <t>&lt;[[TCDeals] - [Proxy Entities (Seq: 9)] Deal Entity Role - Both]&gt;</t>
        </r>
      </text>
    </comment>
    <comment ref="K704" authorId="1" shapeId="0" xr:uid="{5571128B-C28D-4A2F-8A7B-C9FB8CCB8341}">
      <text>
        <r>
          <rPr>
            <b/>
            <sz val="9"/>
            <color indexed="81"/>
            <rFont val="Tahoma"/>
            <family val="2"/>
          </rPr>
          <t>&lt;[[TCDeals] - [Proxy Entities (Seq: 9)] Company or Individual? - Both]&gt;</t>
        </r>
      </text>
    </comment>
    <comment ref="C705" authorId="1" shapeId="0" xr:uid="{F5B61EEB-0D78-4692-82EE-8AFBF9AEF806}">
      <text>
        <r>
          <rPr>
            <b/>
            <sz val="9"/>
            <color indexed="81"/>
            <rFont val="Tahoma"/>
            <family val="2"/>
          </rPr>
          <t>&lt;[[TCDeals] - [Proxy Entities (Seq: 10)] Name (Doing Business As) - Both]&gt;</t>
        </r>
      </text>
    </comment>
    <comment ref="D705" authorId="1" shapeId="0" xr:uid="{DE39B304-EC7A-4240-8B5A-54535DE9DAE8}">
      <text>
        <r>
          <rPr>
            <b/>
            <sz val="9"/>
            <color indexed="81"/>
            <rFont val="Tahoma"/>
            <family val="2"/>
          </rPr>
          <t>&lt;[[TCDeals] - [Proxy Entities (Seq: 10)] Address 1 - Both]&gt;</t>
        </r>
      </text>
    </comment>
    <comment ref="E705" authorId="1" shapeId="0" xr:uid="{D9ED6988-FF75-49EA-B6BB-EB9D82CD3AA9}">
      <text>
        <r>
          <rPr>
            <b/>
            <sz val="9"/>
            <color indexed="81"/>
            <rFont val="Tahoma"/>
            <family val="2"/>
          </rPr>
          <t>&lt;[[TCDeals] - [Proxy Entities (Seq: 10)] City - Both]&gt;</t>
        </r>
      </text>
    </comment>
    <comment ref="F705" authorId="3" shapeId="0" xr:uid="{1590D2C2-1EFB-49F0-BF18-AACA8E7F23CD}">
      <text>
        <r>
          <rPr>
            <b/>
            <sz val="9"/>
            <color indexed="81"/>
            <rFont val="Tahoma"/>
            <family val="2"/>
          </rPr>
          <t>&lt;[[TCDeals] - [Proxy Entities (Seq: 10)] State - Send]&gt;</t>
        </r>
      </text>
    </comment>
    <comment ref="G705" authorId="1" shapeId="0" xr:uid="{53C18D7D-2938-460F-99D0-933B789FB52D}">
      <text>
        <r>
          <rPr>
            <b/>
            <sz val="9"/>
            <color indexed="81"/>
            <rFont val="Tahoma"/>
            <family val="2"/>
          </rPr>
          <t>&lt;[[TCDeals] - [Proxy Entities (Seq: 10)] Zip Code - Both]&gt;</t>
        </r>
      </text>
    </comment>
    <comment ref="H705" authorId="1" shapeId="0" xr:uid="{31B7429E-93EC-4820-8793-AE146E9D3F9B}">
      <text>
        <r>
          <rPr>
            <b/>
            <sz val="9"/>
            <color indexed="81"/>
            <rFont val="Tahoma"/>
            <family val="2"/>
          </rPr>
          <t>&lt;[[TCDeals] - [Proxy Entities (Seq: 10)] Direct Phone - Both]&gt;</t>
        </r>
      </text>
    </comment>
    <comment ref="I705" authorId="1" shapeId="0" xr:uid="{AFF2D4DD-CF9F-4B19-BCEF-D3DCA6E841E2}">
      <text>
        <r>
          <rPr>
            <b/>
            <sz val="9"/>
            <color indexed="81"/>
            <rFont val="Tahoma"/>
            <family val="2"/>
          </rPr>
          <t>&lt;[[TCDeals] - [Proxy Entities (Seq: 10)] Email Address 1 - Both]&gt;</t>
        </r>
      </text>
    </comment>
    <comment ref="J705" authorId="1" shapeId="0" xr:uid="{D82E6591-DA8B-4B51-9FD9-3A2A11143BCA}">
      <text>
        <r>
          <rPr>
            <b/>
            <sz val="9"/>
            <color indexed="81"/>
            <rFont val="Tahoma"/>
            <family val="2"/>
          </rPr>
          <t>&lt;[[TCDeals] - [Proxy Entities (Seq: 10)] Deal Entity Role - Both]&gt;</t>
        </r>
      </text>
    </comment>
    <comment ref="K705" authorId="1" shapeId="0" xr:uid="{2B420D0E-B3E0-4E6E-B538-43F122578FA5}">
      <text>
        <r>
          <rPr>
            <b/>
            <sz val="9"/>
            <color indexed="81"/>
            <rFont val="Tahoma"/>
            <family val="2"/>
          </rPr>
          <t>&lt;[[TCDeals] - [Proxy Entities (Seq: 10)] Company or Individual? - Both]&gt;</t>
        </r>
      </text>
    </comment>
    <comment ref="C706" authorId="1" shapeId="0" xr:uid="{840DF391-3920-407D-8F1B-5FC93D4ACCB5}">
      <text>
        <r>
          <rPr>
            <b/>
            <sz val="9"/>
            <color indexed="81"/>
            <rFont val="Tahoma"/>
            <family val="2"/>
          </rPr>
          <t>&lt;[[TCDeals] - [Proxy Entities (Seq: 11)] Name (Doing Business As) - Both]&gt;</t>
        </r>
      </text>
    </comment>
    <comment ref="D706" authorId="1" shapeId="0" xr:uid="{04635037-7967-478F-8FC3-3AE0B6A5B5A0}">
      <text>
        <r>
          <rPr>
            <b/>
            <sz val="9"/>
            <color indexed="81"/>
            <rFont val="Tahoma"/>
            <family val="2"/>
          </rPr>
          <t>&lt;[[TCDeals] - [Proxy Entities (Seq: 11)] Address 1 - Both]&gt;</t>
        </r>
      </text>
    </comment>
    <comment ref="E706" authorId="1" shapeId="0" xr:uid="{27B7871A-EB4D-4D2D-9288-D1F6ECD7788F}">
      <text>
        <r>
          <rPr>
            <b/>
            <sz val="9"/>
            <color indexed="81"/>
            <rFont val="Tahoma"/>
            <family val="2"/>
          </rPr>
          <t>&lt;[[TCDeals] - [Proxy Entities (Seq: 11)] City - Both]&gt;</t>
        </r>
      </text>
    </comment>
    <comment ref="F706" authorId="3" shapeId="0" xr:uid="{6EF55028-D218-48A7-94B5-20FEB43E1F69}">
      <text>
        <r>
          <rPr>
            <b/>
            <sz val="9"/>
            <color indexed="81"/>
            <rFont val="Tahoma"/>
            <family val="2"/>
          </rPr>
          <t>&lt;[[TCDeals] - [Proxy Entities (Seq: 11)] State - Send]&gt;</t>
        </r>
      </text>
    </comment>
    <comment ref="G706" authorId="1" shapeId="0" xr:uid="{1829F799-2E3E-4D5C-AB93-1021298FB0BF}">
      <text>
        <r>
          <rPr>
            <b/>
            <sz val="9"/>
            <color indexed="81"/>
            <rFont val="Tahoma"/>
            <family val="2"/>
          </rPr>
          <t>&lt;[[TCDeals] - [Proxy Entities (Seq: 11)] Zip Code - Both]&gt;</t>
        </r>
      </text>
    </comment>
    <comment ref="H706" authorId="1" shapeId="0" xr:uid="{48E858EF-ADA6-429D-BAAF-FB54109C7B31}">
      <text>
        <r>
          <rPr>
            <b/>
            <sz val="9"/>
            <color indexed="81"/>
            <rFont val="Tahoma"/>
            <family val="2"/>
          </rPr>
          <t>&lt;[[TCDeals] - [Proxy Entities (Seq: 11)] Direct Phone - Both]&gt;</t>
        </r>
      </text>
    </comment>
    <comment ref="I706" authorId="1" shapeId="0" xr:uid="{EB22D9E1-96ED-4AFA-ABD4-E9EE99FE456A}">
      <text>
        <r>
          <rPr>
            <b/>
            <sz val="9"/>
            <color indexed="81"/>
            <rFont val="Tahoma"/>
            <family val="2"/>
          </rPr>
          <t>&lt;[[TCDeals] - [Proxy Entities (Seq: 11)] Email Address 1 - Both]&gt;</t>
        </r>
      </text>
    </comment>
    <comment ref="J706" authorId="1" shapeId="0" xr:uid="{5BD5C0B7-ADFD-4974-A472-0328DE6BE6F3}">
      <text>
        <r>
          <rPr>
            <b/>
            <sz val="9"/>
            <color indexed="81"/>
            <rFont val="Tahoma"/>
            <family val="2"/>
          </rPr>
          <t>&lt;[[TCDeals] - [Proxy Entities (Seq: 11)] Deal Entity Role - Both]&gt;</t>
        </r>
      </text>
    </comment>
    <comment ref="K706" authorId="1" shapeId="0" xr:uid="{241C45C5-D1E9-49BF-9097-63C6E140CCC4}">
      <text>
        <r>
          <rPr>
            <b/>
            <sz val="9"/>
            <color indexed="81"/>
            <rFont val="Tahoma"/>
            <family val="2"/>
          </rPr>
          <t>&lt;[[TCDeals] - [Proxy Entities (Seq: 11)] Company or Individual? - Both]&gt;</t>
        </r>
      </text>
    </comment>
    <comment ref="C707" authorId="1" shapeId="0" xr:uid="{4D4B7C2D-84E2-4944-B5EB-38ADDE648BEB}">
      <text>
        <r>
          <rPr>
            <b/>
            <sz val="9"/>
            <color indexed="81"/>
            <rFont val="Tahoma"/>
            <family val="2"/>
          </rPr>
          <t>&lt;[[TCDeals] - [Proxy Entities (Seq: 12)] Name (Doing Business As) - Both]&gt;</t>
        </r>
      </text>
    </comment>
    <comment ref="D707" authorId="1" shapeId="0" xr:uid="{88BAFEE6-41C7-49F8-99B5-0755E9A2DE7E}">
      <text>
        <r>
          <rPr>
            <b/>
            <sz val="9"/>
            <color indexed="81"/>
            <rFont val="Tahoma"/>
            <family val="2"/>
          </rPr>
          <t>&lt;[[TCDeals] - [Proxy Entities (Seq: 12)] Address 1 - Both]&gt;</t>
        </r>
      </text>
    </comment>
    <comment ref="E707" authorId="1" shapeId="0" xr:uid="{06E5AF6D-3E6F-4EDF-87EC-AFAF2AB65FE3}">
      <text>
        <r>
          <rPr>
            <b/>
            <sz val="9"/>
            <color indexed="81"/>
            <rFont val="Tahoma"/>
            <family val="2"/>
          </rPr>
          <t>&lt;[[TCDeals] - [Proxy Entities (Seq: 12)] City - Both]&gt;</t>
        </r>
      </text>
    </comment>
    <comment ref="F707" authorId="3" shapeId="0" xr:uid="{20EBA923-5210-4FEE-85F4-E079BE7E3EEE}">
      <text>
        <r>
          <rPr>
            <b/>
            <sz val="9"/>
            <color indexed="81"/>
            <rFont val="Tahoma"/>
            <family val="2"/>
          </rPr>
          <t>&lt;[[TCDeals] - [Proxy Entities (Seq: 12)] State - Send]&gt;</t>
        </r>
      </text>
    </comment>
    <comment ref="G707" authorId="1" shapeId="0" xr:uid="{6C0F1B8A-A5A3-4EBC-8A54-87368A5761FE}">
      <text>
        <r>
          <rPr>
            <b/>
            <sz val="9"/>
            <color indexed="81"/>
            <rFont val="Tahoma"/>
            <family val="2"/>
          </rPr>
          <t>&lt;[[TCDeals] - [Proxy Entities (Seq: 12)] Zip Code - Both]&gt;</t>
        </r>
      </text>
    </comment>
    <comment ref="H707" authorId="1" shapeId="0" xr:uid="{2429A5B3-7769-4074-BA0E-C2DFD873CCF5}">
      <text>
        <r>
          <rPr>
            <b/>
            <sz val="9"/>
            <color indexed="81"/>
            <rFont val="Tahoma"/>
            <family val="2"/>
          </rPr>
          <t>&lt;[[TCDeals] - [Proxy Entities (Seq: 12)] Direct Phone - Both]&gt;</t>
        </r>
      </text>
    </comment>
    <comment ref="I707" authorId="1" shapeId="0" xr:uid="{A43C5C2D-188E-4397-9667-7C3BB345854A}">
      <text>
        <r>
          <rPr>
            <b/>
            <sz val="9"/>
            <color indexed="81"/>
            <rFont val="Tahoma"/>
            <family val="2"/>
          </rPr>
          <t>&lt;[[TCDeals] - [Proxy Entities (Seq: 12)] Email Address 1 - Both]&gt;</t>
        </r>
      </text>
    </comment>
    <comment ref="J707" authorId="1" shapeId="0" xr:uid="{6963D876-5CEA-4781-BC86-11B35BFA1D5E}">
      <text>
        <r>
          <rPr>
            <b/>
            <sz val="9"/>
            <color indexed="81"/>
            <rFont val="Tahoma"/>
            <family val="2"/>
          </rPr>
          <t>&lt;[[TCDeals] - [Proxy Entities (Seq: 12)] Deal Entity Role - Both]&gt;</t>
        </r>
      </text>
    </comment>
    <comment ref="K707" authorId="1" shapeId="0" xr:uid="{5BC49F74-F0EA-4544-BF11-E0F0AD703DCA}">
      <text>
        <r>
          <rPr>
            <b/>
            <sz val="9"/>
            <color indexed="81"/>
            <rFont val="Tahoma"/>
            <family val="2"/>
          </rPr>
          <t>&lt;[[TCDeals] - [Proxy Entities (Seq: 12)] Company or Individual? - Both]&gt;</t>
        </r>
      </text>
    </comment>
    <comment ref="C708" authorId="1" shapeId="0" xr:uid="{3F7BD172-5C7A-45EF-B04A-0B12321EC6B9}">
      <text>
        <r>
          <rPr>
            <b/>
            <sz val="9"/>
            <color indexed="81"/>
            <rFont val="Tahoma"/>
            <family val="2"/>
          </rPr>
          <t>&lt;[[TCDeals] - [Proxy Entities (Seq: 13)] Name (Doing Business As) - Both]&gt;</t>
        </r>
      </text>
    </comment>
    <comment ref="D708" authorId="1" shapeId="0" xr:uid="{A5E3B09B-1F2D-4ADF-837C-1D56BD8E7107}">
      <text>
        <r>
          <rPr>
            <b/>
            <sz val="9"/>
            <color indexed="81"/>
            <rFont val="Tahoma"/>
            <family val="2"/>
          </rPr>
          <t>&lt;[[TCDeals] - [Proxy Entities (Seq: 13)] Address 1 - Both]&gt;</t>
        </r>
      </text>
    </comment>
    <comment ref="E708" authorId="1" shapeId="0" xr:uid="{169AFF65-22D2-496A-ADB5-D31BA9167D87}">
      <text>
        <r>
          <rPr>
            <b/>
            <sz val="9"/>
            <color indexed="81"/>
            <rFont val="Tahoma"/>
            <family val="2"/>
          </rPr>
          <t>&lt;[[TCDeals] - [Proxy Entities (Seq: 13)] City - Both]&gt;</t>
        </r>
      </text>
    </comment>
    <comment ref="F708" authorId="3" shapeId="0" xr:uid="{72747132-D187-41A1-8EA1-4348CF17F467}">
      <text>
        <r>
          <rPr>
            <b/>
            <sz val="9"/>
            <color indexed="81"/>
            <rFont val="Tahoma"/>
            <family val="2"/>
          </rPr>
          <t>&lt;[[TCDeals] - [Proxy Entities (Seq: 13)] State - Send]&gt;</t>
        </r>
      </text>
    </comment>
    <comment ref="G708" authorId="1" shapeId="0" xr:uid="{D901B1C1-B37F-43AD-8B37-5DB6268B113A}">
      <text>
        <r>
          <rPr>
            <b/>
            <sz val="9"/>
            <color indexed="81"/>
            <rFont val="Tahoma"/>
            <family val="2"/>
          </rPr>
          <t>&lt;[[TCDeals] - [Proxy Entities (Seq: 13)] Zip Code - Both]&gt;</t>
        </r>
      </text>
    </comment>
    <comment ref="H708" authorId="1" shapeId="0" xr:uid="{62521FA6-C98A-4102-A73D-F28463844B45}">
      <text>
        <r>
          <rPr>
            <b/>
            <sz val="9"/>
            <color indexed="81"/>
            <rFont val="Tahoma"/>
            <family val="2"/>
          </rPr>
          <t>&lt;[[TCDeals] - [Proxy Entities (Seq: 13)] Direct Phone - Both]&gt;</t>
        </r>
      </text>
    </comment>
    <comment ref="I708" authorId="1" shapeId="0" xr:uid="{1DA84E16-91B1-4077-8466-31D45452877E}">
      <text>
        <r>
          <rPr>
            <b/>
            <sz val="9"/>
            <color indexed="81"/>
            <rFont val="Tahoma"/>
            <family val="2"/>
          </rPr>
          <t>&lt;[[TCDeals] - [Proxy Entities (Seq: 13)] Email Address 1 - Both]&gt;</t>
        </r>
      </text>
    </comment>
    <comment ref="J708" authorId="1" shapeId="0" xr:uid="{61653D01-2FB5-40C8-9567-7BA05B94453B}">
      <text>
        <r>
          <rPr>
            <b/>
            <sz val="9"/>
            <color indexed="81"/>
            <rFont val="Tahoma"/>
            <family val="2"/>
          </rPr>
          <t>&lt;[[TCDeals] - [Proxy Entities (Seq: 13)] Deal Entity Role - Both]&gt;</t>
        </r>
      </text>
    </comment>
    <comment ref="K708" authorId="1" shapeId="0" xr:uid="{BC84A971-EE6C-4D40-851A-5D4583CD8B78}">
      <text>
        <r>
          <rPr>
            <b/>
            <sz val="9"/>
            <color indexed="81"/>
            <rFont val="Tahoma"/>
            <family val="2"/>
          </rPr>
          <t>&lt;[[TCDeals] - [Proxy Entities (Seq: 13)] Company or Individual? - Both]&gt;</t>
        </r>
      </text>
    </comment>
    <comment ref="C709" authorId="1" shapeId="0" xr:uid="{0D3D0015-0C7E-4A48-A553-CB01D06E75F3}">
      <text>
        <r>
          <rPr>
            <b/>
            <sz val="9"/>
            <color indexed="81"/>
            <rFont val="Tahoma"/>
            <family val="2"/>
          </rPr>
          <t>&lt;[[TCDeals] - [Proxy Entities (Seq: 14)] Name (Doing Business As) - Both]&gt;</t>
        </r>
      </text>
    </comment>
    <comment ref="D709" authorId="1" shapeId="0" xr:uid="{148FD976-51B5-40B8-816D-AA40799FD981}">
      <text>
        <r>
          <rPr>
            <b/>
            <sz val="9"/>
            <color indexed="81"/>
            <rFont val="Tahoma"/>
            <family val="2"/>
          </rPr>
          <t>&lt;[[TCDeals] - [Proxy Entities (Seq: 14)] Address 1 - Both]&gt;</t>
        </r>
      </text>
    </comment>
    <comment ref="E709" authorId="1" shapeId="0" xr:uid="{03CF148A-4834-48AA-8BD9-937929213761}">
      <text>
        <r>
          <rPr>
            <b/>
            <sz val="9"/>
            <color indexed="81"/>
            <rFont val="Tahoma"/>
            <family val="2"/>
          </rPr>
          <t>&lt;[[TCDeals] - [Proxy Entities (Seq: 14)] City - Both]&gt;</t>
        </r>
      </text>
    </comment>
    <comment ref="F709" authorId="3" shapeId="0" xr:uid="{4EBA95E3-9D61-43EF-8FE2-8A24783138BF}">
      <text>
        <r>
          <rPr>
            <b/>
            <sz val="9"/>
            <color indexed="81"/>
            <rFont val="Tahoma"/>
            <family val="2"/>
          </rPr>
          <t>&lt;[[TCDeals] - [Proxy Entities (Seq: 14)] State - Send]&gt;</t>
        </r>
      </text>
    </comment>
    <comment ref="G709" authorId="1" shapeId="0" xr:uid="{167A6A73-B1CE-4777-9CE1-84F4C7C1E500}">
      <text>
        <r>
          <rPr>
            <b/>
            <sz val="9"/>
            <color indexed="81"/>
            <rFont val="Tahoma"/>
            <family val="2"/>
          </rPr>
          <t>&lt;[[TCDeals] - [Proxy Entities (Seq: 14)] Zip Code - Both]&gt;</t>
        </r>
      </text>
    </comment>
    <comment ref="H709" authorId="1" shapeId="0" xr:uid="{DC9B9D45-2F0C-4F24-98B0-64955046FE31}">
      <text>
        <r>
          <rPr>
            <b/>
            <sz val="9"/>
            <color indexed="81"/>
            <rFont val="Tahoma"/>
            <family val="2"/>
          </rPr>
          <t>&lt;[[TCDeals] - [Proxy Entities (Seq: 14)] Direct Phone - Both]&gt;</t>
        </r>
      </text>
    </comment>
    <comment ref="I709" authorId="1" shapeId="0" xr:uid="{9BE7A267-3F61-402A-A01D-819EC91C7B7B}">
      <text>
        <r>
          <rPr>
            <b/>
            <sz val="9"/>
            <color indexed="81"/>
            <rFont val="Tahoma"/>
            <family val="2"/>
          </rPr>
          <t>&lt;[[TCDeals] - [Proxy Entities (Seq: 14)] Email Address 1 - Both]&gt;</t>
        </r>
      </text>
    </comment>
    <comment ref="J709" authorId="1" shapeId="0" xr:uid="{8304C36A-4DF9-4518-9127-6F6315400930}">
      <text>
        <r>
          <rPr>
            <b/>
            <sz val="9"/>
            <color indexed="81"/>
            <rFont val="Tahoma"/>
            <family val="2"/>
          </rPr>
          <t>&lt;[[TCDeals] - [Proxy Entities (Seq: 14)] Deal Entity Role - Both]&gt;</t>
        </r>
      </text>
    </comment>
    <comment ref="K709" authorId="1" shapeId="0" xr:uid="{049FF5DF-0B5C-4B37-9826-8F8FBCFB56F4}">
      <text>
        <r>
          <rPr>
            <b/>
            <sz val="9"/>
            <color indexed="81"/>
            <rFont val="Tahoma"/>
            <family val="2"/>
          </rPr>
          <t>&lt;[[TCDeals] - [Proxy Entities (Seq: 14)] Company or Individual? - Both]&gt;</t>
        </r>
      </text>
    </comment>
    <comment ref="C710" authorId="1" shapeId="0" xr:uid="{2217BEC7-CF41-4B30-A25E-BB12A69BB3FC}">
      <text>
        <r>
          <rPr>
            <b/>
            <sz val="9"/>
            <color indexed="81"/>
            <rFont val="Tahoma"/>
            <family val="2"/>
          </rPr>
          <t>&lt;[[TCDeals] - [Proxy Entities (Seq: 15)] Name (Doing Business As) - Both]&gt;</t>
        </r>
      </text>
    </comment>
    <comment ref="D710" authorId="1" shapeId="0" xr:uid="{1D5893D0-41E3-4C99-89F1-2274BB304F28}">
      <text>
        <r>
          <rPr>
            <b/>
            <sz val="9"/>
            <color indexed="81"/>
            <rFont val="Tahoma"/>
            <family val="2"/>
          </rPr>
          <t>&lt;[[TCDeals] - [Proxy Entities (Seq: 15)] Address 1 - Both]&gt;</t>
        </r>
      </text>
    </comment>
    <comment ref="E710" authorId="1" shapeId="0" xr:uid="{6A08C8C7-8F43-4B0C-9DBB-E4CD97CD35BF}">
      <text>
        <r>
          <rPr>
            <b/>
            <sz val="9"/>
            <color indexed="81"/>
            <rFont val="Tahoma"/>
            <family val="2"/>
          </rPr>
          <t>&lt;[[TCDeals] - [Proxy Entities (Seq: 15)] City - Both]&gt;</t>
        </r>
      </text>
    </comment>
    <comment ref="F710" authorId="3" shapeId="0" xr:uid="{BB7D871B-6F97-47FB-B5F9-46C4D44A90DC}">
      <text>
        <r>
          <rPr>
            <b/>
            <sz val="9"/>
            <color indexed="81"/>
            <rFont val="Tahoma"/>
            <family val="2"/>
          </rPr>
          <t>&lt;[[TCDeals] - [Proxy Entities (Seq: 15)] State - Send]&gt;</t>
        </r>
      </text>
    </comment>
    <comment ref="G710" authorId="1" shapeId="0" xr:uid="{0888F8CA-8149-48EC-AE7E-3EDA596897DF}">
      <text>
        <r>
          <rPr>
            <b/>
            <sz val="9"/>
            <color indexed="81"/>
            <rFont val="Tahoma"/>
            <family val="2"/>
          </rPr>
          <t>&lt;[[TCDeals] - [Proxy Entities (Seq: 15)] Zip Code - Both]&gt;</t>
        </r>
      </text>
    </comment>
    <comment ref="H710" authorId="1" shapeId="0" xr:uid="{DBDD3FB1-669F-4210-8642-C18B01D3489A}">
      <text>
        <r>
          <rPr>
            <b/>
            <sz val="9"/>
            <color indexed="81"/>
            <rFont val="Tahoma"/>
            <family val="2"/>
          </rPr>
          <t>&lt;[[TCDeals] - [Proxy Entities (Seq: 15)] Direct Phone - Both]&gt;</t>
        </r>
      </text>
    </comment>
    <comment ref="I710" authorId="1" shapeId="0" xr:uid="{B6C225A6-8277-434A-8653-DFF385B61280}">
      <text>
        <r>
          <rPr>
            <b/>
            <sz val="9"/>
            <color indexed="81"/>
            <rFont val="Tahoma"/>
            <family val="2"/>
          </rPr>
          <t>&lt;[[TCDeals] - [Proxy Entities (Seq: 15)] Email Address 1 - Both]&gt;</t>
        </r>
      </text>
    </comment>
    <comment ref="J710" authorId="1" shapeId="0" xr:uid="{80789B56-88A4-4839-9CD1-AD0498835535}">
      <text>
        <r>
          <rPr>
            <b/>
            <sz val="9"/>
            <color indexed="81"/>
            <rFont val="Tahoma"/>
            <family val="2"/>
          </rPr>
          <t>&lt;[[TCDeals] - [Proxy Entities (Seq: 15)] Deal Entity Role - Both]&gt;</t>
        </r>
      </text>
    </comment>
    <comment ref="K710" authorId="1" shapeId="0" xr:uid="{4461ADF5-9961-4EDB-A90A-1BAED585D1F7}">
      <text>
        <r>
          <rPr>
            <b/>
            <sz val="9"/>
            <color indexed="81"/>
            <rFont val="Tahoma"/>
            <family val="2"/>
          </rPr>
          <t>&lt;[[TCDeals] - [Proxy Entities (Seq: 15)] Company or Individual? - Both]&gt;</t>
        </r>
      </text>
    </comment>
    <comment ref="C711" authorId="1" shapeId="0" xr:uid="{19F56DE0-08FA-4183-85D9-9A4F4A5B637C}">
      <text>
        <r>
          <rPr>
            <b/>
            <sz val="9"/>
            <color indexed="81"/>
            <rFont val="Tahoma"/>
            <family val="2"/>
          </rPr>
          <t>&lt;[[TCDeals] - [Proxy Entities (Seq: 16)] Name (Doing Business As) - Both]&gt;</t>
        </r>
      </text>
    </comment>
    <comment ref="D711" authorId="1" shapeId="0" xr:uid="{0EDE6993-C3DE-4E5B-AFA4-609304C95C4B}">
      <text>
        <r>
          <rPr>
            <b/>
            <sz val="9"/>
            <color indexed="81"/>
            <rFont val="Tahoma"/>
            <family val="2"/>
          </rPr>
          <t>&lt;[[TCDeals] - [Proxy Entities (Seq: 16)] Address 1 - Both]&gt;</t>
        </r>
      </text>
    </comment>
    <comment ref="E711" authorId="1" shapeId="0" xr:uid="{134E2E97-7553-4278-8C03-F4F158DA2C34}">
      <text>
        <r>
          <rPr>
            <b/>
            <sz val="9"/>
            <color indexed="81"/>
            <rFont val="Tahoma"/>
            <family val="2"/>
          </rPr>
          <t>&lt;[[TCDeals] - [Proxy Entities (Seq: 16)] City - Both]&gt;</t>
        </r>
      </text>
    </comment>
    <comment ref="F711" authorId="3" shapeId="0" xr:uid="{07FD68AD-98F5-4576-8786-A48CF326425B}">
      <text>
        <r>
          <rPr>
            <b/>
            <sz val="9"/>
            <color indexed="81"/>
            <rFont val="Tahoma"/>
            <family val="2"/>
          </rPr>
          <t>&lt;[[TCDeals] - [Proxy Entities (Seq: 16)] State - Send]&gt;</t>
        </r>
      </text>
    </comment>
    <comment ref="G711" authorId="1" shapeId="0" xr:uid="{6DD21BA8-9868-4F1C-AC20-9820DB748746}">
      <text>
        <r>
          <rPr>
            <b/>
            <sz val="9"/>
            <color indexed="81"/>
            <rFont val="Tahoma"/>
            <family val="2"/>
          </rPr>
          <t>&lt;[[TCDeals] - [Proxy Entities (Seq: 16)] Zip Code - Both]&gt;</t>
        </r>
      </text>
    </comment>
    <comment ref="H711" authorId="1" shapeId="0" xr:uid="{3C4AF867-71E1-4F90-BB93-A7B20A37DF4E}">
      <text>
        <r>
          <rPr>
            <b/>
            <sz val="9"/>
            <color indexed="81"/>
            <rFont val="Tahoma"/>
            <family val="2"/>
          </rPr>
          <t>&lt;[[TCDeals] - [Proxy Entities (Seq: 16)] Direct Phone - Both]&gt;</t>
        </r>
      </text>
    </comment>
    <comment ref="I711" authorId="1" shapeId="0" xr:uid="{7542C5E2-D756-4EA0-91C9-682BE2C608A0}">
      <text>
        <r>
          <rPr>
            <b/>
            <sz val="9"/>
            <color indexed="81"/>
            <rFont val="Tahoma"/>
            <family val="2"/>
          </rPr>
          <t>&lt;[[TCDeals] - [Proxy Entities (Seq: 16)] Email Address 1 - Both]&gt;</t>
        </r>
      </text>
    </comment>
    <comment ref="J711" authorId="1" shapeId="0" xr:uid="{1707E6FB-D32B-4ABC-9612-B0E192810B1B}">
      <text>
        <r>
          <rPr>
            <b/>
            <sz val="9"/>
            <color indexed="81"/>
            <rFont val="Tahoma"/>
            <family val="2"/>
          </rPr>
          <t>&lt;[[TCDeals] - [Proxy Entities (Seq: 16)] Deal Entity Role - Both]&gt;</t>
        </r>
      </text>
    </comment>
    <comment ref="K711" authorId="1" shapeId="0" xr:uid="{419067B1-7D2E-4A78-B4E7-3705119F8B27}">
      <text>
        <r>
          <rPr>
            <b/>
            <sz val="9"/>
            <color indexed="81"/>
            <rFont val="Tahoma"/>
            <family val="2"/>
          </rPr>
          <t>&lt;[[TCDeals] - [Proxy Entities (Seq: 16)] Company or Individual? - Both]&gt;</t>
        </r>
      </text>
    </comment>
    <comment ref="C734" authorId="0" shapeId="0" xr:uid="{D2F4ED1C-751C-4C7F-B10B-046789C95C9D}">
      <text>
        <r>
          <rPr>
            <b/>
            <sz val="9"/>
            <color indexed="81"/>
            <rFont val="Tahoma"/>
            <family val="2"/>
          </rPr>
          <t>&lt;[[TCDeals] - [TC Property Current Stage (Seq: 1)] - [Property Points (Seq: 1)] Is principals of the development's ownership entity, previously received tax credits in Colorado? - Both]&gt;</t>
        </r>
      </text>
    </comment>
    <comment ref="C735" authorId="0" shapeId="0" xr:uid="{8E45B9A6-569D-4D21-A28B-A3ECEB698E0D}">
      <text>
        <r>
          <rPr>
            <b/>
            <sz val="9"/>
            <color indexed="81"/>
            <rFont val="Tahoma"/>
            <family val="2"/>
          </rPr>
          <t>&lt;[[TCDeals] - [TC Property Current Stage (Seq: 1)] - [Property Points (Seq: 1)] Is principals of the development's ownership entity, previously received tax credits in other states? - Both]&gt;</t>
        </r>
      </text>
    </comment>
    <comment ref="C736" authorId="0" shapeId="0" xr:uid="{EAC68052-1E81-4626-9BDD-5231FC55E6C8}">
      <text>
        <r>
          <rPr>
            <b/>
            <sz val="9"/>
            <color indexed="81"/>
            <rFont val="Tahoma"/>
            <family val="2"/>
          </rPr>
          <t>&lt;[[TCDeals] - [TC Property Current Stage (Seq: 1)] - [Property Points (Seq: 1)] Is Private Placement - Both]&gt;</t>
        </r>
      </text>
    </comment>
    <comment ref="C737" authorId="0" shapeId="0" xr:uid="{26FB8D31-57B8-464B-91F4-2AC2CE0E825B}">
      <text>
        <r>
          <rPr>
            <b/>
            <sz val="9"/>
            <color indexed="81"/>
            <rFont val="Tahoma"/>
            <family val="2"/>
          </rPr>
          <t>&lt;[[TCDeals] - [TC Property Current Stage (Seq: 1)] - [Property Points (Seq: 1)] Is Public Placement - Both]&gt;</t>
        </r>
      </text>
    </comment>
    <comment ref="C738" authorId="0" shapeId="0" xr:uid="{2528154D-AADB-493B-81AA-763313B331FD}">
      <text>
        <r>
          <rPr>
            <b/>
            <sz val="9"/>
            <color indexed="81"/>
            <rFont val="Tahoma"/>
            <family val="2"/>
          </rPr>
          <t>&lt;[[TCDeals] - [TC Property Current Stage (Seq: 1)] - [Property Points (Seq: 1)] Optional Field 154 - Both]&gt;</t>
        </r>
      </text>
    </comment>
    <comment ref="C739" authorId="0" shapeId="0" xr:uid="{9F77FA70-E801-4E23-B780-74946759D1B7}">
      <text>
        <r>
          <rPr>
            <b/>
            <sz val="9"/>
            <color indexed="81"/>
            <rFont val="Tahoma"/>
            <family val="2"/>
          </rPr>
          <t>&lt;[[TCDeals] - [TC Property Current Stage (Seq: 1)] - [Property Points (Seq: 1)] Optional Field 155 - Both]&gt;</t>
        </r>
      </text>
    </comment>
    <comment ref="C740" authorId="0" shapeId="0" xr:uid="{E2924A1B-9531-403B-AC67-79B323D5971F}">
      <text>
        <r>
          <rPr>
            <b/>
            <sz val="9"/>
            <color indexed="81"/>
            <rFont val="Tahoma"/>
            <family val="2"/>
          </rPr>
          <t>&lt;[[TCDeals] - [TC Property Current Stage (Seq: 1)] - [Property Points (Seq: 1)] Optional Field 156 - Both]&gt;</t>
        </r>
      </text>
    </comment>
    <comment ref="C741" authorId="0" shapeId="0" xr:uid="{BF6AEAA3-6097-471D-81EA-E7F2974D004A}">
      <text>
        <r>
          <rPr>
            <b/>
            <sz val="9"/>
            <color indexed="81"/>
            <rFont val="Tahoma"/>
            <family val="2"/>
          </rPr>
          <t>&lt;[[TCDeals] - [TC Property Current Stage (Seq: 1)] - [Property Points (Seq: 1)] Optional Field 157 - Both]&gt;</t>
        </r>
      </text>
    </comment>
    <comment ref="C742" authorId="0" shapeId="0" xr:uid="{88A43A9A-9A64-4FB5-9740-BB82A0704371}">
      <text>
        <r>
          <rPr>
            <b/>
            <sz val="9"/>
            <color indexed="81"/>
            <rFont val="Tahoma"/>
            <family val="2"/>
          </rPr>
          <t>&lt;[[TCDeals] - [TC Property Current Stage (Seq: 1)] - [Property Points (Seq: 1)] Optional Field 158 - Both]&gt;</t>
        </r>
      </text>
    </comment>
    <comment ref="C743" authorId="0" shapeId="0" xr:uid="{18B2695E-15F6-4BBF-83A3-175BDADA35ED}">
      <text>
        <r>
          <rPr>
            <b/>
            <sz val="9"/>
            <color indexed="81"/>
            <rFont val="Tahoma"/>
            <family val="2"/>
          </rPr>
          <t>&lt;[[TCDeals] - [TC Property Current Stage (Seq: 1)] - [Property Points (Seq: 1)] Optional Field 453 - Both]&gt;</t>
        </r>
      </text>
    </comment>
    <comment ref="C744" authorId="1" shapeId="0" xr:uid="{4E2597B8-640D-420F-A558-208BB71EAA9A}">
      <text>
        <r>
          <rPr>
            <b/>
            <sz val="9"/>
            <color indexed="81"/>
            <rFont val="Tahoma"/>
            <family val="2"/>
          </rPr>
          <t>&lt;[[TCDeals] - [TC Property Current Stage (Seq: 1)] - [Property Points (Seq: 1)] Mayor State - Both]&gt;</t>
        </r>
      </text>
    </comment>
    <comment ref="C745" authorId="1" shapeId="0" xr:uid="{655A39EF-03EE-4F45-909B-20BAAFB7FEF5}">
      <text>
        <r>
          <rPr>
            <b/>
            <sz val="9"/>
            <color indexed="81"/>
            <rFont val="Tahoma"/>
            <family val="2"/>
          </rPr>
          <t>&lt;[[TCDeals] - [TC Property Current Stage (Seq: 1)] - [Property Points (Seq: 1)] Mayor Email - Both]&gt;</t>
        </r>
      </text>
    </comment>
    <comment ref="C746" authorId="0" shapeId="0" xr:uid="{B0162736-F91B-4E86-8E4A-BFF8814F2FA6}">
      <text>
        <r>
          <rPr>
            <b/>
            <sz val="9"/>
            <color indexed="81"/>
            <rFont val="Tahoma"/>
            <family val="2"/>
          </rPr>
          <t>&lt;[[TCDeals] - [TC Property Current Stage (Seq: 1)] - [Property Points (Seq: 1)] Optional Field 160 - Both]&gt;</t>
        </r>
      </text>
    </comment>
    <comment ref="C747" authorId="0" shapeId="0" xr:uid="{C33EDB3F-7EC8-4E54-86B2-31F64845C0A9}">
      <text>
        <r>
          <rPr>
            <b/>
            <sz val="9"/>
            <color indexed="81"/>
            <rFont val="Tahoma"/>
            <family val="2"/>
          </rPr>
          <t>&lt;[[TCDeals] - [TC Property Current Stage (Seq: 1)] - [Property Points (Seq: 1)] Optional Field 161 - Both]&gt;</t>
        </r>
      </text>
    </comment>
    <comment ref="C748" authorId="0" shapeId="0" xr:uid="{A258FB41-8B5E-421B-8E56-E5115B1443B2}">
      <text>
        <r>
          <rPr>
            <b/>
            <sz val="9"/>
            <color indexed="81"/>
            <rFont val="Tahoma"/>
            <family val="2"/>
          </rPr>
          <t>&lt;[[TCDeals] - [TC Property Current Stage (Seq: 1)] - [Property Points (Seq: 1)] Optional Field 162 - Both]&gt;</t>
        </r>
      </text>
    </comment>
    <comment ref="C749" authorId="0" shapeId="0" xr:uid="{8BE563EC-4D4E-4695-A3EF-D074E24C07CD}">
      <text>
        <r>
          <rPr>
            <b/>
            <sz val="9"/>
            <color indexed="81"/>
            <rFont val="Tahoma"/>
            <family val="2"/>
          </rPr>
          <t>&lt;[[TCDeals] - [TC Property Current Stage (Seq: 1)] - [Property Points (Seq: 1)] Optional Field 163 - Both]&gt;</t>
        </r>
      </text>
    </comment>
    <comment ref="C750" authorId="0" shapeId="0" xr:uid="{D078799C-E1FD-4B86-87B5-820405595EB9}">
      <text>
        <r>
          <rPr>
            <b/>
            <sz val="9"/>
            <color indexed="81"/>
            <rFont val="Tahoma"/>
            <family val="2"/>
          </rPr>
          <t>&lt;[[TCDeals] - [TC Property Current Stage (Seq: 1)] - [Property Points (Seq: 1)] Optional Field 164 - Both]&gt;</t>
        </r>
      </text>
    </comment>
    <comment ref="C751" authorId="0" shapeId="0" xr:uid="{1DE5BA71-F3A0-4256-985C-670AA93D145A}">
      <text>
        <r>
          <rPr>
            <b/>
            <sz val="9"/>
            <color indexed="81"/>
            <rFont val="Tahoma"/>
            <family val="2"/>
          </rPr>
          <t>&lt;[[TCDeals] - [TC Property Current Stage (Seq: 1)] - [Property Points (Seq: 1)] Optional Field 454 - Both]&gt;</t>
        </r>
      </text>
    </comment>
    <comment ref="C752" authorId="1" shapeId="0" xr:uid="{D094FD66-8FFF-4FF9-AECD-52593BC1452C}">
      <text>
        <r>
          <rPr>
            <b/>
            <sz val="9"/>
            <color indexed="81"/>
            <rFont val="Tahoma"/>
            <family val="2"/>
          </rPr>
          <t>&lt;[[TCDeals] - [TC Property Current Stage (Seq: 1)] - [Property Points (Seq: 1)] Local Housing Authority State - Both]&gt;</t>
        </r>
      </text>
    </comment>
    <comment ref="C753" authorId="1" shapeId="0" xr:uid="{B86AC30E-A26C-46ED-8CF5-217A81D805DB}">
      <text>
        <r>
          <rPr>
            <b/>
            <sz val="9"/>
            <color indexed="81"/>
            <rFont val="Tahoma"/>
            <family val="2"/>
          </rPr>
          <t>&lt;[[TCDeals] - [TC Property Current Stage (Seq: 1)] - [Property Points (Seq: 1)] Local Housing Authority Email - Both]&gt;</t>
        </r>
      </text>
    </comment>
    <comment ref="C754" authorId="1" shapeId="0" xr:uid="{9DB86E99-2137-43C3-AB0A-438190301AAE}">
      <text>
        <r>
          <rPr>
            <b/>
            <sz val="9"/>
            <color indexed="81"/>
            <rFont val="Tahoma"/>
            <family val="2"/>
          </rPr>
          <t>&lt;[[TCDeals] - [TC Property Current Stage (Seq: 1)] - [Property Points (Seq: 1)] Council Member - Both]&gt;</t>
        </r>
      </text>
    </comment>
    <comment ref="C755" authorId="1" shapeId="0" xr:uid="{E5033234-A6E7-4781-B0B2-51D8FC2A0FE0}">
      <text>
        <r>
          <rPr>
            <b/>
            <sz val="9"/>
            <color indexed="81"/>
            <rFont val="Tahoma"/>
            <family val="2"/>
          </rPr>
          <t>&lt;[[TCDeals] - [TC Property Current Stage (Seq: 1)] - [Property Points (Seq: 1)] Council Email - Both]&gt;</t>
        </r>
      </text>
    </comment>
    <comment ref="C756" authorId="0" shapeId="0" xr:uid="{DA1F1808-9A1B-4A9F-853D-93243228BA4B}">
      <text>
        <r>
          <rPr>
            <b/>
            <sz val="9"/>
            <color indexed="81"/>
            <rFont val="Tahoma"/>
            <family val="2"/>
          </rPr>
          <t>&lt;[[TCDeals] - [TC Property Current Stage (Seq: 1)] - [Property Points (Seq: 1)] Total Commercial Project Costs - Both]&gt;</t>
        </r>
      </text>
    </comment>
    <comment ref="C757" authorId="0" shapeId="0" xr:uid="{5D7E1000-4DDB-4E47-86C2-363489C58EC2}">
      <text>
        <r>
          <rPr>
            <b/>
            <sz val="9"/>
            <color indexed="81"/>
            <rFont val="Tahoma"/>
            <family val="2"/>
          </rPr>
          <t>&lt;[[TCDeals] - [TC Property Current Stage (Seq: 1)] - [Property Points (Seq: 1)] Total Funds for Commercial Development - Both]&gt;</t>
        </r>
      </text>
    </comment>
    <comment ref="C758" authorId="2" shapeId="0" xr:uid="{3A401898-200C-4BFC-9B13-F881751C8122}">
      <text>
        <r>
          <rPr>
            <b/>
            <sz val="9"/>
            <color indexed="81"/>
            <rFont val="Tahoma"/>
            <family val="2"/>
          </rPr>
          <t>&lt;[[TCDeals] - [TC Property Current Stage (Seq: 1)] - [Property Points (Seq: 1)] Type of State Tax Credit - Both]&gt;</t>
        </r>
      </text>
    </comment>
    <comment ref="C759" authorId="0" shapeId="0" xr:uid="{6C1995B3-C0AE-42FE-8C3A-678AACE0264A}">
      <text>
        <r>
          <rPr>
            <b/>
            <sz val="9"/>
            <color indexed="81"/>
            <rFont val="Tahoma"/>
            <family val="2"/>
          </rPr>
          <t>&lt;[[TCDeals] - [TC Property Current Stage (Seq: 1)] - [Property Points (Seq: 1)] State Equity Factor - Both]&gt;</t>
        </r>
      </text>
    </comment>
    <comment ref="C760" authorId="4" shapeId="0" xr:uid="{68728BD5-E00F-4A8C-8E56-082944421D6F}">
      <text>
        <r>
          <rPr>
            <b/>
            <sz val="9"/>
            <color indexed="81"/>
            <rFont val="Tahoma"/>
            <family val="2"/>
          </rPr>
          <t>&lt;[[TCDeals] - [TC Property Current Stage (Seq: 1)] - [TC Property Current Stage - User Defined Field Values (Seq: 1)] Custom Fields - TOC Credit Equity Factor - Send]&gt;</t>
        </r>
      </text>
    </comment>
    <comment ref="C761" authorId="4" shapeId="0" xr:uid="{E37D6E0F-527A-49A3-A400-0595B4C8166B}">
      <text>
        <r>
          <rPr>
            <b/>
            <sz val="9"/>
            <color indexed="81"/>
            <rFont val="Tahoma"/>
            <family val="2"/>
          </rPr>
          <t>&lt;[[TCDeals] - [TC Property Current Stage (Seq: 1)] - [TC Property Current Stage - User Defined Field Values (Seq: 1)] Custom Fields - Is TOC Credit? Y/N - Send]&gt;</t>
        </r>
      </text>
    </comment>
    <comment ref="C762" authorId="4" shapeId="0" xr:uid="{61890E92-83A8-467F-9B62-E853DB7C2DAC}">
      <text>
        <r>
          <rPr>
            <b/>
            <sz val="9"/>
            <color indexed="81"/>
            <rFont val="Tahoma"/>
            <family val="2"/>
          </rPr>
          <t>&lt;[[TCDeals] - [TC Property Current Stage (Seq: 1)] - [TC Property Current Stage - User Defined Field Values (Seq: 1)] Custom Fields - TOC Credit Amount - Send]&gt;</t>
        </r>
      </text>
    </comment>
    <comment ref="C763" authorId="0" shapeId="0" xr:uid="{36CCF392-FC13-44CC-9ADE-52157F917E65}">
      <text>
        <r>
          <rPr>
            <b/>
            <sz val="9"/>
            <color indexed="81"/>
            <rFont val="Tahoma"/>
            <family val="2"/>
          </rPr>
          <t>&lt;[[TCDeals] - [TC Property Current Stage (Seq: 1)] - [Property Points (Seq: 1)] Other Owner Equity - Both]&gt;</t>
        </r>
      </text>
    </comment>
    <comment ref="C764" authorId="1" shapeId="0" xr:uid="{A6F0964A-0AA1-4785-9DA1-E41CFFBDC432}">
      <text>
        <r>
          <rPr>
            <b/>
            <sz val="9"/>
            <color indexed="81"/>
            <rFont val="Tahoma"/>
            <family val="2"/>
          </rPr>
          <t>&lt;[[TCDeals] - [TC Property Current Stage (Seq: 1)] - [Property Points (Seq: 1)] City Manager - Both]&gt;</t>
        </r>
      </text>
    </comment>
    <comment ref="C765" authorId="1" shapeId="0" xr:uid="{6FB675C9-67E3-452D-98BD-924CF59F78C1}">
      <text>
        <r>
          <rPr>
            <b/>
            <sz val="9"/>
            <color indexed="81"/>
            <rFont val="Tahoma"/>
            <family val="2"/>
          </rPr>
          <t>&lt;[[TCDeals] - [TC Property Current Stage (Seq: 1)] - [Property Points (Seq: 1)] City Manager Email - Both]&gt;</t>
        </r>
      </text>
    </comment>
    <comment ref="C766" authorId="0" shapeId="0" xr:uid="{14104D45-EB45-4269-B30A-94542296B0EF}">
      <text>
        <r>
          <rPr>
            <b/>
            <sz val="9"/>
            <color indexed="81"/>
            <rFont val="Tahoma"/>
            <family val="2"/>
          </rPr>
          <t>&lt;[[TCDeals] - [TC Property Current Stage (Seq: 1)] - [Property Points (Seq: 1)] Total Annual Miscellaneous Income - Both]&gt;</t>
        </r>
      </text>
    </comment>
    <comment ref="C767" authorId="0" shapeId="0" xr:uid="{120143D6-734E-4B14-A457-36BC5D1D16E3}">
      <text>
        <r>
          <rPr>
            <b/>
            <sz val="9"/>
            <color indexed="81"/>
            <rFont val="Tahoma"/>
            <family val="2"/>
          </rPr>
          <t>&lt;[[TCDeals] - [TC Property Current Stage (Seq: 1)] - [Property Points (Seq: 1)] Total Annual Rental Income - Both]&gt;</t>
        </r>
      </text>
    </comment>
    <comment ref="C768" authorId="0" shapeId="0" xr:uid="{E925B34B-3E21-4152-80FD-CA54CDCF6BB5}">
      <text>
        <r>
          <rPr>
            <b/>
            <sz val="9"/>
            <color indexed="81"/>
            <rFont val="Tahoma"/>
            <family val="2"/>
          </rPr>
          <t>&lt;[[TCDeals] - [TC Property Current Stage (Seq: 1)] - [Property Points (Seq: 1)] Total Annual Residential Income - Both]&gt;</t>
        </r>
      </text>
    </comment>
    <comment ref="C769" authorId="0" shapeId="0" xr:uid="{CE99F013-8090-4CC8-97D4-8A8DBF2B20C5}">
      <text>
        <r>
          <rPr>
            <b/>
            <sz val="9"/>
            <color indexed="81"/>
            <rFont val="Tahoma"/>
            <family val="2"/>
          </rPr>
          <t>&lt;[[TCDeals] - [TC Property Current Stage (Seq: 1)] - [Property Points (Seq: 1)] Total Annual Retail/Commercial Income - Both]&gt;</t>
        </r>
      </text>
    </comment>
    <comment ref="C772" authorId="0" shapeId="0" xr:uid="{1AEEBB14-FADB-4DA1-ACFB-E28B7DD26B99}">
      <text>
        <r>
          <rPr>
            <b/>
            <sz val="9"/>
            <color indexed="81"/>
            <rFont val="Tahoma"/>
            <family val="2"/>
          </rPr>
          <t>&lt;[[TCDeals] - [TC Property Current Stage (Seq: 1)] - [Property Points (Seq: 1)] Identity: # Units - Both]&gt;</t>
        </r>
      </text>
    </comment>
    <comment ref="C773" authorId="0" shapeId="0" xr:uid="{E8610FCB-44C0-483D-8283-8A92EF723F87}">
      <text>
        <r>
          <rPr>
            <b/>
            <sz val="9"/>
            <color indexed="81"/>
            <rFont val="Tahoma"/>
            <family val="2"/>
          </rPr>
          <t>&lt;[[TCDeals] - [TC Property Current Stage (Seq: 1)] - [Property Points (Seq: 1)] Identity: Max % - Both]&gt;</t>
        </r>
      </text>
    </comment>
    <comment ref="C774" authorId="0" shapeId="0" xr:uid="{7B4D23DF-E456-45CF-BC2A-EC92A34E9692}">
      <text>
        <r>
          <rPr>
            <b/>
            <sz val="9"/>
            <color indexed="81"/>
            <rFont val="Tahoma"/>
            <family val="2"/>
          </rPr>
          <t>&lt;[[TCDeals] - [TC Property Current Stage (Seq: 1)] - [Property Points (Seq: 1)] No Identity: # Units - Both]&gt;</t>
        </r>
      </text>
    </comment>
    <comment ref="C775" authorId="0" shapeId="0" xr:uid="{B78A978B-CF86-4945-BE2F-EEE337013760}">
      <text>
        <r>
          <rPr>
            <b/>
            <sz val="9"/>
            <color indexed="81"/>
            <rFont val="Tahoma"/>
            <family val="2"/>
          </rPr>
          <t>&lt;[[TCDeals] - [TC Property Current Stage (Seq: 1)] - [Property Points (Seq: 1)] No Identity: Max % - Both]&gt;</t>
        </r>
      </text>
    </comment>
    <comment ref="C779" authorId="0" shapeId="0" xr:uid="{36FA5C25-2B7D-4B0C-B8AF-1920634035CF}">
      <text>
        <r>
          <rPr>
            <b/>
            <sz val="9"/>
            <color indexed="81"/>
            <rFont val="Tahoma"/>
            <family val="2"/>
          </rPr>
          <t>&lt;[[TCDeals] - [TC Property Current Stage (Seq: 1)] - [Property Points (Seq: 1)] Is Prevail Wage - Both]&gt;</t>
        </r>
      </text>
    </comment>
    <comment ref="C780" authorId="0" shapeId="0" xr:uid="{C69F5ADF-9AEE-4098-8F96-534167C615CD}">
      <text>
        <r>
          <rPr>
            <b/>
            <sz val="9"/>
            <color indexed="81"/>
            <rFont val="Tahoma"/>
            <family val="2"/>
          </rPr>
          <t>&lt;[[TCDeals] - [TC Property Current Stage (Seq: 1)] - [Property Points (Seq: 1)] General Requirements - Both]&gt;</t>
        </r>
      </text>
    </comment>
    <comment ref="C781" authorId="0" shapeId="0" xr:uid="{BA6328FF-CD15-4CCD-9790-F49964387252}">
      <text>
        <r>
          <rPr>
            <b/>
            <sz val="9"/>
            <color indexed="81"/>
            <rFont val="Tahoma"/>
            <family val="2"/>
          </rPr>
          <t>&lt;[[TCDeals] - [TC Property Current Stage (Seq: 1)] - [Property Points (Seq: 1)] Existing Conditions - Both]&gt;</t>
        </r>
      </text>
    </comment>
    <comment ref="C782" authorId="0" shapeId="0" xr:uid="{FF9BD7A2-4F92-44A9-9F8A-7566E5C5857C}">
      <text>
        <r>
          <rPr>
            <b/>
            <sz val="9"/>
            <color indexed="81"/>
            <rFont val="Tahoma"/>
            <family val="2"/>
          </rPr>
          <t>&lt;[[TCDeals] - [TC Property Current Stage (Seq: 1)] - [Property Points (Seq: 1)] Concrete - Both]&gt;</t>
        </r>
      </text>
    </comment>
    <comment ref="C783" authorId="0" shapeId="0" xr:uid="{BC6F3A91-0904-45FB-9734-2F3BD7A3635C}">
      <text>
        <r>
          <rPr>
            <b/>
            <sz val="9"/>
            <color indexed="81"/>
            <rFont val="Tahoma"/>
            <family val="2"/>
          </rPr>
          <t>&lt;[[TCDeals] - [TC Property Current Stage (Seq: 1)] - [Property Points (Seq: 1)] Masonry - Both]&gt;</t>
        </r>
      </text>
    </comment>
    <comment ref="C784" authorId="0" shapeId="0" xr:uid="{4B20BE59-63DD-4693-A457-E9505D2D4D07}">
      <text>
        <r>
          <rPr>
            <b/>
            <sz val="9"/>
            <color indexed="81"/>
            <rFont val="Tahoma"/>
            <family val="2"/>
          </rPr>
          <t>&lt;[[TCDeals] - [TC Property Current Stage (Seq: 1)] - [Property Points (Seq: 1)] Metals - Both]&gt;</t>
        </r>
      </text>
    </comment>
    <comment ref="C785" authorId="0" shapeId="0" xr:uid="{B67A0D95-F7F3-43D4-956E-0E150C644DC0}">
      <text>
        <r>
          <rPr>
            <b/>
            <sz val="9"/>
            <color indexed="81"/>
            <rFont val="Tahoma"/>
            <family val="2"/>
          </rPr>
          <t>&lt;[[TCDeals] - [TC Property Current Stage (Seq: 1)] - [Property Points (Seq: 1)] Wood, Plastics &amp; Composites - Both]&gt;</t>
        </r>
      </text>
    </comment>
    <comment ref="C786" authorId="0" shapeId="0" xr:uid="{0C857C98-1CEA-4FB4-8582-84022D9257EF}">
      <text>
        <r>
          <rPr>
            <b/>
            <sz val="9"/>
            <color indexed="81"/>
            <rFont val="Tahoma"/>
            <family val="2"/>
          </rPr>
          <t>&lt;[[TCDeals] - [TC Property Current Stage (Seq: 1)] - [Property Points (Seq: 1)] Thermal and Moisture Protection - Both]&gt;</t>
        </r>
      </text>
    </comment>
    <comment ref="C787" authorId="0" shapeId="0" xr:uid="{B0130584-6F79-46FF-A292-F0F0D98EB62D}">
      <text>
        <r>
          <rPr>
            <b/>
            <sz val="9"/>
            <color indexed="81"/>
            <rFont val="Tahoma"/>
            <family val="2"/>
          </rPr>
          <t>&lt;[[TCDeals] - [TC Property Current Stage (Seq: 1)] - [Property Points (Seq: 1)] Openings - Both]&gt;</t>
        </r>
      </text>
    </comment>
    <comment ref="C788" authorId="0" shapeId="0" xr:uid="{37C19EE1-A36D-4D8D-A680-9A216DD955DC}">
      <text>
        <r>
          <rPr>
            <b/>
            <sz val="9"/>
            <color indexed="81"/>
            <rFont val="Tahoma"/>
            <family val="2"/>
          </rPr>
          <t>&lt;[[TCDeals] - [TC Property Current Stage (Seq: 1)] - [Property Points (Seq: 1)] Finishes - Both]&gt;</t>
        </r>
      </text>
    </comment>
    <comment ref="C789" authorId="0" shapeId="0" xr:uid="{76DACCD5-937D-4DDC-AB30-FE1E5C5FDECB}">
      <text>
        <r>
          <rPr>
            <b/>
            <sz val="9"/>
            <color indexed="81"/>
            <rFont val="Tahoma"/>
            <family val="2"/>
          </rPr>
          <t>&lt;[[TCDeals] - [TC Property Current Stage (Seq: 1)] - [Property Points (Seq: 1)] Specialties - Both]&gt;</t>
        </r>
      </text>
    </comment>
    <comment ref="C790" authorId="0" shapeId="0" xr:uid="{BA2C5A3A-BA71-4E35-834E-FF51F5FC3374}">
      <text>
        <r>
          <rPr>
            <b/>
            <sz val="9"/>
            <color indexed="81"/>
            <rFont val="Tahoma"/>
            <family val="2"/>
          </rPr>
          <t>&lt;[[TCDeals] - [TC Property Current Stage (Seq: 1)] - [Property Points (Seq: 1)] Equipment - Both]&gt;</t>
        </r>
      </text>
    </comment>
    <comment ref="C791" authorId="0" shapeId="0" xr:uid="{329ABE5E-FF99-46C5-A64E-8ECE4C2A3C4C}">
      <text>
        <r>
          <rPr>
            <b/>
            <sz val="9"/>
            <color indexed="81"/>
            <rFont val="Tahoma"/>
            <family val="2"/>
          </rPr>
          <t>&lt;[[TCDeals] - [TC Property Current Stage (Seq: 1)] - [Property Points (Seq: 1)] Furnishings - Both]&gt;</t>
        </r>
      </text>
    </comment>
    <comment ref="C792" authorId="0" shapeId="0" xr:uid="{1F7FA4F6-14A9-42BA-9EEB-3B58576934B9}">
      <text>
        <r>
          <rPr>
            <b/>
            <sz val="9"/>
            <color indexed="81"/>
            <rFont val="Tahoma"/>
            <family val="2"/>
          </rPr>
          <t>&lt;[[TCDeals] - [TC Property Current Stage (Seq: 1)] - [Property Points (Seq: 1)] Special Construction - Both]&gt;</t>
        </r>
      </text>
    </comment>
    <comment ref="C793" authorId="0" shapeId="0" xr:uid="{EB055FDB-066D-4C60-895A-1844E8BA6B94}">
      <text>
        <r>
          <rPr>
            <b/>
            <sz val="9"/>
            <color indexed="81"/>
            <rFont val="Tahoma"/>
            <family val="2"/>
          </rPr>
          <t>&lt;[[TCDeals] - [TC Property Current Stage (Seq: 1)] - [Property Points (Seq: 1)] Conveying Equipment - Both]&gt;</t>
        </r>
      </text>
    </comment>
    <comment ref="C794" authorId="0" shapeId="0" xr:uid="{5AD62947-2EE0-4BA1-977D-79F8D778F5DA}">
      <text>
        <r>
          <rPr>
            <b/>
            <sz val="9"/>
            <color indexed="81"/>
            <rFont val="Tahoma"/>
            <family val="2"/>
          </rPr>
          <t>&lt;[[TCDeals] - [TC Property Current Stage (Seq: 1)] - [Property Points (Seq: 1)] Fire Suppression - Both]&gt;</t>
        </r>
      </text>
    </comment>
    <comment ref="C795" authorId="0" shapeId="0" xr:uid="{2F895425-55B8-45A1-A707-0A80AF8A36B3}">
      <text>
        <r>
          <rPr>
            <b/>
            <sz val="9"/>
            <color indexed="81"/>
            <rFont val="Tahoma"/>
            <family val="2"/>
          </rPr>
          <t>&lt;[[TCDeals] - [TC Property Current Stage (Seq: 1)] - [Property Points (Seq: 1)] Plumbing - Both]&gt;</t>
        </r>
      </text>
    </comment>
    <comment ref="C796" authorId="0" shapeId="0" xr:uid="{1846B961-5DE3-48F4-906D-F8AA02FCD5C3}">
      <text>
        <r>
          <rPr>
            <b/>
            <sz val="9"/>
            <color indexed="81"/>
            <rFont val="Tahoma"/>
            <family val="2"/>
          </rPr>
          <t>&lt;[[TCDeals] - [TC Property Current Stage (Seq: 1)] - [Property Points (Seq: 1)] Heating Ventilation Air Conditioning - Both]&gt;</t>
        </r>
      </text>
    </comment>
    <comment ref="C797" authorId="0" shapeId="0" xr:uid="{C698059F-088D-449F-9EA9-3AD195E6E38A}">
      <text>
        <r>
          <rPr>
            <b/>
            <sz val="9"/>
            <color indexed="81"/>
            <rFont val="Tahoma"/>
            <family val="2"/>
          </rPr>
          <t>&lt;[[TCDeals] - [TC Property Current Stage (Seq: 1)] - [Property Points (Seq: 1)] Integrated Automation - Both]&gt;</t>
        </r>
      </text>
    </comment>
    <comment ref="C798" authorId="0" shapeId="0" xr:uid="{35244167-6F15-455B-8843-DD85A1A76F50}">
      <text>
        <r>
          <rPr>
            <b/>
            <sz val="9"/>
            <color indexed="81"/>
            <rFont val="Tahoma"/>
            <family val="2"/>
          </rPr>
          <t>&lt;[[TCDeals] - [TC Property Current Stage (Seq: 1)] - [Property Points (Seq: 1)] Electrical - Both]&gt;</t>
        </r>
      </text>
    </comment>
    <comment ref="C799" authorId="0" shapeId="0" xr:uid="{6F891DD3-3C10-4215-B17E-82665E0A9BFB}">
      <text>
        <r>
          <rPr>
            <b/>
            <sz val="9"/>
            <color indexed="81"/>
            <rFont val="Tahoma"/>
            <family val="2"/>
          </rPr>
          <t>&lt;[[TCDeals] - [TC Property Current Stage (Seq: 1)] - [Property Points (Seq: 1)] Communications - Both]&gt;</t>
        </r>
      </text>
    </comment>
    <comment ref="C800" authorId="0" shapeId="0" xr:uid="{43E8C262-BFE1-49EB-A3EA-34170BC1D4E2}">
      <text>
        <r>
          <rPr>
            <b/>
            <sz val="9"/>
            <color indexed="81"/>
            <rFont val="Tahoma"/>
            <family val="2"/>
          </rPr>
          <t>&lt;[[TCDeals] - [TC Property Current Stage (Seq: 1)] - [Property Points (Seq: 1)] Electronic Safety &amp; Security - Both]&gt;</t>
        </r>
      </text>
    </comment>
    <comment ref="C801" authorId="0" shapeId="0" xr:uid="{122BB2BE-EC0A-4CA8-8EC3-817BD6706246}">
      <text>
        <r>
          <rPr>
            <b/>
            <sz val="9"/>
            <color indexed="81"/>
            <rFont val="Tahoma"/>
            <family val="2"/>
          </rPr>
          <t>&lt;[[TCDeals] - [TC Property Current Stage (Seq: 1)] - [Property Points (Seq: 1)] Earthwork - Both]&gt;</t>
        </r>
      </text>
    </comment>
    <comment ref="C802" authorId="0" shapeId="0" xr:uid="{502A410F-69DE-42F9-AC08-46122914FDBC}">
      <text>
        <r>
          <rPr>
            <b/>
            <sz val="9"/>
            <color indexed="81"/>
            <rFont val="Tahoma"/>
            <family val="2"/>
          </rPr>
          <t>&lt;[[TCDeals] - [TC Property Current Stage (Seq: 1)] - [Property Points (Seq: 1)] Exterior Improvements - Both]&gt;</t>
        </r>
      </text>
    </comment>
    <comment ref="C803" authorId="0" shapeId="0" xr:uid="{98D55106-5CCF-42B1-A053-0847756E8EC5}">
      <text>
        <r>
          <rPr>
            <b/>
            <sz val="9"/>
            <color indexed="81"/>
            <rFont val="Tahoma"/>
            <family val="2"/>
          </rPr>
          <t>&lt;[[TCDeals] - [TC Property Current Stage (Seq: 1)] - [Property Points (Seq: 1)] Utilities - Both]&gt;</t>
        </r>
      </text>
    </comment>
    <comment ref="C804" authorId="0" shapeId="0" xr:uid="{CC63947A-DF65-4D59-93A4-058B1D776E3B}">
      <text>
        <r>
          <rPr>
            <b/>
            <sz val="9"/>
            <color indexed="81"/>
            <rFont val="Tahoma"/>
            <family val="2"/>
          </rPr>
          <t>&lt;[[TCDeals] - [TC Property Current Stage (Seq: 1)] - [Property Points (Seq: 1)] Transportation - Both]&gt;</t>
        </r>
      </text>
    </comment>
    <comment ref="C805" authorId="1" shapeId="0" xr:uid="{C2A0988D-BEAA-4C74-B1EE-B78A734B5586}">
      <text>
        <r>
          <rPr>
            <b/>
            <sz val="9"/>
            <color indexed="81"/>
            <rFont val="Tahoma"/>
            <family val="2"/>
          </rPr>
          <t>&lt;[[TCDeals] - [TC Property Current Stage (Seq: 1)] - [Property Points (Seq: 1)] Electric Power Generation - Both]&gt;</t>
        </r>
      </text>
    </comment>
    <comment ref="C806" authorId="0" shapeId="0" xr:uid="{3343D8B7-EE79-4713-B31D-DEC3B52BC129}">
      <text>
        <r>
          <rPr>
            <b/>
            <sz val="9"/>
            <color indexed="81"/>
            <rFont val="Tahoma"/>
            <family val="2"/>
          </rPr>
          <t>&lt;[[TCDeals] - [TC Property Current Stage (Seq: 1)] - [Property Points (Seq: 1)] Other Cost Summary - Both]&gt;</t>
        </r>
      </text>
    </comment>
    <comment ref="C807" authorId="0" shapeId="0" xr:uid="{71418831-3094-4B11-AA33-7F8D089B58E8}">
      <text>
        <r>
          <rPr>
            <b/>
            <sz val="9"/>
            <color indexed="81"/>
            <rFont val="Tahoma"/>
            <family val="2"/>
          </rPr>
          <t>&lt;[[TCDeals] - [TC Property Current Stage (Seq: 1)] - [Property Points (Seq: 1)] Other Cost Summary 2 - Both]&gt;</t>
        </r>
      </text>
    </comment>
    <comment ref="C808" authorId="0" shapeId="0" xr:uid="{D9E95444-31DF-4E22-82EC-37DC0F9BF576}">
      <text>
        <r>
          <rPr>
            <b/>
            <sz val="9"/>
            <color indexed="81"/>
            <rFont val="Tahoma"/>
            <family val="2"/>
          </rPr>
          <t>&lt;[[TCDeals] - [TC Property Current Stage (Seq: 1)] - [Property Points (Seq: 1)] Procurement Pre-constructon, Design-Build - Both]&gt;</t>
        </r>
      </text>
    </comment>
    <comment ref="C809" authorId="0" shapeId="0" xr:uid="{2DA8F053-E938-4CA5-ABB3-3D0792CE8174}">
      <text>
        <r>
          <rPr>
            <b/>
            <sz val="9"/>
            <color indexed="81"/>
            <rFont val="Tahoma"/>
            <family val="2"/>
          </rPr>
          <t>&lt;[[TCDeals] - [TC Property Current Stage (Seq: 1)] - [Property Points (Seq: 1)] Other Cost Summary 3 - Both]&gt;</t>
        </r>
      </text>
    </comment>
    <comment ref="C810" authorId="0" shapeId="0" xr:uid="{41A6E712-4435-4276-93C1-295AD87FC296}">
      <text>
        <r>
          <rPr>
            <b/>
            <sz val="9"/>
            <color indexed="81"/>
            <rFont val="Tahoma"/>
            <family val="2"/>
          </rPr>
          <t>&lt;[[TCDeals] - [TC Property Current Stage (Seq: 1)] - [Property Points (Seq: 1)] Other Cost Summary 4 - Both]&gt;</t>
        </r>
      </text>
    </comment>
    <comment ref="C811" authorId="0" shapeId="0" xr:uid="{C044BC1E-141D-42DB-AF33-72A31C7C62B5}">
      <text>
        <r>
          <rPr>
            <b/>
            <sz val="9"/>
            <color indexed="81"/>
            <rFont val="Tahoma"/>
            <family val="2"/>
          </rPr>
          <t>&lt;[[TCDeals] - [TC Property Current Stage (Seq: 1)] - [Property Points (Seq: 1)] Other Cost Summary 5 - Both]&gt;</t>
        </r>
      </text>
    </comment>
    <comment ref="C812" authorId="0" shapeId="0" xr:uid="{97C8C206-948E-4A28-88C7-62C1F6335EE1}">
      <text>
        <r>
          <rPr>
            <b/>
            <sz val="9"/>
            <color indexed="81"/>
            <rFont val="Tahoma"/>
            <family val="2"/>
          </rPr>
          <t>&lt;[[TCDeals] - [TC Property Current Stage (Seq: 1)] - [Property Points (Seq: 1)] Payment &amp; Performance Bond - Both]&gt;</t>
        </r>
      </text>
    </comment>
    <comment ref="C813" authorId="0" shapeId="0" xr:uid="{D65E8F3A-6FDF-4E13-B309-5A8917CBC5A5}">
      <text>
        <r>
          <rPr>
            <b/>
            <sz val="9"/>
            <color indexed="81"/>
            <rFont val="Tahoma"/>
            <family val="2"/>
          </rPr>
          <t>&lt;[[TCDeals] - [TC Property Current Stage (Seq: 1)] - [Property Points (Seq: 1)] Builders Risk - Both]&gt;</t>
        </r>
      </text>
    </comment>
    <comment ref="C814" authorId="0" shapeId="0" xr:uid="{19169DC0-4AD9-4786-9418-10E5251FF6A1}">
      <text>
        <r>
          <rPr>
            <b/>
            <sz val="9"/>
            <color indexed="81"/>
            <rFont val="Tahoma"/>
            <family val="2"/>
          </rPr>
          <t>&lt;[[TCDeals] - [TC Property Current Stage (Seq: 1)] - [Property Points (Seq: 1)] General Liability - Both]&gt;</t>
        </r>
      </text>
    </comment>
    <comment ref="C815" authorId="0" shapeId="0" xr:uid="{FB137E3D-1D39-4741-877B-B58845CEB442}">
      <text>
        <r>
          <rPr>
            <b/>
            <sz val="9"/>
            <color indexed="81"/>
            <rFont val="Tahoma"/>
            <family val="2"/>
          </rPr>
          <t>&lt;[[TCDeals] - [TC Property Current Stage (Seq: 1)] - [Property Points (Seq: 1)] Wrap Insurance Program - Both]&gt;</t>
        </r>
      </text>
    </comment>
    <comment ref="C816" authorId="0" shapeId="0" xr:uid="{1FE1D10C-39AF-4281-B497-B12846F10273}">
      <text>
        <r>
          <rPr>
            <b/>
            <sz val="9"/>
            <color indexed="81"/>
            <rFont val="Tahoma"/>
            <family val="2"/>
          </rPr>
          <t>&lt;[[TCDeals] - [TC Property Current Stage (Seq: 1)] - [Property Points (Seq: 1)] Other Cost Summary 6 - Both]&gt;</t>
        </r>
      </text>
    </comment>
    <comment ref="C817" authorId="0" shapeId="0" xr:uid="{149A807C-51A7-489B-9819-C886F25FDDB4}">
      <text>
        <r>
          <rPr>
            <b/>
            <sz val="9"/>
            <color indexed="81"/>
            <rFont val="Tahoma"/>
            <family val="2"/>
          </rPr>
          <t>&lt;[[TCDeals] - [TC Property Current Stage (Seq: 1)] - [Property Points (Seq: 1)] Contingency (Contractor's) - Both]&gt;</t>
        </r>
      </text>
    </comment>
    <comment ref="C818" authorId="0" shapeId="0" xr:uid="{9B98FD7B-3782-4C2C-BC83-2799214647FE}">
      <text>
        <r>
          <rPr>
            <b/>
            <sz val="9"/>
            <color indexed="81"/>
            <rFont val="Tahoma"/>
            <family val="2"/>
          </rPr>
          <t>&lt;[[TCDeals] - [TC Property Current Stage (Seq: 1)] - [Property Points (Seq: 1)] Contractor Overhead - Both]&gt;</t>
        </r>
      </text>
    </comment>
    <comment ref="C819" authorId="0" shapeId="0" xr:uid="{BA2D7FA6-3EC6-4D41-8DC1-934C6AAC34CB}">
      <text>
        <r>
          <rPr>
            <b/>
            <sz val="9"/>
            <color indexed="81"/>
            <rFont val="Tahoma"/>
            <family val="2"/>
          </rPr>
          <t>&lt;[[TCDeals] - [TC Property Current Stage (Seq: 1)] - [Property Points (Seq: 1)] Contractor Profit - Both]&gt;</t>
        </r>
      </text>
    </comment>
    <comment ref="C820" authorId="0" shapeId="0" xr:uid="{29B1A1DB-CD3E-438D-BC5D-94F7426FADA5}">
      <text>
        <r>
          <rPr>
            <b/>
            <sz val="9"/>
            <color indexed="81"/>
            <rFont val="Tahoma"/>
            <family val="2"/>
          </rPr>
          <t>&lt;[[TCDeals] - [TC Property Current Stage (Seq: 1)] - [Property Points (Seq: 1)] Cost progression/ escalation - Both]&gt;</t>
        </r>
      </text>
    </comment>
    <comment ref="C821" authorId="0" shapeId="0" xr:uid="{DD962E1F-A269-4B13-B900-509311A21395}">
      <text>
        <r>
          <rPr>
            <b/>
            <sz val="9"/>
            <color indexed="81"/>
            <rFont val="Tahoma"/>
            <family val="2"/>
          </rPr>
          <t>&lt;[[TCDeals] - [TC Property Current Stage (Seq: 1)] - [Property Points (Seq: 1)] Permits - Both]&gt;</t>
        </r>
      </text>
    </comment>
    <comment ref="C822" authorId="0" shapeId="0" xr:uid="{42A2563B-5FFC-4254-81A7-DBA4CC8140BA}">
      <text>
        <r>
          <rPr>
            <b/>
            <sz val="9"/>
            <color indexed="81"/>
            <rFont val="Tahoma"/>
            <family val="2"/>
          </rPr>
          <t>&lt;[[TCDeals] - [TC Property Current Stage (Seq: 1)] - [Property Points (Seq: 1)] Sales, Use Taxe, etc. - Both]&gt;</t>
        </r>
      </text>
    </comment>
    <comment ref="C823" authorId="0" shapeId="0" xr:uid="{291A2AD9-CE08-4F77-A600-43E6FBCFEE7F}">
      <text>
        <r>
          <rPr>
            <b/>
            <sz val="9"/>
            <color indexed="81"/>
            <rFont val="Tahoma"/>
            <family val="2"/>
          </rPr>
          <t>&lt;[[TCDeals] - [TC Property Current Stage (Seq: 1)] - [Property Points (Seq: 1)] Other Cost Summary 7 - Both]&gt;</t>
        </r>
      </text>
    </comment>
    <comment ref="C824" authorId="0" shapeId="0" xr:uid="{4C713A82-BDBD-45CB-92B3-E11A290CB442}">
      <text>
        <r>
          <rPr>
            <b/>
            <sz val="9"/>
            <color indexed="81"/>
            <rFont val="Tahoma"/>
            <family val="2"/>
          </rPr>
          <t>&lt;[[TCDeals] - [TC Property Current Stage (Seq: 1)] - [Property Points (Seq: 1)] Other Cost Summary 8 - Both]&gt;</t>
        </r>
      </text>
    </comment>
    <comment ref="C825" authorId="0" shapeId="0" xr:uid="{63B2F4C5-FC70-4FCC-A2A3-C3D957646362}">
      <text>
        <r>
          <rPr>
            <b/>
            <sz val="9"/>
            <color indexed="81"/>
            <rFont val="Tahoma"/>
            <family val="2"/>
          </rPr>
          <t>&lt;[[TCDeals] - [TC Property Current Stage (Seq: 1)] - [Property Points (Seq: 1)] Other Cost Summary 9 - Both]&gt;</t>
        </r>
      </text>
    </comment>
    <comment ref="C826" authorId="0" shapeId="0" xr:uid="{95D128AC-8E5C-4B71-A9D8-A1C0F5603C06}">
      <text>
        <r>
          <rPr>
            <b/>
            <sz val="9"/>
            <color indexed="81"/>
            <rFont val="Tahoma"/>
            <family val="2"/>
          </rPr>
          <t>&lt;[[TCDeals] - [TC Property Current Stage (Seq: 1)] - [Property Points (Seq: 1)] Other Cost Summary 10 - Both]&gt;</t>
        </r>
      </text>
    </comment>
    <comment ref="C827" authorId="0" shapeId="0" xr:uid="{766DCC91-BE90-42CF-B89C-2357E3B2260E}">
      <text>
        <r>
          <rPr>
            <b/>
            <sz val="9"/>
            <color indexed="81"/>
            <rFont val="Tahoma"/>
            <family val="2"/>
          </rPr>
          <t>&lt;[[TCDeals] - [TC Property Current Stage (Seq: 1)] - [Property Points (Seq: 1)] Other Cost Summary 11 - Both]&gt;</t>
        </r>
      </text>
    </comment>
    <comment ref="C828" authorId="0" shapeId="0" xr:uid="{4BF9B0FC-258C-4CC6-A879-FBC7DC886A2A}">
      <text>
        <r>
          <rPr>
            <b/>
            <sz val="9"/>
            <color indexed="81"/>
            <rFont val="Tahoma"/>
            <family val="2"/>
          </rPr>
          <t>&lt;[[TCDeals] - [TC Property Current Stage (Seq: 1)] - [Property Points (Seq: 1)] Other Cost Summary 12 - Both]&gt;</t>
        </r>
      </text>
    </comment>
    <comment ref="C851" authorId="0" shapeId="0" xr:uid="{EB4C0354-4949-4641-AE15-29CBA05E52F2}">
      <text>
        <r>
          <rPr>
            <b/>
            <sz val="9"/>
            <color indexed="81"/>
            <rFont val="Tahoma"/>
            <family val="2"/>
          </rPr>
          <t>&lt;[[TCDeals] - [TC Property Current Stage (Seq: 1)] - [Property Financing - Permanent (Seq: 1)] Source Name - Both]&gt;</t>
        </r>
      </text>
    </comment>
    <comment ref="D851" authorId="0" shapeId="0" xr:uid="{DCA81842-2327-4446-9E61-4F7C82FA8C7F}">
      <text>
        <r>
          <rPr>
            <b/>
            <sz val="9"/>
            <color indexed="81"/>
            <rFont val="Tahoma"/>
            <family val="2"/>
          </rPr>
          <t>&lt;[[TCDeals] - [TC Property Current Stage (Seq: 1)] - [Property Financing - Permanent (Seq: 1)] Amount - Both]&gt;</t>
        </r>
      </text>
    </comment>
    <comment ref="E851" authorId="0" shapeId="0" xr:uid="{F5841048-A866-49F6-98C3-70FF5B7CBE2B}">
      <text>
        <r>
          <rPr>
            <b/>
            <sz val="9"/>
            <color indexed="81"/>
            <rFont val="Tahoma"/>
            <family val="2"/>
          </rPr>
          <t>&lt;[[TCDeals] - [TC Property Current Stage (Seq: 1)] - [Property Financing - Permanent (Seq: 1)] Interest Rate - Both]&gt;</t>
        </r>
      </text>
    </comment>
    <comment ref="F851" authorId="0" shapeId="0" xr:uid="{6CCBBD7D-F2FE-4BFB-8DC7-93CFA9B871AA}">
      <text>
        <r>
          <rPr>
            <b/>
            <sz val="9"/>
            <color indexed="81"/>
            <rFont val="Tahoma"/>
            <family val="2"/>
          </rPr>
          <t>&lt;[[TCDeals] - [TC Property Current Stage (Seq: 1)] - [Property Financing - Permanent (Seq: 1)] Loan Term - Both]&gt;</t>
        </r>
      </text>
    </comment>
    <comment ref="G851" authorId="0" shapeId="0" xr:uid="{6425D1D9-124D-4849-BBDA-8AD75200CCF6}">
      <text>
        <r>
          <rPr>
            <b/>
            <sz val="9"/>
            <color indexed="81"/>
            <rFont val="Tahoma"/>
            <family val="2"/>
          </rPr>
          <t>&lt;[[TCDeals] - [TC Property Current Stage (Seq: 1)] - [Property Financing - Permanent (Seq: 1)] Num Amort Years - Both]&gt;</t>
        </r>
      </text>
    </comment>
    <comment ref="H851" authorId="0" shapeId="0" xr:uid="{398057D5-0046-458D-9DB6-4DA3E6F671F8}">
      <text>
        <r>
          <rPr>
            <b/>
            <sz val="9"/>
            <color indexed="81"/>
            <rFont val="Tahoma"/>
            <family val="2"/>
          </rPr>
          <t>&lt;[[TCDeals] - [TC Property Current Stage (Seq: 1)] - [Property Financing - Permanent (Seq: 1)] Annual Debt Svc Cost - Both]&gt;</t>
        </r>
      </text>
    </comment>
    <comment ref="I851" authorId="0" shapeId="0" xr:uid="{E9BE6C58-8214-4B68-82E0-DBE9D50C8C16}">
      <text>
        <r>
          <rPr>
            <b/>
            <sz val="9"/>
            <color indexed="81"/>
            <rFont val="Tahoma"/>
            <family val="2"/>
          </rPr>
          <t>&lt;[[TCDeals] - [TC Property Current Stage (Seq: 1)] - [Property Financing - Permanent (Seq: 1)] Financing Type - Both]&gt;</t>
        </r>
      </text>
    </comment>
    <comment ref="C852" authorId="0" shapeId="0" xr:uid="{A8EB8A4C-08B6-4DD7-9527-058C32B2D47C}">
      <text>
        <r>
          <rPr>
            <b/>
            <sz val="9"/>
            <color indexed="81"/>
            <rFont val="Tahoma"/>
            <family val="2"/>
          </rPr>
          <t>&lt;[[TCDeals] - [TC Property Current Stage (Seq: 1)] - [Property Financing - Permanent (Seq: 2)] Source Name - Both]&gt;</t>
        </r>
      </text>
    </comment>
    <comment ref="D852" authorId="0" shapeId="0" xr:uid="{41DF3651-5A1E-4CD2-A7F6-BC06E9E75E1E}">
      <text>
        <r>
          <rPr>
            <b/>
            <sz val="9"/>
            <color indexed="81"/>
            <rFont val="Tahoma"/>
            <family val="2"/>
          </rPr>
          <t>&lt;[[TCDeals] - [TC Property Current Stage (Seq: 1)] - [Property Financing - Permanent (Seq: 2)] Amount - Both]&gt;</t>
        </r>
      </text>
    </comment>
    <comment ref="E852" authorId="0" shapeId="0" xr:uid="{F3360A10-231B-4DF0-8C1B-2E3A97939D89}">
      <text>
        <r>
          <rPr>
            <b/>
            <sz val="9"/>
            <color indexed="81"/>
            <rFont val="Tahoma"/>
            <family val="2"/>
          </rPr>
          <t>&lt;[[TCDeals] - [TC Property Current Stage (Seq: 1)] - [Property Financing - Permanent (Seq: 2)] Interest Rate - Both]&gt;</t>
        </r>
      </text>
    </comment>
    <comment ref="F852" authorId="0" shapeId="0" xr:uid="{51A663BC-FF6D-4807-AD34-D2B680D42180}">
      <text>
        <r>
          <rPr>
            <b/>
            <sz val="9"/>
            <color indexed="81"/>
            <rFont val="Tahoma"/>
            <family val="2"/>
          </rPr>
          <t>&lt;[[TCDeals] - [TC Property Current Stage (Seq: 1)] - [Property Financing - Permanent (Seq: 2)] Loan Term - Both]&gt;</t>
        </r>
      </text>
    </comment>
    <comment ref="G852" authorId="0" shapeId="0" xr:uid="{5C98FCA3-C2E2-423F-A6BE-6D4F21B53F12}">
      <text>
        <r>
          <rPr>
            <b/>
            <sz val="9"/>
            <color indexed="81"/>
            <rFont val="Tahoma"/>
            <family val="2"/>
          </rPr>
          <t>&lt;[[TCDeals] - [TC Property Current Stage (Seq: 1)] - [Property Financing - Permanent (Seq: 2)] Num Amort Years - Both]&gt;</t>
        </r>
      </text>
    </comment>
    <comment ref="H852" authorId="0" shapeId="0" xr:uid="{E51D1D44-091A-458D-B6DC-8CBB3308C166}">
      <text>
        <r>
          <rPr>
            <b/>
            <sz val="9"/>
            <color indexed="81"/>
            <rFont val="Tahoma"/>
            <family val="2"/>
          </rPr>
          <t>&lt;[[TCDeals] - [TC Property Current Stage (Seq: 1)] - [Property Financing - Permanent (Seq: 2)] Annual Debt Svc Cost - Both]&gt;</t>
        </r>
      </text>
    </comment>
    <comment ref="I852" authorId="0" shapeId="0" xr:uid="{4324F69A-D9EF-4E04-9B6F-5E99C923195D}">
      <text>
        <r>
          <rPr>
            <b/>
            <sz val="9"/>
            <color indexed="81"/>
            <rFont val="Tahoma"/>
            <family val="2"/>
          </rPr>
          <t>&lt;[[TCDeals] - [TC Property Current Stage (Seq: 1)] - [Property Financing - Permanent (Seq: 2)] Financing Type - Both]&gt;</t>
        </r>
      </text>
    </comment>
    <comment ref="C853" authorId="0" shapeId="0" xr:uid="{F218DBE1-3057-4345-BD0E-1BA6A825E55A}">
      <text>
        <r>
          <rPr>
            <b/>
            <sz val="9"/>
            <color indexed="81"/>
            <rFont val="Tahoma"/>
            <family val="2"/>
          </rPr>
          <t>&lt;[[TCDeals] - [TC Property Current Stage (Seq: 1)] - [Property Financing - Permanent (Seq: 3)] Source Name - Both]&gt;</t>
        </r>
      </text>
    </comment>
    <comment ref="D853" authorId="0" shapeId="0" xr:uid="{6FE17A74-D463-4DA4-8D36-71A9CD344F6D}">
      <text>
        <r>
          <rPr>
            <b/>
            <sz val="9"/>
            <color indexed="81"/>
            <rFont val="Tahoma"/>
            <family val="2"/>
          </rPr>
          <t>&lt;[[TCDeals] - [TC Property Current Stage (Seq: 1)] - [Property Financing - Permanent (Seq: 3)] Amount - Both]&gt;</t>
        </r>
      </text>
    </comment>
    <comment ref="E853" authorId="0" shapeId="0" xr:uid="{26B91987-538C-4B1C-B12F-3AB539AEB31E}">
      <text>
        <r>
          <rPr>
            <b/>
            <sz val="9"/>
            <color indexed="81"/>
            <rFont val="Tahoma"/>
            <family val="2"/>
          </rPr>
          <t>&lt;[[TCDeals] - [TC Property Current Stage (Seq: 1)] - [Property Financing - Permanent (Seq: 3)] Interest Rate - Both]&gt;</t>
        </r>
      </text>
    </comment>
    <comment ref="F853" authorId="0" shapeId="0" xr:uid="{A0757C5F-C207-4C0D-800C-F7D9EDEB42E6}">
      <text>
        <r>
          <rPr>
            <b/>
            <sz val="9"/>
            <color indexed="81"/>
            <rFont val="Tahoma"/>
            <family val="2"/>
          </rPr>
          <t>&lt;[[TCDeals] - [TC Property Current Stage (Seq: 1)] - [Property Financing - Permanent (Seq: 3)] Loan Term - Both]&gt;</t>
        </r>
      </text>
    </comment>
    <comment ref="G853" authorId="0" shapeId="0" xr:uid="{E48367B5-A16D-4596-B184-F6E1BD1732FE}">
      <text>
        <r>
          <rPr>
            <b/>
            <sz val="9"/>
            <color indexed="81"/>
            <rFont val="Tahoma"/>
            <family val="2"/>
          </rPr>
          <t>&lt;[[TCDeals] - [TC Property Current Stage (Seq: 1)] - [Property Financing - Permanent (Seq: 3)] Num Amort Years - Both]&gt;</t>
        </r>
      </text>
    </comment>
    <comment ref="H853" authorId="0" shapeId="0" xr:uid="{4B96042D-8E63-4E30-999F-F0DC7BECC5E3}">
      <text>
        <r>
          <rPr>
            <b/>
            <sz val="9"/>
            <color indexed="81"/>
            <rFont val="Tahoma"/>
            <family val="2"/>
          </rPr>
          <t>&lt;[[TCDeals] - [TC Property Current Stage (Seq: 1)] - [Property Financing - Permanent (Seq: 3)] Annual Debt Svc Cost - Both]&gt;</t>
        </r>
      </text>
    </comment>
    <comment ref="I853" authorId="0" shapeId="0" xr:uid="{78CE54DD-8BC4-4F3C-A8EB-41A6FA09E801}">
      <text>
        <r>
          <rPr>
            <b/>
            <sz val="9"/>
            <color indexed="81"/>
            <rFont val="Tahoma"/>
            <family val="2"/>
          </rPr>
          <t>&lt;[[TCDeals] - [TC Property Current Stage (Seq: 1)] - [Property Financing - Permanent (Seq: 3)] Financing Type - Both]&gt;</t>
        </r>
      </text>
    </comment>
    <comment ref="C854" authorId="0" shapeId="0" xr:uid="{CC47293F-1679-44B6-805A-3CA188EE768C}">
      <text>
        <r>
          <rPr>
            <b/>
            <sz val="9"/>
            <color indexed="81"/>
            <rFont val="Tahoma"/>
            <family val="2"/>
          </rPr>
          <t>&lt;[[TCDeals] - [TC Property Current Stage (Seq: 1)] - [Property Financing - Permanent (Seq: 4)] Source Name - Both]&gt;</t>
        </r>
      </text>
    </comment>
    <comment ref="D854" authorId="0" shapeId="0" xr:uid="{3E604E94-B661-404E-9D7D-1F3C65C83BC7}">
      <text>
        <r>
          <rPr>
            <b/>
            <sz val="9"/>
            <color indexed="81"/>
            <rFont val="Tahoma"/>
            <family val="2"/>
          </rPr>
          <t>&lt;[[TCDeals] - [TC Property Current Stage (Seq: 1)] - [Property Financing - Permanent (Seq: 4)] Amount - Both]&gt;</t>
        </r>
      </text>
    </comment>
    <comment ref="E854" authorId="0" shapeId="0" xr:uid="{ACF3006E-5726-4907-A49C-BE2412E5684C}">
      <text>
        <r>
          <rPr>
            <b/>
            <sz val="9"/>
            <color indexed="81"/>
            <rFont val="Tahoma"/>
            <family val="2"/>
          </rPr>
          <t>&lt;[[TCDeals] - [TC Property Current Stage (Seq: 1)] - [Property Financing - Permanent (Seq: 4)] Interest Rate - Both]&gt;</t>
        </r>
      </text>
    </comment>
    <comment ref="F854" authorId="0" shapeId="0" xr:uid="{6780AEB3-5067-428F-98B8-E99082D58AAA}">
      <text>
        <r>
          <rPr>
            <b/>
            <sz val="9"/>
            <color indexed="81"/>
            <rFont val="Tahoma"/>
            <family val="2"/>
          </rPr>
          <t>&lt;[[TCDeals] - [TC Property Current Stage (Seq: 1)] - [Property Financing - Permanent (Seq: 4)] Loan Term - Both]&gt;</t>
        </r>
      </text>
    </comment>
    <comment ref="G854" authorId="0" shapeId="0" xr:uid="{309E8379-A340-4CA4-AE48-B56E0EB54350}">
      <text>
        <r>
          <rPr>
            <b/>
            <sz val="9"/>
            <color indexed="81"/>
            <rFont val="Tahoma"/>
            <family val="2"/>
          </rPr>
          <t>&lt;[[TCDeals] - [TC Property Current Stage (Seq: 1)] - [Property Financing - Permanent (Seq: 4)] Num Amort Years - Both]&gt;</t>
        </r>
      </text>
    </comment>
    <comment ref="H854" authorId="0" shapeId="0" xr:uid="{596296F1-6C56-4CB6-BEF8-7C6E56BB100D}">
      <text>
        <r>
          <rPr>
            <b/>
            <sz val="9"/>
            <color indexed="81"/>
            <rFont val="Tahoma"/>
            <family val="2"/>
          </rPr>
          <t>&lt;[[TCDeals] - [TC Property Current Stage (Seq: 1)] - [Property Financing - Permanent (Seq: 4)] Annual Debt Svc Cost - Both]&gt;</t>
        </r>
      </text>
    </comment>
    <comment ref="I854" authorId="0" shapeId="0" xr:uid="{45ED2D06-17AD-4AA8-9F79-1723D8AC31C1}">
      <text>
        <r>
          <rPr>
            <b/>
            <sz val="9"/>
            <color indexed="81"/>
            <rFont val="Tahoma"/>
            <family val="2"/>
          </rPr>
          <t>&lt;[[TCDeals] - [TC Property Current Stage (Seq: 1)] - [Property Financing - Permanent (Seq: 4)] Financing Type - Both]&gt;</t>
        </r>
      </text>
    </comment>
    <comment ref="C855" authorId="0" shapeId="0" xr:uid="{1F1D202A-C6F3-4E52-8825-D39A7B43218F}">
      <text>
        <r>
          <rPr>
            <b/>
            <sz val="9"/>
            <color indexed="81"/>
            <rFont val="Tahoma"/>
            <family val="2"/>
          </rPr>
          <t>&lt;[[TCDeals] - [TC Property Current Stage (Seq: 1)] - [Property Financing - Permanent (Seq: 5)] Source Name - Both]&gt;</t>
        </r>
      </text>
    </comment>
    <comment ref="D855" authorId="0" shapeId="0" xr:uid="{49C5C14F-32E7-4066-A068-E36253358A4B}">
      <text>
        <r>
          <rPr>
            <b/>
            <sz val="9"/>
            <color indexed="81"/>
            <rFont val="Tahoma"/>
            <family val="2"/>
          </rPr>
          <t>&lt;[[TCDeals] - [TC Property Current Stage (Seq: 1)] - [Property Financing - Permanent (Seq: 5)] Amount - Both]&gt;</t>
        </r>
      </text>
    </comment>
    <comment ref="E855" authorId="0" shapeId="0" xr:uid="{EEC76A79-35C6-4AA7-B2A4-F784C4AEACE7}">
      <text>
        <r>
          <rPr>
            <b/>
            <sz val="9"/>
            <color indexed="81"/>
            <rFont val="Tahoma"/>
            <family val="2"/>
          </rPr>
          <t>&lt;[[TCDeals] - [TC Property Current Stage (Seq: 1)] - [Property Financing - Permanent (Seq: 5)] Interest Rate - Both]&gt;</t>
        </r>
      </text>
    </comment>
    <comment ref="F855" authorId="0" shapeId="0" xr:uid="{8E5AE5D1-4C7D-4CDE-97B7-3B1550085388}">
      <text>
        <r>
          <rPr>
            <b/>
            <sz val="9"/>
            <color indexed="81"/>
            <rFont val="Tahoma"/>
            <family val="2"/>
          </rPr>
          <t>&lt;[[TCDeals] - [TC Property Current Stage (Seq: 1)] - [Property Financing - Permanent (Seq: 5)] Loan Term - Both]&gt;</t>
        </r>
      </text>
    </comment>
    <comment ref="G855" authorId="0" shapeId="0" xr:uid="{648EACAA-83CE-4CDD-884A-D3554C77B469}">
      <text>
        <r>
          <rPr>
            <b/>
            <sz val="9"/>
            <color indexed="81"/>
            <rFont val="Tahoma"/>
            <family val="2"/>
          </rPr>
          <t>&lt;[[TCDeals] - [TC Property Current Stage (Seq: 1)] - [Property Financing - Permanent (Seq: 5)] Num Amort Years - Both]&gt;</t>
        </r>
      </text>
    </comment>
    <comment ref="H855" authorId="0" shapeId="0" xr:uid="{0C191476-C337-493A-A634-77DB54F5B623}">
      <text>
        <r>
          <rPr>
            <b/>
            <sz val="9"/>
            <color indexed="81"/>
            <rFont val="Tahoma"/>
            <family val="2"/>
          </rPr>
          <t>&lt;[[TCDeals] - [TC Property Current Stage (Seq: 1)] - [Property Financing - Permanent (Seq: 5)] Annual Debt Svc Cost - Both]&gt;</t>
        </r>
      </text>
    </comment>
    <comment ref="I855" authorId="0" shapeId="0" xr:uid="{BE0F6886-D8CB-4DDA-8FF8-3C9AB2F88450}">
      <text>
        <r>
          <rPr>
            <b/>
            <sz val="9"/>
            <color indexed="81"/>
            <rFont val="Tahoma"/>
            <family val="2"/>
          </rPr>
          <t>&lt;[[TCDeals] - [TC Property Current Stage (Seq: 1)] - [Property Financing - Permanent (Seq: 5)] Financing Type - Both]&gt;</t>
        </r>
      </text>
    </comment>
    <comment ref="C856" authorId="0" shapeId="0" xr:uid="{87722E37-A696-4CD4-8937-FDA39AE473AB}">
      <text>
        <r>
          <rPr>
            <b/>
            <sz val="9"/>
            <color indexed="81"/>
            <rFont val="Tahoma"/>
            <family val="2"/>
          </rPr>
          <t>&lt;[[TCDeals] - [TC Property Current Stage (Seq: 1)] - [Property Financing - Permanent (Seq: 6)] Source Name - Both]&gt;</t>
        </r>
      </text>
    </comment>
    <comment ref="D856" authorId="0" shapeId="0" xr:uid="{83FD8736-F210-4049-B63D-991F88374BE5}">
      <text>
        <r>
          <rPr>
            <b/>
            <sz val="9"/>
            <color indexed="81"/>
            <rFont val="Tahoma"/>
            <family val="2"/>
          </rPr>
          <t>&lt;[[TCDeals] - [TC Property Current Stage (Seq: 1)] - [Property Financing - Permanent (Seq: 6)] Amount - Both]&gt;</t>
        </r>
      </text>
    </comment>
    <comment ref="E856" authorId="0" shapeId="0" xr:uid="{11D55389-1A6C-4295-8C2C-14C8A27F43FC}">
      <text>
        <r>
          <rPr>
            <b/>
            <sz val="9"/>
            <color indexed="81"/>
            <rFont val="Tahoma"/>
            <family val="2"/>
          </rPr>
          <t>&lt;[[TCDeals] - [TC Property Current Stage (Seq: 1)] - [Property Financing - Permanent (Seq: 6)] Interest Rate - Both]&gt;</t>
        </r>
      </text>
    </comment>
    <comment ref="F856" authorId="0" shapeId="0" xr:uid="{536B6B67-42E0-4897-93CD-12172AF3018D}">
      <text>
        <r>
          <rPr>
            <b/>
            <sz val="9"/>
            <color indexed="81"/>
            <rFont val="Tahoma"/>
            <family val="2"/>
          </rPr>
          <t>&lt;[[TCDeals] - [TC Property Current Stage (Seq: 1)] - [Property Financing - Permanent (Seq: 6)] Loan Term - Both]&gt;</t>
        </r>
      </text>
    </comment>
    <comment ref="G856" authorId="0" shapeId="0" xr:uid="{91E4F119-6306-4753-8FB1-426444E56848}">
      <text>
        <r>
          <rPr>
            <b/>
            <sz val="9"/>
            <color indexed="81"/>
            <rFont val="Tahoma"/>
            <family val="2"/>
          </rPr>
          <t>&lt;[[TCDeals] - [TC Property Current Stage (Seq: 1)] - [Property Financing - Permanent (Seq: 6)] Num Amort Years - Both]&gt;</t>
        </r>
      </text>
    </comment>
    <comment ref="H856" authorId="0" shapeId="0" xr:uid="{251B4F9B-7FA6-4F28-8486-CBAB8A836FFA}">
      <text>
        <r>
          <rPr>
            <b/>
            <sz val="9"/>
            <color indexed="81"/>
            <rFont val="Tahoma"/>
            <family val="2"/>
          </rPr>
          <t>&lt;[[TCDeals] - [TC Property Current Stage (Seq: 1)] - [Property Financing - Permanent (Seq: 6)] Annual Debt Svc Cost - Both]&gt;</t>
        </r>
      </text>
    </comment>
    <comment ref="I856" authorId="0" shapeId="0" xr:uid="{FC663300-37BC-4A92-8EC2-4BE78FFAAD74}">
      <text>
        <r>
          <rPr>
            <b/>
            <sz val="9"/>
            <color indexed="81"/>
            <rFont val="Tahoma"/>
            <family val="2"/>
          </rPr>
          <t>&lt;[[TCDeals] - [TC Property Current Stage (Seq: 1)] - [Property Financing - Permanent (Seq: 6)] Financing Type - Both]&gt;</t>
        </r>
      </text>
    </comment>
    <comment ref="C857" authorId="0" shapeId="0" xr:uid="{50A8C3D3-BDFC-4D26-A3C2-44B74ECADA92}">
      <text>
        <r>
          <rPr>
            <b/>
            <sz val="9"/>
            <color indexed="81"/>
            <rFont val="Tahoma"/>
            <family val="2"/>
          </rPr>
          <t>&lt;[[TCDeals] - [TC Property Current Stage (Seq: 1)] - [Property Financing - Permanent (Seq: 7)] Source Name - Both]&gt;</t>
        </r>
      </text>
    </comment>
    <comment ref="D857" authorId="0" shapeId="0" xr:uid="{21679F28-7B31-4743-8C41-E31A92A64DED}">
      <text>
        <r>
          <rPr>
            <b/>
            <sz val="9"/>
            <color indexed="81"/>
            <rFont val="Tahoma"/>
            <family val="2"/>
          </rPr>
          <t>&lt;[[TCDeals] - [TC Property Current Stage (Seq: 1)] - [Property Financing - Permanent (Seq: 7)] Amount - Both]&gt;</t>
        </r>
      </text>
    </comment>
    <comment ref="E857" authorId="0" shapeId="0" xr:uid="{B52B7CAE-888F-4394-A38B-5FDF56BD4940}">
      <text>
        <r>
          <rPr>
            <b/>
            <sz val="9"/>
            <color indexed="81"/>
            <rFont val="Tahoma"/>
            <family val="2"/>
          </rPr>
          <t>&lt;[[TCDeals] - [TC Property Current Stage (Seq: 1)] - [Property Financing - Permanent (Seq: 7)] Interest Rate - Both]&gt;</t>
        </r>
      </text>
    </comment>
    <comment ref="F857" authorId="0" shapeId="0" xr:uid="{0057BAB1-B827-4FC5-B236-AD1D9D360D6F}">
      <text>
        <r>
          <rPr>
            <b/>
            <sz val="9"/>
            <color indexed="81"/>
            <rFont val="Tahoma"/>
            <family val="2"/>
          </rPr>
          <t>&lt;[[TCDeals] - [TC Property Current Stage (Seq: 1)] - [Property Financing - Permanent (Seq: 7)] Loan Term - Both]&gt;</t>
        </r>
      </text>
    </comment>
    <comment ref="G857" authorId="0" shapeId="0" xr:uid="{A1357B6F-1A58-4006-B7AB-B3679B7CB44B}">
      <text>
        <r>
          <rPr>
            <b/>
            <sz val="9"/>
            <color indexed="81"/>
            <rFont val="Tahoma"/>
            <family val="2"/>
          </rPr>
          <t>&lt;[[TCDeals] - [TC Property Current Stage (Seq: 1)] - [Property Financing - Permanent (Seq: 7)] Num Amort Years - Both]&gt;</t>
        </r>
      </text>
    </comment>
    <comment ref="H857" authorId="0" shapeId="0" xr:uid="{579BEFFA-59FE-4DCE-8DBC-80BE12253078}">
      <text>
        <r>
          <rPr>
            <b/>
            <sz val="9"/>
            <color indexed="81"/>
            <rFont val="Tahoma"/>
            <family val="2"/>
          </rPr>
          <t>&lt;[[TCDeals] - [TC Property Current Stage (Seq: 1)] - [Property Financing - Permanent (Seq: 7)] Annual Debt Svc Cost - Both]&gt;</t>
        </r>
      </text>
    </comment>
    <comment ref="I857" authorId="0" shapeId="0" xr:uid="{29D6FF69-B777-4B66-919E-D53E9EA28062}">
      <text>
        <r>
          <rPr>
            <b/>
            <sz val="9"/>
            <color indexed="81"/>
            <rFont val="Tahoma"/>
            <family val="2"/>
          </rPr>
          <t>&lt;[[TCDeals] - [TC Property Current Stage (Seq: 1)] - [Property Financing - Permanent (Seq: 7)] Financing Type - Both]&gt;</t>
        </r>
      </text>
    </comment>
    <comment ref="C858" authorId="0" shapeId="0" xr:uid="{4CFBDE5D-2ED0-4431-96AA-F27866A2801E}">
      <text>
        <r>
          <rPr>
            <b/>
            <sz val="9"/>
            <color indexed="81"/>
            <rFont val="Tahoma"/>
            <family val="2"/>
          </rPr>
          <t>&lt;[[TCDeals] - [TC Property Current Stage (Seq: 1)] - [Property Financing - Permanent (Seq: 8)] Source Name - Both]&gt;</t>
        </r>
      </text>
    </comment>
    <comment ref="D858" authorId="0" shapeId="0" xr:uid="{A4FBA935-255D-4BA3-AB18-D83214D17814}">
      <text>
        <r>
          <rPr>
            <b/>
            <sz val="9"/>
            <color indexed="81"/>
            <rFont val="Tahoma"/>
            <family val="2"/>
          </rPr>
          <t>&lt;[[TCDeals] - [TC Property Current Stage (Seq: 1)] - [Property Financing - Permanent (Seq: 8)] Amount - Both]&gt;</t>
        </r>
      </text>
    </comment>
    <comment ref="E858" authorId="0" shapeId="0" xr:uid="{BA2B008C-CBA3-421C-AA11-2A1C4B6179EE}">
      <text>
        <r>
          <rPr>
            <b/>
            <sz val="9"/>
            <color indexed="81"/>
            <rFont val="Tahoma"/>
            <family val="2"/>
          </rPr>
          <t>&lt;[[TCDeals] - [TC Property Current Stage (Seq: 1)] - [Property Financing - Permanent (Seq: 8)] Interest Rate - Both]&gt;</t>
        </r>
      </text>
    </comment>
    <comment ref="F858" authorId="0" shapeId="0" xr:uid="{6129D148-FBC8-45D9-AC0C-B5E5808693BE}">
      <text>
        <r>
          <rPr>
            <b/>
            <sz val="9"/>
            <color indexed="81"/>
            <rFont val="Tahoma"/>
            <family val="2"/>
          </rPr>
          <t>&lt;[[TCDeals] - [TC Property Current Stage (Seq: 1)] - [Property Financing - Permanent (Seq: 8)] Loan Term - Both]&gt;</t>
        </r>
      </text>
    </comment>
    <comment ref="G858" authorId="0" shapeId="0" xr:uid="{D50D2222-1FDE-4593-B55B-EF51A377DE42}">
      <text>
        <r>
          <rPr>
            <b/>
            <sz val="9"/>
            <color indexed="81"/>
            <rFont val="Tahoma"/>
            <family val="2"/>
          </rPr>
          <t>&lt;[[TCDeals] - [TC Property Current Stage (Seq: 1)] - [Property Financing - Permanent (Seq: 8)] Num Amort Years - Both]&gt;</t>
        </r>
      </text>
    </comment>
    <comment ref="H858" authorId="0" shapeId="0" xr:uid="{4C8DC415-4DF9-4F6A-BDB1-E7E6684E388F}">
      <text>
        <r>
          <rPr>
            <b/>
            <sz val="9"/>
            <color indexed="81"/>
            <rFont val="Tahoma"/>
            <family val="2"/>
          </rPr>
          <t>&lt;[[TCDeals] - [TC Property Current Stage (Seq: 1)] - [Property Financing - Permanent (Seq: 8)] Annual Debt Svc Cost - Both]&gt;</t>
        </r>
      </text>
    </comment>
    <comment ref="I858" authorId="0" shapeId="0" xr:uid="{0C27CCC3-DDBF-4C15-8CA3-BAA6B87865B4}">
      <text>
        <r>
          <rPr>
            <b/>
            <sz val="9"/>
            <color indexed="81"/>
            <rFont val="Tahoma"/>
            <family val="2"/>
          </rPr>
          <t>&lt;[[TCDeals] - [TC Property Current Stage (Seq: 1)] - [Property Financing - Permanent (Seq: 8)] Financing Type - Both]&gt;</t>
        </r>
      </text>
    </comment>
    <comment ref="C859" authorId="0" shapeId="0" xr:uid="{A6F76C79-C977-4FD7-A532-3D9617933F5C}">
      <text>
        <r>
          <rPr>
            <b/>
            <sz val="9"/>
            <color indexed="81"/>
            <rFont val="Tahoma"/>
            <family val="2"/>
          </rPr>
          <t>&lt;[[TCDeals] - [TC Property Current Stage (Seq: 1)] - [Property Financing - Permanent (Seq: 9)] Source Name - Both]&gt;</t>
        </r>
      </text>
    </comment>
    <comment ref="D859" authorId="0" shapeId="0" xr:uid="{9439E666-CEB2-4F0A-A812-DC8A5D4553D4}">
      <text>
        <r>
          <rPr>
            <b/>
            <sz val="9"/>
            <color indexed="81"/>
            <rFont val="Tahoma"/>
            <family val="2"/>
          </rPr>
          <t>&lt;[[TCDeals] - [TC Property Current Stage (Seq: 1)] - [Property Financing - Permanent (Seq: 9)] Amount - Both]&gt;</t>
        </r>
      </text>
    </comment>
    <comment ref="E859" authorId="0" shapeId="0" xr:uid="{25CD67F6-2DE2-4475-8083-88B86A2B3650}">
      <text>
        <r>
          <rPr>
            <b/>
            <sz val="9"/>
            <color indexed="81"/>
            <rFont val="Tahoma"/>
            <family val="2"/>
          </rPr>
          <t>&lt;[[TCDeals] - [TC Property Current Stage (Seq: 1)] - [Property Financing - Permanent (Seq: 9)] Interest Rate - Both]&gt;</t>
        </r>
      </text>
    </comment>
    <comment ref="F859" authorId="0" shapeId="0" xr:uid="{9C7BBBB8-FDC7-46FF-974D-3A40AD137189}">
      <text>
        <r>
          <rPr>
            <b/>
            <sz val="9"/>
            <color indexed="81"/>
            <rFont val="Tahoma"/>
            <family val="2"/>
          </rPr>
          <t>&lt;[[TCDeals] - [TC Property Current Stage (Seq: 1)] - [Property Financing - Permanent (Seq: 9)] Loan Term - Both]&gt;</t>
        </r>
      </text>
    </comment>
    <comment ref="G859" authorId="0" shapeId="0" xr:uid="{24FE2251-39FE-4241-84FC-4791FA3FB70D}">
      <text>
        <r>
          <rPr>
            <b/>
            <sz val="9"/>
            <color indexed="81"/>
            <rFont val="Tahoma"/>
            <family val="2"/>
          </rPr>
          <t>&lt;[[TCDeals] - [TC Property Current Stage (Seq: 1)] - [Property Financing - Permanent (Seq: 9)] Num Amort Years - Both]&gt;</t>
        </r>
      </text>
    </comment>
    <comment ref="H859" authorId="0" shapeId="0" xr:uid="{D2239EBC-F776-4999-9FCE-FC559EF332E5}">
      <text>
        <r>
          <rPr>
            <b/>
            <sz val="9"/>
            <color indexed="81"/>
            <rFont val="Tahoma"/>
            <family val="2"/>
          </rPr>
          <t>&lt;[[TCDeals] - [TC Property Current Stage (Seq: 1)] - [Property Financing - Permanent (Seq: 9)] Annual Debt Svc Cost - Both]&gt;</t>
        </r>
      </text>
    </comment>
    <comment ref="I859" authorId="0" shapeId="0" xr:uid="{75866038-196A-479C-B8B6-ACC714D0EE45}">
      <text>
        <r>
          <rPr>
            <b/>
            <sz val="9"/>
            <color indexed="81"/>
            <rFont val="Tahoma"/>
            <family val="2"/>
          </rPr>
          <t>&lt;[[TCDeals] - [TC Property Current Stage (Seq: 1)] - [Property Financing - Permanent (Seq: 9)] Financing Type - Both]&gt;</t>
        </r>
      </text>
    </comment>
    <comment ref="C875" authorId="0" shapeId="0" xr:uid="{0990179E-F95A-4105-BF25-F568BA3EEAEC}">
      <text>
        <r>
          <rPr>
            <b/>
            <sz val="9"/>
            <color indexed="81"/>
            <rFont val="Tahoma"/>
            <family val="2"/>
          </rPr>
          <t>&lt;[[TCDeals] - [TC Property Current Stage (Seq: 1)] - [Property Financing - Grant (Seq: 1)] Source Name - Both]&gt;</t>
        </r>
      </text>
    </comment>
    <comment ref="D875" authorId="0" shapeId="0" xr:uid="{C0034B07-5756-49DD-A1FF-53CA25D5C162}">
      <text>
        <r>
          <rPr>
            <b/>
            <sz val="9"/>
            <color indexed="81"/>
            <rFont val="Tahoma"/>
            <family val="2"/>
          </rPr>
          <t>&lt;[[TCDeals] - [TC Property Current Stage (Seq: 1)] - [Property Financing - Grant (Seq: 1)] Amount - Both]&gt;</t>
        </r>
      </text>
    </comment>
    <comment ref="E875" authorId="0" shapeId="0" xr:uid="{BB54B072-6CB4-462A-BBB7-50F6249A811E}">
      <text>
        <r>
          <rPr>
            <b/>
            <sz val="9"/>
            <color indexed="81"/>
            <rFont val="Tahoma"/>
            <family val="2"/>
          </rPr>
          <t>&lt;[[TCDeals] - [TC Property Current Stage (Seq: 1)] - [Property Financing - Grant (Seq: 1)] Financing Type - Both]&gt;</t>
        </r>
      </text>
    </comment>
    <comment ref="C876" authorId="0" shapeId="0" xr:uid="{7FE9AE16-6A6D-4AF7-A038-71A37B6290CC}">
      <text>
        <r>
          <rPr>
            <b/>
            <sz val="9"/>
            <color indexed="81"/>
            <rFont val="Tahoma"/>
            <family val="2"/>
          </rPr>
          <t>&lt;[[TCDeals] - [TC Property Current Stage (Seq: 1)] - [Property Financing - Grant (Seq: 2)] Source Name - Both]&gt;</t>
        </r>
      </text>
    </comment>
    <comment ref="D876" authorId="0" shapeId="0" xr:uid="{ED3CB09F-C446-482E-9D57-F264F50B287C}">
      <text>
        <r>
          <rPr>
            <b/>
            <sz val="9"/>
            <color indexed="81"/>
            <rFont val="Tahoma"/>
            <family val="2"/>
          </rPr>
          <t>&lt;[[TCDeals] - [TC Property Current Stage (Seq: 1)] - [Property Financing - Grant (Seq: 2)] Amount - Both]&gt;</t>
        </r>
      </text>
    </comment>
    <comment ref="E876" authorId="0" shapeId="0" xr:uid="{93E42205-D10B-4CBC-9165-4BAF7933A010}">
      <text>
        <r>
          <rPr>
            <b/>
            <sz val="9"/>
            <color indexed="81"/>
            <rFont val="Tahoma"/>
            <family val="2"/>
          </rPr>
          <t>&lt;[[TCDeals] - [TC Property Current Stage (Seq: 1)] - [Property Financing - Grant (Seq: 2)] Financing Type - Both]&gt;</t>
        </r>
      </text>
    </comment>
    <comment ref="C877" authorId="0" shapeId="0" xr:uid="{56A14D5E-21D7-4023-861D-EAE69C3EDD75}">
      <text>
        <r>
          <rPr>
            <b/>
            <sz val="9"/>
            <color indexed="81"/>
            <rFont val="Tahoma"/>
            <family val="2"/>
          </rPr>
          <t>&lt;[[TCDeals] - [TC Property Current Stage (Seq: 1)] - [Property Financing - Grant (Seq: 3)] Source Name - Both]&gt;</t>
        </r>
      </text>
    </comment>
    <comment ref="D877" authorId="0" shapeId="0" xr:uid="{6BD732F3-1C28-4E21-A5EE-56F60214DF1E}">
      <text>
        <r>
          <rPr>
            <b/>
            <sz val="9"/>
            <color indexed="81"/>
            <rFont val="Tahoma"/>
            <family val="2"/>
          </rPr>
          <t>&lt;[[TCDeals] - [TC Property Current Stage (Seq: 1)] - [Property Financing - Grant (Seq: 3)] Amount - Both]&gt;</t>
        </r>
      </text>
    </comment>
    <comment ref="E877" authorId="0" shapeId="0" xr:uid="{79FA1121-CDDD-432F-BA84-23A950E57EEC}">
      <text>
        <r>
          <rPr>
            <b/>
            <sz val="9"/>
            <color indexed="81"/>
            <rFont val="Tahoma"/>
            <family val="2"/>
          </rPr>
          <t>&lt;[[TCDeals] - [TC Property Current Stage (Seq: 1)] - [Property Financing - Grant (Seq: 3)] Financing Type - Both]&gt;</t>
        </r>
      </text>
    </comment>
    <comment ref="C878" authorId="0" shapeId="0" xr:uid="{0E2CD2ED-AA9A-475E-B773-28F419AC31A5}">
      <text>
        <r>
          <rPr>
            <b/>
            <sz val="9"/>
            <color indexed="81"/>
            <rFont val="Tahoma"/>
            <family val="2"/>
          </rPr>
          <t>&lt;[[TCDeals] - [TC Property Current Stage (Seq: 1)] - [Property Financing - Grant (Seq: 4)] Source Name - Both]&gt;</t>
        </r>
      </text>
    </comment>
    <comment ref="D878" authorId="0" shapeId="0" xr:uid="{9B706F46-EA88-4A1F-9B8C-45199932BD83}">
      <text>
        <r>
          <rPr>
            <b/>
            <sz val="9"/>
            <color indexed="81"/>
            <rFont val="Tahoma"/>
            <family val="2"/>
          </rPr>
          <t>&lt;[[TCDeals] - [TC Property Current Stage (Seq: 1)] - [Property Financing - Grant (Seq: 4)] Amount - Both]&gt;</t>
        </r>
      </text>
    </comment>
    <comment ref="E878" authorId="0" shapeId="0" xr:uid="{C34032FC-2AD1-472E-9690-1B1A21CA84E7}">
      <text>
        <r>
          <rPr>
            <b/>
            <sz val="9"/>
            <color indexed="81"/>
            <rFont val="Tahoma"/>
            <family val="2"/>
          </rPr>
          <t>&lt;[[TCDeals] - [TC Property Current Stage (Seq: 1)] - [Property Financing - Grant (Seq: 4)] Financing Type - Both]&gt;</t>
        </r>
      </text>
    </comment>
    <comment ref="C879" authorId="0" shapeId="0" xr:uid="{E4C29F09-1197-41DC-A535-EB5C8DC8E734}">
      <text>
        <r>
          <rPr>
            <b/>
            <sz val="9"/>
            <color indexed="81"/>
            <rFont val="Tahoma"/>
            <family val="2"/>
          </rPr>
          <t>&lt;[[TCDeals] - [TC Property Current Stage (Seq: 1)] - [Property Financing - Grant (Seq: 5)] Source Name - Both]&gt;</t>
        </r>
      </text>
    </comment>
    <comment ref="D879" authorId="0" shapeId="0" xr:uid="{C94F1F07-DD94-4E5D-8067-EEC2A995BD72}">
      <text>
        <r>
          <rPr>
            <b/>
            <sz val="9"/>
            <color indexed="81"/>
            <rFont val="Tahoma"/>
            <family val="2"/>
          </rPr>
          <t>&lt;[[TCDeals] - [TC Property Current Stage (Seq: 1)] - [Property Financing - Grant (Seq: 5)] Amount - Both]&gt;</t>
        </r>
      </text>
    </comment>
    <comment ref="E879" authorId="0" shapeId="0" xr:uid="{DEC3E940-37A9-4F1F-BC85-7F5A274C7877}">
      <text>
        <r>
          <rPr>
            <b/>
            <sz val="9"/>
            <color indexed="81"/>
            <rFont val="Tahoma"/>
            <family val="2"/>
          </rPr>
          <t>&lt;[[TCDeals] - [TC Property Current Stage (Seq: 1)] - [Property Financing - Grant (Seq: 5)] Financing Type - Both]&gt;</t>
        </r>
      </text>
    </comment>
    <comment ref="C880" authorId="0" shapeId="0" xr:uid="{531F000D-5F51-4F91-AFA8-72216D8FAFEC}">
      <text>
        <r>
          <rPr>
            <b/>
            <sz val="9"/>
            <color indexed="81"/>
            <rFont val="Tahoma"/>
            <family val="2"/>
          </rPr>
          <t>&lt;[[TCDeals] - [TC Property Current Stage (Seq: 1)] - [Property Financing - Grant (Seq: 6)] Source Name - Both]&gt;</t>
        </r>
      </text>
    </comment>
    <comment ref="D880" authorId="0" shapeId="0" xr:uid="{711EE395-5309-45B7-AF3D-3D7FE847E782}">
      <text>
        <r>
          <rPr>
            <b/>
            <sz val="9"/>
            <color indexed="81"/>
            <rFont val="Tahoma"/>
            <family val="2"/>
          </rPr>
          <t>&lt;[[TCDeals] - [TC Property Current Stage (Seq: 1)] - [Property Financing - Grant (Seq: 6)] Amount - Both]&gt;</t>
        </r>
      </text>
    </comment>
    <comment ref="E880" authorId="0" shapeId="0" xr:uid="{5069D33E-6E3D-4101-BB48-710D1028B1E0}">
      <text>
        <r>
          <rPr>
            <b/>
            <sz val="9"/>
            <color indexed="81"/>
            <rFont val="Tahoma"/>
            <family val="2"/>
          </rPr>
          <t>&lt;[[TCDeals] - [TC Property Current Stage (Seq: 1)] - [Property Financing - Grant (Seq: 6)] Financing Type - Both]&gt;</t>
        </r>
      </text>
    </comment>
    <comment ref="C881" authorId="0" shapeId="0" xr:uid="{D3826437-4DE3-48D1-8527-DEDD447782BA}">
      <text>
        <r>
          <rPr>
            <b/>
            <sz val="9"/>
            <color indexed="81"/>
            <rFont val="Tahoma"/>
            <family val="2"/>
          </rPr>
          <t>&lt;[[TCDeals] - [TC Property Current Stage (Seq: 1)] - [Property Financing - Grant (Seq: 7)] Source Name - Both]&gt;</t>
        </r>
      </text>
    </comment>
    <comment ref="D881" authorId="0" shapeId="0" xr:uid="{82166BEB-73A5-4C4F-A968-F3F3FA490A4C}">
      <text>
        <r>
          <rPr>
            <b/>
            <sz val="9"/>
            <color indexed="81"/>
            <rFont val="Tahoma"/>
            <family val="2"/>
          </rPr>
          <t>&lt;[[TCDeals] - [TC Property Current Stage (Seq: 1)] - [Property Financing - Grant (Seq: 7)] Amount - Both]&gt;</t>
        </r>
      </text>
    </comment>
    <comment ref="E881" authorId="0" shapeId="0" xr:uid="{6D2E8A88-8BFA-41FA-9180-B2A4F6576A06}">
      <text>
        <r>
          <rPr>
            <b/>
            <sz val="9"/>
            <color indexed="81"/>
            <rFont val="Tahoma"/>
            <family val="2"/>
          </rPr>
          <t>&lt;[[TCDeals] - [TC Property Current Stage (Seq: 1)] - [Property Financing - Grant (Seq: 7)] Financing Type - Both]&gt;</t>
        </r>
      </text>
    </comment>
    <comment ref="C882" authorId="0" shapeId="0" xr:uid="{AF5AFB61-0B90-4AD3-8895-D3D953F77B0B}">
      <text>
        <r>
          <rPr>
            <b/>
            <sz val="9"/>
            <color indexed="81"/>
            <rFont val="Tahoma"/>
            <family val="2"/>
          </rPr>
          <t>&lt;[[TCDeals] - [TC Property Current Stage (Seq: 1)] - [Property Financing - Grant (Seq: 8)] Source Name - Both]&gt;</t>
        </r>
      </text>
    </comment>
    <comment ref="D882" authorId="0" shapeId="0" xr:uid="{FB6C51B1-B5D4-4335-8A2E-958145A5F61D}">
      <text>
        <r>
          <rPr>
            <b/>
            <sz val="9"/>
            <color indexed="81"/>
            <rFont val="Tahoma"/>
            <family val="2"/>
          </rPr>
          <t>&lt;[[TCDeals] - [TC Property Current Stage (Seq: 1)] - [Property Financing - Grant (Seq: 8)] Amount - Both]&gt;</t>
        </r>
      </text>
    </comment>
    <comment ref="E882" authorId="0" shapeId="0" xr:uid="{2B03BEDF-FBB3-463C-9CE3-DD0451C7528A}">
      <text>
        <r>
          <rPr>
            <b/>
            <sz val="9"/>
            <color indexed="81"/>
            <rFont val="Tahoma"/>
            <family val="2"/>
          </rPr>
          <t>&lt;[[TCDeals] - [TC Property Current Stage (Seq: 1)] - [Property Financing - Grant (Seq: 8)] Financing Type - Both]&gt;</t>
        </r>
      </text>
    </comment>
    <comment ref="C905" authorId="0" shapeId="0" xr:uid="{92B3E930-6B55-46EE-A250-298337AC9419}">
      <text>
        <r>
          <rPr>
            <b/>
            <sz val="9"/>
            <color indexed="81"/>
            <rFont val="Tahoma"/>
            <family val="2"/>
          </rPr>
          <t>&lt;[[TCDeals] - [Fees (Seq: 1)] TC Deal Fee Type - Both]&gt;</t>
        </r>
      </text>
    </comment>
    <comment ref="D905" authorId="0" shapeId="0" xr:uid="{9A81F5FE-412E-45BE-91EF-465FE1EA3BBA}">
      <text>
        <r>
          <rPr>
            <b/>
            <sz val="9"/>
            <color indexed="81"/>
            <rFont val="Tahoma"/>
            <family val="2"/>
          </rPr>
          <t>&lt;[[TCDeals] - [Fees (Seq: 1)] Amount - Both]&gt;</t>
        </r>
      </text>
    </comment>
    <comment ref="C906" authorId="0" shapeId="0" xr:uid="{1715008F-BB20-416A-9CD4-CACA60399EB0}">
      <text>
        <r>
          <rPr>
            <b/>
            <sz val="9"/>
            <color indexed="81"/>
            <rFont val="Tahoma"/>
            <family val="2"/>
          </rPr>
          <t>&lt;[[TCDeals] - [Fees (Seq: 2)] TC Deal Fee Type - Both]&gt;</t>
        </r>
      </text>
    </comment>
    <comment ref="D906" authorId="0" shapeId="0" xr:uid="{32CDBA55-11FB-4AC5-BC21-1FBAF681F080}">
      <text>
        <r>
          <rPr>
            <b/>
            <sz val="9"/>
            <color indexed="81"/>
            <rFont val="Tahoma"/>
            <family val="2"/>
          </rPr>
          <t>&lt;[[TCDeals] - [Fees (Seq: 2)] Amount - Both]&gt;</t>
        </r>
      </text>
    </comment>
    <comment ref="C907" authorId="0" shapeId="0" xr:uid="{CF8F4F7C-9723-40B4-9C4F-D3C3D0E6D8CF}">
      <text>
        <r>
          <rPr>
            <b/>
            <sz val="9"/>
            <color indexed="81"/>
            <rFont val="Tahoma"/>
            <family val="2"/>
          </rPr>
          <t>&lt;[[TCDeals] - [Fees (Seq: 3)] TC Deal Fee Type - Both]&gt;</t>
        </r>
      </text>
    </comment>
    <comment ref="D907" authorId="0" shapeId="0" xr:uid="{AE87752F-D1F2-4E05-8E0D-FCABCE26B8C4}">
      <text>
        <r>
          <rPr>
            <b/>
            <sz val="9"/>
            <color indexed="81"/>
            <rFont val="Tahoma"/>
            <family val="2"/>
          </rPr>
          <t>&lt;[[TCDeals] - [Fees (Seq: 3)] Amount - Both]&gt;</t>
        </r>
      </text>
    </comment>
    <comment ref="C908" authorId="0" shapeId="0" xr:uid="{AE289E7B-15F6-43B7-8165-6D451DD35B13}">
      <text>
        <r>
          <rPr>
            <b/>
            <sz val="9"/>
            <color indexed="81"/>
            <rFont val="Tahoma"/>
            <family val="2"/>
          </rPr>
          <t>&lt;[[TCDeals] - [Fees (Seq: 4)] TC Deal Fee Type - Both]&gt;</t>
        </r>
      </text>
    </comment>
    <comment ref="D908" authorId="0" shapeId="0" xr:uid="{A2479000-B5C6-4802-B2A7-1F3C805BC8C0}">
      <text>
        <r>
          <rPr>
            <b/>
            <sz val="9"/>
            <color indexed="81"/>
            <rFont val="Tahoma"/>
            <family val="2"/>
          </rPr>
          <t>&lt;[[TCDeals] - [Fees (Seq: 4)] Amount - Both]&gt;</t>
        </r>
      </text>
    </comment>
    <comment ref="C909" authorId="0" shapeId="0" xr:uid="{0590B2EA-B878-4F3A-84C2-D7A34F66D79A}">
      <text>
        <r>
          <rPr>
            <b/>
            <sz val="9"/>
            <color indexed="81"/>
            <rFont val="Tahoma"/>
            <family val="2"/>
          </rPr>
          <t>&lt;[[TCDeals] - [Fees (Seq: 5)] TC Deal Fee Type - Both]&gt;</t>
        </r>
      </text>
    </comment>
    <comment ref="D909" authorId="0" shapeId="0" xr:uid="{0B5D88FA-5DC8-416A-990E-C3B61DAA8BD1}">
      <text>
        <r>
          <rPr>
            <b/>
            <sz val="9"/>
            <color indexed="81"/>
            <rFont val="Tahoma"/>
            <family val="2"/>
          </rPr>
          <t>&lt;[[TCDeals] - [Fees (Seq: 5)] Amount - Both]&gt;</t>
        </r>
      </text>
    </comment>
    <comment ref="C910" authorId="0" shapeId="0" xr:uid="{E5B2F57F-DDCA-4012-9B49-6CA81FBDC469}">
      <text>
        <r>
          <rPr>
            <b/>
            <sz val="9"/>
            <color indexed="81"/>
            <rFont val="Tahoma"/>
            <family val="2"/>
          </rPr>
          <t>&lt;[[TCDeals] - [Fees (Seq: 6)] TC Deal Fee Type - Both]&gt;</t>
        </r>
      </text>
    </comment>
    <comment ref="D910" authorId="0" shapeId="0" xr:uid="{7CAF2348-29BB-49D8-B92B-73480891C7FF}">
      <text>
        <r>
          <rPr>
            <b/>
            <sz val="9"/>
            <color indexed="81"/>
            <rFont val="Tahoma"/>
            <family val="2"/>
          </rPr>
          <t>&lt;[[TCDeals] - [Fees (Seq: 6)] Amount - Both]&gt;</t>
        </r>
      </text>
    </comment>
    <comment ref="C911" authorId="0" shapeId="0" xr:uid="{3E4BB4CA-7025-4D8F-ABCB-3BD951CE7924}">
      <text>
        <r>
          <rPr>
            <b/>
            <sz val="9"/>
            <color indexed="81"/>
            <rFont val="Tahoma"/>
            <family val="2"/>
          </rPr>
          <t>&lt;[[TCDeals] - [Fees (Seq: 7)] TC Deal Fee Type - Both]&gt;</t>
        </r>
      </text>
    </comment>
    <comment ref="D911" authorId="0" shapeId="0" xr:uid="{4C56376F-E692-4D27-9701-14F465B89DD9}">
      <text>
        <r>
          <rPr>
            <b/>
            <sz val="9"/>
            <color indexed="81"/>
            <rFont val="Tahoma"/>
            <family val="2"/>
          </rPr>
          <t>&lt;[[TCDeals] - [Fees (Seq: 7)] Amount - Both]&gt;</t>
        </r>
      </text>
    </comment>
    <comment ref="C912" authorId="1" shapeId="0" xr:uid="{E8850E95-E479-4BEE-A9AD-D08839B908CB}">
      <text>
        <r>
          <rPr>
            <b/>
            <sz val="9"/>
            <color indexed="81"/>
            <rFont val="Tahoma"/>
            <family val="2"/>
          </rPr>
          <t>&lt;[[TCDeals] - [Fees (Seq: 8)] TC Deal Fee Type - Both]&gt;</t>
        </r>
      </text>
    </comment>
    <comment ref="D912" authorId="1" shapeId="0" xr:uid="{2D9F996F-5726-429C-9D62-0A5E60362823}">
      <text>
        <r>
          <rPr>
            <b/>
            <sz val="9"/>
            <color indexed="81"/>
            <rFont val="Tahoma"/>
            <family val="2"/>
          </rPr>
          <t>&lt;[[TCDeals] - [Fees (Seq: 8)] Amount - Both]&gt;</t>
        </r>
      </text>
    </comment>
    <comment ref="C913" authorId="4" shapeId="0" xr:uid="{AA82E232-643C-4E9C-89DF-1A61348AF713}">
      <text>
        <r>
          <rPr>
            <b/>
            <sz val="9"/>
            <color indexed="81"/>
            <rFont val="Tahoma"/>
            <family val="2"/>
          </rPr>
          <t>&lt;[[TCDeals] - [Fees (Seq: 9)] TC Deal Fee Type - Both]&gt;</t>
        </r>
      </text>
    </comment>
    <comment ref="D913" authorId="4" shapeId="0" xr:uid="{E6888D6D-1912-422C-B858-7B95DE5978AC}">
      <text>
        <r>
          <rPr>
            <b/>
            <sz val="9"/>
            <color indexed="81"/>
            <rFont val="Tahoma"/>
            <family val="2"/>
          </rPr>
          <t>&lt;[[TCDeals] - [Fees (Seq: 9)] Amount - Both]&gt;</t>
        </r>
      </text>
    </comment>
    <comment ref="C923" authorId="0" shapeId="0" xr:uid="{0C09C40F-2491-4E1C-A35B-F76ACE8704DC}">
      <text>
        <r>
          <rPr>
            <b/>
            <sz val="9"/>
            <color indexed="81"/>
            <rFont val="Tahoma"/>
            <family val="2"/>
          </rPr>
          <t>&lt;[[TCDeals] - [TC Property Current Stage (Seq: 1)] - [Units (Seq: 1)] Num TC Units - Both]&gt;</t>
        </r>
      </text>
    </comment>
    <comment ref="D923" authorId="0" shapeId="0" xr:uid="{83E1866B-BFFF-4F62-9EA9-BCC045E9985D}">
      <text>
        <r>
          <rPr>
            <b/>
            <sz val="9"/>
            <color indexed="81"/>
            <rFont val="Tahoma"/>
            <family val="2"/>
          </rPr>
          <t>&lt;[[TCDeals] - [TC Property Current Stage (Seq: 1)] - [Units (Seq: 1)] TC Unit Type - Both]&gt;</t>
        </r>
      </text>
    </comment>
    <comment ref="C924" authorId="0" shapeId="0" xr:uid="{D809DAD0-FF13-479A-B321-7EE6E6643116}">
      <text>
        <r>
          <rPr>
            <b/>
            <sz val="9"/>
            <color indexed="81"/>
            <rFont val="Tahoma"/>
            <family val="2"/>
          </rPr>
          <t>&lt;[[TCDeals] - [TC Property Current Stage (Seq: 1)] - [Units (Seq: 2)] Num TC Units - Both]&gt;</t>
        </r>
      </text>
    </comment>
    <comment ref="D924" authorId="0" shapeId="0" xr:uid="{2173526C-1FF8-410A-9768-3084A02C6310}">
      <text>
        <r>
          <rPr>
            <b/>
            <sz val="9"/>
            <color indexed="81"/>
            <rFont val="Tahoma"/>
            <family val="2"/>
          </rPr>
          <t>&lt;[[TCDeals] - [TC Property Current Stage (Seq: 1)] - [Units (Seq: 2)] TC Unit Type - Both]&gt;</t>
        </r>
      </text>
    </comment>
    <comment ref="C925" authorId="0" shapeId="0" xr:uid="{5B379DB0-F118-45E4-BB29-5DF2AD64F6BA}">
      <text>
        <r>
          <rPr>
            <b/>
            <sz val="9"/>
            <color indexed="81"/>
            <rFont val="Tahoma"/>
            <family val="2"/>
          </rPr>
          <t>&lt;[[TCDeals] - [TC Property Current Stage (Seq: 1)] - [Units (Seq: 3)] Num TC Units - Both]&gt;</t>
        </r>
      </text>
    </comment>
    <comment ref="D925" authorId="0" shapeId="0" xr:uid="{B8971ADC-212F-472C-A5D5-8A20A1BC05B6}">
      <text>
        <r>
          <rPr>
            <b/>
            <sz val="9"/>
            <color indexed="81"/>
            <rFont val="Tahoma"/>
            <family val="2"/>
          </rPr>
          <t>&lt;[[TCDeals] - [TC Property Current Stage (Seq: 1)] - [Units (Seq: 3)] TC Unit Type - Both]&gt;</t>
        </r>
      </text>
    </comment>
    <comment ref="C926" authorId="0" shapeId="0" xr:uid="{8E934114-705F-440F-A8DF-56A25AD96559}">
      <text>
        <r>
          <rPr>
            <b/>
            <sz val="9"/>
            <color indexed="81"/>
            <rFont val="Tahoma"/>
            <family val="2"/>
          </rPr>
          <t>&lt;[[TCDeals] - [TC Property Current Stage (Seq: 1)] - [Units (Seq: 4)] Num TC Units - Both]&gt;</t>
        </r>
      </text>
    </comment>
    <comment ref="D926" authorId="0" shapeId="0" xr:uid="{8DEDEAE2-7D4F-440B-9E0A-586DB3A357D1}">
      <text>
        <r>
          <rPr>
            <b/>
            <sz val="9"/>
            <color indexed="81"/>
            <rFont val="Tahoma"/>
            <family val="2"/>
          </rPr>
          <t>&lt;[[TCDeals] - [TC Property Current Stage (Seq: 1)] - [Units (Seq: 4)] TC Unit Type - Both]&gt;</t>
        </r>
      </text>
    </comment>
    <comment ref="C927" authorId="0" shapeId="0" xr:uid="{7C508BE4-9458-47B9-A2D9-F6DCCC89A110}">
      <text>
        <r>
          <rPr>
            <b/>
            <sz val="9"/>
            <color indexed="81"/>
            <rFont val="Tahoma"/>
            <family val="2"/>
          </rPr>
          <t>&lt;[[TCDeals] - [TC Property Current Stage (Seq: 1)] - [Units (Seq: 5)] Num TC Units - Both]&gt;</t>
        </r>
      </text>
    </comment>
    <comment ref="D927" authorId="0" shapeId="0" xr:uid="{2DC51D3F-1569-432F-99B2-D945E0FB050D}">
      <text>
        <r>
          <rPr>
            <b/>
            <sz val="9"/>
            <color indexed="81"/>
            <rFont val="Tahoma"/>
            <family val="2"/>
          </rPr>
          <t>&lt;[[TCDeals] - [TC Property Current Stage (Seq: 1)] - [Units (Seq: 5)] TC Unit Type - Both]&gt;</t>
        </r>
      </text>
    </comment>
    <comment ref="C928" authorId="0" shapeId="0" xr:uid="{F4A7FA0E-ECC4-4A95-ACE7-10CB00AAF540}">
      <text>
        <r>
          <rPr>
            <b/>
            <sz val="9"/>
            <color indexed="81"/>
            <rFont val="Tahoma"/>
            <family val="2"/>
          </rPr>
          <t>&lt;[[TCDeals] - [TC Property Current Stage (Seq: 1)] - [Units (Seq: 6)] Num TC Units - Both]&gt;</t>
        </r>
      </text>
    </comment>
    <comment ref="D928" authorId="0" shapeId="0" xr:uid="{DC3D9034-B9CD-46E4-963B-823E746D92CE}">
      <text>
        <r>
          <rPr>
            <b/>
            <sz val="9"/>
            <color indexed="81"/>
            <rFont val="Tahoma"/>
            <family val="2"/>
          </rPr>
          <t>&lt;[[TCDeals] - [TC Property Current Stage (Seq: 1)] - [Units (Seq: 6)] TC Unit Type - Both]&gt;</t>
        </r>
      </text>
    </comment>
    <comment ref="C1000" authorId="1" shapeId="0" xr:uid="{48FCD760-C54A-48DE-9A6D-CEA03CCC7242}">
      <text>
        <r>
          <rPr>
            <b/>
            <sz val="9"/>
            <color indexed="81"/>
            <rFont val="Tahoma"/>
            <family val="2"/>
          </rPr>
          <t>&lt;[[TCDeals] - [TC Property Current Stage (Seq: 1)] - [Unit Mix (Seq: 1)] Income Target - Both]&gt;</t>
        </r>
      </text>
    </comment>
    <comment ref="D1000" authorId="0" shapeId="0" xr:uid="{347C5FA5-5217-4315-BA7E-1A5DD2AB0B65}">
      <text>
        <r>
          <rPr>
            <b/>
            <sz val="9"/>
            <color indexed="81"/>
            <rFont val="Tahoma"/>
            <family val="2"/>
          </rPr>
          <t>&lt;[[TCDeals] - [TC Property Current Stage (Seq: 1)] - [Unit Mix (Seq: 1)] TC Unit Mix Type - Both]&gt;</t>
        </r>
      </text>
    </comment>
    <comment ref="E1000" authorId="0" shapeId="0" xr:uid="{3D7115E5-E2DA-4B92-945E-C04CA694369F}">
      <text>
        <r>
          <rPr>
            <b/>
            <sz val="9"/>
            <color indexed="81"/>
            <rFont val="Tahoma"/>
            <family val="2"/>
          </rPr>
          <t>&lt;[[TCDeals] - [TC Property Current Stage (Seq: 1)] - [Unit Mix (Seq: 1)] Net Rentable Sq Ft - Both]&gt;</t>
        </r>
      </text>
    </comment>
    <comment ref="F1000" authorId="0" shapeId="0" xr:uid="{9E9182ED-2D41-43A5-87D9-5228880DE042}">
      <text>
        <r>
          <rPr>
            <b/>
            <sz val="9"/>
            <color indexed="81"/>
            <rFont val="Tahoma"/>
            <family val="2"/>
          </rPr>
          <t>&lt;[[TCDeals] - [TC Property Current Stage (Seq: 1)] - [Unit Mix (Seq: 1)] Num Units - Both]&gt;</t>
        </r>
      </text>
    </comment>
    <comment ref="G1000" authorId="0" shapeId="0" xr:uid="{58278505-84D4-4A66-87A9-C97202A36117}">
      <text>
        <r>
          <rPr>
            <b/>
            <sz val="9"/>
            <color indexed="81"/>
            <rFont val="Tahoma"/>
            <family val="2"/>
          </rPr>
          <t>&lt;[[TCDeals] - [TC Property Current Stage (Seq: 1)] - [Unit Mix (Seq: 1)] Monthly Rent Per Unit - Both]&gt;</t>
        </r>
      </text>
    </comment>
    <comment ref="C1001" authorId="1" shapeId="0" xr:uid="{4E0CEAFD-B879-45FA-B14B-F99E36B4D345}">
      <text>
        <r>
          <rPr>
            <b/>
            <sz val="9"/>
            <color indexed="81"/>
            <rFont val="Tahoma"/>
            <family val="2"/>
          </rPr>
          <t>&lt;[[TCDeals] - [TC Property Current Stage (Seq: 1)] - [Unit Mix (Seq: 2)] Income Target - Both]&gt;</t>
        </r>
      </text>
    </comment>
    <comment ref="D1001" authorId="0" shapeId="0" xr:uid="{CF35BD9D-6D8D-4C44-8FB4-5A9AED250D1C}">
      <text>
        <r>
          <rPr>
            <b/>
            <sz val="9"/>
            <color indexed="81"/>
            <rFont val="Tahoma"/>
            <family val="2"/>
          </rPr>
          <t>&lt;[[TCDeals] - [TC Property Current Stage (Seq: 1)] - [Unit Mix (Seq: 2)] TC Unit Mix Type - Both]&gt;</t>
        </r>
      </text>
    </comment>
    <comment ref="E1001" authorId="0" shapeId="0" xr:uid="{2CDCE524-DC9E-469F-8392-10DF35B4F294}">
      <text>
        <r>
          <rPr>
            <b/>
            <sz val="9"/>
            <color indexed="81"/>
            <rFont val="Tahoma"/>
            <family val="2"/>
          </rPr>
          <t>&lt;[[TCDeals] - [TC Property Current Stage (Seq: 1)] - [Unit Mix (Seq: 2)] Net Rentable Sq Ft - Both]&gt;</t>
        </r>
      </text>
    </comment>
    <comment ref="F1001" authorId="0" shapeId="0" xr:uid="{1B570894-3846-4F6B-9538-02FCAEB04E39}">
      <text>
        <r>
          <rPr>
            <b/>
            <sz val="9"/>
            <color indexed="81"/>
            <rFont val="Tahoma"/>
            <family val="2"/>
          </rPr>
          <t>&lt;[[TCDeals] - [TC Property Current Stage (Seq: 1)] - [Unit Mix (Seq: 2)] Num Units - Both]&gt;</t>
        </r>
      </text>
    </comment>
    <comment ref="G1001" authorId="0" shapeId="0" xr:uid="{F20F613E-8790-4435-BC0C-A748D558B682}">
      <text>
        <r>
          <rPr>
            <b/>
            <sz val="9"/>
            <color indexed="81"/>
            <rFont val="Tahoma"/>
            <family val="2"/>
          </rPr>
          <t>&lt;[[TCDeals] - [TC Property Current Stage (Seq: 1)] - [Unit Mix (Seq: 2)] Monthly Rent Per Unit - Both]&gt;</t>
        </r>
      </text>
    </comment>
    <comment ref="C1002" authorId="1" shapeId="0" xr:uid="{39676418-4A01-4666-87AB-FFFAB46BB336}">
      <text>
        <r>
          <rPr>
            <b/>
            <sz val="9"/>
            <color indexed="81"/>
            <rFont val="Tahoma"/>
            <family val="2"/>
          </rPr>
          <t>&lt;[[TCDeals] - [TC Property Current Stage (Seq: 1)] - [Unit Mix (Seq: 3)] Income Target - Both]&gt;</t>
        </r>
      </text>
    </comment>
    <comment ref="D1002" authorId="0" shapeId="0" xr:uid="{178BEDE6-E8D4-4987-8C62-9BF1198F07EE}">
      <text>
        <r>
          <rPr>
            <b/>
            <sz val="9"/>
            <color indexed="81"/>
            <rFont val="Tahoma"/>
            <family val="2"/>
          </rPr>
          <t>&lt;[[TCDeals] - [TC Property Current Stage (Seq: 1)] - [Unit Mix (Seq: 3)] TC Unit Mix Type - Both]&gt;</t>
        </r>
      </text>
    </comment>
    <comment ref="E1002" authorId="0" shapeId="0" xr:uid="{82C8121B-51EC-4757-9914-64F15231E5AD}">
      <text>
        <r>
          <rPr>
            <b/>
            <sz val="9"/>
            <color indexed="81"/>
            <rFont val="Tahoma"/>
            <family val="2"/>
          </rPr>
          <t>&lt;[[TCDeals] - [TC Property Current Stage (Seq: 1)] - [Unit Mix (Seq: 3)] Net Rentable Sq Ft - Both]&gt;</t>
        </r>
      </text>
    </comment>
    <comment ref="F1002" authorId="0" shapeId="0" xr:uid="{1B750A31-C8FF-48BB-9940-4CD439EB246C}">
      <text>
        <r>
          <rPr>
            <b/>
            <sz val="9"/>
            <color indexed="81"/>
            <rFont val="Tahoma"/>
            <family val="2"/>
          </rPr>
          <t>&lt;[[TCDeals] - [TC Property Current Stage (Seq: 1)] - [Unit Mix (Seq: 3)] Num Units - Both]&gt;</t>
        </r>
      </text>
    </comment>
    <comment ref="G1002" authorId="0" shapeId="0" xr:uid="{48340566-0D88-44AA-8499-A90A51D0FC72}">
      <text>
        <r>
          <rPr>
            <b/>
            <sz val="9"/>
            <color indexed="81"/>
            <rFont val="Tahoma"/>
            <family val="2"/>
          </rPr>
          <t>&lt;[[TCDeals] - [TC Property Current Stage (Seq: 1)] - [Unit Mix (Seq: 3)] Monthly Rent Per Unit - Both]&gt;</t>
        </r>
      </text>
    </comment>
    <comment ref="C1003" authorId="1" shapeId="0" xr:uid="{F11E2A4A-D909-4DD2-990E-8625CACBB1A3}">
      <text>
        <r>
          <rPr>
            <b/>
            <sz val="9"/>
            <color indexed="81"/>
            <rFont val="Tahoma"/>
            <family val="2"/>
          </rPr>
          <t>&lt;[[TCDeals] - [TC Property Current Stage (Seq: 1)] - [Unit Mix (Seq: 4)] Income Target - Both]&gt;</t>
        </r>
      </text>
    </comment>
    <comment ref="D1003" authorId="0" shapeId="0" xr:uid="{A7A7E92A-988E-4C82-933F-35C9CD9A9720}">
      <text>
        <r>
          <rPr>
            <b/>
            <sz val="9"/>
            <color indexed="81"/>
            <rFont val="Tahoma"/>
            <family val="2"/>
          </rPr>
          <t>&lt;[[TCDeals] - [TC Property Current Stage (Seq: 1)] - [Unit Mix (Seq: 4)] TC Unit Mix Type - Both]&gt;</t>
        </r>
      </text>
    </comment>
    <comment ref="E1003" authorId="0" shapeId="0" xr:uid="{7A672B32-203E-4EB9-8354-BC2826454779}">
      <text>
        <r>
          <rPr>
            <b/>
            <sz val="9"/>
            <color indexed="81"/>
            <rFont val="Tahoma"/>
            <family val="2"/>
          </rPr>
          <t>&lt;[[TCDeals] - [TC Property Current Stage (Seq: 1)] - [Unit Mix (Seq: 4)] Net Rentable Sq Ft - Both]&gt;</t>
        </r>
      </text>
    </comment>
    <comment ref="F1003" authorId="0" shapeId="0" xr:uid="{277C42A0-1709-451A-AB14-34000919E560}">
      <text>
        <r>
          <rPr>
            <b/>
            <sz val="9"/>
            <color indexed="81"/>
            <rFont val="Tahoma"/>
            <family val="2"/>
          </rPr>
          <t>&lt;[[TCDeals] - [TC Property Current Stage (Seq: 1)] - [Unit Mix (Seq: 4)] Num Units - Both]&gt;</t>
        </r>
      </text>
    </comment>
    <comment ref="G1003" authorId="0" shapeId="0" xr:uid="{ED1CAEC8-0344-4677-93C6-C08A4E537145}">
      <text>
        <r>
          <rPr>
            <b/>
            <sz val="9"/>
            <color indexed="81"/>
            <rFont val="Tahoma"/>
            <family val="2"/>
          </rPr>
          <t>&lt;[[TCDeals] - [TC Property Current Stage (Seq: 1)] - [Unit Mix (Seq: 4)] Monthly Rent Per Unit - Both]&gt;</t>
        </r>
      </text>
    </comment>
    <comment ref="C1004" authorId="1" shapeId="0" xr:uid="{3DE6456D-A67B-4ADC-AA9E-C85691125202}">
      <text>
        <r>
          <rPr>
            <b/>
            <sz val="9"/>
            <color indexed="81"/>
            <rFont val="Tahoma"/>
            <family val="2"/>
          </rPr>
          <t>&lt;[[TCDeals] - [TC Property Current Stage (Seq: 1)] - [Unit Mix (Seq: 5)] Income Target - Both]&gt;</t>
        </r>
      </text>
    </comment>
    <comment ref="D1004" authorId="0" shapeId="0" xr:uid="{611A4641-BF3E-4941-8686-7809CFE657F1}">
      <text>
        <r>
          <rPr>
            <b/>
            <sz val="9"/>
            <color indexed="81"/>
            <rFont val="Tahoma"/>
            <family val="2"/>
          </rPr>
          <t>&lt;[[TCDeals] - [TC Property Current Stage (Seq: 1)] - [Unit Mix (Seq: 5)] TC Unit Mix Type - Both]&gt;</t>
        </r>
      </text>
    </comment>
    <comment ref="E1004" authorId="0" shapeId="0" xr:uid="{A34360DF-FECF-4D7F-8F5F-613D8FE4678C}">
      <text>
        <r>
          <rPr>
            <b/>
            <sz val="9"/>
            <color indexed="81"/>
            <rFont val="Tahoma"/>
            <family val="2"/>
          </rPr>
          <t>&lt;[[TCDeals] - [TC Property Current Stage (Seq: 1)] - [Unit Mix (Seq: 5)] Net Rentable Sq Ft - Both]&gt;</t>
        </r>
      </text>
    </comment>
    <comment ref="F1004" authorId="0" shapeId="0" xr:uid="{3E2A2AE4-BDF8-4486-A229-8477C2FEE4FA}">
      <text>
        <r>
          <rPr>
            <b/>
            <sz val="9"/>
            <color indexed="81"/>
            <rFont val="Tahoma"/>
            <family val="2"/>
          </rPr>
          <t>&lt;[[TCDeals] - [TC Property Current Stage (Seq: 1)] - [Unit Mix (Seq: 5)] Num Units - Both]&gt;</t>
        </r>
      </text>
    </comment>
    <comment ref="G1004" authorId="0" shapeId="0" xr:uid="{CE650F58-B206-40EC-8862-2756DB3EF24A}">
      <text>
        <r>
          <rPr>
            <b/>
            <sz val="9"/>
            <color indexed="81"/>
            <rFont val="Tahoma"/>
            <family val="2"/>
          </rPr>
          <t>&lt;[[TCDeals] - [TC Property Current Stage (Seq: 1)] - [Unit Mix (Seq: 5)] Monthly Rent Per Unit - Both]&gt;</t>
        </r>
      </text>
    </comment>
    <comment ref="C1005" authorId="1" shapeId="0" xr:uid="{67FD00FC-4B77-4254-9657-4E7DB0DEF374}">
      <text>
        <r>
          <rPr>
            <b/>
            <sz val="9"/>
            <color indexed="81"/>
            <rFont val="Tahoma"/>
            <family val="2"/>
          </rPr>
          <t>&lt;[[TCDeals] - [TC Property Current Stage (Seq: 1)] - [Unit Mix (Seq: 6)] Income Target - Both]&gt;</t>
        </r>
      </text>
    </comment>
    <comment ref="D1005" authorId="0" shapeId="0" xr:uid="{722CBD0D-E910-45FF-9D3D-06C85B772F39}">
      <text>
        <r>
          <rPr>
            <b/>
            <sz val="9"/>
            <color indexed="81"/>
            <rFont val="Tahoma"/>
            <family val="2"/>
          </rPr>
          <t>&lt;[[TCDeals] - [TC Property Current Stage (Seq: 1)] - [Unit Mix (Seq: 6)] TC Unit Mix Type - Both]&gt;</t>
        </r>
      </text>
    </comment>
    <comment ref="E1005" authorId="0" shapeId="0" xr:uid="{02FEED85-D121-4499-8393-F1E95A93AB86}">
      <text>
        <r>
          <rPr>
            <b/>
            <sz val="9"/>
            <color indexed="81"/>
            <rFont val="Tahoma"/>
            <family val="2"/>
          </rPr>
          <t>&lt;[[TCDeals] - [TC Property Current Stage (Seq: 1)] - [Unit Mix (Seq: 6)] Net Rentable Sq Ft - Both]&gt;</t>
        </r>
      </text>
    </comment>
    <comment ref="F1005" authorId="0" shapeId="0" xr:uid="{941D454E-0742-4EAE-BB82-40BE26371DAE}">
      <text>
        <r>
          <rPr>
            <b/>
            <sz val="9"/>
            <color indexed="81"/>
            <rFont val="Tahoma"/>
            <family val="2"/>
          </rPr>
          <t>&lt;[[TCDeals] - [TC Property Current Stage (Seq: 1)] - [Unit Mix (Seq: 6)] Num Units - Both]&gt;</t>
        </r>
      </text>
    </comment>
    <comment ref="G1005" authorId="0" shapeId="0" xr:uid="{63341B06-0AA0-4DDE-8809-2F1C6BFDBE79}">
      <text>
        <r>
          <rPr>
            <b/>
            <sz val="9"/>
            <color indexed="81"/>
            <rFont val="Tahoma"/>
            <family val="2"/>
          </rPr>
          <t>&lt;[[TCDeals] - [TC Property Current Stage (Seq: 1)] - [Unit Mix (Seq: 6)] Monthly Rent Per Unit - Both]&gt;</t>
        </r>
      </text>
    </comment>
    <comment ref="C1006" authorId="1" shapeId="0" xr:uid="{0F5AFD13-6FF8-464A-9E62-9F2885823EA9}">
      <text>
        <r>
          <rPr>
            <b/>
            <sz val="9"/>
            <color indexed="81"/>
            <rFont val="Tahoma"/>
            <family val="2"/>
          </rPr>
          <t>&lt;[[TCDeals] - [TC Property Current Stage (Seq: 1)] - [Unit Mix (Seq: 7)] Income Target - Both]&gt;</t>
        </r>
      </text>
    </comment>
    <comment ref="D1006" authorId="0" shapeId="0" xr:uid="{71BE43BE-EF50-4FCE-B7C7-23C594D37C70}">
      <text>
        <r>
          <rPr>
            <b/>
            <sz val="9"/>
            <color indexed="81"/>
            <rFont val="Tahoma"/>
            <family val="2"/>
          </rPr>
          <t>&lt;[[TCDeals] - [TC Property Current Stage (Seq: 1)] - [Unit Mix (Seq: 7)] TC Unit Mix Type - Both]&gt;</t>
        </r>
      </text>
    </comment>
    <comment ref="E1006" authorId="0" shapeId="0" xr:uid="{69661D2D-BC7F-464B-ADAE-D0306CB2540B}">
      <text>
        <r>
          <rPr>
            <b/>
            <sz val="9"/>
            <color indexed="81"/>
            <rFont val="Tahoma"/>
            <family val="2"/>
          </rPr>
          <t>&lt;[[TCDeals] - [TC Property Current Stage (Seq: 1)] - [Unit Mix (Seq: 7)] Net Rentable Sq Ft - Both]&gt;</t>
        </r>
      </text>
    </comment>
    <comment ref="F1006" authorId="0" shapeId="0" xr:uid="{985CA209-EEF2-4C1F-82A5-6B783B5C23BA}">
      <text>
        <r>
          <rPr>
            <b/>
            <sz val="9"/>
            <color indexed="81"/>
            <rFont val="Tahoma"/>
            <family val="2"/>
          </rPr>
          <t>&lt;[[TCDeals] - [TC Property Current Stage (Seq: 1)] - [Unit Mix (Seq: 7)] Num Units - Both]&gt;</t>
        </r>
      </text>
    </comment>
    <comment ref="G1006" authorId="0" shapeId="0" xr:uid="{1ECC99C2-2522-4889-8777-4D767C93BFF1}">
      <text>
        <r>
          <rPr>
            <b/>
            <sz val="9"/>
            <color indexed="81"/>
            <rFont val="Tahoma"/>
            <family val="2"/>
          </rPr>
          <t>&lt;[[TCDeals] - [TC Property Current Stage (Seq: 1)] - [Unit Mix (Seq: 7)] Monthly Rent Per Unit - Both]&gt;</t>
        </r>
      </text>
    </comment>
    <comment ref="C1007" authorId="1" shapeId="0" xr:uid="{E1E327CE-CC47-4DE2-B776-75808C3088A8}">
      <text>
        <r>
          <rPr>
            <b/>
            <sz val="9"/>
            <color indexed="81"/>
            <rFont val="Tahoma"/>
            <family val="2"/>
          </rPr>
          <t>&lt;[[TCDeals] - [TC Property Current Stage (Seq: 1)] - [Unit Mix (Seq: 8)] Income Target - Both]&gt;</t>
        </r>
      </text>
    </comment>
    <comment ref="D1007" authorId="0" shapeId="0" xr:uid="{BABF7F03-499E-49C6-A06B-59E24720262F}">
      <text>
        <r>
          <rPr>
            <b/>
            <sz val="9"/>
            <color indexed="81"/>
            <rFont val="Tahoma"/>
            <family val="2"/>
          </rPr>
          <t>&lt;[[TCDeals] - [TC Property Current Stage (Seq: 1)] - [Unit Mix (Seq: 8)] TC Unit Mix Type - Both]&gt;</t>
        </r>
      </text>
    </comment>
    <comment ref="E1007" authorId="0" shapeId="0" xr:uid="{52FB9358-D2DA-4D9F-98DC-55FE030B4015}">
      <text>
        <r>
          <rPr>
            <b/>
            <sz val="9"/>
            <color indexed="81"/>
            <rFont val="Tahoma"/>
            <family val="2"/>
          </rPr>
          <t>&lt;[[TCDeals] - [TC Property Current Stage (Seq: 1)] - [Unit Mix (Seq: 8)] Net Rentable Sq Ft - Both]&gt;</t>
        </r>
      </text>
    </comment>
    <comment ref="F1007" authorId="0" shapeId="0" xr:uid="{7E0BE5A3-1578-4E5C-AE7E-D67275118AC0}">
      <text>
        <r>
          <rPr>
            <b/>
            <sz val="9"/>
            <color indexed="81"/>
            <rFont val="Tahoma"/>
            <family val="2"/>
          </rPr>
          <t>&lt;[[TCDeals] - [TC Property Current Stage (Seq: 1)] - [Unit Mix (Seq: 8)] Num Units - Both]&gt;</t>
        </r>
      </text>
    </comment>
    <comment ref="G1007" authorId="0" shapeId="0" xr:uid="{6E16422F-A8DB-4F8F-8FFB-6F08A9D3520F}">
      <text>
        <r>
          <rPr>
            <b/>
            <sz val="9"/>
            <color indexed="81"/>
            <rFont val="Tahoma"/>
            <family val="2"/>
          </rPr>
          <t>&lt;[[TCDeals] - [TC Property Current Stage (Seq: 1)] - [Unit Mix (Seq: 8)] Monthly Rent Per Unit - Both]&gt;</t>
        </r>
      </text>
    </comment>
    <comment ref="C1008" authorId="1" shapeId="0" xr:uid="{30961E71-CFA3-4531-957C-F4AD6A0A934B}">
      <text>
        <r>
          <rPr>
            <b/>
            <sz val="9"/>
            <color indexed="81"/>
            <rFont val="Tahoma"/>
            <family val="2"/>
          </rPr>
          <t>&lt;[[TCDeals] - [TC Property Current Stage (Seq: 1)] - [Unit Mix (Seq: 9)] Income Target - Both]&gt;</t>
        </r>
      </text>
    </comment>
    <comment ref="D1008" authorId="0" shapeId="0" xr:uid="{A2796FF9-1B75-4663-A881-D09E2B5924AA}">
      <text>
        <r>
          <rPr>
            <b/>
            <sz val="9"/>
            <color indexed="81"/>
            <rFont val="Tahoma"/>
            <family val="2"/>
          </rPr>
          <t>&lt;[[TCDeals] - [TC Property Current Stage (Seq: 1)] - [Unit Mix (Seq: 9)] TC Unit Mix Type - Both]&gt;</t>
        </r>
      </text>
    </comment>
    <comment ref="E1008" authorId="0" shapeId="0" xr:uid="{373FDC8F-8BD7-4E82-94E3-FCCB3A30C4CB}">
      <text>
        <r>
          <rPr>
            <b/>
            <sz val="9"/>
            <color indexed="81"/>
            <rFont val="Tahoma"/>
            <family val="2"/>
          </rPr>
          <t>&lt;[[TCDeals] - [TC Property Current Stage (Seq: 1)] - [Unit Mix (Seq: 9)] Net Rentable Sq Ft - Both]&gt;</t>
        </r>
      </text>
    </comment>
    <comment ref="F1008" authorId="0" shapeId="0" xr:uid="{5F72C3EC-5373-412C-A9B1-3833C42F464F}">
      <text>
        <r>
          <rPr>
            <b/>
            <sz val="9"/>
            <color indexed="81"/>
            <rFont val="Tahoma"/>
            <family val="2"/>
          </rPr>
          <t>&lt;[[TCDeals] - [TC Property Current Stage (Seq: 1)] - [Unit Mix (Seq: 9)] Num Units - Both]&gt;</t>
        </r>
      </text>
    </comment>
    <comment ref="G1008" authorId="0" shapeId="0" xr:uid="{E09264EF-E409-4BCB-8FD3-074D5D55E6DE}">
      <text>
        <r>
          <rPr>
            <b/>
            <sz val="9"/>
            <color indexed="81"/>
            <rFont val="Tahoma"/>
            <family val="2"/>
          </rPr>
          <t>&lt;[[TCDeals] - [TC Property Current Stage (Seq: 1)] - [Unit Mix (Seq: 9)] Monthly Rent Per Unit - Both]&gt;</t>
        </r>
      </text>
    </comment>
    <comment ref="C1009" authorId="1" shapeId="0" xr:uid="{B2A145AF-8F06-463F-B89A-3B3848FA0209}">
      <text>
        <r>
          <rPr>
            <b/>
            <sz val="9"/>
            <color indexed="81"/>
            <rFont val="Tahoma"/>
            <family val="2"/>
          </rPr>
          <t>&lt;[[TCDeals] - [TC Property Current Stage (Seq: 1)] - [Unit Mix (Seq: 10)] Income Target - Both]&gt;</t>
        </r>
      </text>
    </comment>
    <comment ref="D1009" authorId="0" shapeId="0" xr:uid="{BADBF334-CAD0-4B7D-9F5A-64BB4BAC2FE9}">
      <text>
        <r>
          <rPr>
            <b/>
            <sz val="9"/>
            <color indexed="81"/>
            <rFont val="Tahoma"/>
            <family val="2"/>
          </rPr>
          <t>&lt;[[TCDeals] - [TC Property Current Stage (Seq: 1)] - [Unit Mix (Seq: 10)] TC Unit Mix Type - Both]&gt;</t>
        </r>
      </text>
    </comment>
    <comment ref="E1009" authorId="0" shapeId="0" xr:uid="{EFBBE17A-23BE-42B5-8743-50F843620D0D}">
      <text>
        <r>
          <rPr>
            <b/>
            <sz val="9"/>
            <color indexed="81"/>
            <rFont val="Tahoma"/>
            <family val="2"/>
          </rPr>
          <t>&lt;[[TCDeals] - [TC Property Current Stage (Seq: 1)] - [Unit Mix (Seq: 10)] Net Rentable Sq Ft - Both]&gt;</t>
        </r>
      </text>
    </comment>
    <comment ref="F1009" authorId="0" shapeId="0" xr:uid="{F8F89489-902E-462A-9FEE-50BC8435879E}">
      <text>
        <r>
          <rPr>
            <b/>
            <sz val="9"/>
            <color indexed="81"/>
            <rFont val="Tahoma"/>
            <family val="2"/>
          </rPr>
          <t>&lt;[[TCDeals] - [TC Property Current Stage (Seq: 1)] - [Unit Mix (Seq: 10)] Num Units - Both]&gt;</t>
        </r>
      </text>
    </comment>
    <comment ref="G1009" authorId="0" shapeId="0" xr:uid="{FF2852FC-8FB8-4DA4-ADD0-9CF4C8AC9FDC}">
      <text>
        <r>
          <rPr>
            <b/>
            <sz val="9"/>
            <color indexed="81"/>
            <rFont val="Tahoma"/>
            <family val="2"/>
          </rPr>
          <t>&lt;[[TCDeals] - [TC Property Current Stage (Seq: 1)] - [Unit Mix (Seq: 10)] Monthly Rent Per Unit - Both]&gt;</t>
        </r>
      </text>
    </comment>
    <comment ref="C1010" authorId="1" shapeId="0" xr:uid="{0161165A-BF52-4A88-A3A3-10291FB5EBD7}">
      <text>
        <r>
          <rPr>
            <b/>
            <sz val="9"/>
            <color indexed="81"/>
            <rFont val="Tahoma"/>
            <family val="2"/>
          </rPr>
          <t>&lt;[[TCDeals] - [TC Property Current Stage (Seq: 1)] - [Unit Mix (Seq: 11)] Income Target - Both]&gt;</t>
        </r>
      </text>
    </comment>
    <comment ref="D1010" authorId="0" shapeId="0" xr:uid="{629FA029-2FF4-486D-A95D-A68ED6945EC8}">
      <text>
        <r>
          <rPr>
            <b/>
            <sz val="9"/>
            <color indexed="81"/>
            <rFont val="Tahoma"/>
            <family val="2"/>
          </rPr>
          <t>&lt;[[TCDeals] - [TC Property Current Stage (Seq: 1)] - [Unit Mix (Seq: 11)] TC Unit Mix Type - Both]&gt;</t>
        </r>
      </text>
    </comment>
    <comment ref="E1010" authorId="0" shapeId="0" xr:uid="{9147F3A4-B89F-475E-A931-47BE7CD04AC6}">
      <text>
        <r>
          <rPr>
            <b/>
            <sz val="9"/>
            <color indexed="81"/>
            <rFont val="Tahoma"/>
            <family val="2"/>
          </rPr>
          <t>&lt;[[TCDeals] - [TC Property Current Stage (Seq: 1)] - [Unit Mix (Seq: 11)] Net Rentable Sq Ft - Both]&gt;</t>
        </r>
      </text>
    </comment>
    <comment ref="F1010" authorId="0" shapeId="0" xr:uid="{E4B4FFE6-CAC1-4739-BE80-E85FDE37BBAA}">
      <text>
        <r>
          <rPr>
            <b/>
            <sz val="9"/>
            <color indexed="81"/>
            <rFont val="Tahoma"/>
            <family val="2"/>
          </rPr>
          <t>&lt;[[TCDeals] - [TC Property Current Stage (Seq: 1)] - [Unit Mix (Seq: 11)] Num Units - Both]&gt;</t>
        </r>
      </text>
    </comment>
    <comment ref="G1010" authorId="0" shapeId="0" xr:uid="{AFB91196-257C-4267-878A-9AC5DE1E4A80}">
      <text>
        <r>
          <rPr>
            <b/>
            <sz val="9"/>
            <color indexed="81"/>
            <rFont val="Tahoma"/>
            <family val="2"/>
          </rPr>
          <t>&lt;[[TCDeals] - [TC Property Current Stage (Seq: 1)] - [Unit Mix (Seq: 11)] Monthly Rent Per Unit - Both]&gt;</t>
        </r>
      </text>
    </comment>
    <comment ref="C1011" authorId="1" shapeId="0" xr:uid="{7A06F75B-3265-409E-B9D3-17BB727B8831}">
      <text>
        <r>
          <rPr>
            <b/>
            <sz val="9"/>
            <color indexed="81"/>
            <rFont val="Tahoma"/>
            <family val="2"/>
          </rPr>
          <t>&lt;[[TCDeals] - [TC Property Current Stage (Seq: 1)] - [Unit Mix (Seq: 12)] Income Target - Both]&gt;</t>
        </r>
      </text>
    </comment>
    <comment ref="D1011" authorId="0" shapeId="0" xr:uid="{68BAE1FF-D653-4206-9FE7-32B9A5437EBA}">
      <text>
        <r>
          <rPr>
            <b/>
            <sz val="9"/>
            <color indexed="81"/>
            <rFont val="Tahoma"/>
            <family val="2"/>
          </rPr>
          <t>&lt;[[TCDeals] - [TC Property Current Stage (Seq: 1)] - [Unit Mix (Seq: 12)] TC Unit Mix Type - Both]&gt;</t>
        </r>
      </text>
    </comment>
    <comment ref="E1011" authorId="0" shapeId="0" xr:uid="{55D19E13-2EB1-4FE7-8976-696FD6D21CBE}">
      <text>
        <r>
          <rPr>
            <b/>
            <sz val="9"/>
            <color indexed="81"/>
            <rFont val="Tahoma"/>
            <family val="2"/>
          </rPr>
          <t>&lt;[[TCDeals] - [TC Property Current Stage (Seq: 1)] - [Unit Mix (Seq: 12)] Net Rentable Sq Ft - Both]&gt;</t>
        </r>
      </text>
    </comment>
    <comment ref="F1011" authorId="0" shapeId="0" xr:uid="{406931E2-2D49-4546-A0A8-00CD718F9CB9}">
      <text>
        <r>
          <rPr>
            <b/>
            <sz val="9"/>
            <color indexed="81"/>
            <rFont val="Tahoma"/>
            <family val="2"/>
          </rPr>
          <t>&lt;[[TCDeals] - [TC Property Current Stage (Seq: 1)] - [Unit Mix (Seq: 12)] Num Units - Both]&gt;</t>
        </r>
      </text>
    </comment>
    <comment ref="G1011" authorId="0" shapeId="0" xr:uid="{00A45971-0FB8-4736-84AB-AADF92F21574}">
      <text>
        <r>
          <rPr>
            <b/>
            <sz val="9"/>
            <color indexed="81"/>
            <rFont val="Tahoma"/>
            <family val="2"/>
          </rPr>
          <t>&lt;[[TCDeals] - [TC Property Current Stage (Seq: 1)] - [Unit Mix (Seq: 12)] Monthly Rent Per Unit - Both]&gt;</t>
        </r>
      </text>
    </comment>
    <comment ref="C1012" authorId="1" shapeId="0" xr:uid="{C2E3A1CF-0767-4F4C-B093-6ED9AFE423D2}">
      <text>
        <r>
          <rPr>
            <b/>
            <sz val="9"/>
            <color indexed="81"/>
            <rFont val="Tahoma"/>
            <family val="2"/>
          </rPr>
          <t>&lt;[[TCDeals] - [TC Property Current Stage (Seq: 1)] - [Unit Mix (Seq: 13)] Income Target - Both]&gt;</t>
        </r>
      </text>
    </comment>
    <comment ref="D1012" authorId="0" shapeId="0" xr:uid="{5F1B4E55-F0C4-48E4-88C5-F313BB32FD18}">
      <text>
        <r>
          <rPr>
            <b/>
            <sz val="9"/>
            <color indexed="81"/>
            <rFont val="Tahoma"/>
            <family val="2"/>
          </rPr>
          <t>&lt;[[TCDeals] - [TC Property Current Stage (Seq: 1)] - [Unit Mix (Seq: 13)] TC Unit Mix Type - Both]&gt;</t>
        </r>
      </text>
    </comment>
    <comment ref="E1012" authorId="0" shapeId="0" xr:uid="{EA78DF9C-D4D9-4A40-8780-541FABDE9593}">
      <text>
        <r>
          <rPr>
            <b/>
            <sz val="9"/>
            <color indexed="81"/>
            <rFont val="Tahoma"/>
            <family val="2"/>
          </rPr>
          <t>&lt;[[TCDeals] - [TC Property Current Stage (Seq: 1)] - [Unit Mix (Seq: 13)] Net Rentable Sq Ft - Both]&gt;</t>
        </r>
      </text>
    </comment>
    <comment ref="F1012" authorId="0" shapeId="0" xr:uid="{2EAAE5D7-5F05-4B27-8313-D66936A76F82}">
      <text>
        <r>
          <rPr>
            <b/>
            <sz val="9"/>
            <color indexed="81"/>
            <rFont val="Tahoma"/>
            <family val="2"/>
          </rPr>
          <t>&lt;[[TCDeals] - [TC Property Current Stage (Seq: 1)] - [Unit Mix (Seq: 13)] Num Units - Both]&gt;</t>
        </r>
      </text>
    </comment>
    <comment ref="G1012" authorId="0" shapeId="0" xr:uid="{B6C472CE-7B76-4FD5-B060-15F1538B1BAA}">
      <text>
        <r>
          <rPr>
            <b/>
            <sz val="9"/>
            <color indexed="81"/>
            <rFont val="Tahoma"/>
            <family val="2"/>
          </rPr>
          <t>&lt;[[TCDeals] - [TC Property Current Stage (Seq: 1)] - [Unit Mix (Seq: 13)] Monthly Rent Per Unit - Both]&gt;</t>
        </r>
      </text>
    </comment>
    <comment ref="C1013" authorId="1" shapeId="0" xr:uid="{AED8E051-1ABE-4A12-AF7A-972C3244E15D}">
      <text>
        <r>
          <rPr>
            <b/>
            <sz val="9"/>
            <color indexed="81"/>
            <rFont val="Tahoma"/>
            <family val="2"/>
          </rPr>
          <t>&lt;[[TCDeals] - [TC Property Current Stage (Seq: 1)] - [Unit Mix (Seq: 14)] Income Target - Both]&gt;</t>
        </r>
      </text>
    </comment>
    <comment ref="D1013" authorId="0" shapeId="0" xr:uid="{823B4946-DF3A-4740-90C1-730FC987C8AD}">
      <text>
        <r>
          <rPr>
            <b/>
            <sz val="9"/>
            <color indexed="81"/>
            <rFont val="Tahoma"/>
            <family val="2"/>
          </rPr>
          <t>&lt;[[TCDeals] - [TC Property Current Stage (Seq: 1)] - [Unit Mix (Seq: 14)] TC Unit Mix Type - Both]&gt;</t>
        </r>
      </text>
    </comment>
    <comment ref="E1013" authorId="0" shapeId="0" xr:uid="{4254ED46-F9FF-4459-84B6-91152C8B5F4D}">
      <text>
        <r>
          <rPr>
            <b/>
            <sz val="9"/>
            <color indexed="81"/>
            <rFont val="Tahoma"/>
            <family val="2"/>
          </rPr>
          <t>&lt;[[TCDeals] - [TC Property Current Stage (Seq: 1)] - [Unit Mix (Seq: 14)] Net Rentable Sq Ft - Both]&gt;</t>
        </r>
      </text>
    </comment>
    <comment ref="F1013" authorId="0" shapeId="0" xr:uid="{ED7768CF-190F-4AFC-9EB8-788BDF8A75EB}">
      <text>
        <r>
          <rPr>
            <b/>
            <sz val="9"/>
            <color indexed="81"/>
            <rFont val="Tahoma"/>
            <family val="2"/>
          </rPr>
          <t>&lt;[[TCDeals] - [TC Property Current Stage (Seq: 1)] - [Unit Mix (Seq: 14)] Num Units - Both]&gt;</t>
        </r>
      </text>
    </comment>
    <comment ref="G1013" authorId="0" shapeId="0" xr:uid="{912E0E89-72A8-4331-ACBC-85DB4AE3183B}">
      <text>
        <r>
          <rPr>
            <b/>
            <sz val="9"/>
            <color indexed="81"/>
            <rFont val="Tahoma"/>
            <family val="2"/>
          </rPr>
          <t>&lt;[[TCDeals] - [TC Property Current Stage (Seq: 1)] - [Unit Mix (Seq: 14)] Monthly Rent Per Unit - Both]&gt;</t>
        </r>
      </text>
    </comment>
    <comment ref="C1014" authorId="1" shapeId="0" xr:uid="{2E14369D-475C-4137-B083-1C95450BC7D2}">
      <text>
        <r>
          <rPr>
            <b/>
            <sz val="9"/>
            <color indexed="81"/>
            <rFont val="Tahoma"/>
            <family val="2"/>
          </rPr>
          <t>&lt;[[TCDeals] - [TC Property Current Stage (Seq: 1)] - [Unit Mix (Seq: 15)] Income Target - Both]&gt;</t>
        </r>
      </text>
    </comment>
    <comment ref="D1014" authorId="0" shapeId="0" xr:uid="{762F13B3-DDD5-4D63-BE27-3B00088B55B9}">
      <text>
        <r>
          <rPr>
            <b/>
            <sz val="9"/>
            <color indexed="81"/>
            <rFont val="Tahoma"/>
            <family val="2"/>
          </rPr>
          <t>&lt;[[TCDeals] - [TC Property Current Stage (Seq: 1)] - [Unit Mix (Seq: 15)] TC Unit Mix Type - Both]&gt;</t>
        </r>
      </text>
    </comment>
    <comment ref="E1014" authorId="0" shapeId="0" xr:uid="{7440098F-A2A5-4A35-8EE4-42B4CA090017}">
      <text>
        <r>
          <rPr>
            <b/>
            <sz val="9"/>
            <color indexed="81"/>
            <rFont val="Tahoma"/>
            <family val="2"/>
          </rPr>
          <t>&lt;[[TCDeals] - [TC Property Current Stage (Seq: 1)] - [Unit Mix (Seq: 15)] Net Rentable Sq Ft - Both]&gt;</t>
        </r>
      </text>
    </comment>
    <comment ref="F1014" authorId="0" shapeId="0" xr:uid="{72A83E6E-D4F0-46AA-99C4-26BB7AB243CC}">
      <text>
        <r>
          <rPr>
            <b/>
            <sz val="9"/>
            <color indexed="81"/>
            <rFont val="Tahoma"/>
            <family val="2"/>
          </rPr>
          <t>&lt;[[TCDeals] - [TC Property Current Stage (Seq: 1)] - [Unit Mix (Seq: 15)] Num Units - Both]&gt;</t>
        </r>
      </text>
    </comment>
    <comment ref="G1014" authorId="0" shapeId="0" xr:uid="{79CA1E04-3870-4592-946A-4895F0F53082}">
      <text>
        <r>
          <rPr>
            <b/>
            <sz val="9"/>
            <color indexed="81"/>
            <rFont val="Tahoma"/>
            <family val="2"/>
          </rPr>
          <t>&lt;[[TCDeals] - [TC Property Current Stage (Seq: 1)] - [Unit Mix (Seq: 15)] Monthly Rent Per Unit - Both]&gt;</t>
        </r>
      </text>
    </comment>
    <comment ref="C1015" authorId="1" shapeId="0" xr:uid="{9BB28FBA-F75C-491A-8105-144E9AD31A6D}">
      <text>
        <r>
          <rPr>
            <b/>
            <sz val="9"/>
            <color indexed="81"/>
            <rFont val="Tahoma"/>
            <family val="2"/>
          </rPr>
          <t>&lt;[[TCDeals] - [TC Property Current Stage (Seq: 1)] - [Unit Mix (Seq: 16)] Income Target - Both]&gt;</t>
        </r>
      </text>
    </comment>
    <comment ref="D1015" authorId="0" shapeId="0" xr:uid="{6CBECA6E-2EDA-4FF1-9452-9449C75A82B5}">
      <text>
        <r>
          <rPr>
            <b/>
            <sz val="9"/>
            <color indexed="81"/>
            <rFont val="Tahoma"/>
            <family val="2"/>
          </rPr>
          <t>&lt;[[TCDeals] - [TC Property Current Stage (Seq: 1)] - [Unit Mix (Seq: 16)] TC Unit Mix Type - Both]&gt;</t>
        </r>
      </text>
    </comment>
    <comment ref="E1015" authorId="0" shapeId="0" xr:uid="{21424D35-68E0-4229-B783-AEC92C2F2817}">
      <text>
        <r>
          <rPr>
            <b/>
            <sz val="9"/>
            <color indexed="81"/>
            <rFont val="Tahoma"/>
            <family val="2"/>
          </rPr>
          <t>&lt;[[TCDeals] - [TC Property Current Stage (Seq: 1)] - [Unit Mix (Seq: 16)] Net Rentable Sq Ft - Both]&gt;</t>
        </r>
      </text>
    </comment>
    <comment ref="F1015" authorId="0" shapeId="0" xr:uid="{FB105CC0-E87B-4F4F-9A8D-E471BEB56F45}">
      <text>
        <r>
          <rPr>
            <b/>
            <sz val="9"/>
            <color indexed="81"/>
            <rFont val="Tahoma"/>
            <family val="2"/>
          </rPr>
          <t>&lt;[[TCDeals] - [TC Property Current Stage (Seq: 1)] - [Unit Mix (Seq: 16)] Num Units - Both]&gt;</t>
        </r>
      </text>
    </comment>
    <comment ref="G1015" authorId="0" shapeId="0" xr:uid="{50A1015B-61D9-41F9-86B2-49B2BEDBDB40}">
      <text>
        <r>
          <rPr>
            <b/>
            <sz val="9"/>
            <color indexed="81"/>
            <rFont val="Tahoma"/>
            <family val="2"/>
          </rPr>
          <t>&lt;[[TCDeals] - [TC Property Current Stage (Seq: 1)] - [Unit Mix (Seq: 16)] Monthly Rent Per Unit - Both]&gt;</t>
        </r>
      </text>
    </comment>
    <comment ref="C1016" authorId="1" shapeId="0" xr:uid="{5AE3B7AD-B95A-404B-9252-CDF937323B4E}">
      <text>
        <r>
          <rPr>
            <b/>
            <sz val="9"/>
            <color indexed="81"/>
            <rFont val="Tahoma"/>
            <family val="2"/>
          </rPr>
          <t>&lt;[[TCDeals] - [TC Property Current Stage (Seq: 1)] - [Unit Mix (Seq: 17)] Income Target - Both]&gt;</t>
        </r>
      </text>
    </comment>
    <comment ref="D1016" authorId="0" shapeId="0" xr:uid="{193434D0-AD1D-49FF-AA5F-9F43FB33B5DB}">
      <text>
        <r>
          <rPr>
            <b/>
            <sz val="9"/>
            <color indexed="81"/>
            <rFont val="Tahoma"/>
            <family val="2"/>
          </rPr>
          <t>&lt;[[TCDeals] - [TC Property Current Stage (Seq: 1)] - [Unit Mix (Seq: 17)] TC Unit Mix Type - Both]&gt;</t>
        </r>
      </text>
    </comment>
    <comment ref="E1016" authorId="0" shapeId="0" xr:uid="{02C1A9F5-D7DC-4028-AA2C-A248AB782CA8}">
      <text>
        <r>
          <rPr>
            <b/>
            <sz val="9"/>
            <color indexed="81"/>
            <rFont val="Tahoma"/>
            <family val="2"/>
          </rPr>
          <t>&lt;[[TCDeals] - [TC Property Current Stage (Seq: 1)] - [Unit Mix (Seq: 17)] Net Rentable Sq Ft - Both]&gt;</t>
        </r>
      </text>
    </comment>
    <comment ref="F1016" authorId="0" shapeId="0" xr:uid="{E21AB530-25B1-4F4D-BE20-A8103CF2276B}">
      <text>
        <r>
          <rPr>
            <b/>
            <sz val="9"/>
            <color indexed="81"/>
            <rFont val="Tahoma"/>
            <family val="2"/>
          </rPr>
          <t>&lt;[[TCDeals] - [TC Property Current Stage (Seq: 1)] - [Unit Mix (Seq: 17)] Num Units - Both]&gt;</t>
        </r>
      </text>
    </comment>
    <comment ref="G1016" authorId="0" shapeId="0" xr:uid="{6B17369A-BD3F-4AAF-A4F5-1CD0AF220639}">
      <text>
        <r>
          <rPr>
            <b/>
            <sz val="9"/>
            <color indexed="81"/>
            <rFont val="Tahoma"/>
            <family val="2"/>
          </rPr>
          <t>&lt;[[TCDeals] - [TC Property Current Stage (Seq: 1)] - [Unit Mix (Seq: 17)] Monthly Rent Per Unit - Both]&gt;</t>
        </r>
      </text>
    </comment>
    <comment ref="C1017" authorId="1" shapeId="0" xr:uid="{D23F4B58-1573-4647-9451-F679E014FE6B}">
      <text>
        <r>
          <rPr>
            <b/>
            <sz val="9"/>
            <color indexed="81"/>
            <rFont val="Tahoma"/>
            <family val="2"/>
          </rPr>
          <t>&lt;[[TCDeals] - [TC Property Current Stage (Seq: 1)] - [Unit Mix (Seq: 18)] Income Target - Both]&gt;</t>
        </r>
      </text>
    </comment>
    <comment ref="D1017" authorId="0" shapeId="0" xr:uid="{881DBCD2-29D2-4229-850F-788341BBD095}">
      <text>
        <r>
          <rPr>
            <b/>
            <sz val="9"/>
            <color indexed="81"/>
            <rFont val="Tahoma"/>
            <family val="2"/>
          </rPr>
          <t>&lt;[[TCDeals] - [TC Property Current Stage (Seq: 1)] - [Unit Mix (Seq: 18)] TC Unit Mix Type - Both]&gt;</t>
        </r>
      </text>
    </comment>
    <comment ref="E1017" authorId="0" shapeId="0" xr:uid="{9E17692F-17F4-46A3-8503-C72DF512DCA4}">
      <text>
        <r>
          <rPr>
            <b/>
            <sz val="9"/>
            <color indexed="81"/>
            <rFont val="Tahoma"/>
            <family val="2"/>
          </rPr>
          <t>&lt;[[TCDeals] - [TC Property Current Stage (Seq: 1)] - [Unit Mix (Seq: 18)] Net Rentable Sq Ft - Both]&gt;</t>
        </r>
      </text>
    </comment>
    <comment ref="F1017" authorId="0" shapeId="0" xr:uid="{085959D8-B16F-4458-B0FD-DFC7AB709B8B}">
      <text>
        <r>
          <rPr>
            <b/>
            <sz val="9"/>
            <color indexed="81"/>
            <rFont val="Tahoma"/>
            <family val="2"/>
          </rPr>
          <t>&lt;[[TCDeals] - [TC Property Current Stage (Seq: 1)] - [Unit Mix (Seq: 18)] Num Units - Both]&gt;</t>
        </r>
      </text>
    </comment>
    <comment ref="G1017" authorId="0" shapeId="0" xr:uid="{E3038A6A-766D-45A5-B872-F4594E397CE9}">
      <text>
        <r>
          <rPr>
            <b/>
            <sz val="9"/>
            <color indexed="81"/>
            <rFont val="Tahoma"/>
            <family val="2"/>
          </rPr>
          <t>&lt;[[TCDeals] - [TC Property Current Stage (Seq: 1)] - [Unit Mix (Seq: 18)] Monthly Rent Per Unit - Both]&gt;</t>
        </r>
      </text>
    </comment>
    <comment ref="C1018" authorId="1" shapeId="0" xr:uid="{0573AD93-6811-4C75-8BD5-E5F4B67E1648}">
      <text>
        <r>
          <rPr>
            <b/>
            <sz val="9"/>
            <color indexed="81"/>
            <rFont val="Tahoma"/>
            <family val="2"/>
          </rPr>
          <t>&lt;[[TCDeals] - [TC Property Current Stage (Seq: 1)] - [Unit Mix (Seq: 19)] Income Target - Both]&gt;</t>
        </r>
      </text>
    </comment>
    <comment ref="D1018" authorId="0" shapeId="0" xr:uid="{FDA7E66A-1D70-449E-9DF5-EA2855FB52F4}">
      <text>
        <r>
          <rPr>
            <b/>
            <sz val="9"/>
            <color indexed="81"/>
            <rFont val="Tahoma"/>
            <family val="2"/>
          </rPr>
          <t>&lt;[[TCDeals] - [TC Property Current Stage (Seq: 1)] - [Unit Mix (Seq: 19)] TC Unit Mix Type - Both]&gt;</t>
        </r>
      </text>
    </comment>
    <comment ref="E1018" authorId="0" shapeId="0" xr:uid="{D5302714-0DE3-4F6B-A949-0872E1025E2B}">
      <text>
        <r>
          <rPr>
            <b/>
            <sz val="9"/>
            <color indexed="81"/>
            <rFont val="Tahoma"/>
            <family val="2"/>
          </rPr>
          <t>&lt;[[TCDeals] - [TC Property Current Stage (Seq: 1)] - [Unit Mix (Seq: 19)] Net Rentable Sq Ft - Both]&gt;</t>
        </r>
      </text>
    </comment>
    <comment ref="F1018" authorId="0" shapeId="0" xr:uid="{2E971818-2F29-4342-B855-BEA4C43E401C}">
      <text>
        <r>
          <rPr>
            <b/>
            <sz val="9"/>
            <color indexed="81"/>
            <rFont val="Tahoma"/>
            <family val="2"/>
          </rPr>
          <t>&lt;[[TCDeals] - [TC Property Current Stage (Seq: 1)] - [Unit Mix (Seq: 19)] Num Units - Both]&gt;</t>
        </r>
      </text>
    </comment>
    <comment ref="G1018" authorId="0" shapeId="0" xr:uid="{0F6A81B3-2AF9-40F6-B071-71EA7102CACA}">
      <text>
        <r>
          <rPr>
            <b/>
            <sz val="9"/>
            <color indexed="81"/>
            <rFont val="Tahoma"/>
            <family val="2"/>
          </rPr>
          <t>&lt;[[TCDeals] - [TC Property Current Stage (Seq: 1)] - [Unit Mix (Seq: 19)] Monthly Rent Per Unit - Both]&gt;</t>
        </r>
      </text>
    </comment>
    <comment ref="C1019" authorId="1" shapeId="0" xr:uid="{5FE683E6-E6E4-46CF-BDC3-4C7AEFACCB7E}">
      <text>
        <r>
          <rPr>
            <b/>
            <sz val="9"/>
            <color indexed="81"/>
            <rFont val="Tahoma"/>
            <family val="2"/>
          </rPr>
          <t>&lt;[[TCDeals] - [TC Property Current Stage (Seq: 1)] - [Unit Mix (Seq: 20)] Income Target - Both]&gt;</t>
        </r>
      </text>
    </comment>
    <comment ref="D1019" authorId="0" shapeId="0" xr:uid="{FEB0E6ED-E596-445A-9B20-93251C803FED}">
      <text>
        <r>
          <rPr>
            <b/>
            <sz val="9"/>
            <color indexed="81"/>
            <rFont val="Tahoma"/>
            <family val="2"/>
          </rPr>
          <t>&lt;[[TCDeals] - [TC Property Current Stage (Seq: 1)] - [Unit Mix (Seq: 20)] TC Unit Mix Type - Both]&gt;</t>
        </r>
      </text>
    </comment>
    <comment ref="E1019" authorId="0" shapeId="0" xr:uid="{B510854A-AE18-4E64-83D4-1AE1D1E6A34A}">
      <text>
        <r>
          <rPr>
            <b/>
            <sz val="9"/>
            <color indexed="81"/>
            <rFont val="Tahoma"/>
            <family val="2"/>
          </rPr>
          <t>&lt;[[TCDeals] - [TC Property Current Stage (Seq: 1)] - [Unit Mix (Seq: 20)] Net Rentable Sq Ft - Both]&gt;</t>
        </r>
      </text>
    </comment>
    <comment ref="F1019" authorId="0" shapeId="0" xr:uid="{E01321B3-35C4-487D-BFF7-D9AD5BA94495}">
      <text>
        <r>
          <rPr>
            <b/>
            <sz val="9"/>
            <color indexed="81"/>
            <rFont val="Tahoma"/>
            <family val="2"/>
          </rPr>
          <t>&lt;[[TCDeals] - [TC Property Current Stage (Seq: 1)] - [Unit Mix (Seq: 20)] Num Units - Both]&gt;</t>
        </r>
      </text>
    </comment>
    <comment ref="G1019" authorId="0" shapeId="0" xr:uid="{F0F04747-BB65-489C-8261-E67331928E5C}">
      <text>
        <r>
          <rPr>
            <b/>
            <sz val="9"/>
            <color indexed="81"/>
            <rFont val="Tahoma"/>
            <family val="2"/>
          </rPr>
          <t>&lt;[[TCDeals] - [TC Property Current Stage (Seq: 1)] - [Unit Mix (Seq: 20)] Monthly Rent Per Unit - Both]&gt;</t>
        </r>
      </text>
    </comment>
    <comment ref="C1020" authorId="1" shapeId="0" xr:uid="{CE2B9D03-7388-4541-A1A2-BB756AE80E2B}">
      <text>
        <r>
          <rPr>
            <b/>
            <sz val="9"/>
            <color indexed="81"/>
            <rFont val="Tahoma"/>
            <family val="2"/>
          </rPr>
          <t>&lt;[[TCDeals] - [TC Property Current Stage (Seq: 1)] - [Unit Mix (Seq: 21)] Income Target - Both]&gt;</t>
        </r>
      </text>
    </comment>
    <comment ref="D1020" authorId="0" shapeId="0" xr:uid="{DB32AAC8-8A45-49C4-9292-B8A0B4BF1396}">
      <text>
        <r>
          <rPr>
            <b/>
            <sz val="9"/>
            <color indexed="81"/>
            <rFont val="Tahoma"/>
            <family val="2"/>
          </rPr>
          <t>&lt;[[TCDeals] - [TC Property Current Stage (Seq: 1)] - [Unit Mix (Seq: 21)] TC Unit Mix Type - Both]&gt;</t>
        </r>
      </text>
    </comment>
    <comment ref="E1020" authorId="0" shapeId="0" xr:uid="{8E8BA958-53FB-4642-AF49-1330DC6805F5}">
      <text>
        <r>
          <rPr>
            <b/>
            <sz val="9"/>
            <color indexed="81"/>
            <rFont val="Tahoma"/>
            <family val="2"/>
          </rPr>
          <t>&lt;[[TCDeals] - [TC Property Current Stage (Seq: 1)] - [Unit Mix (Seq: 21)] Net Rentable Sq Ft - Both]&gt;</t>
        </r>
      </text>
    </comment>
    <comment ref="F1020" authorId="0" shapeId="0" xr:uid="{73C00576-1549-40CE-BA8E-8D848849A111}">
      <text>
        <r>
          <rPr>
            <b/>
            <sz val="9"/>
            <color indexed="81"/>
            <rFont val="Tahoma"/>
            <family val="2"/>
          </rPr>
          <t>&lt;[[TCDeals] - [TC Property Current Stage (Seq: 1)] - [Unit Mix (Seq: 21)] Num Units - Both]&gt;</t>
        </r>
      </text>
    </comment>
    <comment ref="G1020" authorId="0" shapeId="0" xr:uid="{D19B3DD0-84A6-45D8-9322-7EE434762343}">
      <text>
        <r>
          <rPr>
            <b/>
            <sz val="9"/>
            <color indexed="81"/>
            <rFont val="Tahoma"/>
            <family val="2"/>
          </rPr>
          <t>&lt;[[TCDeals] - [TC Property Current Stage (Seq: 1)] - [Unit Mix (Seq: 21)] Monthly Rent Per Unit - Both]&gt;</t>
        </r>
      </text>
    </comment>
    <comment ref="C1021" authorId="1" shapeId="0" xr:uid="{1B8FE23A-5072-40B4-83FE-91F952BF0C4D}">
      <text>
        <r>
          <rPr>
            <b/>
            <sz val="9"/>
            <color indexed="81"/>
            <rFont val="Tahoma"/>
            <family val="2"/>
          </rPr>
          <t>&lt;[[TCDeals] - [TC Property Current Stage (Seq: 1)] - [Unit Mix (Seq: 22)] Income Target - Both]&gt;</t>
        </r>
      </text>
    </comment>
    <comment ref="D1021" authorId="0" shapeId="0" xr:uid="{396C8116-AF8C-4959-9E1F-6A6CFD9511CF}">
      <text>
        <r>
          <rPr>
            <b/>
            <sz val="9"/>
            <color indexed="81"/>
            <rFont val="Tahoma"/>
            <family val="2"/>
          </rPr>
          <t>&lt;[[TCDeals] - [TC Property Current Stage (Seq: 1)] - [Unit Mix (Seq: 22)] TC Unit Mix Type - Both]&gt;</t>
        </r>
      </text>
    </comment>
    <comment ref="E1021" authorId="0" shapeId="0" xr:uid="{EFC693B5-6A5D-4F37-B35E-21A52E191B43}">
      <text>
        <r>
          <rPr>
            <b/>
            <sz val="9"/>
            <color indexed="81"/>
            <rFont val="Tahoma"/>
            <family val="2"/>
          </rPr>
          <t>&lt;[[TCDeals] - [TC Property Current Stage (Seq: 1)] - [Unit Mix (Seq: 22)] Net Rentable Sq Ft - Both]&gt;</t>
        </r>
      </text>
    </comment>
    <comment ref="F1021" authorId="0" shapeId="0" xr:uid="{0DADF8D4-C556-4F94-AEC6-27EC001FCCCD}">
      <text>
        <r>
          <rPr>
            <b/>
            <sz val="9"/>
            <color indexed="81"/>
            <rFont val="Tahoma"/>
            <family val="2"/>
          </rPr>
          <t>&lt;[[TCDeals] - [TC Property Current Stage (Seq: 1)] - [Unit Mix (Seq: 22)] Num Units - Both]&gt;</t>
        </r>
      </text>
    </comment>
    <comment ref="G1021" authorId="0" shapeId="0" xr:uid="{E8C5C9DB-114B-4855-A020-338E957382E7}">
      <text>
        <r>
          <rPr>
            <b/>
            <sz val="9"/>
            <color indexed="81"/>
            <rFont val="Tahoma"/>
            <family val="2"/>
          </rPr>
          <t>&lt;[[TCDeals] - [TC Property Current Stage (Seq: 1)] - [Unit Mix (Seq: 22)] Monthly Rent Per Unit - Both]&gt;</t>
        </r>
      </text>
    </comment>
    <comment ref="C1022" authorId="1" shapeId="0" xr:uid="{6AEA4463-62CB-46A1-8CA1-9396075D8288}">
      <text>
        <r>
          <rPr>
            <b/>
            <sz val="9"/>
            <color indexed="81"/>
            <rFont val="Tahoma"/>
            <family val="2"/>
          </rPr>
          <t>&lt;[[TCDeals] - [TC Property Current Stage (Seq: 1)] - [Unit Mix (Seq: 23)] Income Target - Both]&gt;</t>
        </r>
      </text>
    </comment>
    <comment ref="D1022" authorId="0" shapeId="0" xr:uid="{09E60FD4-8312-4D11-A526-DF230AA9E629}">
      <text>
        <r>
          <rPr>
            <b/>
            <sz val="9"/>
            <color indexed="81"/>
            <rFont val="Tahoma"/>
            <family val="2"/>
          </rPr>
          <t>&lt;[[TCDeals] - [TC Property Current Stage (Seq: 1)] - [Unit Mix (Seq: 23)] TC Unit Mix Type - Both]&gt;</t>
        </r>
      </text>
    </comment>
    <comment ref="E1022" authorId="0" shapeId="0" xr:uid="{D0C60B6F-E665-457C-81FE-814E41C3E844}">
      <text>
        <r>
          <rPr>
            <b/>
            <sz val="9"/>
            <color indexed="81"/>
            <rFont val="Tahoma"/>
            <family val="2"/>
          </rPr>
          <t>&lt;[[TCDeals] - [TC Property Current Stage (Seq: 1)] - [Unit Mix (Seq: 23)] Net Rentable Sq Ft - Both]&gt;</t>
        </r>
      </text>
    </comment>
    <comment ref="F1022" authorId="0" shapeId="0" xr:uid="{F878FD4D-7CC8-44FD-A6CE-3C49708FB806}">
      <text>
        <r>
          <rPr>
            <b/>
            <sz val="9"/>
            <color indexed="81"/>
            <rFont val="Tahoma"/>
            <family val="2"/>
          </rPr>
          <t>&lt;[[TCDeals] - [TC Property Current Stage (Seq: 1)] - [Unit Mix (Seq: 23)] Num Units - Both]&gt;</t>
        </r>
      </text>
    </comment>
    <comment ref="G1022" authorId="0" shapeId="0" xr:uid="{2BEA3330-F702-4FCF-A824-F23170DC136A}">
      <text>
        <r>
          <rPr>
            <b/>
            <sz val="9"/>
            <color indexed="81"/>
            <rFont val="Tahoma"/>
            <family val="2"/>
          </rPr>
          <t>&lt;[[TCDeals] - [TC Property Current Stage (Seq: 1)] - [Unit Mix (Seq: 23)] Monthly Rent Per Unit - Both]&gt;</t>
        </r>
      </text>
    </comment>
    <comment ref="C1023" authorId="1" shapeId="0" xr:uid="{3971B38A-2C5E-4F88-9ABF-793817CDAAA9}">
      <text>
        <r>
          <rPr>
            <b/>
            <sz val="9"/>
            <color indexed="81"/>
            <rFont val="Tahoma"/>
            <family val="2"/>
          </rPr>
          <t>&lt;[[TCDeals] - [TC Property Current Stage (Seq: 1)] - [Unit Mix (Seq: 24)] Income Target - Both]&gt;</t>
        </r>
      </text>
    </comment>
    <comment ref="D1023" authorId="0" shapeId="0" xr:uid="{DE9A8B3E-5E1D-4BC9-B1FF-A302FAAA5A6B}">
      <text>
        <r>
          <rPr>
            <b/>
            <sz val="9"/>
            <color indexed="81"/>
            <rFont val="Tahoma"/>
            <family val="2"/>
          </rPr>
          <t>&lt;[[TCDeals] - [TC Property Current Stage (Seq: 1)] - [Unit Mix (Seq: 24)] TC Unit Mix Type - Both]&gt;</t>
        </r>
      </text>
    </comment>
    <comment ref="E1023" authorId="0" shapeId="0" xr:uid="{F27E8D3B-84D3-4EF3-9FB9-BB8A91D6373E}">
      <text>
        <r>
          <rPr>
            <b/>
            <sz val="9"/>
            <color indexed="81"/>
            <rFont val="Tahoma"/>
            <family val="2"/>
          </rPr>
          <t>&lt;[[TCDeals] - [TC Property Current Stage (Seq: 1)] - [Unit Mix (Seq: 24)] Net Rentable Sq Ft - Both]&gt;</t>
        </r>
      </text>
    </comment>
    <comment ref="F1023" authorId="0" shapeId="0" xr:uid="{7E24EE4A-C62A-4839-BF37-079AED52E216}">
      <text>
        <r>
          <rPr>
            <b/>
            <sz val="9"/>
            <color indexed="81"/>
            <rFont val="Tahoma"/>
            <family val="2"/>
          </rPr>
          <t>&lt;[[TCDeals] - [TC Property Current Stage (Seq: 1)] - [Unit Mix (Seq: 24)] Num Units - Both]&gt;</t>
        </r>
      </text>
    </comment>
    <comment ref="G1023" authorId="0" shapeId="0" xr:uid="{D05576B8-6C04-46E7-AC9E-D15A36B0F37C}">
      <text>
        <r>
          <rPr>
            <b/>
            <sz val="9"/>
            <color indexed="81"/>
            <rFont val="Tahoma"/>
            <family val="2"/>
          </rPr>
          <t>&lt;[[TCDeals] - [TC Property Current Stage (Seq: 1)] - [Unit Mix (Seq: 24)] Monthly Rent Per Unit - Both]&gt;</t>
        </r>
      </text>
    </comment>
    <comment ref="C1024" authorId="1" shapeId="0" xr:uid="{E50A53DF-630E-40C0-AEBB-FB03C1D6F13C}">
      <text>
        <r>
          <rPr>
            <b/>
            <sz val="9"/>
            <color indexed="81"/>
            <rFont val="Tahoma"/>
            <family val="2"/>
          </rPr>
          <t>&lt;[[TCDeals] - [TC Property Current Stage (Seq: 1)] - [Unit Mix (Seq: 25)] Income Target - Both]&gt;</t>
        </r>
      </text>
    </comment>
    <comment ref="D1024" authorId="0" shapeId="0" xr:uid="{1FD94BCF-5C69-47BD-8872-DE8D7EAEB670}">
      <text>
        <r>
          <rPr>
            <b/>
            <sz val="9"/>
            <color indexed="81"/>
            <rFont val="Tahoma"/>
            <family val="2"/>
          </rPr>
          <t>&lt;[[TCDeals] - [TC Property Current Stage (Seq: 1)] - [Unit Mix (Seq: 25)] TC Unit Mix Type - Both]&gt;</t>
        </r>
      </text>
    </comment>
    <comment ref="E1024" authorId="0" shapeId="0" xr:uid="{64080D8D-C11B-4773-8FFE-E14A6C023705}">
      <text>
        <r>
          <rPr>
            <b/>
            <sz val="9"/>
            <color indexed="81"/>
            <rFont val="Tahoma"/>
            <family val="2"/>
          </rPr>
          <t>&lt;[[TCDeals] - [TC Property Current Stage (Seq: 1)] - [Unit Mix (Seq: 25)] Net Rentable Sq Ft - Both]&gt;</t>
        </r>
      </text>
    </comment>
    <comment ref="F1024" authorId="0" shapeId="0" xr:uid="{9DC95D3D-DD25-460D-8420-95D60CEF8B77}">
      <text>
        <r>
          <rPr>
            <b/>
            <sz val="9"/>
            <color indexed="81"/>
            <rFont val="Tahoma"/>
            <family val="2"/>
          </rPr>
          <t>&lt;[[TCDeals] - [TC Property Current Stage (Seq: 1)] - [Unit Mix (Seq: 25)] Num Units - Both]&gt;</t>
        </r>
      </text>
    </comment>
    <comment ref="G1024" authorId="0" shapeId="0" xr:uid="{0DB0F347-ED86-430F-BCB3-2B69EFAE33AA}">
      <text>
        <r>
          <rPr>
            <b/>
            <sz val="9"/>
            <color indexed="81"/>
            <rFont val="Tahoma"/>
            <family val="2"/>
          </rPr>
          <t>&lt;[[TCDeals] - [TC Property Current Stage (Seq: 1)] - [Unit Mix (Seq: 25)] Monthly Rent Per Unit - Both]&gt;</t>
        </r>
      </text>
    </comment>
    <comment ref="C1025" authorId="1" shapeId="0" xr:uid="{0F6F1897-8C6E-4D4F-8AB8-6F1EC836145A}">
      <text>
        <r>
          <rPr>
            <b/>
            <sz val="9"/>
            <color indexed="81"/>
            <rFont val="Tahoma"/>
            <family val="2"/>
          </rPr>
          <t>&lt;[[TCDeals] - [TC Property Current Stage (Seq: 1)] - [Unit Mix (Seq: 26)] Income Target - Both]&gt;</t>
        </r>
      </text>
    </comment>
    <comment ref="D1025" authorId="0" shapeId="0" xr:uid="{3CC56FD2-4994-4A5A-BA56-A6C4E492EBE6}">
      <text>
        <r>
          <rPr>
            <b/>
            <sz val="9"/>
            <color indexed="81"/>
            <rFont val="Tahoma"/>
            <family val="2"/>
          </rPr>
          <t>&lt;[[TCDeals] - [TC Property Current Stage (Seq: 1)] - [Unit Mix (Seq: 26)] TC Unit Mix Type - Both]&gt;</t>
        </r>
      </text>
    </comment>
    <comment ref="E1025" authorId="0" shapeId="0" xr:uid="{4ED90FA9-A9EB-4318-AAF5-7225CC0E813F}">
      <text>
        <r>
          <rPr>
            <b/>
            <sz val="9"/>
            <color indexed="81"/>
            <rFont val="Tahoma"/>
            <family val="2"/>
          </rPr>
          <t>&lt;[[TCDeals] - [TC Property Current Stage (Seq: 1)] - [Unit Mix (Seq: 26)] Net Rentable Sq Ft - Both]&gt;</t>
        </r>
      </text>
    </comment>
    <comment ref="F1025" authorId="0" shapeId="0" xr:uid="{EE2E7403-F0D8-4948-8EEC-C17F2F6F983E}">
      <text>
        <r>
          <rPr>
            <b/>
            <sz val="9"/>
            <color indexed="81"/>
            <rFont val="Tahoma"/>
            <family val="2"/>
          </rPr>
          <t>&lt;[[TCDeals] - [TC Property Current Stage (Seq: 1)] - [Unit Mix (Seq: 26)] Num Units - Both]&gt;</t>
        </r>
      </text>
    </comment>
    <comment ref="G1025" authorId="0" shapeId="0" xr:uid="{644BF3A2-4B4F-4F63-9BF6-690F553ED777}">
      <text>
        <r>
          <rPr>
            <b/>
            <sz val="9"/>
            <color indexed="81"/>
            <rFont val="Tahoma"/>
            <family val="2"/>
          </rPr>
          <t>&lt;[[TCDeals] - [TC Property Current Stage (Seq: 1)] - [Unit Mix (Seq: 26)] Monthly Rent Per Unit - Both]&gt;</t>
        </r>
      </text>
    </comment>
    <comment ref="C1026" authorId="1" shapeId="0" xr:uid="{A50EC029-3455-4D71-9B6B-F90084D9409B}">
      <text>
        <r>
          <rPr>
            <b/>
            <sz val="9"/>
            <color indexed="81"/>
            <rFont val="Tahoma"/>
            <family val="2"/>
          </rPr>
          <t>&lt;[[TCDeals] - [TC Property Current Stage (Seq: 1)] - [Unit Mix (Seq: 27)] Income Target - Both]&gt;</t>
        </r>
      </text>
    </comment>
    <comment ref="D1026" authorId="0" shapeId="0" xr:uid="{45214B7E-8E4B-422D-91D8-F07580F1F996}">
      <text>
        <r>
          <rPr>
            <b/>
            <sz val="9"/>
            <color indexed="81"/>
            <rFont val="Tahoma"/>
            <family val="2"/>
          </rPr>
          <t>&lt;[[TCDeals] - [TC Property Current Stage (Seq: 1)] - [Unit Mix (Seq: 27)] TC Unit Mix Type - Both]&gt;</t>
        </r>
      </text>
    </comment>
    <comment ref="E1026" authorId="0" shapeId="0" xr:uid="{86EBA308-DA4C-44DE-A760-0B38E59BEA3C}">
      <text>
        <r>
          <rPr>
            <b/>
            <sz val="9"/>
            <color indexed="81"/>
            <rFont val="Tahoma"/>
            <family val="2"/>
          </rPr>
          <t>&lt;[[TCDeals] - [TC Property Current Stage (Seq: 1)] - [Unit Mix (Seq: 27)] Net Rentable Sq Ft - Both]&gt;</t>
        </r>
      </text>
    </comment>
    <comment ref="F1026" authorId="0" shapeId="0" xr:uid="{B4544C59-CD3C-4A3F-A020-E90A1B92C52F}">
      <text>
        <r>
          <rPr>
            <b/>
            <sz val="9"/>
            <color indexed="81"/>
            <rFont val="Tahoma"/>
            <family val="2"/>
          </rPr>
          <t>&lt;[[TCDeals] - [TC Property Current Stage (Seq: 1)] - [Unit Mix (Seq: 27)] Num Units - Both]&gt;</t>
        </r>
      </text>
    </comment>
    <comment ref="G1026" authorId="0" shapeId="0" xr:uid="{163E92CB-B82E-45E9-B7B1-5C8984E6E3C9}">
      <text>
        <r>
          <rPr>
            <b/>
            <sz val="9"/>
            <color indexed="81"/>
            <rFont val="Tahoma"/>
            <family val="2"/>
          </rPr>
          <t>&lt;[[TCDeals] - [TC Property Current Stage (Seq: 1)] - [Unit Mix (Seq: 27)] Monthly Rent Per Unit - Both]&gt;</t>
        </r>
      </text>
    </comment>
    <comment ref="C1027" authorId="1" shapeId="0" xr:uid="{D081E79F-776E-4029-87DC-050ECE97649F}">
      <text>
        <r>
          <rPr>
            <b/>
            <sz val="9"/>
            <color indexed="81"/>
            <rFont val="Tahoma"/>
            <family val="2"/>
          </rPr>
          <t>&lt;[[TCDeals] - [TC Property Current Stage (Seq: 1)] - [Unit Mix (Seq: 28)] Income Target - Both]&gt;</t>
        </r>
      </text>
    </comment>
    <comment ref="D1027" authorId="0" shapeId="0" xr:uid="{E7AF1A37-DCAE-4E57-ACC3-B4F1EB49BC80}">
      <text>
        <r>
          <rPr>
            <b/>
            <sz val="9"/>
            <color indexed="81"/>
            <rFont val="Tahoma"/>
            <family val="2"/>
          </rPr>
          <t>&lt;[[TCDeals] - [TC Property Current Stage (Seq: 1)] - [Unit Mix (Seq: 28)] TC Unit Mix Type - Both]&gt;</t>
        </r>
      </text>
    </comment>
    <comment ref="E1027" authorId="0" shapeId="0" xr:uid="{A0060B2C-ACFD-4DBF-8B0D-CABC0301605E}">
      <text>
        <r>
          <rPr>
            <b/>
            <sz val="9"/>
            <color indexed="81"/>
            <rFont val="Tahoma"/>
            <family val="2"/>
          </rPr>
          <t>&lt;[[TCDeals] - [TC Property Current Stage (Seq: 1)] - [Unit Mix (Seq: 28)] Net Rentable Sq Ft - Both]&gt;</t>
        </r>
      </text>
    </comment>
    <comment ref="F1027" authorId="0" shapeId="0" xr:uid="{4A75E897-CAD3-4284-89DA-3AD0DCBE2367}">
      <text>
        <r>
          <rPr>
            <b/>
            <sz val="9"/>
            <color indexed="81"/>
            <rFont val="Tahoma"/>
            <family val="2"/>
          </rPr>
          <t>&lt;[[TCDeals] - [TC Property Current Stage (Seq: 1)] - [Unit Mix (Seq: 28)] Num Units - Both]&gt;</t>
        </r>
      </text>
    </comment>
    <comment ref="G1027" authorId="0" shapeId="0" xr:uid="{9030DB64-30F7-4230-94A5-DE505B617876}">
      <text>
        <r>
          <rPr>
            <b/>
            <sz val="9"/>
            <color indexed="81"/>
            <rFont val="Tahoma"/>
            <family val="2"/>
          </rPr>
          <t>&lt;[[TCDeals] - [TC Property Current Stage (Seq: 1)] - [Unit Mix (Seq: 28)] Monthly Rent Per Unit - Both]&gt;</t>
        </r>
      </text>
    </comment>
    <comment ref="C1028" authorId="1" shapeId="0" xr:uid="{BD8CFE54-0E4E-4E79-9A43-1258E545FC42}">
      <text>
        <r>
          <rPr>
            <b/>
            <sz val="9"/>
            <color indexed="81"/>
            <rFont val="Tahoma"/>
            <family val="2"/>
          </rPr>
          <t>&lt;[[TCDeals] - [TC Property Current Stage (Seq: 1)] - [Unit Mix (Seq: 29)] Income Target - Both]&gt;</t>
        </r>
      </text>
    </comment>
    <comment ref="D1028" authorId="0" shapeId="0" xr:uid="{B3CC63D9-7BBF-4BCA-877F-6DA37198442F}">
      <text>
        <r>
          <rPr>
            <b/>
            <sz val="9"/>
            <color indexed="81"/>
            <rFont val="Tahoma"/>
            <family val="2"/>
          </rPr>
          <t>&lt;[[TCDeals] - [TC Property Current Stage (Seq: 1)] - [Unit Mix (Seq: 29)] TC Unit Mix Type - Both]&gt;</t>
        </r>
      </text>
    </comment>
    <comment ref="E1028" authorId="0" shapeId="0" xr:uid="{2B86996D-B4A3-474E-9C99-3C478F58F32B}">
      <text>
        <r>
          <rPr>
            <b/>
            <sz val="9"/>
            <color indexed="81"/>
            <rFont val="Tahoma"/>
            <family val="2"/>
          </rPr>
          <t>&lt;[[TCDeals] - [TC Property Current Stage (Seq: 1)] - [Unit Mix (Seq: 29)] Net Rentable Sq Ft - Both]&gt;</t>
        </r>
      </text>
    </comment>
    <comment ref="F1028" authorId="0" shapeId="0" xr:uid="{DE700198-BC56-4722-87D0-987E50C861A1}">
      <text>
        <r>
          <rPr>
            <b/>
            <sz val="9"/>
            <color indexed="81"/>
            <rFont val="Tahoma"/>
            <family val="2"/>
          </rPr>
          <t>&lt;[[TCDeals] - [TC Property Current Stage (Seq: 1)] - [Unit Mix (Seq: 29)] Num Units - Both]&gt;</t>
        </r>
      </text>
    </comment>
    <comment ref="G1028" authorId="0" shapeId="0" xr:uid="{0B141E21-DD1D-4861-B3C9-54F390B47170}">
      <text>
        <r>
          <rPr>
            <b/>
            <sz val="9"/>
            <color indexed="81"/>
            <rFont val="Tahoma"/>
            <family val="2"/>
          </rPr>
          <t>&lt;[[TCDeals] - [TC Property Current Stage (Seq: 1)] - [Unit Mix (Seq: 29)] Monthly Rent Per Unit - Both]&gt;</t>
        </r>
      </text>
    </comment>
    <comment ref="C1029" authorId="1" shapeId="0" xr:uid="{13C58A60-33AA-4991-9BE7-B4CC5503B8E7}">
      <text>
        <r>
          <rPr>
            <b/>
            <sz val="9"/>
            <color indexed="81"/>
            <rFont val="Tahoma"/>
            <family val="2"/>
          </rPr>
          <t>&lt;[[TCDeals] - [TC Property Current Stage (Seq: 1)] - [Unit Mix (Seq: 30)] Income Target - Both]&gt;</t>
        </r>
      </text>
    </comment>
    <comment ref="D1029" authorId="0" shapeId="0" xr:uid="{3F9A89D9-BC8B-4562-A1F7-84C21DBE8632}">
      <text>
        <r>
          <rPr>
            <b/>
            <sz val="9"/>
            <color indexed="81"/>
            <rFont val="Tahoma"/>
            <family val="2"/>
          </rPr>
          <t>&lt;[[TCDeals] - [TC Property Current Stage (Seq: 1)] - [Unit Mix (Seq: 30)] TC Unit Mix Type - Both]&gt;</t>
        </r>
      </text>
    </comment>
    <comment ref="E1029" authorId="0" shapeId="0" xr:uid="{115BC535-AEF6-47F6-AC4B-9BE6173D0E46}">
      <text>
        <r>
          <rPr>
            <b/>
            <sz val="9"/>
            <color indexed="81"/>
            <rFont val="Tahoma"/>
            <family val="2"/>
          </rPr>
          <t>&lt;[[TCDeals] - [TC Property Current Stage (Seq: 1)] - [Unit Mix (Seq: 30)] Net Rentable Sq Ft - Both]&gt;</t>
        </r>
      </text>
    </comment>
    <comment ref="F1029" authorId="0" shapeId="0" xr:uid="{B188BA81-EC79-4AA2-8A61-4CDDDE5678A6}">
      <text>
        <r>
          <rPr>
            <b/>
            <sz val="9"/>
            <color indexed="81"/>
            <rFont val="Tahoma"/>
            <family val="2"/>
          </rPr>
          <t>&lt;[[TCDeals] - [TC Property Current Stage (Seq: 1)] - [Unit Mix (Seq: 30)] Num Units - Both]&gt;</t>
        </r>
      </text>
    </comment>
    <comment ref="G1029" authorId="0" shapeId="0" xr:uid="{D57F9CF0-A027-4DA0-BAD9-31D20220B379}">
      <text>
        <r>
          <rPr>
            <b/>
            <sz val="9"/>
            <color indexed="81"/>
            <rFont val="Tahoma"/>
            <family val="2"/>
          </rPr>
          <t>&lt;[[TCDeals] - [TC Property Current Stage (Seq: 1)] - [Unit Mix (Seq: 30)] Monthly Rent Per Unit - Both]&gt;</t>
        </r>
      </text>
    </comment>
    <comment ref="C1030" authorId="1" shapeId="0" xr:uid="{C9A9492A-537E-4D2F-BEEF-23A0E3A100E9}">
      <text>
        <r>
          <rPr>
            <b/>
            <sz val="9"/>
            <color indexed="81"/>
            <rFont val="Tahoma"/>
            <family val="2"/>
          </rPr>
          <t>&lt;[[TCDeals] - [TC Property Current Stage (Seq: 1)] - [Unit Mix (Seq: 31)] Income Target - Both]&gt;</t>
        </r>
      </text>
    </comment>
    <comment ref="D1030" authorId="0" shapeId="0" xr:uid="{52B954AB-E3FB-4D56-AF48-020F9CD4AE19}">
      <text>
        <r>
          <rPr>
            <b/>
            <sz val="9"/>
            <color indexed="81"/>
            <rFont val="Tahoma"/>
            <family val="2"/>
          </rPr>
          <t>&lt;[[TCDeals] - [TC Property Current Stage (Seq: 1)] - [Unit Mix (Seq: 31)] TC Unit Mix Type - Both]&gt;</t>
        </r>
      </text>
    </comment>
    <comment ref="E1030" authorId="0" shapeId="0" xr:uid="{0D604461-99CE-493F-9572-DAFB567C3BE8}">
      <text>
        <r>
          <rPr>
            <b/>
            <sz val="9"/>
            <color indexed="81"/>
            <rFont val="Tahoma"/>
            <family val="2"/>
          </rPr>
          <t>&lt;[[TCDeals] - [TC Property Current Stage (Seq: 1)] - [Unit Mix (Seq: 31)] Net Rentable Sq Ft - Both]&gt;</t>
        </r>
      </text>
    </comment>
    <comment ref="F1030" authorId="0" shapeId="0" xr:uid="{06F4B48F-CE04-4A87-B0CE-B8387E2ACF9B}">
      <text>
        <r>
          <rPr>
            <b/>
            <sz val="9"/>
            <color indexed="81"/>
            <rFont val="Tahoma"/>
            <family val="2"/>
          </rPr>
          <t>&lt;[[TCDeals] - [TC Property Current Stage (Seq: 1)] - [Unit Mix (Seq: 31)] Num Units - Both]&gt;</t>
        </r>
      </text>
    </comment>
    <comment ref="G1030" authorId="0" shapeId="0" xr:uid="{FF3350FF-A02D-4544-A891-36A6105C8EA8}">
      <text>
        <r>
          <rPr>
            <b/>
            <sz val="9"/>
            <color indexed="81"/>
            <rFont val="Tahoma"/>
            <family val="2"/>
          </rPr>
          <t>&lt;[[TCDeals] - [TC Property Current Stage (Seq: 1)] - [Unit Mix (Seq: 31)] Monthly Rent Per Unit - Both]&gt;</t>
        </r>
      </text>
    </comment>
    <comment ref="C1031" authorId="1" shapeId="0" xr:uid="{BD9B9727-1DB2-4669-9B83-CD9240CF12E9}">
      <text>
        <r>
          <rPr>
            <b/>
            <sz val="9"/>
            <color indexed="81"/>
            <rFont val="Tahoma"/>
            <family val="2"/>
          </rPr>
          <t>&lt;[[TCDeals] - [TC Property Current Stage (Seq: 1)] - [Unit Mix (Seq: 32)] Income Target - Both]&gt;</t>
        </r>
      </text>
    </comment>
    <comment ref="D1031" authorId="0" shapeId="0" xr:uid="{83C68F34-99A0-4813-913C-D0B4175656C8}">
      <text>
        <r>
          <rPr>
            <b/>
            <sz val="9"/>
            <color indexed="81"/>
            <rFont val="Tahoma"/>
            <family val="2"/>
          </rPr>
          <t>&lt;[[TCDeals] - [TC Property Current Stage (Seq: 1)] - [Unit Mix (Seq: 32)] TC Unit Mix Type - Both]&gt;</t>
        </r>
      </text>
    </comment>
    <comment ref="E1031" authorId="0" shapeId="0" xr:uid="{E6162881-789B-4A09-8204-B6CAFA88F904}">
      <text>
        <r>
          <rPr>
            <b/>
            <sz val="9"/>
            <color indexed="81"/>
            <rFont val="Tahoma"/>
            <family val="2"/>
          </rPr>
          <t>&lt;[[TCDeals] - [TC Property Current Stage (Seq: 1)] - [Unit Mix (Seq: 32)] Net Rentable Sq Ft - Both]&gt;</t>
        </r>
      </text>
    </comment>
    <comment ref="F1031" authorId="0" shapeId="0" xr:uid="{E0BBFCCE-79CB-4B4E-A18A-A553F5D37318}">
      <text>
        <r>
          <rPr>
            <b/>
            <sz val="9"/>
            <color indexed="81"/>
            <rFont val="Tahoma"/>
            <family val="2"/>
          </rPr>
          <t>&lt;[[TCDeals] - [TC Property Current Stage (Seq: 1)] - [Unit Mix (Seq: 32)] Num Units - Both]&gt;</t>
        </r>
      </text>
    </comment>
    <comment ref="G1031" authorId="0" shapeId="0" xr:uid="{87ACC915-BB87-4D5E-8DD2-0AE7D2FBAB64}">
      <text>
        <r>
          <rPr>
            <b/>
            <sz val="9"/>
            <color indexed="81"/>
            <rFont val="Tahoma"/>
            <family val="2"/>
          </rPr>
          <t>&lt;[[TCDeals] - [TC Property Current Stage (Seq: 1)] - [Unit Mix (Seq: 32)] Monthly Rent Per Unit - Both]&gt;</t>
        </r>
      </text>
    </comment>
    <comment ref="C1032" authorId="1" shapeId="0" xr:uid="{D138EE93-1806-4FD1-B524-0916BF9CC4D9}">
      <text>
        <r>
          <rPr>
            <b/>
            <sz val="9"/>
            <color indexed="81"/>
            <rFont val="Tahoma"/>
            <family val="2"/>
          </rPr>
          <t>&lt;[[TCDeals] - [TC Property Current Stage (Seq: 1)] - [Unit Mix (Seq: 33)] Income Target - Both]&gt;</t>
        </r>
      </text>
    </comment>
    <comment ref="D1032" authorId="0" shapeId="0" xr:uid="{8B8FE8E9-B101-4729-B9E5-C47FE46E0A21}">
      <text>
        <r>
          <rPr>
            <b/>
            <sz val="9"/>
            <color indexed="81"/>
            <rFont val="Tahoma"/>
            <family val="2"/>
          </rPr>
          <t>&lt;[[TCDeals] - [TC Property Current Stage (Seq: 1)] - [Unit Mix (Seq: 33)] TC Unit Mix Type - Both]&gt;</t>
        </r>
      </text>
    </comment>
    <comment ref="E1032" authorId="0" shapeId="0" xr:uid="{E7E310B8-0A47-4954-BCE6-D0C31F4CC047}">
      <text>
        <r>
          <rPr>
            <b/>
            <sz val="9"/>
            <color indexed="81"/>
            <rFont val="Tahoma"/>
            <family val="2"/>
          </rPr>
          <t>&lt;[[TCDeals] - [TC Property Current Stage (Seq: 1)] - [Unit Mix (Seq: 33)] Net Rentable Sq Ft - Both]&gt;</t>
        </r>
      </text>
    </comment>
    <comment ref="F1032" authorId="0" shapeId="0" xr:uid="{5609631D-3FDA-4B4C-9CCE-4821B570B502}">
      <text>
        <r>
          <rPr>
            <b/>
            <sz val="9"/>
            <color indexed="81"/>
            <rFont val="Tahoma"/>
            <family val="2"/>
          </rPr>
          <t>&lt;[[TCDeals] - [TC Property Current Stage (Seq: 1)] - [Unit Mix (Seq: 33)] Num Units - Both]&gt;</t>
        </r>
      </text>
    </comment>
    <comment ref="G1032" authorId="0" shapeId="0" xr:uid="{71069168-26CB-4F92-9F19-B8878F97951F}">
      <text>
        <r>
          <rPr>
            <b/>
            <sz val="9"/>
            <color indexed="81"/>
            <rFont val="Tahoma"/>
            <family val="2"/>
          </rPr>
          <t>&lt;[[TCDeals] - [TC Property Current Stage (Seq: 1)] - [Unit Mix (Seq: 33)] Monthly Rent Per Unit - Both]&gt;</t>
        </r>
      </text>
    </comment>
    <comment ref="C1033" authorId="1" shapeId="0" xr:uid="{C54F859D-D02F-44CF-8312-C3AFF01A0334}">
      <text>
        <r>
          <rPr>
            <b/>
            <sz val="9"/>
            <color indexed="81"/>
            <rFont val="Tahoma"/>
            <family val="2"/>
          </rPr>
          <t>&lt;[[TCDeals] - [TC Property Current Stage (Seq: 1)] - [Unit Mix (Seq: 34)] Income Target - Both]&gt;</t>
        </r>
      </text>
    </comment>
    <comment ref="D1033" authorId="0" shapeId="0" xr:uid="{10F92BF7-8AB2-42BA-B5BE-2F246BE4D089}">
      <text>
        <r>
          <rPr>
            <b/>
            <sz val="9"/>
            <color indexed="81"/>
            <rFont val="Tahoma"/>
            <family val="2"/>
          </rPr>
          <t>&lt;[[TCDeals] - [TC Property Current Stage (Seq: 1)] - [Unit Mix (Seq: 34)] TC Unit Mix Type - Both]&gt;</t>
        </r>
      </text>
    </comment>
    <comment ref="E1033" authorId="0" shapeId="0" xr:uid="{F9C92992-9082-45E6-9E5B-6DD227ABC5C2}">
      <text>
        <r>
          <rPr>
            <b/>
            <sz val="9"/>
            <color indexed="81"/>
            <rFont val="Tahoma"/>
            <family val="2"/>
          </rPr>
          <t>&lt;[[TCDeals] - [TC Property Current Stage (Seq: 1)] - [Unit Mix (Seq: 34)] Net Rentable Sq Ft - Both]&gt;</t>
        </r>
      </text>
    </comment>
    <comment ref="F1033" authorId="0" shapeId="0" xr:uid="{C4A3AC05-A78B-4F05-BD29-B3CF5ACBF47A}">
      <text>
        <r>
          <rPr>
            <b/>
            <sz val="9"/>
            <color indexed="81"/>
            <rFont val="Tahoma"/>
            <family val="2"/>
          </rPr>
          <t>&lt;[[TCDeals] - [TC Property Current Stage (Seq: 1)] - [Unit Mix (Seq: 34)] Num Units - Both]&gt;</t>
        </r>
      </text>
    </comment>
    <comment ref="G1033" authorId="0" shapeId="0" xr:uid="{0B386845-34CB-4D72-9FF7-4B6414358F23}">
      <text>
        <r>
          <rPr>
            <b/>
            <sz val="9"/>
            <color indexed="81"/>
            <rFont val="Tahoma"/>
            <family val="2"/>
          </rPr>
          <t>&lt;[[TCDeals] - [TC Property Current Stage (Seq: 1)] - [Unit Mix (Seq: 34)] Monthly Rent Per Unit - Both]&gt;</t>
        </r>
      </text>
    </comment>
    <comment ref="C1034" authorId="1" shapeId="0" xr:uid="{93CB0B9D-9C39-4766-B687-6647EAB818E9}">
      <text>
        <r>
          <rPr>
            <b/>
            <sz val="9"/>
            <color indexed="81"/>
            <rFont val="Tahoma"/>
            <family val="2"/>
          </rPr>
          <t>&lt;[[TCDeals] - [TC Property Current Stage (Seq: 1)] - [Unit Mix (Seq: 35)] Income Target - Both]&gt;</t>
        </r>
      </text>
    </comment>
    <comment ref="D1034" authorId="0" shapeId="0" xr:uid="{91BE9B95-6AE3-4758-989C-A0B3CA403BD3}">
      <text>
        <r>
          <rPr>
            <b/>
            <sz val="9"/>
            <color indexed="81"/>
            <rFont val="Tahoma"/>
            <family val="2"/>
          </rPr>
          <t>&lt;[[TCDeals] - [TC Property Current Stage (Seq: 1)] - [Unit Mix (Seq: 35)] TC Unit Mix Type - Both]&gt;</t>
        </r>
      </text>
    </comment>
    <comment ref="E1034" authorId="0" shapeId="0" xr:uid="{A6892CCD-C245-4630-A1F5-33028CC5C8E3}">
      <text>
        <r>
          <rPr>
            <b/>
            <sz val="9"/>
            <color indexed="81"/>
            <rFont val="Tahoma"/>
            <family val="2"/>
          </rPr>
          <t>&lt;[[TCDeals] - [TC Property Current Stage (Seq: 1)] - [Unit Mix (Seq: 35)] Net Rentable Sq Ft - Both]&gt;</t>
        </r>
      </text>
    </comment>
    <comment ref="F1034" authorId="0" shapeId="0" xr:uid="{1F940ECE-3D61-4B7A-842A-11330BDA5220}">
      <text>
        <r>
          <rPr>
            <b/>
            <sz val="9"/>
            <color indexed="81"/>
            <rFont val="Tahoma"/>
            <family val="2"/>
          </rPr>
          <t>&lt;[[TCDeals] - [TC Property Current Stage (Seq: 1)] - [Unit Mix (Seq: 35)] Num Units - Both]&gt;</t>
        </r>
      </text>
    </comment>
    <comment ref="G1034" authorId="0" shapeId="0" xr:uid="{8B8A9478-5DD2-400C-8919-5B4137079BE0}">
      <text>
        <r>
          <rPr>
            <b/>
            <sz val="9"/>
            <color indexed="81"/>
            <rFont val="Tahoma"/>
            <family val="2"/>
          </rPr>
          <t>&lt;[[TCDeals] - [TC Property Current Stage (Seq: 1)] - [Unit Mix (Seq: 35)] Monthly Rent Per Unit - Both]&gt;</t>
        </r>
      </text>
    </comment>
    <comment ref="C1035" authorId="1" shapeId="0" xr:uid="{9D40D1FB-4011-4D0F-9EAB-5532C661D96A}">
      <text>
        <r>
          <rPr>
            <b/>
            <sz val="9"/>
            <color indexed="81"/>
            <rFont val="Tahoma"/>
            <family val="2"/>
          </rPr>
          <t>&lt;[[TCDeals] - [TC Property Current Stage (Seq: 1)] - [Unit Mix (Seq: 36)] Income Target - Both]&gt;</t>
        </r>
      </text>
    </comment>
    <comment ref="D1035" authorId="0" shapeId="0" xr:uid="{8361417F-74DD-49D8-A48E-866C39F55F50}">
      <text>
        <r>
          <rPr>
            <b/>
            <sz val="9"/>
            <color indexed="81"/>
            <rFont val="Tahoma"/>
            <family val="2"/>
          </rPr>
          <t>&lt;[[TCDeals] - [TC Property Current Stage (Seq: 1)] - [Unit Mix (Seq: 36)] TC Unit Mix Type - Both]&gt;</t>
        </r>
      </text>
    </comment>
    <comment ref="E1035" authorId="0" shapeId="0" xr:uid="{17048A7C-2016-46C5-BCEA-FF05B3F36977}">
      <text>
        <r>
          <rPr>
            <b/>
            <sz val="9"/>
            <color indexed="81"/>
            <rFont val="Tahoma"/>
            <family val="2"/>
          </rPr>
          <t>&lt;[[TCDeals] - [TC Property Current Stage (Seq: 1)] - [Unit Mix (Seq: 36)] Net Rentable Sq Ft - Both]&gt;</t>
        </r>
      </text>
    </comment>
    <comment ref="F1035" authorId="0" shapeId="0" xr:uid="{94011A03-12E6-4077-9B2C-CA987AAE8E85}">
      <text>
        <r>
          <rPr>
            <b/>
            <sz val="9"/>
            <color indexed="81"/>
            <rFont val="Tahoma"/>
            <family val="2"/>
          </rPr>
          <t>&lt;[[TCDeals] - [TC Property Current Stage (Seq: 1)] - [Unit Mix (Seq: 36)] Num Units - Both]&gt;</t>
        </r>
      </text>
    </comment>
    <comment ref="G1035" authorId="0" shapeId="0" xr:uid="{68F84953-CEB4-4C29-8E77-B8EF431CDB45}">
      <text>
        <r>
          <rPr>
            <b/>
            <sz val="9"/>
            <color indexed="81"/>
            <rFont val="Tahoma"/>
            <family val="2"/>
          </rPr>
          <t>&lt;[[TCDeals] - [TC Property Current Stage (Seq: 1)] - [Unit Mix (Seq: 36)] Monthly Rent Per Unit - Both]&gt;</t>
        </r>
      </text>
    </comment>
    <comment ref="C1036" authorId="1" shapeId="0" xr:uid="{3AAB8785-8CEB-4E4D-92BB-79428536C509}">
      <text>
        <r>
          <rPr>
            <b/>
            <sz val="9"/>
            <color indexed="81"/>
            <rFont val="Tahoma"/>
            <family val="2"/>
          </rPr>
          <t>&lt;[[TCDeals] - [TC Property Current Stage (Seq: 1)] - [Unit Mix (Seq: 37)] Income Target - Both]&gt;</t>
        </r>
      </text>
    </comment>
    <comment ref="D1036" authorId="0" shapeId="0" xr:uid="{4C84DEB7-4438-4ED7-8DE7-3A08DD268C09}">
      <text>
        <r>
          <rPr>
            <b/>
            <sz val="9"/>
            <color indexed="81"/>
            <rFont val="Tahoma"/>
            <family val="2"/>
          </rPr>
          <t>&lt;[[TCDeals] - [TC Property Current Stage (Seq: 1)] - [Unit Mix (Seq: 37)] TC Unit Mix Type - Both]&gt;</t>
        </r>
      </text>
    </comment>
    <comment ref="E1036" authorId="0" shapeId="0" xr:uid="{18F3131D-3C95-42D1-893C-7DEF769A721B}">
      <text>
        <r>
          <rPr>
            <b/>
            <sz val="9"/>
            <color indexed="81"/>
            <rFont val="Tahoma"/>
            <family val="2"/>
          </rPr>
          <t>&lt;[[TCDeals] - [TC Property Current Stage (Seq: 1)] - [Unit Mix (Seq: 37)] Net Rentable Sq Ft - Both]&gt;</t>
        </r>
      </text>
    </comment>
    <comment ref="F1036" authorId="0" shapeId="0" xr:uid="{4AA31C38-70C2-400C-AB9D-159FD70057A9}">
      <text>
        <r>
          <rPr>
            <b/>
            <sz val="9"/>
            <color indexed="81"/>
            <rFont val="Tahoma"/>
            <family val="2"/>
          </rPr>
          <t>&lt;[[TCDeals] - [TC Property Current Stage (Seq: 1)] - [Unit Mix (Seq: 37)] Num Units - Both]&gt;</t>
        </r>
      </text>
    </comment>
    <comment ref="G1036" authorId="0" shapeId="0" xr:uid="{CA7044FE-47A9-4A39-BAA5-FEF2DBAB87F8}">
      <text>
        <r>
          <rPr>
            <b/>
            <sz val="9"/>
            <color indexed="81"/>
            <rFont val="Tahoma"/>
            <family val="2"/>
          </rPr>
          <t>&lt;[[TCDeals] - [TC Property Current Stage (Seq: 1)] - [Unit Mix (Seq: 37)] Monthly Rent Per Unit - Both]&gt;</t>
        </r>
      </text>
    </comment>
    <comment ref="C1037" authorId="1" shapeId="0" xr:uid="{530DAD3D-CE86-4E57-A369-9BD6B7012041}">
      <text>
        <r>
          <rPr>
            <b/>
            <sz val="9"/>
            <color indexed="81"/>
            <rFont val="Tahoma"/>
            <family val="2"/>
          </rPr>
          <t>&lt;[[TCDeals] - [TC Property Current Stage (Seq: 1)] - [Unit Mix (Seq: 38)] Income Target - Both]&gt;</t>
        </r>
      </text>
    </comment>
    <comment ref="D1037" authorId="0" shapeId="0" xr:uid="{E8738C8E-C15F-41D5-9DED-77F4080EA678}">
      <text>
        <r>
          <rPr>
            <b/>
            <sz val="9"/>
            <color indexed="81"/>
            <rFont val="Tahoma"/>
            <family val="2"/>
          </rPr>
          <t>&lt;[[TCDeals] - [TC Property Current Stage (Seq: 1)] - [Unit Mix (Seq: 38)] TC Unit Mix Type - Both]&gt;</t>
        </r>
      </text>
    </comment>
    <comment ref="E1037" authorId="0" shapeId="0" xr:uid="{B0AE58BC-E27D-4619-A086-413109060862}">
      <text>
        <r>
          <rPr>
            <b/>
            <sz val="9"/>
            <color indexed="81"/>
            <rFont val="Tahoma"/>
            <family val="2"/>
          </rPr>
          <t>&lt;[[TCDeals] - [TC Property Current Stage (Seq: 1)] - [Unit Mix (Seq: 38)] Net Rentable Sq Ft - Both]&gt;</t>
        </r>
      </text>
    </comment>
    <comment ref="F1037" authorId="0" shapeId="0" xr:uid="{9B26E713-CEBB-468B-AF56-F198CDD71FF6}">
      <text>
        <r>
          <rPr>
            <b/>
            <sz val="9"/>
            <color indexed="81"/>
            <rFont val="Tahoma"/>
            <family val="2"/>
          </rPr>
          <t>&lt;[[TCDeals] - [TC Property Current Stage (Seq: 1)] - [Unit Mix (Seq: 38)] Num Units - Both]&gt;</t>
        </r>
      </text>
    </comment>
    <comment ref="G1037" authorId="0" shapeId="0" xr:uid="{480ACC55-55B3-4322-9816-F01BC1DE2295}">
      <text>
        <r>
          <rPr>
            <b/>
            <sz val="9"/>
            <color indexed="81"/>
            <rFont val="Tahoma"/>
            <family val="2"/>
          </rPr>
          <t>&lt;[[TCDeals] - [TC Property Current Stage (Seq: 1)] - [Unit Mix (Seq: 38)] Monthly Rent Per Unit - Both]&gt;</t>
        </r>
      </text>
    </comment>
    <comment ref="C1038" authorId="1" shapeId="0" xr:uid="{E4C14A76-AE88-415A-BCCF-FEE0233D2B25}">
      <text>
        <r>
          <rPr>
            <b/>
            <sz val="9"/>
            <color indexed="81"/>
            <rFont val="Tahoma"/>
            <family val="2"/>
          </rPr>
          <t>&lt;[[TCDeals] - [TC Property Current Stage (Seq: 1)] - [Unit Mix (Seq: 39)] Income Target - Both]&gt;</t>
        </r>
      </text>
    </comment>
    <comment ref="D1038" authorId="0" shapeId="0" xr:uid="{5A85B05C-F7C0-45FD-AEAB-DE25BD415F95}">
      <text>
        <r>
          <rPr>
            <b/>
            <sz val="9"/>
            <color indexed="81"/>
            <rFont val="Tahoma"/>
            <family val="2"/>
          </rPr>
          <t>&lt;[[TCDeals] - [TC Property Current Stage (Seq: 1)] - [Unit Mix (Seq: 39)] TC Unit Mix Type - Both]&gt;</t>
        </r>
      </text>
    </comment>
    <comment ref="E1038" authorId="0" shapeId="0" xr:uid="{4B671770-B9BE-4D89-BFCC-869AA6ADB55A}">
      <text>
        <r>
          <rPr>
            <b/>
            <sz val="9"/>
            <color indexed="81"/>
            <rFont val="Tahoma"/>
            <family val="2"/>
          </rPr>
          <t>&lt;[[TCDeals] - [TC Property Current Stage (Seq: 1)] - [Unit Mix (Seq: 39)] Net Rentable Sq Ft - Both]&gt;</t>
        </r>
      </text>
    </comment>
    <comment ref="F1038" authorId="0" shapeId="0" xr:uid="{DEF3B011-8D8C-4D6A-88A1-0F991D423784}">
      <text>
        <r>
          <rPr>
            <b/>
            <sz val="9"/>
            <color indexed="81"/>
            <rFont val="Tahoma"/>
            <family val="2"/>
          </rPr>
          <t>&lt;[[TCDeals] - [TC Property Current Stage (Seq: 1)] - [Unit Mix (Seq: 39)] Num Units - Both]&gt;</t>
        </r>
      </text>
    </comment>
    <comment ref="G1038" authorId="0" shapeId="0" xr:uid="{455A1769-69DA-4C78-B782-C1DAA2130B7A}">
      <text>
        <r>
          <rPr>
            <b/>
            <sz val="9"/>
            <color indexed="81"/>
            <rFont val="Tahoma"/>
            <family val="2"/>
          </rPr>
          <t>&lt;[[TCDeals] - [TC Property Current Stage (Seq: 1)] - [Unit Mix (Seq: 39)] Monthly Rent Per Unit - Both]&gt;</t>
        </r>
      </text>
    </comment>
    <comment ref="C1039" authorId="1" shapeId="0" xr:uid="{FE8F182D-E1A1-4988-8A6C-2C48FF48D9D7}">
      <text>
        <r>
          <rPr>
            <b/>
            <sz val="9"/>
            <color indexed="81"/>
            <rFont val="Tahoma"/>
            <family val="2"/>
          </rPr>
          <t>&lt;[[TCDeals] - [TC Property Current Stage (Seq: 1)] - [Unit Mix (Seq: 40)] Income Target - Both]&gt;</t>
        </r>
      </text>
    </comment>
    <comment ref="D1039" authorId="0" shapeId="0" xr:uid="{AE0E3E1F-882C-41BB-BF37-14BBEB3679B7}">
      <text>
        <r>
          <rPr>
            <b/>
            <sz val="9"/>
            <color indexed="81"/>
            <rFont val="Tahoma"/>
            <family val="2"/>
          </rPr>
          <t>&lt;[[TCDeals] - [TC Property Current Stage (Seq: 1)] - [Unit Mix (Seq: 40)] TC Unit Mix Type - Both]&gt;</t>
        </r>
      </text>
    </comment>
    <comment ref="E1039" authorId="0" shapeId="0" xr:uid="{5B7D2646-5307-4DC7-8035-B8F349A46D9B}">
      <text>
        <r>
          <rPr>
            <b/>
            <sz val="9"/>
            <color indexed="81"/>
            <rFont val="Tahoma"/>
            <family val="2"/>
          </rPr>
          <t>&lt;[[TCDeals] - [TC Property Current Stage (Seq: 1)] - [Unit Mix (Seq: 40)] Net Rentable Sq Ft - Both]&gt;</t>
        </r>
      </text>
    </comment>
    <comment ref="F1039" authorId="0" shapeId="0" xr:uid="{1502399C-2DE2-43A2-9EC4-78579BF349FD}">
      <text>
        <r>
          <rPr>
            <b/>
            <sz val="9"/>
            <color indexed="81"/>
            <rFont val="Tahoma"/>
            <family val="2"/>
          </rPr>
          <t>&lt;[[TCDeals] - [TC Property Current Stage (Seq: 1)] - [Unit Mix (Seq: 40)] Num Units - Both]&gt;</t>
        </r>
      </text>
    </comment>
    <comment ref="G1039" authorId="0" shapeId="0" xr:uid="{53BFEFF4-1ABE-46D2-A5CC-2CAB5D4B17AF}">
      <text>
        <r>
          <rPr>
            <b/>
            <sz val="9"/>
            <color indexed="81"/>
            <rFont val="Tahoma"/>
            <family val="2"/>
          </rPr>
          <t>&lt;[[TCDeals] - [TC Property Current Stage (Seq: 1)] - [Unit Mix (Seq: 40)] Monthly Rent Per Unit - Both]&gt;</t>
        </r>
      </text>
    </comment>
    <comment ref="C1040" authorId="1" shapeId="0" xr:uid="{2040BD15-B3D8-46B8-958A-EBCDD8020559}">
      <text>
        <r>
          <rPr>
            <b/>
            <sz val="9"/>
            <color indexed="81"/>
            <rFont val="Tahoma"/>
            <family val="2"/>
          </rPr>
          <t>&lt;[[TCDeals] - [TC Property Current Stage (Seq: 1)] - [Unit Mix (Seq: 41)] Income Target - Both]&gt;</t>
        </r>
      </text>
    </comment>
    <comment ref="D1040" authorId="0" shapeId="0" xr:uid="{FC8B6585-8FEF-4A3F-8DAF-C1FD40186898}">
      <text>
        <r>
          <rPr>
            <b/>
            <sz val="9"/>
            <color indexed="81"/>
            <rFont val="Tahoma"/>
            <family val="2"/>
          </rPr>
          <t>&lt;[[TCDeals] - [TC Property Current Stage (Seq: 1)] - [Unit Mix (Seq: 41)] TC Unit Mix Type - Both]&gt;</t>
        </r>
      </text>
    </comment>
    <comment ref="E1040" authorId="0" shapeId="0" xr:uid="{55F850B5-6BCF-4A59-AC92-55884C99105B}">
      <text>
        <r>
          <rPr>
            <b/>
            <sz val="9"/>
            <color indexed="81"/>
            <rFont val="Tahoma"/>
            <family val="2"/>
          </rPr>
          <t>&lt;[[TCDeals] - [TC Property Current Stage (Seq: 1)] - [Unit Mix (Seq: 41)] Net Rentable Sq Ft - Both]&gt;</t>
        </r>
      </text>
    </comment>
    <comment ref="F1040" authorId="0" shapeId="0" xr:uid="{DD45D4A3-150F-4D73-922F-232596F754DB}">
      <text>
        <r>
          <rPr>
            <b/>
            <sz val="9"/>
            <color indexed="81"/>
            <rFont val="Tahoma"/>
            <family val="2"/>
          </rPr>
          <t>&lt;[[TCDeals] - [TC Property Current Stage (Seq: 1)] - [Unit Mix (Seq: 41)] Num Units - Both]&gt;</t>
        </r>
      </text>
    </comment>
    <comment ref="G1040" authorId="0" shapeId="0" xr:uid="{590DC624-26CB-49AC-AA76-8483B31367DE}">
      <text>
        <r>
          <rPr>
            <b/>
            <sz val="9"/>
            <color indexed="81"/>
            <rFont val="Tahoma"/>
            <family val="2"/>
          </rPr>
          <t>&lt;[[TCDeals] - [TC Property Current Stage (Seq: 1)] - [Unit Mix (Seq: 41)] Monthly Rent Per Unit - Both]&gt;</t>
        </r>
      </text>
    </comment>
    <comment ref="C1041" authorId="1" shapeId="0" xr:uid="{54E698D8-C762-42FE-B30F-3B15DC0D656A}">
      <text>
        <r>
          <rPr>
            <b/>
            <sz val="9"/>
            <color indexed="81"/>
            <rFont val="Tahoma"/>
            <family val="2"/>
          </rPr>
          <t>&lt;[[TCDeals] - [TC Property Current Stage (Seq: 1)] - [Unit Mix (Seq: 42)] Income Target - Both]&gt;</t>
        </r>
      </text>
    </comment>
    <comment ref="D1041" authorId="0" shapeId="0" xr:uid="{16DC1B16-A5A9-4650-9AF2-A396E1BF15E1}">
      <text>
        <r>
          <rPr>
            <b/>
            <sz val="9"/>
            <color indexed="81"/>
            <rFont val="Tahoma"/>
            <family val="2"/>
          </rPr>
          <t>&lt;[[TCDeals] - [TC Property Current Stage (Seq: 1)] - [Unit Mix (Seq: 42)] TC Unit Mix Type - Both]&gt;</t>
        </r>
      </text>
    </comment>
    <comment ref="E1041" authorId="0" shapeId="0" xr:uid="{A853EB76-7D3F-480A-80A7-C2D5F648624F}">
      <text>
        <r>
          <rPr>
            <b/>
            <sz val="9"/>
            <color indexed="81"/>
            <rFont val="Tahoma"/>
            <family val="2"/>
          </rPr>
          <t>&lt;[[TCDeals] - [TC Property Current Stage (Seq: 1)] - [Unit Mix (Seq: 42)] Net Rentable Sq Ft - Both]&gt;</t>
        </r>
      </text>
    </comment>
    <comment ref="F1041" authorId="0" shapeId="0" xr:uid="{BD8E5EFD-4AE2-45D2-8620-B4F9B0B9F1F6}">
      <text>
        <r>
          <rPr>
            <b/>
            <sz val="9"/>
            <color indexed="81"/>
            <rFont val="Tahoma"/>
            <family val="2"/>
          </rPr>
          <t>&lt;[[TCDeals] - [TC Property Current Stage (Seq: 1)] - [Unit Mix (Seq: 42)] Num Units - Both]&gt;</t>
        </r>
      </text>
    </comment>
    <comment ref="G1041" authorId="0" shapeId="0" xr:uid="{CA80652C-5BBA-40F2-90DE-8B13217CDB1E}">
      <text>
        <r>
          <rPr>
            <b/>
            <sz val="9"/>
            <color indexed="81"/>
            <rFont val="Tahoma"/>
            <family val="2"/>
          </rPr>
          <t>&lt;[[TCDeals] - [TC Property Current Stage (Seq: 1)] - [Unit Mix (Seq: 42)] Monthly Rent Per Unit - Both]&gt;</t>
        </r>
      </text>
    </comment>
    <comment ref="C1042" authorId="1" shapeId="0" xr:uid="{DE25F9F2-4C1C-4564-96A9-AA297789A045}">
      <text>
        <r>
          <rPr>
            <b/>
            <sz val="9"/>
            <color indexed="81"/>
            <rFont val="Tahoma"/>
            <family val="2"/>
          </rPr>
          <t>&lt;[[TCDeals] - [TC Property Current Stage (Seq: 1)] - [Unit Mix (Seq: 43)] Income Target - Both]&gt;</t>
        </r>
      </text>
    </comment>
    <comment ref="D1042" authorId="0" shapeId="0" xr:uid="{BA68D5C9-3C74-4BF0-96C2-3E34A92E34AF}">
      <text>
        <r>
          <rPr>
            <b/>
            <sz val="9"/>
            <color indexed="81"/>
            <rFont val="Tahoma"/>
            <family val="2"/>
          </rPr>
          <t>&lt;[[TCDeals] - [TC Property Current Stage (Seq: 1)] - [Unit Mix (Seq: 43)] TC Unit Mix Type - Both]&gt;</t>
        </r>
      </text>
    </comment>
    <comment ref="E1042" authorId="0" shapeId="0" xr:uid="{64397E18-5428-4995-AE6F-C0D1FF69E373}">
      <text>
        <r>
          <rPr>
            <b/>
            <sz val="9"/>
            <color indexed="81"/>
            <rFont val="Tahoma"/>
            <family val="2"/>
          </rPr>
          <t>&lt;[[TCDeals] - [TC Property Current Stage (Seq: 1)] - [Unit Mix (Seq: 43)] Net Rentable Sq Ft - Both]&gt;</t>
        </r>
      </text>
    </comment>
    <comment ref="F1042" authorId="0" shapeId="0" xr:uid="{E716E4CE-CB18-40C1-B933-FD86D2E78CFC}">
      <text>
        <r>
          <rPr>
            <b/>
            <sz val="9"/>
            <color indexed="81"/>
            <rFont val="Tahoma"/>
            <family val="2"/>
          </rPr>
          <t>&lt;[[TCDeals] - [TC Property Current Stage (Seq: 1)] - [Unit Mix (Seq: 43)] Num Units - Both]&gt;</t>
        </r>
      </text>
    </comment>
    <comment ref="G1042" authorId="0" shapeId="0" xr:uid="{0922EF0A-2006-49F1-ABDA-0145D64548C3}">
      <text>
        <r>
          <rPr>
            <b/>
            <sz val="9"/>
            <color indexed="81"/>
            <rFont val="Tahoma"/>
            <family val="2"/>
          </rPr>
          <t>&lt;[[TCDeals] - [TC Property Current Stage (Seq: 1)] - [Unit Mix (Seq: 43)] Monthly Rent Per Unit - Both]&gt;</t>
        </r>
      </text>
    </comment>
    <comment ref="C1043" authorId="1" shapeId="0" xr:uid="{EEF7E6D0-A29C-46E6-ABE3-C97518B995B6}">
      <text>
        <r>
          <rPr>
            <b/>
            <sz val="9"/>
            <color indexed="81"/>
            <rFont val="Tahoma"/>
            <family val="2"/>
          </rPr>
          <t>&lt;[[TCDeals] - [TC Property Current Stage (Seq: 1)] - [Unit Mix (Seq: 44)] Income Target - Both]&gt;</t>
        </r>
      </text>
    </comment>
    <comment ref="D1043" authorId="0" shapeId="0" xr:uid="{2E5E6B63-89C1-4112-BA67-8C6E8E67ECDA}">
      <text>
        <r>
          <rPr>
            <b/>
            <sz val="9"/>
            <color indexed="81"/>
            <rFont val="Tahoma"/>
            <family val="2"/>
          </rPr>
          <t>&lt;[[TCDeals] - [TC Property Current Stage (Seq: 1)] - [Unit Mix (Seq: 44)] TC Unit Mix Type - Both]&gt;</t>
        </r>
      </text>
    </comment>
    <comment ref="E1043" authorId="0" shapeId="0" xr:uid="{EC5AF364-34F0-437B-B876-4C31E98435CC}">
      <text>
        <r>
          <rPr>
            <b/>
            <sz val="9"/>
            <color indexed="81"/>
            <rFont val="Tahoma"/>
            <family val="2"/>
          </rPr>
          <t>&lt;[[TCDeals] - [TC Property Current Stage (Seq: 1)] - [Unit Mix (Seq: 44)] Net Rentable Sq Ft - Both]&gt;</t>
        </r>
      </text>
    </comment>
    <comment ref="F1043" authorId="0" shapeId="0" xr:uid="{174C8D17-9445-4F90-B576-498CDDC52B63}">
      <text>
        <r>
          <rPr>
            <b/>
            <sz val="9"/>
            <color indexed="81"/>
            <rFont val="Tahoma"/>
            <family val="2"/>
          </rPr>
          <t>&lt;[[TCDeals] - [TC Property Current Stage (Seq: 1)] - [Unit Mix (Seq: 44)] Num Units - Both]&gt;</t>
        </r>
      </text>
    </comment>
    <comment ref="G1043" authorId="0" shapeId="0" xr:uid="{FFA33F83-1F73-47C4-B465-A13E3CE4CA43}">
      <text>
        <r>
          <rPr>
            <b/>
            <sz val="9"/>
            <color indexed="81"/>
            <rFont val="Tahoma"/>
            <family val="2"/>
          </rPr>
          <t>&lt;[[TCDeals] - [TC Property Current Stage (Seq: 1)] - [Unit Mix (Seq: 44)] Monthly Rent Per Unit - Both]&gt;</t>
        </r>
      </text>
    </comment>
    <comment ref="C1044" authorId="1" shapeId="0" xr:uid="{BEA6E9F4-6786-4355-BD1A-2B2733A9CF2D}">
      <text>
        <r>
          <rPr>
            <b/>
            <sz val="9"/>
            <color indexed="81"/>
            <rFont val="Tahoma"/>
            <family val="2"/>
          </rPr>
          <t>&lt;[[TCDeals] - [TC Property Current Stage (Seq: 1)] - [Unit Mix (Seq: 45)] Income Target - Both]&gt;</t>
        </r>
      </text>
    </comment>
    <comment ref="D1044" authorId="0" shapeId="0" xr:uid="{AE64A970-8666-4B95-A0CE-36CEFCABBA5D}">
      <text>
        <r>
          <rPr>
            <b/>
            <sz val="9"/>
            <color indexed="81"/>
            <rFont val="Tahoma"/>
            <family val="2"/>
          </rPr>
          <t>&lt;[[TCDeals] - [TC Property Current Stage (Seq: 1)] - [Unit Mix (Seq: 45)] TC Unit Mix Type - Both]&gt;</t>
        </r>
      </text>
    </comment>
    <comment ref="E1044" authorId="0" shapeId="0" xr:uid="{C29D35FD-013D-41CB-B757-A50AB36667AF}">
      <text>
        <r>
          <rPr>
            <b/>
            <sz val="9"/>
            <color indexed="81"/>
            <rFont val="Tahoma"/>
            <family val="2"/>
          </rPr>
          <t>&lt;[[TCDeals] - [TC Property Current Stage (Seq: 1)] - [Unit Mix (Seq: 45)] Net Rentable Sq Ft - Both]&gt;</t>
        </r>
      </text>
    </comment>
    <comment ref="F1044" authorId="0" shapeId="0" xr:uid="{7756877F-20F0-4F4F-A020-DE0699DF4278}">
      <text>
        <r>
          <rPr>
            <b/>
            <sz val="9"/>
            <color indexed="81"/>
            <rFont val="Tahoma"/>
            <family val="2"/>
          </rPr>
          <t>&lt;[[TCDeals] - [TC Property Current Stage (Seq: 1)] - [Unit Mix (Seq: 45)] Num Units - Both]&gt;</t>
        </r>
      </text>
    </comment>
    <comment ref="G1044" authorId="0" shapeId="0" xr:uid="{8A570CDC-5FD1-400B-9588-ECCA47E67C1E}">
      <text>
        <r>
          <rPr>
            <b/>
            <sz val="9"/>
            <color indexed="81"/>
            <rFont val="Tahoma"/>
            <family val="2"/>
          </rPr>
          <t>&lt;[[TCDeals] - [TC Property Current Stage (Seq: 1)] - [Unit Mix (Seq: 45)] Monthly Rent Per Unit - Both]&gt;</t>
        </r>
      </text>
    </comment>
    <comment ref="C1045" authorId="1" shapeId="0" xr:uid="{C818524F-B7AA-4C37-BF8D-945DFD506FB7}">
      <text>
        <r>
          <rPr>
            <b/>
            <sz val="9"/>
            <color indexed="81"/>
            <rFont val="Tahoma"/>
            <family val="2"/>
          </rPr>
          <t>&lt;[[TCDeals] - [TC Property Current Stage (Seq: 1)] - [Unit Mix (Seq: 46)] Income Target - Both]&gt;</t>
        </r>
      </text>
    </comment>
    <comment ref="D1045" authorId="0" shapeId="0" xr:uid="{FD2D2F51-CE8E-4191-BDBA-B4D515707F8E}">
      <text>
        <r>
          <rPr>
            <b/>
            <sz val="9"/>
            <color indexed="81"/>
            <rFont val="Tahoma"/>
            <family val="2"/>
          </rPr>
          <t>&lt;[[TCDeals] - [TC Property Current Stage (Seq: 1)] - [Unit Mix (Seq: 46)] TC Unit Mix Type - Both]&gt;</t>
        </r>
      </text>
    </comment>
    <comment ref="E1045" authorId="0" shapeId="0" xr:uid="{91ACD112-B4E8-4514-8556-C12B9F6CFE93}">
      <text>
        <r>
          <rPr>
            <b/>
            <sz val="9"/>
            <color indexed="81"/>
            <rFont val="Tahoma"/>
            <family val="2"/>
          </rPr>
          <t>&lt;[[TCDeals] - [TC Property Current Stage (Seq: 1)] - [Unit Mix (Seq: 46)] Net Rentable Sq Ft - Both]&gt;</t>
        </r>
      </text>
    </comment>
    <comment ref="F1045" authorId="0" shapeId="0" xr:uid="{66D028B6-096C-41E6-B886-A1638A09293D}">
      <text>
        <r>
          <rPr>
            <b/>
            <sz val="9"/>
            <color indexed="81"/>
            <rFont val="Tahoma"/>
            <family val="2"/>
          </rPr>
          <t>&lt;[[TCDeals] - [TC Property Current Stage (Seq: 1)] - [Unit Mix (Seq: 46)] Num Units - Both]&gt;</t>
        </r>
      </text>
    </comment>
    <comment ref="G1045" authorId="0" shapeId="0" xr:uid="{C40D0204-A565-4232-A4F4-ADC972D4ADA4}">
      <text>
        <r>
          <rPr>
            <b/>
            <sz val="9"/>
            <color indexed="81"/>
            <rFont val="Tahoma"/>
            <family val="2"/>
          </rPr>
          <t>&lt;[[TCDeals] - [TC Property Current Stage (Seq: 1)] - [Unit Mix (Seq: 46)] Monthly Rent Per Unit - Both]&gt;</t>
        </r>
      </text>
    </comment>
    <comment ref="C1046" authorId="1" shapeId="0" xr:uid="{6AF78F65-D354-4B83-8426-D2292007D4F6}">
      <text>
        <r>
          <rPr>
            <b/>
            <sz val="9"/>
            <color indexed="81"/>
            <rFont val="Tahoma"/>
            <family val="2"/>
          </rPr>
          <t>&lt;[[TCDeals] - [TC Property Current Stage (Seq: 1)] - [Unit Mix (Seq: 47)] Income Target - Both]&gt;</t>
        </r>
      </text>
    </comment>
    <comment ref="D1046" authorId="0" shapeId="0" xr:uid="{E46E4F9F-DB28-47F3-952F-36566ED30121}">
      <text>
        <r>
          <rPr>
            <b/>
            <sz val="9"/>
            <color indexed="81"/>
            <rFont val="Tahoma"/>
            <family val="2"/>
          </rPr>
          <t>&lt;[[TCDeals] - [TC Property Current Stage (Seq: 1)] - [Unit Mix (Seq: 47)] TC Unit Mix Type - Both]&gt;</t>
        </r>
      </text>
    </comment>
    <comment ref="E1046" authorId="0" shapeId="0" xr:uid="{88FDF696-AFCA-4C91-9B66-5C6AD76761AE}">
      <text>
        <r>
          <rPr>
            <b/>
            <sz val="9"/>
            <color indexed="81"/>
            <rFont val="Tahoma"/>
            <family val="2"/>
          </rPr>
          <t>&lt;[[TCDeals] - [TC Property Current Stage (Seq: 1)] - [Unit Mix (Seq: 47)] Net Rentable Sq Ft - Both]&gt;</t>
        </r>
      </text>
    </comment>
    <comment ref="F1046" authorId="0" shapeId="0" xr:uid="{3A00D06B-FCD3-4415-9CF0-FF3DEF5D915B}">
      <text>
        <r>
          <rPr>
            <b/>
            <sz val="9"/>
            <color indexed="81"/>
            <rFont val="Tahoma"/>
            <family val="2"/>
          </rPr>
          <t>&lt;[[TCDeals] - [TC Property Current Stage (Seq: 1)] - [Unit Mix (Seq: 47)] Num Units - Both]&gt;</t>
        </r>
      </text>
    </comment>
    <comment ref="G1046" authorId="0" shapeId="0" xr:uid="{BF53E05A-907A-4218-B335-1CCC7DBF8BFC}">
      <text>
        <r>
          <rPr>
            <b/>
            <sz val="9"/>
            <color indexed="81"/>
            <rFont val="Tahoma"/>
            <family val="2"/>
          </rPr>
          <t>&lt;[[TCDeals] - [TC Property Current Stage (Seq: 1)] - [Unit Mix (Seq: 47)] Monthly Rent Per Unit - Both]&gt;</t>
        </r>
      </text>
    </comment>
    <comment ref="C1047" authorId="1" shapeId="0" xr:uid="{026E315F-C60B-4718-B607-E415B9626B35}">
      <text>
        <r>
          <rPr>
            <b/>
            <sz val="9"/>
            <color indexed="81"/>
            <rFont val="Tahoma"/>
            <family val="2"/>
          </rPr>
          <t>&lt;[[TCDeals] - [TC Property Current Stage (Seq: 1)] - [Unit Mix (Seq: 48)] Income Target - Both]&gt;</t>
        </r>
      </text>
    </comment>
    <comment ref="D1047" authorId="0" shapeId="0" xr:uid="{8DD4CCD5-6401-4608-84CC-E3FEA260CDC1}">
      <text>
        <r>
          <rPr>
            <b/>
            <sz val="9"/>
            <color indexed="81"/>
            <rFont val="Tahoma"/>
            <family val="2"/>
          </rPr>
          <t>&lt;[[TCDeals] - [TC Property Current Stage (Seq: 1)] - [Unit Mix (Seq: 48)] TC Unit Mix Type - Both]&gt;</t>
        </r>
      </text>
    </comment>
    <comment ref="E1047" authorId="0" shapeId="0" xr:uid="{EEBA00B3-D7A4-4874-8880-9B8A5476BCE4}">
      <text>
        <r>
          <rPr>
            <b/>
            <sz val="9"/>
            <color indexed="81"/>
            <rFont val="Tahoma"/>
            <family val="2"/>
          </rPr>
          <t>&lt;[[TCDeals] - [TC Property Current Stage (Seq: 1)] - [Unit Mix (Seq: 48)] Net Rentable Sq Ft - Both]&gt;</t>
        </r>
      </text>
    </comment>
    <comment ref="F1047" authorId="0" shapeId="0" xr:uid="{5BDFF209-EA19-4208-8042-90754A506B9C}">
      <text>
        <r>
          <rPr>
            <b/>
            <sz val="9"/>
            <color indexed="81"/>
            <rFont val="Tahoma"/>
            <family val="2"/>
          </rPr>
          <t>&lt;[[TCDeals] - [TC Property Current Stage (Seq: 1)] - [Unit Mix (Seq: 48)] Num Units - Both]&gt;</t>
        </r>
      </text>
    </comment>
    <comment ref="G1047" authorId="0" shapeId="0" xr:uid="{4BA11899-6AAE-49F5-B8E2-84C3822BD7E1}">
      <text>
        <r>
          <rPr>
            <b/>
            <sz val="9"/>
            <color indexed="81"/>
            <rFont val="Tahoma"/>
            <family val="2"/>
          </rPr>
          <t>&lt;[[TCDeals] - [TC Property Current Stage (Seq: 1)] - [Unit Mix (Seq: 48)] Monthly Rent Per Unit - Both]&gt;</t>
        </r>
      </text>
    </comment>
    <comment ref="C1048" authorId="1" shapeId="0" xr:uid="{E5144B3B-FFD7-4E30-8723-2E0F4304BCA1}">
      <text>
        <r>
          <rPr>
            <b/>
            <sz val="9"/>
            <color indexed="81"/>
            <rFont val="Tahoma"/>
            <family val="2"/>
          </rPr>
          <t>&lt;[[TCDeals] - [TC Property Current Stage (Seq: 1)] - [Unit Mix (Seq: 49)] Income Target - Both]&gt;</t>
        </r>
      </text>
    </comment>
    <comment ref="D1048" authorId="0" shapeId="0" xr:uid="{EC409312-C8E9-4A10-A68C-0B69F4857DD3}">
      <text>
        <r>
          <rPr>
            <b/>
            <sz val="9"/>
            <color indexed="81"/>
            <rFont val="Tahoma"/>
            <family val="2"/>
          </rPr>
          <t>&lt;[[TCDeals] - [TC Property Current Stage (Seq: 1)] - [Unit Mix (Seq: 49)] TC Unit Mix Type - Both]&gt;</t>
        </r>
      </text>
    </comment>
    <comment ref="E1048" authorId="0" shapeId="0" xr:uid="{06BCF75A-41CF-44DE-8E41-19725E829E32}">
      <text>
        <r>
          <rPr>
            <b/>
            <sz val="9"/>
            <color indexed="81"/>
            <rFont val="Tahoma"/>
            <family val="2"/>
          </rPr>
          <t>&lt;[[TCDeals] - [TC Property Current Stage (Seq: 1)] - [Unit Mix (Seq: 49)] Net Rentable Sq Ft - Both]&gt;</t>
        </r>
      </text>
    </comment>
    <comment ref="F1048" authorId="0" shapeId="0" xr:uid="{99763373-7F67-45F7-9A5D-7CF7F4D1F8A8}">
      <text>
        <r>
          <rPr>
            <b/>
            <sz val="9"/>
            <color indexed="81"/>
            <rFont val="Tahoma"/>
            <family val="2"/>
          </rPr>
          <t>&lt;[[TCDeals] - [TC Property Current Stage (Seq: 1)] - [Unit Mix (Seq: 49)] Num Units - Both]&gt;</t>
        </r>
      </text>
    </comment>
    <comment ref="G1048" authorId="0" shapeId="0" xr:uid="{4C9CC6F6-43F8-40D0-8E6F-E0F3AC35DE03}">
      <text>
        <r>
          <rPr>
            <b/>
            <sz val="9"/>
            <color indexed="81"/>
            <rFont val="Tahoma"/>
            <family val="2"/>
          </rPr>
          <t>&lt;[[TCDeals] - [TC Property Current Stage (Seq: 1)] - [Unit Mix (Seq: 49)] Monthly Rent Per Unit - Both]&gt;</t>
        </r>
      </text>
    </comment>
    <comment ref="C1049" authorId="1" shapeId="0" xr:uid="{5132E47B-905D-402B-B7A2-5E9A355BB851}">
      <text>
        <r>
          <rPr>
            <b/>
            <sz val="9"/>
            <color indexed="81"/>
            <rFont val="Tahoma"/>
            <family val="2"/>
          </rPr>
          <t>&lt;[[TCDeals] - [TC Property Current Stage (Seq: 1)] - [Unit Mix (Seq: 50)] Income Target - Both]&gt;</t>
        </r>
      </text>
    </comment>
    <comment ref="D1049" authorId="0" shapeId="0" xr:uid="{BD271E80-09B5-4F05-AE4F-7ED8D05A5D14}">
      <text>
        <r>
          <rPr>
            <b/>
            <sz val="9"/>
            <color indexed="81"/>
            <rFont val="Tahoma"/>
            <family val="2"/>
          </rPr>
          <t>&lt;[[TCDeals] - [TC Property Current Stage (Seq: 1)] - [Unit Mix (Seq: 50)] TC Unit Mix Type - Both]&gt;</t>
        </r>
      </text>
    </comment>
    <comment ref="E1049" authorId="0" shapeId="0" xr:uid="{B13C2132-C60D-4F9C-B400-03816D0FA13C}">
      <text>
        <r>
          <rPr>
            <b/>
            <sz val="9"/>
            <color indexed="81"/>
            <rFont val="Tahoma"/>
            <family val="2"/>
          </rPr>
          <t>&lt;[[TCDeals] - [TC Property Current Stage (Seq: 1)] - [Unit Mix (Seq: 50)] Net Rentable Sq Ft - Both]&gt;</t>
        </r>
      </text>
    </comment>
    <comment ref="F1049" authorId="0" shapeId="0" xr:uid="{49F4756F-DD0C-4879-80A1-EC9B76AD4ADD}">
      <text>
        <r>
          <rPr>
            <b/>
            <sz val="9"/>
            <color indexed="81"/>
            <rFont val="Tahoma"/>
            <family val="2"/>
          </rPr>
          <t>&lt;[[TCDeals] - [TC Property Current Stage (Seq: 1)] - [Unit Mix (Seq: 50)] Num Units - Both]&gt;</t>
        </r>
      </text>
    </comment>
    <comment ref="G1049" authorId="0" shapeId="0" xr:uid="{E07B0E88-9F8C-4837-831E-3A114E54536A}">
      <text>
        <r>
          <rPr>
            <b/>
            <sz val="9"/>
            <color indexed="81"/>
            <rFont val="Tahoma"/>
            <family val="2"/>
          </rPr>
          <t>&lt;[[TCDeals] - [TC Property Current Stage (Seq: 1)] - [Unit Mix (Seq: 50)] Monthly Rent Per Unit - Both]&gt;</t>
        </r>
      </text>
    </comment>
    <comment ref="C1050" authorId="1" shapeId="0" xr:uid="{D838C3EF-DCD0-4E54-81FA-4DC8FC766DEB}">
      <text>
        <r>
          <rPr>
            <b/>
            <sz val="9"/>
            <color indexed="81"/>
            <rFont val="Tahoma"/>
            <family val="2"/>
          </rPr>
          <t>&lt;[[TCDeals] - [TC Property Current Stage (Seq: 1)] - [Unit Mix (Seq: 51)] Income Target - Both]&gt;</t>
        </r>
      </text>
    </comment>
    <comment ref="D1050" authorId="0" shapeId="0" xr:uid="{EDF7BC4D-FB29-46A8-9011-6B7EE1761FA9}">
      <text>
        <r>
          <rPr>
            <b/>
            <sz val="9"/>
            <color indexed="81"/>
            <rFont val="Tahoma"/>
            <family val="2"/>
          </rPr>
          <t>&lt;[[TCDeals] - [TC Property Current Stage (Seq: 1)] - [Unit Mix (Seq: 51)] TC Unit Mix Type - Both]&gt;</t>
        </r>
      </text>
    </comment>
    <comment ref="E1050" authorId="0" shapeId="0" xr:uid="{B19A544E-AC90-47C0-9796-941C0552E5F6}">
      <text>
        <r>
          <rPr>
            <b/>
            <sz val="9"/>
            <color indexed="81"/>
            <rFont val="Tahoma"/>
            <family val="2"/>
          </rPr>
          <t>&lt;[[TCDeals] - [TC Property Current Stage (Seq: 1)] - [Unit Mix (Seq: 51)] Net Rentable Sq Ft - Both]&gt;</t>
        </r>
      </text>
    </comment>
    <comment ref="F1050" authorId="0" shapeId="0" xr:uid="{30AF4BBF-85A1-4B61-8836-20484DCEF797}">
      <text>
        <r>
          <rPr>
            <b/>
            <sz val="9"/>
            <color indexed="81"/>
            <rFont val="Tahoma"/>
            <family val="2"/>
          </rPr>
          <t>&lt;[[TCDeals] - [TC Property Current Stage (Seq: 1)] - [Unit Mix (Seq: 51)] Num Units - Both]&gt;</t>
        </r>
      </text>
    </comment>
    <comment ref="G1050" authorId="0" shapeId="0" xr:uid="{B979C7EF-A29B-48D4-B61E-398A66745CBB}">
      <text>
        <r>
          <rPr>
            <b/>
            <sz val="9"/>
            <color indexed="81"/>
            <rFont val="Tahoma"/>
            <family val="2"/>
          </rPr>
          <t>&lt;[[TCDeals] - [TC Property Current Stage (Seq: 1)] - [Unit Mix (Seq: 51)] Monthly Rent Per Unit - Both]&gt;</t>
        </r>
      </text>
    </comment>
    <comment ref="C1051" authorId="1" shapeId="0" xr:uid="{E4BF9CEB-FB6C-48CF-BE1D-3409DB7ADBC6}">
      <text>
        <r>
          <rPr>
            <b/>
            <sz val="9"/>
            <color indexed="81"/>
            <rFont val="Tahoma"/>
            <family val="2"/>
          </rPr>
          <t>&lt;[[TCDeals] - [TC Property Current Stage (Seq: 1)] - [Unit Mix (Seq: 52)] Income Target - Both]&gt;</t>
        </r>
      </text>
    </comment>
    <comment ref="D1051" authorId="0" shapeId="0" xr:uid="{F27E4CC0-882C-4003-9FE7-001E4703A8F5}">
      <text>
        <r>
          <rPr>
            <b/>
            <sz val="9"/>
            <color indexed="81"/>
            <rFont val="Tahoma"/>
            <family val="2"/>
          </rPr>
          <t>&lt;[[TCDeals] - [TC Property Current Stage (Seq: 1)] - [Unit Mix (Seq: 52)] TC Unit Mix Type - Both]&gt;</t>
        </r>
      </text>
    </comment>
    <comment ref="E1051" authorId="0" shapeId="0" xr:uid="{0F85C81B-A4B8-4F67-8B30-B7CCB363EFDA}">
      <text>
        <r>
          <rPr>
            <b/>
            <sz val="9"/>
            <color indexed="81"/>
            <rFont val="Tahoma"/>
            <family val="2"/>
          </rPr>
          <t>&lt;[[TCDeals] - [TC Property Current Stage (Seq: 1)] - [Unit Mix (Seq: 52)] Net Rentable Sq Ft - Both]&gt;</t>
        </r>
      </text>
    </comment>
    <comment ref="F1051" authorId="0" shapeId="0" xr:uid="{2B38F60B-2FB4-429F-9E8D-C6202C9B57AC}">
      <text>
        <r>
          <rPr>
            <b/>
            <sz val="9"/>
            <color indexed="81"/>
            <rFont val="Tahoma"/>
            <family val="2"/>
          </rPr>
          <t>&lt;[[TCDeals] - [TC Property Current Stage (Seq: 1)] - [Unit Mix (Seq: 52)] Num Units - Both]&gt;</t>
        </r>
      </text>
    </comment>
    <comment ref="G1051" authorId="0" shapeId="0" xr:uid="{F52841E1-20FE-4DD2-B013-56A9E69ACE58}">
      <text>
        <r>
          <rPr>
            <b/>
            <sz val="9"/>
            <color indexed="81"/>
            <rFont val="Tahoma"/>
            <family val="2"/>
          </rPr>
          <t>&lt;[[TCDeals] - [TC Property Current Stage (Seq: 1)] - [Unit Mix (Seq: 52)] Monthly Rent Per Unit - Both]&gt;</t>
        </r>
      </text>
    </comment>
    <comment ref="C1052" authorId="1" shapeId="0" xr:uid="{759BAB33-09CB-461E-99DB-F147A33E01A0}">
      <text>
        <r>
          <rPr>
            <b/>
            <sz val="9"/>
            <color indexed="81"/>
            <rFont val="Tahoma"/>
            <family val="2"/>
          </rPr>
          <t>&lt;[[TCDeals] - [TC Property Current Stage (Seq: 1)] - [Unit Mix (Seq: 53)] Income Target - Both]&gt;</t>
        </r>
      </text>
    </comment>
    <comment ref="D1052" authorId="0" shapeId="0" xr:uid="{18EA2F3A-7B95-47BC-9277-B2B8BFC81454}">
      <text>
        <r>
          <rPr>
            <b/>
            <sz val="9"/>
            <color indexed="81"/>
            <rFont val="Tahoma"/>
            <family val="2"/>
          </rPr>
          <t>&lt;[[TCDeals] - [TC Property Current Stage (Seq: 1)] - [Unit Mix (Seq: 53)] TC Unit Mix Type - Both]&gt;</t>
        </r>
      </text>
    </comment>
    <comment ref="E1052" authorId="0" shapeId="0" xr:uid="{5D15E51D-9F56-4FD3-A4E7-B437CD76DA53}">
      <text>
        <r>
          <rPr>
            <b/>
            <sz val="9"/>
            <color indexed="81"/>
            <rFont val="Tahoma"/>
            <family val="2"/>
          </rPr>
          <t>&lt;[[TCDeals] - [TC Property Current Stage (Seq: 1)] - [Unit Mix (Seq: 53)] Net Rentable Sq Ft - Both]&gt;</t>
        </r>
      </text>
    </comment>
    <comment ref="F1052" authorId="0" shapeId="0" xr:uid="{D318FAD7-E054-4A0E-A122-7663ADFA1A99}">
      <text>
        <r>
          <rPr>
            <b/>
            <sz val="9"/>
            <color indexed="81"/>
            <rFont val="Tahoma"/>
            <family val="2"/>
          </rPr>
          <t>&lt;[[TCDeals] - [TC Property Current Stage (Seq: 1)] - [Unit Mix (Seq: 53)] Num Units - Both]&gt;</t>
        </r>
      </text>
    </comment>
    <comment ref="G1052" authorId="0" shapeId="0" xr:uid="{B52C066D-0984-4969-A50A-009257F9E228}">
      <text>
        <r>
          <rPr>
            <b/>
            <sz val="9"/>
            <color indexed="81"/>
            <rFont val="Tahoma"/>
            <family val="2"/>
          </rPr>
          <t>&lt;[[TCDeals] - [TC Property Current Stage (Seq: 1)] - [Unit Mix (Seq: 53)] Monthly Rent Per Unit - Both]&gt;</t>
        </r>
      </text>
    </comment>
    <comment ref="C1053" authorId="1" shapeId="0" xr:uid="{90BEEBFB-48F7-4EEB-8465-2C8D5961ECF9}">
      <text>
        <r>
          <rPr>
            <b/>
            <sz val="9"/>
            <color indexed="81"/>
            <rFont val="Tahoma"/>
            <family val="2"/>
          </rPr>
          <t>&lt;[[TCDeals] - [TC Property Current Stage (Seq: 1)] - [Unit Mix (Seq: 54)] Income Target - Both]&gt;</t>
        </r>
      </text>
    </comment>
    <comment ref="D1053" authorId="0" shapeId="0" xr:uid="{DAED0060-7218-4530-A60F-A4876B947F1D}">
      <text>
        <r>
          <rPr>
            <b/>
            <sz val="9"/>
            <color indexed="81"/>
            <rFont val="Tahoma"/>
            <family val="2"/>
          </rPr>
          <t>&lt;[[TCDeals] - [TC Property Current Stage (Seq: 1)] - [Unit Mix (Seq: 54)] TC Unit Mix Type - Both]&gt;</t>
        </r>
      </text>
    </comment>
    <comment ref="E1053" authorId="0" shapeId="0" xr:uid="{34600E30-476F-4239-8CC5-036066BBBA06}">
      <text>
        <r>
          <rPr>
            <b/>
            <sz val="9"/>
            <color indexed="81"/>
            <rFont val="Tahoma"/>
            <family val="2"/>
          </rPr>
          <t>&lt;[[TCDeals] - [TC Property Current Stage (Seq: 1)] - [Unit Mix (Seq: 54)] Net Rentable Sq Ft - Both]&gt;</t>
        </r>
      </text>
    </comment>
    <comment ref="F1053" authorId="0" shapeId="0" xr:uid="{0AA1E558-A685-4043-AFD9-18496F0CA876}">
      <text>
        <r>
          <rPr>
            <b/>
            <sz val="9"/>
            <color indexed="81"/>
            <rFont val="Tahoma"/>
            <family val="2"/>
          </rPr>
          <t>&lt;[[TCDeals] - [TC Property Current Stage (Seq: 1)] - [Unit Mix (Seq: 54)] Num Units - Both]&gt;</t>
        </r>
      </text>
    </comment>
    <comment ref="G1053" authorId="0" shapeId="0" xr:uid="{92339CF3-EB9D-4872-A1D7-9FEACF53ABE6}">
      <text>
        <r>
          <rPr>
            <b/>
            <sz val="9"/>
            <color indexed="81"/>
            <rFont val="Tahoma"/>
            <family val="2"/>
          </rPr>
          <t>&lt;[[TCDeals] - [TC Property Current Stage (Seq: 1)] - [Unit Mix (Seq: 54)] Monthly Rent Per Unit - Both]&gt;</t>
        </r>
      </text>
    </comment>
    <comment ref="C1054" authorId="1" shapeId="0" xr:uid="{B3AAC275-4CAE-43E4-B3F7-16DF5717899A}">
      <text>
        <r>
          <rPr>
            <b/>
            <sz val="9"/>
            <color indexed="81"/>
            <rFont val="Tahoma"/>
            <family val="2"/>
          </rPr>
          <t>&lt;[[TCDeals] - [TC Property Current Stage (Seq: 1)] - [Unit Mix (Seq: 55)] Income Target - Both]&gt;</t>
        </r>
      </text>
    </comment>
    <comment ref="D1054" authorId="0" shapeId="0" xr:uid="{082226A4-3007-440C-B432-DEB798B7AFE3}">
      <text>
        <r>
          <rPr>
            <b/>
            <sz val="9"/>
            <color indexed="81"/>
            <rFont val="Tahoma"/>
            <family val="2"/>
          </rPr>
          <t>&lt;[[TCDeals] - [TC Property Current Stage (Seq: 1)] - [Unit Mix (Seq: 55)] TC Unit Mix Type - Both]&gt;</t>
        </r>
      </text>
    </comment>
    <comment ref="E1054" authorId="0" shapeId="0" xr:uid="{C5F12E48-717C-4B95-9120-9F0196CD67A5}">
      <text>
        <r>
          <rPr>
            <b/>
            <sz val="9"/>
            <color indexed="81"/>
            <rFont val="Tahoma"/>
            <family val="2"/>
          </rPr>
          <t>&lt;[[TCDeals] - [TC Property Current Stage (Seq: 1)] - [Unit Mix (Seq: 55)] Net Rentable Sq Ft - Both]&gt;</t>
        </r>
      </text>
    </comment>
    <comment ref="F1054" authorId="0" shapeId="0" xr:uid="{32D53FA7-2A12-40CA-990A-7A7A780DF531}">
      <text>
        <r>
          <rPr>
            <b/>
            <sz val="9"/>
            <color indexed="81"/>
            <rFont val="Tahoma"/>
            <family val="2"/>
          </rPr>
          <t>&lt;[[TCDeals] - [TC Property Current Stage (Seq: 1)] - [Unit Mix (Seq: 55)] Num Units - Both]&gt;</t>
        </r>
      </text>
    </comment>
    <comment ref="G1054" authorId="0" shapeId="0" xr:uid="{47F58B10-3051-4B32-82A0-C6C6610233A8}">
      <text>
        <r>
          <rPr>
            <b/>
            <sz val="9"/>
            <color indexed="81"/>
            <rFont val="Tahoma"/>
            <family val="2"/>
          </rPr>
          <t>&lt;[[TCDeals] - [TC Property Current Stage (Seq: 1)] - [Unit Mix (Seq: 55)] Monthly Rent Per Unit - Both]&gt;</t>
        </r>
      </text>
    </comment>
    <comment ref="C1055" authorId="1" shapeId="0" xr:uid="{4A167F09-C6B4-436E-A831-D7AA8BC0C51F}">
      <text>
        <r>
          <rPr>
            <b/>
            <sz val="9"/>
            <color indexed="81"/>
            <rFont val="Tahoma"/>
            <family val="2"/>
          </rPr>
          <t>&lt;[[TCDeals] - [TC Property Current Stage (Seq: 1)] - [Unit Mix (Seq: 56)] Income Target - Both]&gt;</t>
        </r>
      </text>
    </comment>
    <comment ref="D1055" authorId="0" shapeId="0" xr:uid="{CE8F601E-1879-43EA-860E-F6E4ED7B2611}">
      <text>
        <r>
          <rPr>
            <b/>
            <sz val="9"/>
            <color indexed="81"/>
            <rFont val="Tahoma"/>
            <family val="2"/>
          </rPr>
          <t>&lt;[[TCDeals] - [TC Property Current Stage (Seq: 1)] - [Unit Mix (Seq: 56)] TC Unit Mix Type - Both]&gt;</t>
        </r>
      </text>
    </comment>
    <comment ref="E1055" authorId="0" shapeId="0" xr:uid="{D251B6F9-2937-4258-B8ED-294EA886BCAD}">
      <text>
        <r>
          <rPr>
            <b/>
            <sz val="9"/>
            <color indexed="81"/>
            <rFont val="Tahoma"/>
            <family val="2"/>
          </rPr>
          <t>&lt;[[TCDeals] - [TC Property Current Stage (Seq: 1)] - [Unit Mix (Seq: 56)] Net Rentable Sq Ft - Both]&gt;</t>
        </r>
      </text>
    </comment>
    <comment ref="F1055" authorId="0" shapeId="0" xr:uid="{6AF1C8D7-AA06-4026-8FA9-9C23ABC5A92A}">
      <text>
        <r>
          <rPr>
            <b/>
            <sz val="9"/>
            <color indexed="81"/>
            <rFont val="Tahoma"/>
            <family val="2"/>
          </rPr>
          <t>&lt;[[TCDeals] - [TC Property Current Stage (Seq: 1)] - [Unit Mix (Seq: 56)] Num Units - Both]&gt;</t>
        </r>
      </text>
    </comment>
    <comment ref="G1055" authorId="0" shapeId="0" xr:uid="{34EAAFF9-248F-4481-8CE2-4E482358CA9E}">
      <text>
        <r>
          <rPr>
            <b/>
            <sz val="9"/>
            <color indexed="81"/>
            <rFont val="Tahoma"/>
            <family val="2"/>
          </rPr>
          <t>&lt;[[TCDeals] - [TC Property Current Stage (Seq: 1)] - [Unit Mix (Seq: 56)] Monthly Rent Per Unit - Both]&gt;</t>
        </r>
      </text>
    </comment>
    <comment ref="C1056" authorId="1" shapeId="0" xr:uid="{42AE44C1-5A96-4B21-AEFD-2ED136811902}">
      <text>
        <r>
          <rPr>
            <b/>
            <sz val="9"/>
            <color indexed="81"/>
            <rFont val="Tahoma"/>
            <family val="2"/>
          </rPr>
          <t>&lt;[[TCDeals] - [TC Property Current Stage (Seq: 1)] - [Unit Mix (Seq: 57)] Income Target - Both]&gt;</t>
        </r>
      </text>
    </comment>
    <comment ref="D1056" authorId="0" shapeId="0" xr:uid="{45F49AEE-09A4-4FE4-B9B6-CD8D7612AE58}">
      <text>
        <r>
          <rPr>
            <b/>
            <sz val="9"/>
            <color indexed="81"/>
            <rFont val="Tahoma"/>
            <family val="2"/>
          </rPr>
          <t>&lt;[[TCDeals] - [TC Property Current Stage (Seq: 1)] - [Unit Mix (Seq: 57)] TC Unit Mix Type - Both]&gt;</t>
        </r>
      </text>
    </comment>
    <comment ref="E1056" authorId="0" shapeId="0" xr:uid="{12A176E7-C55C-4555-A83C-73B3967F3F56}">
      <text>
        <r>
          <rPr>
            <b/>
            <sz val="9"/>
            <color indexed="81"/>
            <rFont val="Tahoma"/>
            <family val="2"/>
          </rPr>
          <t>&lt;[[TCDeals] - [TC Property Current Stage (Seq: 1)] - [Unit Mix (Seq: 57)] Net Rentable Sq Ft - Both]&gt;</t>
        </r>
      </text>
    </comment>
    <comment ref="F1056" authorId="0" shapeId="0" xr:uid="{E7FC99B0-3F8C-483D-97F3-54244E2D8B83}">
      <text>
        <r>
          <rPr>
            <b/>
            <sz val="9"/>
            <color indexed="81"/>
            <rFont val="Tahoma"/>
            <family val="2"/>
          </rPr>
          <t>&lt;[[TCDeals] - [TC Property Current Stage (Seq: 1)] - [Unit Mix (Seq: 57)] Num Units - Both]&gt;</t>
        </r>
      </text>
    </comment>
    <comment ref="G1056" authorId="0" shapeId="0" xr:uid="{EA77C23B-FED4-4A17-AF67-0078A83359CB}">
      <text>
        <r>
          <rPr>
            <b/>
            <sz val="9"/>
            <color indexed="81"/>
            <rFont val="Tahoma"/>
            <family val="2"/>
          </rPr>
          <t>&lt;[[TCDeals] - [TC Property Current Stage (Seq: 1)] - [Unit Mix (Seq: 57)] Monthly Rent Per Unit - Both]&gt;</t>
        </r>
      </text>
    </comment>
    <comment ref="C1057" authorId="1" shapeId="0" xr:uid="{A52FD5BC-342A-4062-8D6B-1D8BA2673925}">
      <text>
        <r>
          <rPr>
            <b/>
            <sz val="9"/>
            <color indexed="81"/>
            <rFont val="Tahoma"/>
            <family val="2"/>
          </rPr>
          <t>&lt;[[TCDeals] - [TC Property Current Stage (Seq: 1)] - [Unit Mix (Seq: 58)] Income Target - Both]&gt;</t>
        </r>
      </text>
    </comment>
    <comment ref="D1057" authorId="0" shapeId="0" xr:uid="{10DD97DD-1217-42C1-B93F-D0E13C238D5E}">
      <text>
        <r>
          <rPr>
            <b/>
            <sz val="9"/>
            <color indexed="81"/>
            <rFont val="Tahoma"/>
            <family val="2"/>
          </rPr>
          <t>&lt;[[TCDeals] - [TC Property Current Stage (Seq: 1)] - [Unit Mix (Seq: 58)] TC Unit Mix Type - Both]&gt;</t>
        </r>
      </text>
    </comment>
    <comment ref="E1057" authorId="0" shapeId="0" xr:uid="{5AFA0D08-77AC-4F1A-B8F9-0F02877CBBBA}">
      <text>
        <r>
          <rPr>
            <b/>
            <sz val="9"/>
            <color indexed="81"/>
            <rFont val="Tahoma"/>
            <family val="2"/>
          </rPr>
          <t>&lt;[[TCDeals] - [TC Property Current Stage (Seq: 1)] - [Unit Mix (Seq: 58)] Net Rentable Sq Ft - Both]&gt;</t>
        </r>
      </text>
    </comment>
    <comment ref="F1057" authorId="0" shapeId="0" xr:uid="{F57F8EBF-2FEF-4A8F-8961-F789A88F1233}">
      <text>
        <r>
          <rPr>
            <b/>
            <sz val="9"/>
            <color indexed="81"/>
            <rFont val="Tahoma"/>
            <family val="2"/>
          </rPr>
          <t>&lt;[[TCDeals] - [TC Property Current Stage (Seq: 1)] - [Unit Mix (Seq: 58)] Num Units - Both]&gt;</t>
        </r>
      </text>
    </comment>
    <comment ref="G1057" authorId="0" shapeId="0" xr:uid="{BFC4CC68-E3D1-44FB-B7C4-7F0ED5B96E97}">
      <text>
        <r>
          <rPr>
            <b/>
            <sz val="9"/>
            <color indexed="81"/>
            <rFont val="Tahoma"/>
            <family val="2"/>
          </rPr>
          <t>&lt;[[TCDeals] - [TC Property Current Stage (Seq: 1)] - [Unit Mix (Seq: 58)] Monthly Rent Per Unit - Both]&gt;</t>
        </r>
      </text>
    </comment>
    <comment ref="C1058" authorId="1" shapeId="0" xr:uid="{0AAF414E-386D-40C6-8DCD-55F94B032CF4}">
      <text>
        <r>
          <rPr>
            <b/>
            <sz val="9"/>
            <color indexed="81"/>
            <rFont val="Tahoma"/>
            <family val="2"/>
          </rPr>
          <t>&lt;[[TCDeals] - [TC Property Current Stage (Seq: 1)] - [Unit Mix (Seq: 59)] Income Target - Both]&gt;</t>
        </r>
      </text>
    </comment>
    <comment ref="D1058" authorId="0" shapeId="0" xr:uid="{91CB176E-14DF-4BDB-BC42-D118B955DD32}">
      <text>
        <r>
          <rPr>
            <b/>
            <sz val="9"/>
            <color indexed="81"/>
            <rFont val="Tahoma"/>
            <family val="2"/>
          </rPr>
          <t>&lt;[[TCDeals] - [TC Property Current Stage (Seq: 1)] - [Unit Mix (Seq: 59)] TC Unit Mix Type - Both]&gt;</t>
        </r>
      </text>
    </comment>
    <comment ref="E1058" authorId="0" shapeId="0" xr:uid="{AD22E638-5CB7-4129-9E1E-609194869C74}">
      <text>
        <r>
          <rPr>
            <b/>
            <sz val="9"/>
            <color indexed="81"/>
            <rFont val="Tahoma"/>
            <family val="2"/>
          </rPr>
          <t>&lt;[[TCDeals] - [TC Property Current Stage (Seq: 1)] - [Unit Mix (Seq: 59)] Net Rentable Sq Ft - Both]&gt;</t>
        </r>
      </text>
    </comment>
    <comment ref="F1058" authorId="0" shapeId="0" xr:uid="{C37BAC54-74E5-4AA1-BD96-B8083A0F9A3F}">
      <text>
        <r>
          <rPr>
            <b/>
            <sz val="9"/>
            <color indexed="81"/>
            <rFont val="Tahoma"/>
            <family val="2"/>
          </rPr>
          <t>&lt;[[TCDeals] - [TC Property Current Stage (Seq: 1)] - [Unit Mix (Seq: 59)] Num Units - Both]&gt;</t>
        </r>
      </text>
    </comment>
    <comment ref="G1058" authorId="0" shapeId="0" xr:uid="{AB9277B5-F119-44A4-9CDE-C4A356A20674}">
      <text>
        <r>
          <rPr>
            <b/>
            <sz val="9"/>
            <color indexed="81"/>
            <rFont val="Tahoma"/>
            <family val="2"/>
          </rPr>
          <t>&lt;[[TCDeals] - [TC Property Current Stage (Seq: 1)] - [Unit Mix (Seq: 59)] Monthly Rent Per Unit - Both]&gt;</t>
        </r>
      </text>
    </comment>
    <comment ref="C1059" authorId="1" shapeId="0" xr:uid="{737D1D9B-2495-49C2-B770-1F0E3856CC7C}">
      <text>
        <r>
          <rPr>
            <b/>
            <sz val="9"/>
            <color indexed="81"/>
            <rFont val="Tahoma"/>
            <family val="2"/>
          </rPr>
          <t>&lt;[[TCDeals] - [TC Property Current Stage (Seq: 1)] - [Unit Mix (Seq: 60)] Income Target - Both]&gt;</t>
        </r>
      </text>
    </comment>
    <comment ref="D1059" authorId="0" shapeId="0" xr:uid="{7C0B11EC-68BF-4747-9954-177A0B51D8C1}">
      <text>
        <r>
          <rPr>
            <b/>
            <sz val="9"/>
            <color indexed="81"/>
            <rFont val="Tahoma"/>
            <family val="2"/>
          </rPr>
          <t>&lt;[[TCDeals] - [TC Property Current Stage (Seq: 1)] - [Unit Mix (Seq: 60)] TC Unit Mix Type - Both]&gt;</t>
        </r>
      </text>
    </comment>
    <comment ref="E1059" authorId="0" shapeId="0" xr:uid="{47FEC84C-F754-4E2F-99C2-3A18B2A506AD}">
      <text>
        <r>
          <rPr>
            <b/>
            <sz val="9"/>
            <color indexed="81"/>
            <rFont val="Tahoma"/>
            <family val="2"/>
          </rPr>
          <t>&lt;[[TCDeals] - [TC Property Current Stage (Seq: 1)] - [Unit Mix (Seq: 60)] Net Rentable Sq Ft - Both]&gt;</t>
        </r>
      </text>
    </comment>
    <comment ref="F1059" authorId="0" shapeId="0" xr:uid="{4B39FDF3-9DED-436D-BA40-2690D3FBC41D}">
      <text>
        <r>
          <rPr>
            <b/>
            <sz val="9"/>
            <color indexed="81"/>
            <rFont val="Tahoma"/>
            <family val="2"/>
          </rPr>
          <t>&lt;[[TCDeals] - [TC Property Current Stage (Seq: 1)] - [Unit Mix (Seq: 60)] Num Units - Both]&gt;</t>
        </r>
      </text>
    </comment>
    <comment ref="G1059" authorId="0" shapeId="0" xr:uid="{642EE297-95C4-4937-AA5A-270493568F60}">
      <text>
        <r>
          <rPr>
            <b/>
            <sz val="9"/>
            <color indexed="81"/>
            <rFont val="Tahoma"/>
            <family val="2"/>
          </rPr>
          <t>&lt;[[TCDeals] - [TC Property Current Stage (Seq: 1)] - [Unit Mix (Seq: 60)] Monthly Rent Per Unit - Both]&gt;</t>
        </r>
      </text>
    </comment>
    <comment ref="C1073" authorId="0" shapeId="0" xr:uid="{4BC6A7CB-2BB7-48D4-86A1-BD35D0B39B72}">
      <text>
        <r>
          <rPr>
            <b/>
            <sz val="9"/>
            <color indexed="81"/>
            <rFont val="Tahoma"/>
            <family val="2"/>
          </rPr>
          <t>&lt;[[TCDeals] - [TC Property Current Stage (Seq: 1)] - [Property Points (Seq: 1)] Annual Credit Amount - Both]&gt;</t>
        </r>
      </text>
    </comment>
    <comment ref="C1074" authorId="0" shapeId="0" xr:uid="{6E68F27F-3906-4CD3-BF42-949CAEA49CCA}">
      <text>
        <r>
          <rPr>
            <b/>
            <sz val="9"/>
            <color indexed="81"/>
            <rFont val="Tahoma"/>
            <family val="2"/>
          </rPr>
          <t>&lt;[[TCDeals] - [TC Property Current Stage (Seq: 1)] - [Property Points (Seq: 1)] New Con/Rehab Annual Credit Amount - Both]&gt;</t>
        </r>
      </text>
    </comment>
    <comment ref="C1075" authorId="0" shapeId="0" xr:uid="{B4095901-4B3F-4BE7-AD8E-F6997B851ADD}">
      <text>
        <r>
          <rPr>
            <b/>
            <sz val="9"/>
            <color indexed="81"/>
            <rFont val="Tahoma"/>
            <family val="2"/>
          </rPr>
          <t>&lt;[[TCDeals] - [TC Property Current Stage (Seq: 1)] - [Property Points (Seq: 1)] Acq Total Quaified Basis - Both]&gt;</t>
        </r>
      </text>
    </comment>
    <comment ref="C1076" authorId="0" shapeId="0" xr:uid="{2D22D473-E3B6-497E-A966-FAE23D6182AF}">
      <text>
        <r>
          <rPr>
            <b/>
            <sz val="9"/>
            <color indexed="81"/>
            <rFont val="Tahoma"/>
            <family val="2"/>
          </rPr>
          <t>&lt;[[TCDeals] - [TC Property Current Stage (Seq: 1)] - [Property Points (Seq: 1)] Acq Annual Credit Amount - Both]&gt;</t>
        </r>
      </text>
    </comment>
    <comment ref="C1077" authorId="0" shapeId="0" xr:uid="{CA130773-B16B-462D-966D-57230BB7C714}">
      <text>
        <r>
          <rPr>
            <b/>
            <sz val="9"/>
            <color indexed="81"/>
            <rFont val="Tahoma"/>
            <family val="2"/>
          </rPr>
          <t>&lt;[[TCDeals] - [TC Property Current Stage (Seq: 1)] - [Property Points (Seq: 1)] Optional Field 465 - Both]&gt;</t>
        </r>
      </text>
    </comment>
    <comment ref="C1078" authorId="0" shapeId="0" xr:uid="{1D47A742-B723-4B20-9554-D19F2C9321F3}">
      <text>
        <r>
          <rPr>
            <b/>
            <sz val="9"/>
            <color indexed="81"/>
            <rFont val="Tahoma"/>
            <family val="2"/>
          </rPr>
          <t>&lt;[[TCDeals] - [TC Property Current Stage (Seq: 1)] - [Property Points (Seq: 1)] Optional Field 466 - Both]&gt;</t>
        </r>
      </text>
    </comment>
    <comment ref="C1079" authorId="0" shapeId="0" xr:uid="{E2B6C553-E527-4236-9A88-3FE565B98A65}">
      <text>
        <r>
          <rPr>
            <b/>
            <sz val="9"/>
            <color indexed="81"/>
            <rFont val="Tahoma"/>
            <family val="2"/>
          </rPr>
          <t>&lt;[[TCDeals] - [TC Property Current Stage (Seq: 1)] - [Property Points (Seq: 1)] Optional Field 467 - Both]&gt;</t>
        </r>
      </text>
    </comment>
    <comment ref="C1188" authorId="0" shapeId="0" xr:uid="{53289E36-F342-48CD-B36D-760B292F6EB3}">
      <text>
        <r>
          <rPr>
            <b/>
            <sz val="9"/>
            <color indexed="81"/>
            <rFont val="Tahoma"/>
            <family val="2"/>
          </rPr>
          <t>&lt;[[TCDeals] - [TC Property Current Stage (Seq: 1)] - [Buildings (Seq: 1)] BIN - Both]&gt;</t>
        </r>
      </text>
    </comment>
    <comment ref="D1188" authorId="0" shapeId="0" xr:uid="{2ABA462A-4F96-4D43-A0E6-E8913857BF92}">
      <text>
        <r>
          <rPr>
            <b/>
            <sz val="9"/>
            <color indexed="81"/>
            <rFont val="Tahoma"/>
            <family val="2"/>
          </rPr>
          <t>&lt;[[TCDeals] - [TC Property Current Stage (Seq: 1)] - [Buildings (Seq: 1)] Address 1 - Both]&gt;</t>
        </r>
      </text>
    </comment>
    <comment ref="E1188" authorId="0" shapeId="0" xr:uid="{477F3BD8-0A47-43DF-9E55-F62BAF8796DA}">
      <text>
        <r>
          <rPr>
            <b/>
            <sz val="9"/>
            <color indexed="81"/>
            <rFont val="Tahoma"/>
            <family val="2"/>
          </rPr>
          <t>&lt;[[TCDeals] - [TC Property Current Stage (Seq: 1)] - [Buildings (Seq: 1)] Num TC Units - Both]&gt;</t>
        </r>
      </text>
    </comment>
    <comment ref="F1188" authorId="0" shapeId="0" xr:uid="{3E09065A-C97A-451E-B079-F7C6CE760D6A}">
      <text>
        <r>
          <rPr>
            <b/>
            <sz val="9"/>
            <color indexed="81"/>
            <rFont val="Tahoma"/>
            <family val="2"/>
          </rPr>
          <t>&lt;[[TCDeals] - [TC Property Current Stage (Seq: 1)] - [Buildings (Seq: 1)] PVC PIS Date - Both]&gt;</t>
        </r>
      </text>
    </comment>
    <comment ref="G1188" authorId="0" shapeId="0" xr:uid="{B2BD0B74-EC78-4A96-8302-C1DB3F4819B6}">
      <text>
        <r>
          <rPr>
            <b/>
            <sz val="9"/>
            <color indexed="81"/>
            <rFont val="Tahoma"/>
            <family val="2"/>
          </rPr>
          <t>&lt;[[TCDeals] - [TC Property Current Stage (Seq: 1)] - [Buildings (Seq: 1)] PVC Applicable Percentage - Both]&gt;</t>
        </r>
      </text>
    </comment>
    <comment ref="H1188" authorId="0" shapeId="0" xr:uid="{E1D2EBF5-D7E6-4647-B93B-82E13435972D}">
      <text>
        <r>
          <rPr>
            <b/>
            <sz val="9"/>
            <color indexed="81"/>
            <rFont val="Tahoma"/>
            <family val="2"/>
          </rPr>
          <t>&lt;[[TCDeals] - [TC Property Current Stage (Seq: 1)] - [Buildings (Seq: 1)] PVC Est Qual Basis - Both]&gt;</t>
        </r>
      </text>
    </comment>
    <comment ref="I1188" authorId="0" shapeId="0" xr:uid="{3EA4C465-3D03-4242-926C-FC183700A1F5}">
      <text>
        <r>
          <rPr>
            <b/>
            <sz val="9"/>
            <color indexed="81"/>
            <rFont val="Tahoma"/>
            <family val="2"/>
          </rPr>
          <t>&lt;[[TCDeals] - [TC Property Current Stage (Seq: 1)] - [Buildings (Seq: 1)] PVC8609 Basis - Both]&gt;</t>
        </r>
      </text>
    </comment>
    <comment ref="J1188" authorId="0" shapeId="0" xr:uid="{8E36187E-0840-459E-945F-3F8864AFE9B7}">
      <text>
        <r>
          <rPr>
            <b/>
            <sz val="9"/>
            <color indexed="81"/>
            <rFont val="Tahoma"/>
            <family val="2"/>
          </rPr>
          <t>&lt;[[TCDeals] - [TC Property Current Stage (Seq: 1)] - [Buildings (Seq: 1)] PVC8609 Credit - Both]&gt;</t>
        </r>
      </text>
    </comment>
    <comment ref="K1188" authorId="0" shapeId="0" xr:uid="{BEA942B5-16B2-45B4-A00F-AEE43E7FF9CC}">
      <text>
        <r>
          <rPr>
            <b/>
            <sz val="9"/>
            <color indexed="81"/>
            <rFont val="Tahoma"/>
            <family val="2"/>
          </rPr>
          <t>&lt;[[TCDeals] - [TC Property Current Stage (Seq: 1)] - [Buildings (Seq: 1)] Constr PIS Date - Both]&gt;</t>
        </r>
      </text>
    </comment>
    <comment ref="L1188" authorId="0" shapeId="0" xr:uid="{BE949012-B418-4F9F-B249-6D7942C969E7}">
      <text>
        <r>
          <rPr>
            <b/>
            <sz val="9"/>
            <color indexed="81"/>
            <rFont val="Tahoma"/>
            <family val="2"/>
          </rPr>
          <t>&lt;[[TCDeals] - [TC Property Current Stage (Seq: 1)] - [Buildings (Seq: 1)] Constr Applicable Percentage - Both]&gt;</t>
        </r>
      </text>
    </comment>
    <comment ref="M1188" authorId="0" shapeId="0" xr:uid="{B3474222-DB58-4670-87AE-AB9AA4987E91}">
      <text>
        <r>
          <rPr>
            <b/>
            <sz val="9"/>
            <color indexed="81"/>
            <rFont val="Tahoma"/>
            <family val="2"/>
          </rPr>
          <t>&lt;[[TCDeals] - [TC Property Current Stage (Seq: 1)] - [Buildings (Seq: 1)] Constr Est Qual Basis - Both]&gt;</t>
        </r>
      </text>
    </comment>
    <comment ref="N1188" authorId="0" shapeId="0" xr:uid="{07CBC026-DB5B-400C-BE38-0D4F05C99043}">
      <text>
        <r>
          <rPr>
            <b/>
            <sz val="9"/>
            <color indexed="81"/>
            <rFont val="Tahoma"/>
            <family val="2"/>
          </rPr>
          <t>&lt;[[TCDeals] - [TC Property Current Stage (Seq: 1)] - [Buildings (Seq: 1)] Constr 8609 Basis - Both]&gt;</t>
        </r>
      </text>
    </comment>
    <comment ref="O1188" authorId="0" shapeId="0" xr:uid="{FBA3B975-DADA-4BC0-8C6A-DB491147ED27}">
      <text>
        <r>
          <rPr>
            <b/>
            <sz val="9"/>
            <color indexed="81"/>
            <rFont val="Tahoma"/>
            <family val="2"/>
          </rPr>
          <t>&lt;[[TCDeals] - [TC Property Current Stage (Seq: 1)] - [Buildings (Seq: 1)] Constr 8609 Credit - Both]&gt;</t>
        </r>
      </text>
    </comment>
    <comment ref="P1188" authorId="0" shapeId="0" xr:uid="{B30FE97E-CA4B-44BF-808B-0EED71247865}">
      <text>
        <r>
          <rPr>
            <b/>
            <sz val="9"/>
            <color indexed="81"/>
            <rFont val="Tahoma"/>
            <family val="2"/>
          </rPr>
          <t>&lt;[[TCDeals] - [TC Property Current Stage (Seq: 1)] - [Buildings (Seq: 1)] Acq PIS Date - Both]&gt;</t>
        </r>
      </text>
    </comment>
    <comment ref="Q1188" authorId="0" shapeId="0" xr:uid="{372DFFF9-B8DB-4874-987C-23C94BDCC1A2}">
      <text>
        <r>
          <rPr>
            <b/>
            <sz val="9"/>
            <color indexed="81"/>
            <rFont val="Tahoma"/>
            <family val="2"/>
          </rPr>
          <t>&lt;[[TCDeals] - [TC Property Current Stage (Seq: 1)] - [Buildings (Seq: 1)] Acq Applicable Percentage - Both]&gt;</t>
        </r>
      </text>
    </comment>
    <comment ref="R1188" authorId="0" shapeId="0" xr:uid="{5908EB88-8769-40C4-AE35-14AB91ACE05D}">
      <text>
        <r>
          <rPr>
            <b/>
            <sz val="9"/>
            <color indexed="81"/>
            <rFont val="Tahoma"/>
            <family val="2"/>
          </rPr>
          <t>&lt;[[TCDeals] - [TC Property Current Stage (Seq: 1)] - [Buildings (Seq: 1)] Acq Est Qual Basis - Both]&gt;</t>
        </r>
      </text>
    </comment>
    <comment ref="S1188" authorId="0" shapeId="0" xr:uid="{6677448A-A386-4F5A-9E80-A1FC8B6955D1}">
      <text>
        <r>
          <rPr>
            <b/>
            <sz val="9"/>
            <color indexed="81"/>
            <rFont val="Tahoma"/>
            <family val="2"/>
          </rPr>
          <t>&lt;[[TCDeals] - [TC Property Current Stage (Seq: 1)] - [Buildings (Seq: 1)] Acq 8609 Basis - Both]&gt;</t>
        </r>
      </text>
    </comment>
    <comment ref="T1188" authorId="0" shapeId="0" xr:uid="{5D73C502-56DD-4A3A-86AF-A37569836366}">
      <text>
        <r>
          <rPr>
            <b/>
            <sz val="9"/>
            <color indexed="81"/>
            <rFont val="Tahoma"/>
            <family val="2"/>
          </rPr>
          <t>&lt;[[TCDeals] - [TC Property Current Stage (Seq: 1)] - [Buildings (Seq: 1)] Acq 8609 Credit - Both]&gt;</t>
        </r>
      </text>
    </comment>
    <comment ref="C1189" authorId="0" shapeId="0" xr:uid="{09FD0FD7-B26C-47E5-B123-5EBD2C8AE7DB}">
      <text>
        <r>
          <rPr>
            <b/>
            <sz val="9"/>
            <color indexed="81"/>
            <rFont val="Tahoma"/>
            <family val="2"/>
          </rPr>
          <t>&lt;[[TCDeals] - [TC Property Current Stage (Seq: 1)] - [Buildings (Seq: 2)] BIN - Both]&gt;</t>
        </r>
      </text>
    </comment>
    <comment ref="D1189" authorId="0" shapeId="0" xr:uid="{A355DCEE-0E51-43FF-B140-604230962701}">
      <text>
        <r>
          <rPr>
            <b/>
            <sz val="9"/>
            <color indexed="81"/>
            <rFont val="Tahoma"/>
            <family val="2"/>
          </rPr>
          <t>&lt;[[TCDeals] - [TC Property Current Stage (Seq: 1)] - [Buildings (Seq: 2)] Address 1 - Both]&gt;</t>
        </r>
      </text>
    </comment>
    <comment ref="E1189" authorId="0" shapeId="0" xr:uid="{2719AD26-B466-4F7D-BC70-DDDBE6BF85DD}">
      <text>
        <r>
          <rPr>
            <b/>
            <sz val="9"/>
            <color indexed="81"/>
            <rFont val="Tahoma"/>
            <family val="2"/>
          </rPr>
          <t>&lt;[[TCDeals] - [TC Property Current Stage (Seq: 1)] - [Buildings (Seq: 2)] Num TC Units - Both]&gt;</t>
        </r>
      </text>
    </comment>
    <comment ref="F1189" authorId="0" shapeId="0" xr:uid="{A232AB4A-E530-4683-9C29-9ED286559A0A}">
      <text>
        <r>
          <rPr>
            <b/>
            <sz val="9"/>
            <color indexed="81"/>
            <rFont val="Tahoma"/>
            <family val="2"/>
          </rPr>
          <t>&lt;[[TCDeals] - [TC Property Current Stage (Seq: 1)] - [Buildings (Seq: 2)] PVC PIS Date - Both]&gt;</t>
        </r>
      </text>
    </comment>
    <comment ref="G1189" authorId="0" shapeId="0" xr:uid="{9E250857-173F-4E6D-9B7A-94E8A28D66F3}">
      <text>
        <r>
          <rPr>
            <b/>
            <sz val="9"/>
            <color indexed="81"/>
            <rFont val="Tahoma"/>
            <family val="2"/>
          </rPr>
          <t>&lt;[[TCDeals] - [TC Property Current Stage (Seq: 1)] - [Buildings (Seq: 2)] PVC Applicable Percentage - Both]&gt;</t>
        </r>
      </text>
    </comment>
    <comment ref="H1189" authorId="0" shapeId="0" xr:uid="{267AD542-214A-45B6-9CC1-79E843E24EEA}">
      <text>
        <r>
          <rPr>
            <b/>
            <sz val="9"/>
            <color indexed="81"/>
            <rFont val="Tahoma"/>
            <family val="2"/>
          </rPr>
          <t>&lt;[[TCDeals] - [TC Property Current Stage (Seq: 1)] - [Buildings (Seq: 2)] PVC Est Qual Basis - Both]&gt;</t>
        </r>
      </text>
    </comment>
    <comment ref="I1189" authorId="0" shapeId="0" xr:uid="{65786346-7B0B-4394-8B86-ECC72F244D4A}">
      <text>
        <r>
          <rPr>
            <b/>
            <sz val="9"/>
            <color indexed="81"/>
            <rFont val="Tahoma"/>
            <family val="2"/>
          </rPr>
          <t>&lt;[[TCDeals] - [TC Property Current Stage (Seq: 1)] - [Buildings (Seq: 2)] PVC8609 Basis - Both]&gt;</t>
        </r>
      </text>
    </comment>
    <comment ref="J1189" authorId="0" shapeId="0" xr:uid="{9A9E7028-1500-4BC8-8F23-2F1232C77C41}">
      <text>
        <r>
          <rPr>
            <b/>
            <sz val="9"/>
            <color indexed="81"/>
            <rFont val="Tahoma"/>
            <family val="2"/>
          </rPr>
          <t>&lt;[[TCDeals] - [TC Property Current Stage (Seq: 1)] - [Buildings (Seq: 2)] PVC8609 Credit - Both]&gt;</t>
        </r>
      </text>
    </comment>
    <comment ref="K1189" authorId="0" shapeId="0" xr:uid="{92795CD9-8832-4424-9442-E54C4791B432}">
      <text>
        <r>
          <rPr>
            <b/>
            <sz val="9"/>
            <color indexed="81"/>
            <rFont val="Tahoma"/>
            <family val="2"/>
          </rPr>
          <t>&lt;[[TCDeals] - [TC Property Current Stage (Seq: 1)] - [Buildings (Seq: 2)] Constr PIS Date - Both]&gt;</t>
        </r>
      </text>
    </comment>
    <comment ref="L1189" authorId="0" shapeId="0" xr:uid="{4810D24C-6C43-4D36-ABDA-D8A9B39F21F8}">
      <text>
        <r>
          <rPr>
            <b/>
            <sz val="9"/>
            <color indexed="81"/>
            <rFont val="Tahoma"/>
            <family val="2"/>
          </rPr>
          <t>&lt;[[TCDeals] - [TC Property Current Stage (Seq: 1)] - [Buildings (Seq: 2)] Constr Applicable Percentage - Both]&gt;</t>
        </r>
      </text>
    </comment>
    <comment ref="M1189" authorId="0" shapeId="0" xr:uid="{DEA1BACD-DDF9-4B00-AC91-358625F76DA0}">
      <text>
        <r>
          <rPr>
            <b/>
            <sz val="9"/>
            <color indexed="81"/>
            <rFont val="Tahoma"/>
            <family val="2"/>
          </rPr>
          <t>&lt;[[TCDeals] - [TC Property Current Stage (Seq: 1)] - [Buildings (Seq: 2)] Constr Est Qual Basis - Both]&gt;</t>
        </r>
      </text>
    </comment>
    <comment ref="N1189" authorId="0" shapeId="0" xr:uid="{98575030-15F1-44C5-9197-890486DB4E42}">
      <text>
        <r>
          <rPr>
            <b/>
            <sz val="9"/>
            <color indexed="81"/>
            <rFont val="Tahoma"/>
            <family val="2"/>
          </rPr>
          <t>&lt;[[TCDeals] - [TC Property Current Stage (Seq: 1)] - [Buildings (Seq: 2)] Constr 8609 Basis - Both]&gt;</t>
        </r>
      </text>
    </comment>
    <comment ref="O1189" authorId="0" shapeId="0" xr:uid="{38AC0BF7-0EB5-4BA1-9D96-3FD69A2FC861}">
      <text>
        <r>
          <rPr>
            <b/>
            <sz val="9"/>
            <color indexed="81"/>
            <rFont val="Tahoma"/>
            <family val="2"/>
          </rPr>
          <t>&lt;[[TCDeals] - [TC Property Current Stage (Seq: 1)] - [Buildings (Seq: 2)] Constr 8609 Credit - Both]&gt;</t>
        </r>
      </text>
    </comment>
    <comment ref="P1189" authorId="0" shapeId="0" xr:uid="{15B44BF4-BD30-4F4B-93DC-EB0B6A60D8F2}">
      <text>
        <r>
          <rPr>
            <b/>
            <sz val="9"/>
            <color indexed="81"/>
            <rFont val="Tahoma"/>
            <family val="2"/>
          </rPr>
          <t>&lt;[[TCDeals] - [TC Property Current Stage (Seq: 1)] - [Buildings (Seq: 2)] Acq PIS Date - Both]&gt;</t>
        </r>
      </text>
    </comment>
    <comment ref="Q1189" authorId="0" shapeId="0" xr:uid="{CB2EC0A4-74E1-411A-9DCE-F690716D3D77}">
      <text>
        <r>
          <rPr>
            <b/>
            <sz val="9"/>
            <color indexed="81"/>
            <rFont val="Tahoma"/>
            <family val="2"/>
          </rPr>
          <t>&lt;[[TCDeals] - [TC Property Current Stage (Seq: 1)] - [Buildings (Seq: 2)] Acq Applicable Percentage - Both]&gt;</t>
        </r>
      </text>
    </comment>
    <comment ref="R1189" authorId="0" shapeId="0" xr:uid="{5AAF9471-D4EC-4587-B16F-FD1705456433}">
      <text>
        <r>
          <rPr>
            <b/>
            <sz val="9"/>
            <color indexed="81"/>
            <rFont val="Tahoma"/>
            <family val="2"/>
          </rPr>
          <t>&lt;[[TCDeals] - [TC Property Current Stage (Seq: 1)] - [Buildings (Seq: 2)] Acq Est Qual Basis - Both]&gt;</t>
        </r>
      </text>
    </comment>
    <comment ref="S1189" authorId="0" shapeId="0" xr:uid="{6E80B972-E36D-4BD1-BCAB-0561EE7D2B63}">
      <text>
        <r>
          <rPr>
            <b/>
            <sz val="9"/>
            <color indexed="81"/>
            <rFont val="Tahoma"/>
            <family val="2"/>
          </rPr>
          <t>&lt;[[TCDeals] - [TC Property Current Stage (Seq: 1)] - [Buildings (Seq: 2)] Acq 8609 Basis - Both]&gt;</t>
        </r>
      </text>
    </comment>
    <comment ref="T1189" authorId="0" shapeId="0" xr:uid="{1F4DA537-9272-4B28-9DD9-0F361934BFBA}">
      <text>
        <r>
          <rPr>
            <b/>
            <sz val="9"/>
            <color indexed="81"/>
            <rFont val="Tahoma"/>
            <family val="2"/>
          </rPr>
          <t>&lt;[[TCDeals] - [TC Property Current Stage (Seq: 1)] - [Buildings (Seq: 2)] Acq 8609 Credit - Both]&gt;</t>
        </r>
      </text>
    </comment>
    <comment ref="C1190" authorId="0" shapeId="0" xr:uid="{FFD558EB-E036-4EFD-AAC4-3BB182B46D17}">
      <text>
        <r>
          <rPr>
            <b/>
            <sz val="9"/>
            <color indexed="81"/>
            <rFont val="Tahoma"/>
            <family val="2"/>
          </rPr>
          <t>&lt;[[TCDeals] - [TC Property Current Stage (Seq: 1)] - [Buildings (Seq: 3)] BIN - Both]&gt;</t>
        </r>
      </text>
    </comment>
    <comment ref="D1190" authorId="0" shapeId="0" xr:uid="{E78CDB1B-A25C-40DF-ACAA-93EE1708AEF9}">
      <text>
        <r>
          <rPr>
            <b/>
            <sz val="9"/>
            <color indexed="81"/>
            <rFont val="Tahoma"/>
            <family val="2"/>
          </rPr>
          <t>&lt;[[TCDeals] - [TC Property Current Stage (Seq: 1)] - [Buildings (Seq: 3)] Address 1 - Both]&gt;</t>
        </r>
      </text>
    </comment>
    <comment ref="E1190" authorId="0" shapeId="0" xr:uid="{17831272-0002-44E8-9A64-6152A889BB92}">
      <text>
        <r>
          <rPr>
            <b/>
            <sz val="9"/>
            <color indexed="81"/>
            <rFont val="Tahoma"/>
            <family val="2"/>
          </rPr>
          <t>&lt;[[TCDeals] - [TC Property Current Stage (Seq: 1)] - [Buildings (Seq: 3)] Num TC Units - Both]&gt;</t>
        </r>
      </text>
    </comment>
    <comment ref="F1190" authorId="0" shapeId="0" xr:uid="{747EA259-7CAE-4162-A2FA-7FB1B7AC7809}">
      <text>
        <r>
          <rPr>
            <b/>
            <sz val="9"/>
            <color indexed="81"/>
            <rFont val="Tahoma"/>
            <family val="2"/>
          </rPr>
          <t>&lt;[[TCDeals] - [TC Property Current Stage (Seq: 1)] - [Buildings (Seq: 3)] PVC PIS Date - Both]&gt;</t>
        </r>
      </text>
    </comment>
    <comment ref="G1190" authorId="0" shapeId="0" xr:uid="{74A7CC02-21D7-4DAB-85B0-DE9CD0D9328E}">
      <text>
        <r>
          <rPr>
            <b/>
            <sz val="9"/>
            <color indexed="81"/>
            <rFont val="Tahoma"/>
            <family val="2"/>
          </rPr>
          <t>&lt;[[TCDeals] - [TC Property Current Stage (Seq: 1)] - [Buildings (Seq: 3)] PVC Applicable Percentage - Both]&gt;</t>
        </r>
      </text>
    </comment>
    <comment ref="H1190" authorId="0" shapeId="0" xr:uid="{576A767C-0B09-4D38-AF90-BAE8D9C7F5BC}">
      <text>
        <r>
          <rPr>
            <b/>
            <sz val="9"/>
            <color indexed="81"/>
            <rFont val="Tahoma"/>
            <family val="2"/>
          </rPr>
          <t>&lt;[[TCDeals] - [TC Property Current Stage (Seq: 1)] - [Buildings (Seq: 3)] PVC Est Qual Basis - Both]&gt;</t>
        </r>
      </text>
    </comment>
    <comment ref="I1190" authorId="0" shapeId="0" xr:uid="{16F8E7FB-A79C-402B-A753-436C100110EF}">
      <text>
        <r>
          <rPr>
            <b/>
            <sz val="9"/>
            <color indexed="81"/>
            <rFont val="Tahoma"/>
            <family val="2"/>
          </rPr>
          <t>&lt;[[TCDeals] - [TC Property Current Stage (Seq: 1)] - [Buildings (Seq: 3)] PVC8609 Basis - Both]&gt;</t>
        </r>
      </text>
    </comment>
    <comment ref="J1190" authorId="0" shapeId="0" xr:uid="{CC227F69-B4F1-4F08-9B43-F92DA6C5EE6E}">
      <text>
        <r>
          <rPr>
            <b/>
            <sz val="9"/>
            <color indexed="81"/>
            <rFont val="Tahoma"/>
            <family val="2"/>
          </rPr>
          <t>&lt;[[TCDeals] - [TC Property Current Stage (Seq: 1)] - [Buildings (Seq: 3)] PVC8609 Credit - Both]&gt;</t>
        </r>
      </text>
    </comment>
    <comment ref="K1190" authorId="0" shapeId="0" xr:uid="{63D771B3-CF4F-49DB-8E73-F1772B5222EA}">
      <text>
        <r>
          <rPr>
            <b/>
            <sz val="9"/>
            <color indexed="81"/>
            <rFont val="Tahoma"/>
            <family val="2"/>
          </rPr>
          <t>&lt;[[TCDeals] - [TC Property Current Stage (Seq: 1)] - [Buildings (Seq: 3)] Constr PIS Date - Both]&gt;</t>
        </r>
      </text>
    </comment>
    <comment ref="L1190" authorId="0" shapeId="0" xr:uid="{4E8EF88B-3280-4941-8969-4618FA8F821F}">
      <text>
        <r>
          <rPr>
            <b/>
            <sz val="9"/>
            <color indexed="81"/>
            <rFont val="Tahoma"/>
            <family val="2"/>
          </rPr>
          <t>&lt;[[TCDeals] - [TC Property Current Stage (Seq: 1)] - [Buildings (Seq: 3)] Constr Applicable Percentage - Both]&gt;</t>
        </r>
      </text>
    </comment>
    <comment ref="M1190" authorId="0" shapeId="0" xr:uid="{1526D467-0778-4520-8870-4453FA1DE1DA}">
      <text>
        <r>
          <rPr>
            <b/>
            <sz val="9"/>
            <color indexed="81"/>
            <rFont val="Tahoma"/>
            <family val="2"/>
          </rPr>
          <t>&lt;[[TCDeals] - [TC Property Current Stage (Seq: 1)] - [Buildings (Seq: 3)] Constr Est Qual Basis - Both]&gt;</t>
        </r>
      </text>
    </comment>
    <comment ref="N1190" authorId="0" shapeId="0" xr:uid="{C2DA466C-D8B5-4F77-9C8B-FF1DA84875FC}">
      <text>
        <r>
          <rPr>
            <b/>
            <sz val="9"/>
            <color indexed="81"/>
            <rFont val="Tahoma"/>
            <family val="2"/>
          </rPr>
          <t>&lt;[[TCDeals] - [TC Property Current Stage (Seq: 1)] - [Buildings (Seq: 3)] Constr 8609 Basis - Both]&gt;</t>
        </r>
      </text>
    </comment>
    <comment ref="O1190" authorId="0" shapeId="0" xr:uid="{BA629FCD-EC97-47D0-A192-35D44803BB04}">
      <text>
        <r>
          <rPr>
            <b/>
            <sz val="9"/>
            <color indexed="81"/>
            <rFont val="Tahoma"/>
            <family val="2"/>
          </rPr>
          <t>&lt;[[TCDeals] - [TC Property Current Stage (Seq: 1)] - [Buildings (Seq: 3)] Constr 8609 Credit - Both]&gt;</t>
        </r>
      </text>
    </comment>
    <comment ref="P1190" authorId="0" shapeId="0" xr:uid="{334159AB-DC09-4D19-B81C-E7FC65BB02CF}">
      <text>
        <r>
          <rPr>
            <b/>
            <sz val="9"/>
            <color indexed="81"/>
            <rFont val="Tahoma"/>
            <family val="2"/>
          </rPr>
          <t>&lt;[[TCDeals] - [TC Property Current Stage (Seq: 1)] - [Buildings (Seq: 3)] Acq PIS Date - Both]&gt;</t>
        </r>
      </text>
    </comment>
    <comment ref="Q1190" authorId="0" shapeId="0" xr:uid="{D13414FD-96DA-46B3-909C-667774A37926}">
      <text>
        <r>
          <rPr>
            <b/>
            <sz val="9"/>
            <color indexed="81"/>
            <rFont val="Tahoma"/>
            <family val="2"/>
          </rPr>
          <t>&lt;[[TCDeals] - [TC Property Current Stage (Seq: 1)] - [Buildings (Seq: 3)] Acq Applicable Percentage - Both]&gt;</t>
        </r>
      </text>
    </comment>
    <comment ref="R1190" authorId="0" shapeId="0" xr:uid="{29C519C5-6FC3-41EF-95CE-BA8D2DF8CCAB}">
      <text>
        <r>
          <rPr>
            <b/>
            <sz val="9"/>
            <color indexed="81"/>
            <rFont val="Tahoma"/>
            <family val="2"/>
          </rPr>
          <t>&lt;[[TCDeals] - [TC Property Current Stage (Seq: 1)] - [Buildings (Seq: 3)] Acq Est Qual Basis - Both]&gt;</t>
        </r>
      </text>
    </comment>
    <comment ref="S1190" authorId="0" shapeId="0" xr:uid="{DA6A0D33-C79C-4E1C-A6A6-90ABB27192C0}">
      <text>
        <r>
          <rPr>
            <b/>
            <sz val="9"/>
            <color indexed="81"/>
            <rFont val="Tahoma"/>
            <family val="2"/>
          </rPr>
          <t>&lt;[[TCDeals] - [TC Property Current Stage (Seq: 1)] - [Buildings (Seq: 3)] Acq 8609 Basis - Both]&gt;</t>
        </r>
      </text>
    </comment>
    <comment ref="T1190" authorId="0" shapeId="0" xr:uid="{ED062226-9683-4913-AEC8-3CEA1024E536}">
      <text>
        <r>
          <rPr>
            <b/>
            <sz val="9"/>
            <color indexed="81"/>
            <rFont val="Tahoma"/>
            <family val="2"/>
          </rPr>
          <t>&lt;[[TCDeals] - [TC Property Current Stage (Seq: 1)] - [Buildings (Seq: 3)] Acq 8609 Credit - Both]&gt;</t>
        </r>
      </text>
    </comment>
    <comment ref="C1191" authorId="0" shapeId="0" xr:uid="{DC703961-C898-48E9-8781-0DCA22AEADF1}">
      <text>
        <r>
          <rPr>
            <b/>
            <sz val="9"/>
            <color indexed="81"/>
            <rFont val="Tahoma"/>
            <family val="2"/>
          </rPr>
          <t>&lt;[[TCDeals] - [TC Property Current Stage (Seq: 1)] - [Buildings (Seq: 4)] BIN - Both]&gt;</t>
        </r>
      </text>
    </comment>
    <comment ref="D1191" authorId="0" shapeId="0" xr:uid="{664CB0DE-359F-40D6-9604-57D06D08F4EA}">
      <text>
        <r>
          <rPr>
            <b/>
            <sz val="9"/>
            <color indexed="81"/>
            <rFont val="Tahoma"/>
            <family val="2"/>
          </rPr>
          <t>&lt;[[TCDeals] - [TC Property Current Stage (Seq: 1)] - [Buildings (Seq: 4)] Address 1 - Both]&gt;</t>
        </r>
      </text>
    </comment>
    <comment ref="E1191" authorId="0" shapeId="0" xr:uid="{219C0786-7880-429C-B0DE-AF5D4BA82CFB}">
      <text>
        <r>
          <rPr>
            <b/>
            <sz val="9"/>
            <color indexed="81"/>
            <rFont val="Tahoma"/>
            <family val="2"/>
          </rPr>
          <t>&lt;[[TCDeals] - [TC Property Current Stage (Seq: 1)] - [Buildings (Seq: 4)] Num TC Units - Both]&gt;</t>
        </r>
      </text>
    </comment>
    <comment ref="F1191" authorId="0" shapeId="0" xr:uid="{03814A8C-18E6-4DAC-BA4A-FE35C7A05B8E}">
      <text>
        <r>
          <rPr>
            <b/>
            <sz val="9"/>
            <color indexed="81"/>
            <rFont val="Tahoma"/>
            <family val="2"/>
          </rPr>
          <t>&lt;[[TCDeals] - [TC Property Current Stage (Seq: 1)] - [Buildings (Seq: 4)] PVC PIS Date - Both]&gt;</t>
        </r>
      </text>
    </comment>
    <comment ref="G1191" authorId="0" shapeId="0" xr:uid="{9BA1189B-4AA2-4EB4-9E84-3AED6A2EDBFF}">
      <text>
        <r>
          <rPr>
            <b/>
            <sz val="9"/>
            <color indexed="81"/>
            <rFont val="Tahoma"/>
            <family val="2"/>
          </rPr>
          <t>&lt;[[TCDeals] - [TC Property Current Stage (Seq: 1)] - [Buildings (Seq: 4)] PVC Applicable Percentage - Both]&gt;</t>
        </r>
      </text>
    </comment>
    <comment ref="H1191" authorId="0" shapeId="0" xr:uid="{4BBEFCD0-F4B8-4B05-A8A9-0C077D3AAA02}">
      <text>
        <r>
          <rPr>
            <b/>
            <sz val="9"/>
            <color indexed="81"/>
            <rFont val="Tahoma"/>
            <family val="2"/>
          </rPr>
          <t>&lt;[[TCDeals] - [TC Property Current Stage (Seq: 1)] - [Buildings (Seq: 4)] PVC Est Qual Basis - Both]&gt;</t>
        </r>
      </text>
    </comment>
    <comment ref="I1191" authorId="0" shapeId="0" xr:uid="{0794DCD5-173F-4E73-AE0C-484581AD74F5}">
      <text>
        <r>
          <rPr>
            <b/>
            <sz val="9"/>
            <color indexed="81"/>
            <rFont val="Tahoma"/>
            <family val="2"/>
          </rPr>
          <t>&lt;[[TCDeals] - [TC Property Current Stage (Seq: 1)] - [Buildings (Seq: 4)] PVC8609 Basis - Both]&gt;</t>
        </r>
      </text>
    </comment>
    <comment ref="J1191" authorId="0" shapeId="0" xr:uid="{0C2F6957-2FA1-40F0-B573-CEA2AE993885}">
      <text>
        <r>
          <rPr>
            <b/>
            <sz val="9"/>
            <color indexed="81"/>
            <rFont val="Tahoma"/>
            <family val="2"/>
          </rPr>
          <t>&lt;[[TCDeals] - [TC Property Current Stage (Seq: 1)] - [Buildings (Seq: 4)] PVC8609 Credit - Both]&gt;</t>
        </r>
      </text>
    </comment>
    <comment ref="K1191" authorId="0" shapeId="0" xr:uid="{F158CA07-497F-46B9-8A44-A733F5B6E308}">
      <text>
        <r>
          <rPr>
            <b/>
            <sz val="9"/>
            <color indexed="81"/>
            <rFont val="Tahoma"/>
            <family val="2"/>
          </rPr>
          <t>&lt;[[TCDeals] - [TC Property Current Stage (Seq: 1)] - [Buildings (Seq: 4)] Constr PIS Date - Both]&gt;</t>
        </r>
      </text>
    </comment>
    <comment ref="L1191" authorId="0" shapeId="0" xr:uid="{3EF6FCB0-E786-4D59-9B9E-FB1966FBAD88}">
      <text>
        <r>
          <rPr>
            <b/>
            <sz val="9"/>
            <color indexed="81"/>
            <rFont val="Tahoma"/>
            <family val="2"/>
          </rPr>
          <t>&lt;[[TCDeals] - [TC Property Current Stage (Seq: 1)] - [Buildings (Seq: 4)] Constr Applicable Percentage - Both]&gt;</t>
        </r>
      </text>
    </comment>
    <comment ref="M1191" authorId="0" shapeId="0" xr:uid="{1EC7AF51-107F-4F72-89A8-49496AD2B260}">
      <text>
        <r>
          <rPr>
            <b/>
            <sz val="9"/>
            <color indexed="81"/>
            <rFont val="Tahoma"/>
            <family val="2"/>
          </rPr>
          <t>&lt;[[TCDeals] - [TC Property Current Stage (Seq: 1)] - [Buildings (Seq: 4)] Constr Est Qual Basis - Both]&gt;</t>
        </r>
      </text>
    </comment>
    <comment ref="N1191" authorId="0" shapeId="0" xr:uid="{ED983F6C-F324-41C0-8894-F6C478550D76}">
      <text>
        <r>
          <rPr>
            <b/>
            <sz val="9"/>
            <color indexed="81"/>
            <rFont val="Tahoma"/>
            <family val="2"/>
          </rPr>
          <t>&lt;[[TCDeals] - [TC Property Current Stage (Seq: 1)] - [Buildings (Seq: 4)] Constr 8609 Basis - Both]&gt;</t>
        </r>
      </text>
    </comment>
    <comment ref="O1191" authorId="0" shapeId="0" xr:uid="{2742D035-8504-43F2-B972-80A44D363529}">
      <text>
        <r>
          <rPr>
            <b/>
            <sz val="9"/>
            <color indexed="81"/>
            <rFont val="Tahoma"/>
            <family val="2"/>
          </rPr>
          <t>&lt;[[TCDeals] - [TC Property Current Stage (Seq: 1)] - [Buildings (Seq: 4)] Constr 8609 Credit - Both]&gt;</t>
        </r>
      </text>
    </comment>
    <comment ref="P1191" authorId="0" shapeId="0" xr:uid="{0B1E47E1-9FD1-4A7B-9ADF-C29F52BDAA2B}">
      <text>
        <r>
          <rPr>
            <b/>
            <sz val="9"/>
            <color indexed="81"/>
            <rFont val="Tahoma"/>
            <family val="2"/>
          </rPr>
          <t>&lt;[[TCDeals] - [TC Property Current Stage (Seq: 1)] - [Buildings (Seq: 4)] Acq PIS Date - Both]&gt;</t>
        </r>
      </text>
    </comment>
    <comment ref="Q1191" authorId="0" shapeId="0" xr:uid="{7227F310-DDD9-47E2-A2A4-2C5546E52981}">
      <text>
        <r>
          <rPr>
            <b/>
            <sz val="9"/>
            <color indexed="81"/>
            <rFont val="Tahoma"/>
            <family val="2"/>
          </rPr>
          <t>&lt;[[TCDeals] - [TC Property Current Stage (Seq: 1)] - [Buildings (Seq: 4)] Acq Applicable Percentage - Both]&gt;</t>
        </r>
      </text>
    </comment>
    <comment ref="R1191" authorId="0" shapeId="0" xr:uid="{FD83E607-C883-453C-9C91-6325F3DDD6C6}">
      <text>
        <r>
          <rPr>
            <b/>
            <sz val="9"/>
            <color indexed="81"/>
            <rFont val="Tahoma"/>
            <family val="2"/>
          </rPr>
          <t>&lt;[[TCDeals] - [TC Property Current Stage (Seq: 1)] - [Buildings (Seq: 4)] Acq Est Qual Basis - Both]&gt;</t>
        </r>
      </text>
    </comment>
    <comment ref="S1191" authorId="0" shapeId="0" xr:uid="{06BB1361-F566-4A2F-A385-EDD39512BB03}">
      <text>
        <r>
          <rPr>
            <b/>
            <sz val="9"/>
            <color indexed="81"/>
            <rFont val="Tahoma"/>
            <family val="2"/>
          </rPr>
          <t>&lt;[[TCDeals] - [TC Property Current Stage (Seq: 1)] - [Buildings (Seq: 4)] Acq 8609 Basis - Both]&gt;</t>
        </r>
      </text>
    </comment>
    <comment ref="T1191" authorId="0" shapeId="0" xr:uid="{13565E48-F449-440C-841C-7054E1278D46}">
      <text>
        <r>
          <rPr>
            <b/>
            <sz val="9"/>
            <color indexed="81"/>
            <rFont val="Tahoma"/>
            <family val="2"/>
          </rPr>
          <t>&lt;[[TCDeals] - [TC Property Current Stage (Seq: 1)] - [Buildings (Seq: 4)] Acq 8609 Credit - Both]&gt;</t>
        </r>
      </text>
    </comment>
    <comment ref="C1192" authorId="0" shapeId="0" xr:uid="{69170862-2791-4196-91CA-01E14F12FA92}">
      <text>
        <r>
          <rPr>
            <b/>
            <sz val="9"/>
            <color indexed="81"/>
            <rFont val="Tahoma"/>
            <family val="2"/>
          </rPr>
          <t>&lt;[[TCDeals] - [TC Property Current Stage (Seq: 1)] - [Buildings (Seq: 5)] BIN - Both]&gt;</t>
        </r>
      </text>
    </comment>
    <comment ref="D1192" authorId="0" shapeId="0" xr:uid="{5CA233C3-C20D-4C97-BC88-5B37F14DDA92}">
      <text>
        <r>
          <rPr>
            <b/>
            <sz val="9"/>
            <color indexed="81"/>
            <rFont val="Tahoma"/>
            <family val="2"/>
          </rPr>
          <t>&lt;[[TCDeals] - [TC Property Current Stage (Seq: 1)] - [Buildings (Seq: 5)] Address 1 - Both]&gt;</t>
        </r>
      </text>
    </comment>
    <comment ref="E1192" authorId="0" shapeId="0" xr:uid="{D8F57DD9-66B4-4816-8637-5581DF3FDBF6}">
      <text>
        <r>
          <rPr>
            <b/>
            <sz val="9"/>
            <color indexed="81"/>
            <rFont val="Tahoma"/>
            <family val="2"/>
          </rPr>
          <t>&lt;[[TCDeals] - [TC Property Current Stage (Seq: 1)] - [Buildings (Seq: 5)] Num TC Units - Both]&gt;</t>
        </r>
      </text>
    </comment>
    <comment ref="F1192" authorId="0" shapeId="0" xr:uid="{72BFE7BB-0EC3-4C43-BFAD-B11C61EB3E2E}">
      <text>
        <r>
          <rPr>
            <b/>
            <sz val="9"/>
            <color indexed="81"/>
            <rFont val="Tahoma"/>
            <family val="2"/>
          </rPr>
          <t>&lt;[[TCDeals] - [TC Property Current Stage (Seq: 1)] - [Buildings (Seq: 5)] PVC PIS Date - Both]&gt;</t>
        </r>
      </text>
    </comment>
    <comment ref="G1192" authorId="0" shapeId="0" xr:uid="{534609FF-B71C-4A5B-99A6-8DAA6078CA02}">
      <text>
        <r>
          <rPr>
            <b/>
            <sz val="9"/>
            <color indexed="81"/>
            <rFont val="Tahoma"/>
            <family val="2"/>
          </rPr>
          <t>&lt;[[TCDeals] - [TC Property Current Stage (Seq: 1)] - [Buildings (Seq: 5)] PVC Applicable Percentage - Both]&gt;</t>
        </r>
      </text>
    </comment>
    <comment ref="H1192" authorId="0" shapeId="0" xr:uid="{A519A491-658C-43AD-B993-7CF863A94CFE}">
      <text>
        <r>
          <rPr>
            <b/>
            <sz val="9"/>
            <color indexed="81"/>
            <rFont val="Tahoma"/>
            <family val="2"/>
          </rPr>
          <t>&lt;[[TCDeals] - [TC Property Current Stage (Seq: 1)] - [Buildings (Seq: 5)] PVC Est Qual Basis - Both]&gt;</t>
        </r>
      </text>
    </comment>
    <comment ref="I1192" authorId="0" shapeId="0" xr:uid="{F1824F8F-D45F-452D-857D-2076F169243F}">
      <text>
        <r>
          <rPr>
            <b/>
            <sz val="9"/>
            <color indexed="81"/>
            <rFont val="Tahoma"/>
            <family val="2"/>
          </rPr>
          <t>&lt;[[TCDeals] - [TC Property Current Stage (Seq: 1)] - [Buildings (Seq: 5)] PVC8609 Basis - Both]&gt;</t>
        </r>
      </text>
    </comment>
    <comment ref="J1192" authorId="0" shapeId="0" xr:uid="{FA9E40A6-F857-4867-B5D4-FA7C8A692B03}">
      <text>
        <r>
          <rPr>
            <b/>
            <sz val="9"/>
            <color indexed="81"/>
            <rFont val="Tahoma"/>
            <family val="2"/>
          </rPr>
          <t>&lt;[[TCDeals] - [TC Property Current Stage (Seq: 1)] - [Buildings (Seq: 5)] PVC8609 Credit - Both]&gt;</t>
        </r>
      </text>
    </comment>
    <comment ref="K1192" authorId="0" shapeId="0" xr:uid="{4F1D9D6F-956C-4209-852C-42FF5CB992E8}">
      <text>
        <r>
          <rPr>
            <b/>
            <sz val="9"/>
            <color indexed="81"/>
            <rFont val="Tahoma"/>
            <family val="2"/>
          </rPr>
          <t>&lt;[[TCDeals] - [TC Property Current Stage (Seq: 1)] - [Buildings (Seq: 5)] Constr PIS Date - Both]&gt;</t>
        </r>
      </text>
    </comment>
    <comment ref="L1192" authorId="0" shapeId="0" xr:uid="{C3696C2C-3739-4CDC-A892-5CA3AFB9C109}">
      <text>
        <r>
          <rPr>
            <b/>
            <sz val="9"/>
            <color indexed="81"/>
            <rFont val="Tahoma"/>
            <family val="2"/>
          </rPr>
          <t>&lt;[[TCDeals] - [TC Property Current Stage (Seq: 1)] - [Buildings (Seq: 5)] Constr Applicable Percentage - Both]&gt;</t>
        </r>
      </text>
    </comment>
    <comment ref="M1192" authorId="0" shapeId="0" xr:uid="{AC9EBBEA-8226-4EC0-BF10-F7BC3E9624BB}">
      <text>
        <r>
          <rPr>
            <b/>
            <sz val="9"/>
            <color indexed="81"/>
            <rFont val="Tahoma"/>
            <family val="2"/>
          </rPr>
          <t>&lt;[[TCDeals] - [TC Property Current Stage (Seq: 1)] - [Buildings (Seq: 5)] Constr Est Qual Basis - Both]&gt;</t>
        </r>
      </text>
    </comment>
    <comment ref="N1192" authorId="0" shapeId="0" xr:uid="{4AD338B3-7832-4803-B535-A5F43EC04F33}">
      <text>
        <r>
          <rPr>
            <b/>
            <sz val="9"/>
            <color indexed="81"/>
            <rFont val="Tahoma"/>
            <family val="2"/>
          </rPr>
          <t>&lt;[[TCDeals] - [TC Property Current Stage (Seq: 1)] - [Buildings (Seq: 5)] Constr 8609 Basis - Both]&gt;</t>
        </r>
      </text>
    </comment>
    <comment ref="O1192" authorId="0" shapeId="0" xr:uid="{2BB50D12-86A0-47C6-8421-1F72A27D978C}">
      <text>
        <r>
          <rPr>
            <b/>
            <sz val="9"/>
            <color indexed="81"/>
            <rFont val="Tahoma"/>
            <family val="2"/>
          </rPr>
          <t>&lt;[[TCDeals] - [TC Property Current Stage (Seq: 1)] - [Buildings (Seq: 5)] Constr 8609 Credit - Both]&gt;</t>
        </r>
      </text>
    </comment>
    <comment ref="P1192" authorId="0" shapeId="0" xr:uid="{4FA301C9-F84D-4D45-BBB9-07F74D120E95}">
      <text>
        <r>
          <rPr>
            <b/>
            <sz val="9"/>
            <color indexed="81"/>
            <rFont val="Tahoma"/>
            <family val="2"/>
          </rPr>
          <t>&lt;[[TCDeals] - [TC Property Current Stage (Seq: 1)] - [Buildings (Seq: 5)] Acq PIS Date - Both]&gt;</t>
        </r>
      </text>
    </comment>
    <comment ref="Q1192" authorId="0" shapeId="0" xr:uid="{14BDF2EA-B934-4D3C-A904-E48EA877FFAD}">
      <text>
        <r>
          <rPr>
            <b/>
            <sz val="9"/>
            <color indexed="81"/>
            <rFont val="Tahoma"/>
            <family val="2"/>
          </rPr>
          <t>&lt;[[TCDeals] - [TC Property Current Stage (Seq: 1)] - [Buildings (Seq: 5)] Acq Applicable Percentage - Both]&gt;</t>
        </r>
      </text>
    </comment>
    <comment ref="R1192" authorId="0" shapeId="0" xr:uid="{D3EC7560-FC41-4849-AD2D-ECBCD4E276C5}">
      <text>
        <r>
          <rPr>
            <b/>
            <sz val="9"/>
            <color indexed="81"/>
            <rFont val="Tahoma"/>
            <family val="2"/>
          </rPr>
          <t>&lt;[[TCDeals] - [TC Property Current Stage (Seq: 1)] - [Buildings (Seq: 5)] Acq Est Qual Basis - Both]&gt;</t>
        </r>
      </text>
    </comment>
    <comment ref="S1192" authorId="0" shapeId="0" xr:uid="{424C4A7B-1AD0-4094-942A-78B98B3901D4}">
      <text>
        <r>
          <rPr>
            <b/>
            <sz val="9"/>
            <color indexed="81"/>
            <rFont val="Tahoma"/>
            <family val="2"/>
          </rPr>
          <t>&lt;[[TCDeals] - [TC Property Current Stage (Seq: 1)] - [Buildings (Seq: 5)] Acq 8609 Basis - Both]&gt;</t>
        </r>
      </text>
    </comment>
    <comment ref="T1192" authorId="0" shapeId="0" xr:uid="{527DFE4F-5AE1-4DE9-8EBA-A7C4FE1F09D5}">
      <text>
        <r>
          <rPr>
            <b/>
            <sz val="9"/>
            <color indexed="81"/>
            <rFont val="Tahoma"/>
            <family val="2"/>
          </rPr>
          <t>&lt;[[TCDeals] - [TC Property Current Stage (Seq: 1)] - [Buildings (Seq: 5)] Acq 8609 Credit - Both]&gt;</t>
        </r>
      </text>
    </comment>
    <comment ref="C1193" authorId="0" shapeId="0" xr:uid="{D3167E36-2C4E-4728-B4E8-3FF41EEFC5DF}">
      <text>
        <r>
          <rPr>
            <b/>
            <sz val="9"/>
            <color indexed="81"/>
            <rFont val="Tahoma"/>
            <family val="2"/>
          </rPr>
          <t>&lt;[[TCDeals] - [TC Property Current Stage (Seq: 1)] - [Buildings (Seq: 6)] BIN - Both]&gt;</t>
        </r>
      </text>
    </comment>
    <comment ref="D1193" authorId="0" shapeId="0" xr:uid="{72F64212-DDB4-4895-A06C-D0E0DF5F8777}">
      <text>
        <r>
          <rPr>
            <b/>
            <sz val="9"/>
            <color indexed="81"/>
            <rFont val="Tahoma"/>
            <family val="2"/>
          </rPr>
          <t>&lt;[[TCDeals] - [TC Property Current Stage (Seq: 1)] - [Buildings (Seq: 6)] Address 1 - Both]&gt;</t>
        </r>
      </text>
    </comment>
    <comment ref="E1193" authorId="0" shapeId="0" xr:uid="{6B3933D1-9A3D-451C-8B8A-E6685E2FA493}">
      <text>
        <r>
          <rPr>
            <b/>
            <sz val="9"/>
            <color indexed="81"/>
            <rFont val="Tahoma"/>
            <family val="2"/>
          </rPr>
          <t>&lt;[[TCDeals] - [TC Property Current Stage (Seq: 1)] - [Buildings (Seq: 6)] Num TC Units - Both]&gt;</t>
        </r>
      </text>
    </comment>
    <comment ref="F1193" authorId="0" shapeId="0" xr:uid="{B183FFEF-F66B-4A70-8730-3A36B1EC9041}">
      <text>
        <r>
          <rPr>
            <b/>
            <sz val="9"/>
            <color indexed="81"/>
            <rFont val="Tahoma"/>
            <family val="2"/>
          </rPr>
          <t>&lt;[[TCDeals] - [TC Property Current Stage (Seq: 1)] - [Buildings (Seq: 6)] PVC PIS Date - Both]&gt;</t>
        </r>
      </text>
    </comment>
    <comment ref="G1193" authorId="0" shapeId="0" xr:uid="{4062BBA6-FC6C-4ADD-B321-97DD3DB08104}">
      <text>
        <r>
          <rPr>
            <b/>
            <sz val="9"/>
            <color indexed="81"/>
            <rFont val="Tahoma"/>
            <family val="2"/>
          </rPr>
          <t>&lt;[[TCDeals] - [TC Property Current Stage (Seq: 1)] - [Buildings (Seq: 6)] PVC Applicable Percentage - Both]&gt;</t>
        </r>
      </text>
    </comment>
    <comment ref="H1193" authorId="0" shapeId="0" xr:uid="{6726ADD5-1DFD-4FCC-A8A0-4BEBED1A8A1A}">
      <text>
        <r>
          <rPr>
            <b/>
            <sz val="9"/>
            <color indexed="81"/>
            <rFont val="Tahoma"/>
            <family val="2"/>
          </rPr>
          <t>&lt;[[TCDeals] - [TC Property Current Stage (Seq: 1)] - [Buildings (Seq: 6)] PVC Est Qual Basis - Both]&gt;</t>
        </r>
      </text>
    </comment>
    <comment ref="I1193" authorId="0" shapeId="0" xr:uid="{CB8FE619-9FE9-4DBD-BF6B-5A341B15CBD5}">
      <text>
        <r>
          <rPr>
            <b/>
            <sz val="9"/>
            <color indexed="81"/>
            <rFont val="Tahoma"/>
            <family val="2"/>
          </rPr>
          <t>&lt;[[TCDeals] - [TC Property Current Stage (Seq: 1)] - [Buildings (Seq: 6)] PVC8609 Basis - Both]&gt;</t>
        </r>
      </text>
    </comment>
    <comment ref="J1193" authorId="0" shapeId="0" xr:uid="{F9F54E76-25D7-4B4E-84E0-6FFD9946741E}">
      <text>
        <r>
          <rPr>
            <b/>
            <sz val="9"/>
            <color indexed="81"/>
            <rFont val="Tahoma"/>
            <family val="2"/>
          </rPr>
          <t>&lt;[[TCDeals] - [TC Property Current Stage (Seq: 1)] - [Buildings (Seq: 6)] PVC8609 Credit - Both]&gt;</t>
        </r>
      </text>
    </comment>
    <comment ref="K1193" authorId="0" shapeId="0" xr:uid="{2281CD75-DBDF-4B88-B9AA-9A7A1C3C0795}">
      <text>
        <r>
          <rPr>
            <b/>
            <sz val="9"/>
            <color indexed="81"/>
            <rFont val="Tahoma"/>
            <family val="2"/>
          </rPr>
          <t>&lt;[[TCDeals] - [TC Property Current Stage (Seq: 1)] - [Buildings (Seq: 6)] Constr PIS Date - Both]&gt;</t>
        </r>
      </text>
    </comment>
    <comment ref="L1193" authorId="0" shapeId="0" xr:uid="{33DD9098-BCD9-4328-86AB-80204B093FE7}">
      <text>
        <r>
          <rPr>
            <b/>
            <sz val="9"/>
            <color indexed="81"/>
            <rFont val="Tahoma"/>
            <family val="2"/>
          </rPr>
          <t>&lt;[[TCDeals] - [TC Property Current Stage (Seq: 1)] - [Buildings (Seq: 6)] Constr Applicable Percentage - Both]&gt;</t>
        </r>
      </text>
    </comment>
    <comment ref="M1193" authorId="0" shapeId="0" xr:uid="{560DA8B4-3B20-4865-AF51-B90A9FA85FB1}">
      <text>
        <r>
          <rPr>
            <b/>
            <sz val="9"/>
            <color indexed="81"/>
            <rFont val="Tahoma"/>
            <family val="2"/>
          </rPr>
          <t>&lt;[[TCDeals] - [TC Property Current Stage (Seq: 1)] - [Buildings (Seq: 6)] Constr Est Qual Basis - Both]&gt;</t>
        </r>
      </text>
    </comment>
    <comment ref="N1193" authorId="0" shapeId="0" xr:uid="{A0E6EA73-82CA-470F-8250-A5EAD45E214B}">
      <text>
        <r>
          <rPr>
            <b/>
            <sz val="9"/>
            <color indexed="81"/>
            <rFont val="Tahoma"/>
            <family val="2"/>
          </rPr>
          <t>&lt;[[TCDeals] - [TC Property Current Stage (Seq: 1)] - [Buildings (Seq: 6)] Constr 8609 Basis - Both]&gt;</t>
        </r>
      </text>
    </comment>
    <comment ref="O1193" authorId="0" shapeId="0" xr:uid="{97719F8E-A449-41A6-8883-D3E764A02AAD}">
      <text>
        <r>
          <rPr>
            <b/>
            <sz val="9"/>
            <color indexed="81"/>
            <rFont val="Tahoma"/>
            <family val="2"/>
          </rPr>
          <t>&lt;[[TCDeals] - [TC Property Current Stage (Seq: 1)] - [Buildings (Seq: 6)] Constr 8609 Credit - Both]&gt;</t>
        </r>
      </text>
    </comment>
    <comment ref="P1193" authorId="0" shapeId="0" xr:uid="{93AB1651-0054-48F3-9080-AA9CDB7C38F0}">
      <text>
        <r>
          <rPr>
            <b/>
            <sz val="9"/>
            <color indexed="81"/>
            <rFont val="Tahoma"/>
            <family val="2"/>
          </rPr>
          <t>&lt;[[TCDeals] - [TC Property Current Stage (Seq: 1)] - [Buildings (Seq: 6)] Acq PIS Date - Both]&gt;</t>
        </r>
      </text>
    </comment>
    <comment ref="Q1193" authorId="0" shapeId="0" xr:uid="{76E60BC1-E102-4F1E-A448-1E8B23022E20}">
      <text>
        <r>
          <rPr>
            <b/>
            <sz val="9"/>
            <color indexed="81"/>
            <rFont val="Tahoma"/>
            <family val="2"/>
          </rPr>
          <t>&lt;[[TCDeals] - [TC Property Current Stage (Seq: 1)] - [Buildings (Seq: 6)] Acq Applicable Percentage - Both]&gt;</t>
        </r>
      </text>
    </comment>
    <comment ref="R1193" authorId="0" shapeId="0" xr:uid="{A8BCB3B3-560C-4818-8B01-21F384C52BFF}">
      <text>
        <r>
          <rPr>
            <b/>
            <sz val="9"/>
            <color indexed="81"/>
            <rFont val="Tahoma"/>
            <family val="2"/>
          </rPr>
          <t>&lt;[[TCDeals] - [TC Property Current Stage (Seq: 1)] - [Buildings (Seq: 6)] Acq Est Qual Basis - Both]&gt;</t>
        </r>
      </text>
    </comment>
    <comment ref="S1193" authorId="0" shapeId="0" xr:uid="{F90AF18F-04DC-4782-BAEB-23021757C4FF}">
      <text>
        <r>
          <rPr>
            <b/>
            <sz val="9"/>
            <color indexed="81"/>
            <rFont val="Tahoma"/>
            <family val="2"/>
          </rPr>
          <t>&lt;[[TCDeals] - [TC Property Current Stage (Seq: 1)] - [Buildings (Seq: 6)] Acq 8609 Basis - Both]&gt;</t>
        </r>
      </text>
    </comment>
    <comment ref="T1193" authorId="0" shapeId="0" xr:uid="{2626E55B-89F6-4173-815B-DB1178310648}">
      <text>
        <r>
          <rPr>
            <b/>
            <sz val="9"/>
            <color indexed="81"/>
            <rFont val="Tahoma"/>
            <family val="2"/>
          </rPr>
          <t>&lt;[[TCDeals] - [TC Property Current Stage (Seq: 1)] - [Buildings (Seq: 6)] Acq 8609 Credit - Both]&gt;</t>
        </r>
      </text>
    </comment>
    <comment ref="C1194" authorId="0" shapeId="0" xr:uid="{656766CC-CE16-4063-B26A-2D17E7CCA84F}">
      <text>
        <r>
          <rPr>
            <b/>
            <sz val="9"/>
            <color indexed="81"/>
            <rFont val="Tahoma"/>
            <family val="2"/>
          </rPr>
          <t>&lt;[[TCDeals] - [TC Property Current Stage (Seq: 1)] - [Buildings (Seq: 7)] BIN - Both]&gt;</t>
        </r>
      </text>
    </comment>
    <comment ref="D1194" authorId="0" shapeId="0" xr:uid="{635E744E-EEAA-410B-9DC2-4C36423F732E}">
      <text>
        <r>
          <rPr>
            <b/>
            <sz val="9"/>
            <color indexed="81"/>
            <rFont val="Tahoma"/>
            <family val="2"/>
          </rPr>
          <t>&lt;[[TCDeals] - [TC Property Current Stage (Seq: 1)] - [Buildings (Seq: 7)] Address 1 - Both]&gt;</t>
        </r>
      </text>
    </comment>
    <comment ref="E1194" authorId="0" shapeId="0" xr:uid="{13E9476B-AB05-41F4-B58B-3F92A9E6F6EA}">
      <text>
        <r>
          <rPr>
            <b/>
            <sz val="9"/>
            <color indexed="81"/>
            <rFont val="Tahoma"/>
            <family val="2"/>
          </rPr>
          <t>&lt;[[TCDeals] - [TC Property Current Stage (Seq: 1)] - [Buildings (Seq: 7)] Num TC Units - Both]&gt;</t>
        </r>
      </text>
    </comment>
    <comment ref="F1194" authorId="0" shapeId="0" xr:uid="{77C8C4D2-BCF5-4902-95F1-A429FE29F3B3}">
      <text>
        <r>
          <rPr>
            <b/>
            <sz val="9"/>
            <color indexed="81"/>
            <rFont val="Tahoma"/>
            <family val="2"/>
          </rPr>
          <t>&lt;[[TCDeals] - [TC Property Current Stage (Seq: 1)] - [Buildings (Seq: 7)] PVC PIS Date - Both]&gt;</t>
        </r>
      </text>
    </comment>
    <comment ref="G1194" authorId="0" shapeId="0" xr:uid="{BB4DF8CF-71BA-4B60-848D-1A5AB40D2B8C}">
      <text>
        <r>
          <rPr>
            <b/>
            <sz val="9"/>
            <color indexed="81"/>
            <rFont val="Tahoma"/>
            <family val="2"/>
          </rPr>
          <t>&lt;[[TCDeals] - [TC Property Current Stage (Seq: 1)] - [Buildings (Seq: 7)] PVC Applicable Percentage - Both]&gt;</t>
        </r>
      </text>
    </comment>
    <comment ref="H1194" authorId="0" shapeId="0" xr:uid="{6746D2D0-1FC5-43E3-936B-0A785B6FF6FE}">
      <text>
        <r>
          <rPr>
            <b/>
            <sz val="9"/>
            <color indexed="81"/>
            <rFont val="Tahoma"/>
            <family val="2"/>
          </rPr>
          <t>&lt;[[TCDeals] - [TC Property Current Stage (Seq: 1)] - [Buildings (Seq: 7)] PVC Est Qual Basis - Both]&gt;</t>
        </r>
      </text>
    </comment>
    <comment ref="I1194" authorId="0" shapeId="0" xr:uid="{4D70E70B-5DA5-48A5-80C1-E8397B885F06}">
      <text>
        <r>
          <rPr>
            <b/>
            <sz val="9"/>
            <color indexed="81"/>
            <rFont val="Tahoma"/>
            <family val="2"/>
          </rPr>
          <t>&lt;[[TCDeals] - [TC Property Current Stage (Seq: 1)] - [Buildings (Seq: 7)] PVC8609 Basis - Both]&gt;</t>
        </r>
      </text>
    </comment>
    <comment ref="J1194" authorId="0" shapeId="0" xr:uid="{87151BB0-1815-4719-8C73-75C5823069FD}">
      <text>
        <r>
          <rPr>
            <b/>
            <sz val="9"/>
            <color indexed="81"/>
            <rFont val="Tahoma"/>
            <family val="2"/>
          </rPr>
          <t>&lt;[[TCDeals] - [TC Property Current Stage (Seq: 1)] - [Buildings (Seq: 7)] PVC8609 Credit - Both]&gt;</t>
        </r>
      </text>
    </comment>
    <comment ref="K1194" authorId="0" shapeId="0" xr:uid="{574BCFDF-5B2D-486A-8418-D86693D10024}">
      <text>
        <r>
          <rPr>
            <b/>
            <sz val="9"/>
            <color indexed="81"/>
            <rFont val="Tahoma"/>
            <family val="2"/>
          </rPr>
          <t>&lt;[[TCDeals] - [TC Property Current Stage (Seq: 1)] - [Buildings (Seq: 7)] Constr PIS Date - Both]&gt;</t>
        </r>
      </text>
    </comment>
    <comment ref="L1194" authorId="0" shapeId="0" xr:uid="{8C34A4D1-96A3-436A-B3AA-3CA768EF1A94}">
      <text>
        <r>
          <rPr>
            <b/>
            <sz val="9"/>
            <color indexed="81"/>
            <rFont val="Tahoma"/>
            <family val="2"/>
          </rPr>
          <t>&lt;[[TCDeals] - [TC Property Current Stage (Seq: 1)] - [Buildings (Seq: 7)] Constr Applicable Percentage - Both]&gt;</t>
        </r>
      </text>
    </comment>
    <comment ref="M1194" authorId="0" shapeId="0" xr:uid="{2C60F76D-2D39-47F3-B42D-26DFE20F0E1C}">
      <text>
        <r>
          <rPr>
            <b/>
            <sz val="9"/>
            <color indexed="81"/>
            <rFont val="Tahoma"/>
            <family val="2"/>
          </rPr>
          <t>&lt;[[TCDeals] - [TC Property Current Stage (Seq: 1)] - [Buildings (Seq: 7)] Constr Est Qual Basis - Both]&gt;</t>
        </r>
      </text>
    </comment>
    <comment ref="N1194" authorId="0" shapeId="0" xr:uid="{BBE5B009-0ABF-49E4-B998-FE202D82CB23}">
      <text>
        <r>
          <rPr>
            <b/>
            <sz val="9"/>
            <color indexed="81"/>
            <rFont val="Tahoma"/>
            <family val="2"/>
          </rPr>
          <t>&lt;[[TCDeals] - [TC Property Current Stage (Seq: 1)] - [Buildings (Seq: 7)] Constr 8609 Basis - Both]&gt;</t>
        </r>
      </text>
    </comment>
    <comment ref="O1194" authorId="0" shapeId="0" xr:uid="{13530C51-C8F8-41D2-8AE1-69A05EB755AA}">
      <text>
        <r>
          <rPr>
            <b/>
            <sz val="9"/>
            <color indexed="81"/>
            <rFont val="Tahoma"/>
            <family val="2"/>
          </rPr>
          <t>&lt;[[TCDeals] - [TC Property Current Stage (Seq: 1)] - [Buildings (Seq: 7)] Constr 8609 Credit - Both]&gt;</t>
        </r>
      </text>
    </comment>
    <comment ref="P1194" authorId="0" shapeId="0" xr:uid="{EDD74E67-C2D2-499C-BB33-6FE072041D93}">
      <text>
        <r>
          <rPr>
            <b/>
            <sz val="9"/>
            <color indexed="81"/>
            <rFont val="Tahoma"/>
            <family val="2"/>
          </rPr>
          <t>&lt;[[TCDeals] - [TC Property Current Stage (Seq: 1)] - [Buildings (Seq: 7)] Acq PIS Date - Both]&gt;</t>
        </r>
      </text>
    </comment>
    <comment ref="Q1194" authorId="0" shapeId="0" xr:uid="{AADA07F1-A493-42D5-8CA2-E0EE8B19D010}">
      <text>
        <r>
          <rPr>
            <b/>
            <sz val="9"/>
            <color indexed="81"/>
            <rFont val="Tahoma"/>
            <family val="2"/>
          </rPr>
          <t>&lt;[[TCDeals] - [TC Property Current Stage (Seq: 1)] - [Buildings (Seq: 7)] Acq Applicable Percentage - Both]&gt;</t>
        </r>
      </text>
    </comment>
    <comment ref="R1194" authorId="0" shapeId="0" xr:uid="{A391E432-48B4-4C3C-8FC6-46F188B97A99}">
      <text>
        <r>
          <rPr>
            <b/>
            <sz val="9"/>
            <color indexed="81"/>
            <rFont val="Tahoma"/>
            <family val="2"/>
          </rPr>
          <t>&lt;[[TCDeals] - [TC Property Current Stage (Seq: 1)] - [Buildings (Seq: 7)] Acq Est Qual Basis - Both]&gt;</t>
        </r>
      </text>
    </comment>
    <comment ref="S1194" authorId="0" shapeId="0" xr:uid="{ACF66553-E4B9-458C-A098-7EEF963C590D}">
      <text>
        <r>
          <rPr>
            <b/>
            <sz val="9"/>
            <color indexed="81"/>
            <rFont val="Tahoma"/>
            <family val="2"/>
          </rPr>
          <t>&lt;[[TCDeals] - [TC Property Current Stage (Seq: 1)] - [Buildings (Seq: 7)] Acq 8609 Basis - Both]&gt;</t>
        </r>
      </text>
    </comment>
    <comment ref="T1194" authorId="0" shapeId="0" xr:uid="{ED8D1C79-2727-4F64-8FDA-03BD5E881CD5}">
      <text>
        <r>
          <rPr>
            <b/>
            <sz val="9"/>
            <color indexed="81"/>
            <rFont val="Tahoma"/>
            <family val="2"/>
          </rPr>
          <t>&lt;[[TCDeals] - [TC Property Current Stage (Seq: 1)] - [Buildings (Seq: 7)] Acq 8609 Credit - Both]&gt;</t>
        </r>
      </text>
    </comment>
    <comment ref="C1195" authorId="0" shapeId="0" xr:uid="{508CC9CA-A422-42FF-A18E-808A92DAC369}">
      <text>
        <r>
          <rPr>
            <b/>
            <sz val="9"/>
            <color indexed="81"/>
            <rFont val="Tahoma"/>
            <family val="2"/>
          </rPr>
          <t>&lt;[[TCDeals] - [TC Property Current Stage (Seq: 1)] - [Buildings (Seq: 8)] BIN - Both]&gt;</t>
        </r>
      </text>
    </comment>
    <comment ref="D1195" authorId="0" shapeId="0" xr:uid="{7B17671A-DB1E-4FC2-995E-922B0D7BBBCF}">
      <text>
        <r>
          <rPr>
            <b/>
            <sz val="9"/>
            <color indexed="81"/>
            <rFont val="Tahoma"/>
            <family val="2"/>
          </rPr>
          <t>&lt;[[TCDeals] - [TC Property Current Stage (Seq: 1)] - [Buildings (Seq: 8)] Address 1 - Both]&gt;</t>
        </r>
      </text>
    </comment>
    <comment ref="E1195" authorId="0" shapeId="0" xr:uid="{04B3CB87-C1DF-4F35-BF5A-C082FDA6915D}">
      <text>
        <r>
          <rPr>
            <b/>
            <sz val="9"/>
            <color indexed="81"/>
            <rFont val="Tahoma"/>
            <family val="2"/>
          </rPr>
          <t>&lt;[[TCDeals] - [TC Property Current Stage (Seq: 1)] - [Buildings (Seq: 8)] Num TC Units - Both]&gt;</t>
        </r>
      </text>
    </comment>
    <comment ref="F1195" authorId="0" shapeId="0" xr:uid="{917C5E77-51D8-4EF3-9D1B-EC64830D7479}">
      <text>
        <r>
          <rPr>
            <b/>
            <sz val="9"/>
            <color indexed="81"/>
            <rFont val="Tahoma"/>
            <family val="2"/>
          </rPr>
          <t>&lt;[[TCDeals] - [TC Property Current Stage (Seq: 1)] - [Buildings (Seq: 8)] PVC PIS Date - Both]&gt;</t>
        </r>
      </text>
    </comment>
    <comment ref="G1195" authorId="0" shapeId="0" xr:uid="{BD8FE622-CF58-4458-9B4B-822898DE2ED0}">
      <text>
        <r>
          <rPr>
            <b/>
            <sz val="9"/>
            <color indexed="81"/>
            <rFont val="Tahoma"/>
            <family val="2"/>
          </rPr>
          <t>&lt;[[TCDeals] - [TC Property Current Stage (Seq: 1)] - [Buildings (Seq: 8)] PVC Applicable Percentage - Both]&gt;</t>
        </r>
      </text>
    </comment>
    <comment ref="H1195" authorId="0" shapeId="0" xr:uid="{4AEC3BCE-AB2B-406A-AB76-B822933F70AD}">
      <text>
        <r>
          <rPr>
            <b/>
            <sz val="9"/>
            <color indexed="81"/>
            <rFont val="Tahoma"/>
            <family val="2"/>
          </rPr>
          <t>&lt;[[TCDeals] - [TC Property Current Stage (Seq: 1)] - [Buildings (Seq: 8)] PVC Est Qual Basis - Both]&gt;</t>
        </r>
      </text>
    </comment>
    <comment ref="I1195" authorId="0" shapeId="0" xr:uid="{06185061-E774-487E-9177-ACCCCFEAEFE0}">
      <text>
        <r>
          <rPr>
            <b/>
            <sz val="9"/>
            <color indexed="81"/>
            <rFont val="Tahoma"/>
            <family val="2"/>
          </rPr>
          <t>&lt;[[TCDeals] - [TC Property Current Stage (Seq: 1)] - [Buildings (Seq: 8)] PVC8609 Basis - Both]&gt;</t>
        </r>
      </text>
    </comment>
    <comment ref="J1195" authorId="0" shapeId="0" xr:uid="{E0990803-3B3E-4031-9B54-957CC2CDCC80}">
      <text>
        <r>
          <rPr>
            <b/>
            <sz val="9"/>
            <color indexed="81"/>
            <rFont val="Tahoma"/>
            <family val="2"/>
          </rPr>
          <t>&lt;[[TCDeals] - [TC Property Current Stage (Seq: 1)] - [Buildings (Seq: 8)] PVC8609 Credit - Both]&gt;</t>
        </r>
      </text>
    </comment>
    <comment ref="K1195" authorId="0" shapeId="0" xr:uid="{A30DFE00-A6C1-4194-A27C-165535F285FA}">
      <text>
        <r>
          <rPr>
            <b/>
            <sz val="9"/>
            <color indexed="81"/>
            <rFont val="Tahoma"/>
            <family val="2"/>
          </rPr>
          <t>&lt;[[TCDeals] - [TC Property Current Stage (Seq: 1)] - [Buildings (Seq: 8)] Constr PIS Date - Both]&gt;</t>
        </r>
      </text>
    </comment>
    <comment ref="L1195" authorId="0" shapeId="0" xr:uid="{26A21F17-D61E-4F09-8F5B-AAB462377546}">
      <text>
        <r>
          <rPr>
            <b/>
            <sz val="9"/>
            <color indexed="81"/>
            <rFont val="Tahoma"/>
            <family val="2"/>
          </rPr>
          <t>&lt;[[TCDeals] - [TC Property Current Stage (Seq: 1)] - [Buildings (Seq: 8)] Constr Applicable Percentage - Both]&gt;</t>
        </r>
      </text>
    </comment>
    <comment ref="M1195" authorId="0" shapeId="0" xr:uid="{39D6272A-26EC-49E1-BE15-010FCEA4DB0B}">
      <text>
        <r>
          <rPr>
            <b/>
            <sz val="9"/>
            <color indexed="81"/>
            <rFont val="Tahoma"/>
            <family val="2"/>
          </rPr>
          <t>&lt;[[TCDeals] - [TC Property Current Stage (Seq: 1)] - [Buildings (Seq: 8)] Constr Est Qual Basis - Both]&gt;</t>
        </r>
      </text>
    </comment>
    <comment ref="N1195" authorId="0" shapeId="0" xr:uid="{AF30C9D4-BCAF-41C5-88DE-09C658FAC203}">
      <text>
        <r>
          <rPr>
            <b/>
            <sz val="9"/>
            <color indexed="81"/>
            <rFont val="Tahoma"/>
            <family val="2"/>
          </rPr>
          <t>&lt;[[TCDeals] - [TC Property Current Stage (Seq: 1)] - [Buildings (Seq: 8)] Constr 8609 Basis - Both]&gt;</t>
        </r>
      </text>
    </comment>
    <comment ref="O1195" authorId="0" shapeId="0" xr:uid="{E2B3CA15-EA45-4632-990E-649640390B94}">
      <text>
        <r>
          <rPr>
            <b/>
            <sz val="9"/>
            <color indexed="81"/>
            <rFont val="Tahoma"/>
            <family val="2"/>
          </rPr>
          <t>&lt;[[TCDeals] - [TC Property Current Stage (Seq: 1)] - [Buildings (Seq: 8)] Constr 8609 Credit - Both]&gt;</t>
        </r>
      </text>
    </comment>
    <comment ref="P1195" authorId="0" shapeId="0" xr:uid="{46E8B28F-6A64-4E7E-93C5-731926CD0ED8}">
      <text>
        <r>
          <rPr>
            <b/>
            <sz val="9"/>
            <color indexed="81"/>
            <rFont val="Tahoma"/>
            <family val="2"/>
          </rPr>
          <t>&lt;[[TCDeals] - [TC Property Current Stage (Seq: 1)] - [Buildings (Seq: 8)] Acq PIS Date - Both]&gt;</t>
        </r>
      </text>
    </comment>
    <comment ref="Q1195" authorId="0" shapeId="0" xr:uid="{6F551EF9-6B06-44E6-8DE5-D0D94E3589BB}">
      <text>
        <r>
          <rPr>
            <b/>
            <sz val="9"/>
            <color indexed="81"/>
            <rFont val="Tahoma"/>
            <family val="2"/>
          </rPr>
          <t>&lt;[[TCDeals] - [TC Property Current Stage (Seq: 1)] - [Buildings (Seq: 8)] Acq Applicable Percentage - Both]&gt;</t>
        </r>
      </text>
    </comment>
    <comment ref="R1195" authorId="0" shapeId="0" xr:uid="{73F87960-6864-4EFA-A141-58DDA1A5AE9F}">
      <text>
        <r>
          <rPr>
            <b/>
            <sz val="9"/>
            <color indexed="81"/>
            <rFont val="Tahoma"/>
            <family val="2"/>
          </rPr>
          <t>&lt;[[TCDeals] - [TC Property Current Stage (Seq: 1)] - [Buildings (Seq: 8)] Acq Est Qual Basis - Both]&gt;</t>
        </r>
      </text>
    </comment>
    <comment ref="S1195" authorId="0" shapeId="0" xr:uid="{FAFFDE90-6701-428C-B52B-4BCB0CCBC2E0}">
      <text>
        <r>
          <rPr>
            <b/>
            <sz val="9"/>
            <color indexed="81"/>
            <rFont val="Tahoma"/>
            <family val="2"/>
          </rPr>
          <t>&lt;[[TCDeals] - [TC Property Current Stage (Seq: 1)] - [Buildings (Seq: 8)] Acq 8609 Basis - Both]&gt;</t>
        </r>
      </text>
    </comment>
    <comment ref="T1195" authorId="0" shapeId="0" xr:uid="{C714D061-892B-449C-844C-887CE6FABB7D}">
      <text>
        <r>
          <rPr>
            <b/>
            <sz val="9"/>
            <color indexed="81"/>
            <rFont val="Tahoma"/>
            <family val="2"/>
          </rPr>
          <t>&lt;[[TCDeals] - [TC Property Current Stage (Seq: 1)] - [Buildings (Seq: 8)] Acq 8609 Credit - Both]&gt;</t>
        </r>
      </text>
    </comment>
    <comment ref="C1196" authorId="0" shapeId="0" xr:uid="{3FF44471-DCA3-4E6F-8869-2AD5C8FB7DDB}">
      <text>
        <r>
          <rPr>
            <b/>
            <sz val="9"/>
            <color indexed="81"/>
            <rFont val="Tahoma"/>
            <family val="2"/>
          </rPr>
          <t>&lt;[[TCDeals] - [TC Property Current Stage (Seq: 1)] - [Buildings (Seq: 9)] BIN - Both]&gt;</t>
        </r>
      </text>
    </comment>
    <comment ref="D1196" authorId="0" shapeId="0" xr:uid="{56EB0A83-25F8-4472-96F5-D4F3C63BA1C5}">
      <text>
        <r>
          <rPr>
            <b/>
            <sz val="9"/>
            <color indexed="81"/>
            <rFont val="Tahoma"/>
            <family val="2"/>
          </rPr>
          <t>&lt;[[TCDeals] - [TC Property Current Stage (Seq: 1)] - [Buildings (Seq: 9)] Address 1 - Both]&gt;</t>
        </r>
      </text>
    </comment>
    <comment ref="E1196" authorId="0" shapeId="0" xr:uid="{331D4CC2-AA9F-4865-87E1-F3FCD4DEB244}">
      <text>
        <r>
          <rPr>
            <b/>
            <sz val="9"/>
            <color indexed="81"/>
            <rFont val="Tahoma"/>
            <family val="2"/>
          </rPr>
          <t>&lt;[[TCDeals] - [TC Property Current Stage (Seq: 1)] - [Buildings (Seq: 9)] Num TC Units - Both]&gt;</t>
        </r>
      </text>
    </comment>
    <comment ref="F1196" authorId="0" shapeId="0" xr:uid="{C905EC8B-EF2D-4725-B237-9D13A2D61884}">
      <text>
        <r>
          <rPr>
            <b/>
            <sz val="9"/>
            <color indexed="81"/>
            <rFont val="Tahoma"/>
            <family val="2"/>
          </rPr>
          <t>&lt;[[TCDeals] - [TC Property Current Stage (Seq: 1)] - [Buildings (Seq: 9)] PVC PIS Date - Both]&gt;</t>
        </r>
      </text>
    </comment>
    <comment ref="G1196" authorId="0" shapeId="0" xr:uid="{E4E99941-E566-4DBC-BCE8-EFA688CD7161}">
      <text>
        <r>
          <rPr>
            <b/>
            <sz val="9"/>
            <color indexed="81"/>
            <rFont val="Tahoma"/>
            <family val="2"/>
          </rPr>
          <t>&lt;[[TCDeals] - [TC Property Current Stage (Seq: 1)] - [Buildings (Seq: 9)] PVC Applicable Percentage - Both]&gt;</t>
        </r>
      </text>
    </comment>
    <comment ref="H1196" authorId="0" shapeId="0" xr:uid="{1A6A29E4-39C0-42CD-BF94-7A70418AA43C}">
      <text>
        <r>
          <rPr>
            <b/>
            <sz val="9"/>
            <color indexed="81"/>
            <rFont val="Tahoma"/>
            <family val="2"/>
          </rPr>
          <t>&lt;[[TCDeals] - [TC Property Current Stage (Seq: 1)] - [Buildings (Seq: 9)] PVC Est Qual Basis - Both]&gt;</t>
        </r>
      </text>
    </comment>
    <comment ref="I1196" authorId="0" shapeId="0" xr:uid="{6D621F31-B615-4F46-B2E4-4DC2AB16CDD4}">
      <text>
        <r>
          <rPr>
            <b/>
            <sz val="9"/>
            <color indexed="81"/>
            <rFont val="Tahoma"/>
            <family val="2"/>
          </rPr>
          <t>&lt;[[TCDeals] - [TC Property Current Stage (Seq: 1)] - [Buildings (Seq: 9)] PVC8609 Basis - Both]&gt;</t>
        </r>
      </text>
    </comment>
    <comment ref="J1196" authorId="0" shapeId="0" xr:uid="{50DC5B6D-D6D9-4B63-B76A-624803334A41}">
      <text>
        <r>
          <rPr>
            <b/>
            <sz val="9"/>
            <color indexed="81"/>
            <rFont val="Tahoma"/>
            <family val="2"/>
          </rPr>
          <t>&lt;[[TCDeals] - [TC Property Current Stage (Seq: 1)] - [Buildings (Seq: 9)] PVC8609 Credit - Both]&gt;</t>
        </r>
      </text>
    </comment>
    <comment ref="K1196" authorId="0" shapeId="0" xr:uid="{552FB3C8-AAC8-4266-A141-5DF3E00B84D1}">
      <text>
        <r>
          <rPr>
            <b/>
            <sz val="9"/>
            <color indexed="81"/>
            <rFont val="Tahoma"/>
            <family val="2"/>
          </rPr>
          <t>&lt;[[TCDeals] - [TC Property Current Stage (Seq: 1)] - [Buildings (Seq: 9)] Constr PIS Date - Both]&gt;</t>
        </r>
      </text>
    </comment>
    <comment ref="L1196" authorId="0" shapeId="0" xr:uid="{AC0881D7-3544-4378-AB5F-4BF9C3F02A18}">
      <text>
        <r>
          <rPr>
            <b/>
            <sz val="9"/>
            <color indexed="81"/>
            <rFont val="Tahoma"/>
            <family val="2"/>
          </rPr>
          <t>&lt;[[TCDeals] - [TC Property Current Stage (Seq: 1)] - [Buildings (Seq: 9)] Constr Applicable Percentage - Both]&gt;</t>
        </r>
      </text>
    </comment>
    <comment ref="M1196" authorId="0" shapeId="0" xr:uid="{D03CF4EE-FD58-4BB4-96CD-118930BF01BD}">
      <text>
        <r>
          <rPr>
            <b/>
            <sz val="9"/>
            <color indexed="81"/>
            <rFont val="Tahoma"/>
            <family val="2"/>
          </rPr>
          <t>&lt;[[TCDeals] - [TC Property Current Stage (Seq: 1)] - [Buildings (Seq: 9)] Constr Est Qual Basis - Both]&gt;</t>
        </r>
      </text>
    </comment>
    <comment ref="N1196" authorId="0" shapeId="0" xr:uid="{BEFC760C-8960-4958-A5AC-9E915B7EC78E}">
      <text>
        <r>
          <rPr>
            <b/>
            <sz val="9"/>
            <color indexed="81"/>
            <rFont val="Tahoma"/>
            <family val="2"/>
          </rPr>
          <t>&lt;[[TCDeals] - [TC Property Current Stage (Seq: 1)] - [Buildings (Seq: 9)] Constr 8609 Basis - Both]&gt;</t>
        </r>
      </text>
    </comment>
    <comment ref="O1196" authorId="0" shapeId="0" xr:uid="{554783A3-A25E-479E-9480-D62665B6EE44}">
      <text>
        <r>
          <rPr>
            <b/>
            <sz val="9"/>
            <color indexed="81"/>
            <rFont val="Tahoma"/>
            <family val="2"/>
          </rPr>
          <t>&lt;[[TCDeals] - [TC Property Current Stage (Seq: 1)] - [Buildings (Seq: 9)] Constr 8609 Credit - Both]&gt;</t>
        </r>
      </text>
    </comment>
    <comment ref="P1196" authorId="0" shapeId="0" xr:uid="{7523679E-DD57-4350-A2A9-1875141317EE}">
      <text>
        <r>
          <rPr>
            <b/>
            <sz val="9"/>
            <color indexed="81"/>
            <rFont val="Tahoma"/>
            <family val="2"/>
          </rPr>
          <t>&lt;[[TCDeals] - [TC Property Current Stage (Seq: 1)] - [Buildings (Seq: 9)] Acq PIS Date - Both]&gt;</t>
        </r>
      </text>
    </comment>
    <comment ref="Q1196" authorId="0" shapeId="0" xr:uid="{A557C262-AF27-4734-9D58-F52BFF90C8C3}">
      <text>
        <r>
          <rPr>
            <b/>
            <sz val="9"/>
            <color indexed="81"/>
            <rFont val="Tahoma"/>
            <family val="2"/>
          </rPr>
          <t>&lt;[[TCDeals] - [TC Property Current Stage (Seq: 1)] - [Buildings (Seq: 9)] Acq Applicable Percentage - Both]&gt;</t>
        </r>
      </text>
    </comment>
    <comment ref="R1196" authorId="0" shapeId="0" xr:uid="{D0CFF4D3-7F78-47FD-92F4-37F68F0F7042}">
      <text>
        <r>
          <rPr>
            <b/>
            <sz val="9"/>
            <color indexed="81"/>
            <rFont val="Tahoma"/>
            <family val="2"/>
          </rPr>
          <t>&lt;[[TCDeals] - [TC Property Current Stage (Seq: 1)] - [Buildings (Seq: 9)] Acq Est Qual Basis - Both]&gt;</t>
        </r>
      </text>
    </comment>
    <comment ref="S1196" authorId="0" shapeId="0" xr:uid="{D94967E9-82AF-4B1B-870F-E7D6EE135BDB}">
      <text>
        <r>
          <rPr>
            <b/>
            <sz val="9"/>
            <color indexed="81"/>
            <rFont val="Tahoma"/>
            <family val="2"/>
          </rPr>
          <t>&lt;[[TCDeals] - [TC Property Current Stage (Seq: 1)] - [Buildings (Seq: 9)] Acq 8609 Basis - Both]&gt;</t>
        </r>
      </text>
    </comment>
    <comment ref="T1196" authorId="0" shapeId="0" xr:uid="{7751CE01-714E-43BD-B479-18B3403A2CB5}">
      <text>
        <r>
          <rPr>
            <b/>
            <sz val="9"/>
            <color indexed="81"/>
            <rFont val="Tahoma"/>
            <family val="2"/>
          </rPr>
          <t>&lt;[[TCDeals] - [TC Property Current Stage (Seq: 1)] - [Buildings (Seq: 9)] Acq 8609 Credit - Both]&gt;</t>
        </r>
      </text>
    </comment>
    <comment ref="C1197" authorId="0" shapeId="0" xr:uid="{DB214460-7A36-4276-B58E-DD3F6F2173E9}">
      <text>
        <r>
          <rPr>
            <b/>
            <sz val="9"/>
            <color indexed="81"/>
            <rFont val="Tahoma"/>
            <family val="2"/>
          </rPr>
          <t>&lt;[[TCDeals] - [TC Property Current Stage (Seq: 1)] - [Buildings (Seq: 10)] BIN - Both]&gt;</t>
        </r>
      </text>
    </comment>
    <comment ref="D1197" authorId="0" shapeId="0" xr:uid="{88F7716A-A149-40C6-A9BE-C00B2123F699}">
      <text>
        <r>
          <rPr>
            <b/>
            <sz val="9"/>
            <color indexed="81"/>
            <rFont val="Tahoma"/>
            <family val="2"/>
          </rPr>
          <t>&lt;[[TCDeals] - [TC Property Current Stage (Seq: 1)] - [Buildings (Seq: 10)] Address 1 - Both]&gt;</t>
        </r>
      </text>
    </comment>
    <comment ref="E1197" authorId="0" shapeId="0" xr:uid="{DCECE262-FB8D-437E-9624-91E907F61303}">
      <text>
        <r>
          <rPr>
            <b/>
            <sz val="9"/>
            <color indexed="81"/>
            <rFont val="Tahoma"/>
            <family val="2"/>
          </rPr>
          <t>&lt;[[TCDeals] - [TC Property Current Stage (Seq: 1)] - [Buildings (Seq: 10)] Num TC Units - Both]&gt;</t>
        </r>
      </text>
    </comment>
    <comment ref="F1197" authorId="0" shapeId="0" xr:uid="{BD0FF092-04F8-40E5-BD7E-E282B2A552EE}">
      <text>
        <r>
          <rPr>
            <b/>
            <sz val="9"/>
            <color indexed="81"/>
            <rFont val="Tahoma"/>
            <family val="2"/>
          </rPr>
          <t>&lt;[[TCDeals] - [TC Property Current Stage (Seq: 1)] - [Buildings (Seq: 10)] PVC PIS Date - Both]&gt;</t>
        </r>
      </text>
    </comment>
    <comment ref="G1197" authorId="0" shapeId="0" xr:uid="{1BBE9AE8-72B0-4576-B1C4-E647E3F51AE1}">
      <text>
        <r>
          <rPr>
            <b/>
            <sz val="9"/>
            <color indexed="81"/>
            <rFont val="Tahoma"/>
            <family val="2"/>
          </rPr>
          <t>&lt;[[TCDeals] - [TC Property Current Stage (Seq: 1)] - [Buildings (Seq: 10)] PVC Applicable Percentage - Both]&gt;</t>
        </r>
      </text>
    </comment>
    <comment ref="H1197" authorId="0" shapeId="0" xr:uid="{4C1A3473-8208-4FB6-AEDE-65C76CBD7B1C}">
      <text>
        <r>
          <rPr>
            <b/>
            <sz val="9"/>
            <color indexed="81"/>
            <rFont val="Tahoma"/>
            <family val="2"/>
          </rPr>
          <t>&lt;[[TCDeals] - [TC Property Current Stage (Seq: 1)] - [Buildings (Seq: 10)] PVC Est Qual Basis - Both]&gt;</t>
        </r>
      </text>
    </comment>
    <comment ref="I1197" authorId="0" shapeId="0" xr:uid="{F15EA870-C3CE-4CE6-A029-42A23BE1F3ED}">
      <text>
        <r>
          <rPr>
            <b/>
            <sz val="9"/>
            <color indexed="81"/>
            <rFont val="Tahoma"/>
            <family val="2"/>
          </rPr>
          <t>&lt;[[TCDeals] - [TC Property Current Stage (Seq: 1)] - [Buildings (Seq: 10)] PVC8609 Basis - Both]&gt;</t>
        </r>
      </text>
    </comment>
    <comment ref="J1197" authorId="0" shapeId="0" xr:uid="{818DEC6B-C558-46A0-9F6F-17D0C7DC2C7F}">
      <text>
        <r>
          <rPr>
            <b/>
            <sz val="9"/>
            <color indexed="81"/>
            <rFont val="Tahoma"/>
            <family val="2"/>
          </rPr>
          <t>&lt;[[TCDeals] - [TC Property Current Stage (Seq: 1)] - [Buildings (Seq: 10)] PVC8609 Credit - Both]&gt;</t>
        </r>
      </text>
    </comment>
    <comment ref="K1197" authorId="0" shapeId="0" xr:uid="{C6C137DF-4038-4954-BB6F-0E45F26478E0}">
      <text>
        <r>
          <rPr>
            <b/>
            <sz val="9"/>
            <color indexed="81"/>
            <rFont val="Tahoma"/>
            <family val="2"/>
          </rPr>
          <t>&lt;[[TCDeals] - [TC Property Current Stage (Seq: 1)] - [Buildings (Seq: 10)] Constr PIS Date - Both]&gt;</t>
        </r>
      </text>
    </comment>
    <comment ref="L1197" authorId="0" shapeId="0" xr:uid="{EF9A03CF-F5FF-4C18-B553-3F0E42478788}">
      <text>
        <r>
          <rPr>
            <b/>
            <sz val="9"/>
            <color indexed="81"/>
            <rFont val="Tahoma"/>
            <family val="2"/>
          </rPr>
          <t>&lt;[[TCDeals] - [TC Property Current Stage (Seq: 1)] - [Buildings (Seq: 10)] Constr Applicable Percentage - Both]&gt;</t>
        </r>
      </text>
    </comment>
    <comment ref="M1197" authorId="0" shapeId="0" xr:uid="{6A9B0A43-506C-4A0C-A7D7-986120E6B361}">
      <text>
        <r>
          <rPr>
            <b/>
            <sz val="9"/>
            <color indexed="81"/>
            <rFont val="Tahoma"/>
            <family val="2"/>
          </rPr>
          <t>&lt;[[TCDeals] - [TC Property Current Stage (Seq: 1)] - [Buildings (Seq: 10)] Constr Est Qual Basis - Both]&gt;</t>
        </r>
      </text>
    </comment>
    <comment ref="N1197" authorId="0" shapeId="0" xr:uid="{BEBD4757-7608-45F9-80B6-812D223E447B}">
      <text>
        <r>
          <rPr>
            <b/>
            <sz val="9"/>
            <color indexed="81"/>
            <rFont val="Tahoma"/>
            <family val="2"/>
          </rPr>
          <t>&lt;[[TCDeals] - [TC Property Current Stage (Seq: 1)] - [Buildings (Seq: 10)] Constr 8609 Basis - Both]&gt;</t>
        </r>
      </text>
    </comment>
    <comment ref="O1197" authorId="0" shapeId="0" xr:uid="{2131BEAD-E716-42A1-8D34-758820B35C7C}">
      <text>
        <r>
          <rPr>
            <b/>
            <sz val="9"/>
            <color indexed="81"/>
            <rFont val="Tahoma"/>
            <family val="2"/>
          </rPr>
          <t>&lt;[[TCDeals] - [TC Property Current Stage (Seq: 1)] - [Buildings (Seq: 10)] Constr 8609 Credit - Both]&gt;</t>
        </r>
      </text>
    </comment>
    <comment ref="P1197" authorId="0" shapeId="0" xr:uid="{471060FC-1C83-4123-8850-7947CE4B5D40}">
      <text>
        <r>
          <rPr>
            <b/>
            <sz val="9"/>
            <color indexed="81"/>
            <rFont val="Tahoma"/>
            <family val="2"/>
          </rPr>
          <t>&lt;[[TCDeals] - [TC Property Current Stage (Seq: 1)] - [Buildings (Seq: 10)] Acq PIS Date - Both]&gt;</t>
        </r>
      </text>
    </comment>
    <comment ref="Q1197" authorId="0" shapeId="0" xr:uid="{7AAD361E-8990-48E1-B3D6-1099DA2574F7}">
      <text>
        <r>
          <rPr>
            <b/>
            <sz val="9"/>
            <color indexed="81"/>
            <rFont val="Tahoma"/>
            <family val="2"/>
          </rPr>
          <t>&lt;[[TCDeals] - [TC Property Current Stage (Seq: 1)] - [Buildings (Seq: 10)] Acq Applicable Percentage - Both]&gt;</t>
        </r>
      </text>
    </comment>
    <comment ref="R1197" authorId="0" shapeId="0" xr:uid="{05A4E07C-E0A1-4307-BA86-FEB5FDFBDF43}">
      <text>
        <r>
          <rPr>
            <b/>
            <sz val="9"/>
            <color indexed="81"/>
            <rFont val="Tahoma"/>
            <family val="2"/>
          </rPr>
          <t>&lt;[[TCDeals] - [TC Property Current Stage (Seq: 1)] - [Buildings (Seq: 10)] Acq Est Qual Basis - Both]&gt;</t>
        </r>
      </text>
    </comment>
    <comment ref="S1197" authorId="0" shapeId="0" xr:uid="{71FB4AC8-AECC-408B-8ABB-FE5662AE7B4D}">
      <text>
        <r>
          <rPr>
            <b/>
            <sz val="9"/>
            <color indexed="81"/>
            <rFont val="Tahoma"/>
            <family val="2"/>
          </rPr>
          <t>&lt;[[TCDeals] - [TC Property Current Stage (Seq: 1)] - [Buildings (Seq: 10)] Acq 8609 Basis - Both]&gt;</t>
        </r>
      </text>
    </comment>
    <comment ref="T1197" authorId="0" shapeId="0" xr:uid="{3DC5C146-D307-4098-BB6A-DDF187A23E7B}">
      <text>
        <r>
          <rPr>
            <b/>
            <sz val="9"/>
            <color indexed="81"/>
            <rFont val="Tahoma"/>
            <family val="2"/>
          </rPr>
          <t>&lt;[[TCDeals] - [TC Property Current Stage (Seq: 1)] - [Buildings (Seq: 10)] Acq 8609 Credit - Both]&gt;</t>
        </r>
      </text>
    </comment>
    <comment ref="C1198" authorId="0" shapeId="0" xr:uid="{68BC7424-3DE7-4EEE-9A25-C18F48507F49}">
      <text>
        <r>
          <rPr>
            <b/>
            <sz val="9"/>
            <color indexed="81"/>
            <rFont val="Tahoma"/>
            <family val="2"/>
          </rPr>
          <t>&lt;[[TCDeals] - [TC Property Current Stage (Seq: 1)] - [Buildings (Seq: 11)] BIN - Both]&gt;</t>
        </r>
      </text>
    </comment>
    <comment ref="D1198" authorId="0" shapeId="0" xr:uid="{4B6EDCF2-5016-4DBF-B105-BBED709527EA}">
      <text>
        <r>
          <rPr>
            <b/>
            <sz val="9"/>
            <color indexed="81"/>
            <rFont val="Tahoma"/>
            <family val="2"/>
          </rPr>
          <t>&lt;[[TCDeals] - [TC Property Current Stage (Seq: 1)] - [Buildings (Seq: 11)] Address 1 - Both]&gt;</t>
        </r>
      </text>
    </comment>
    <comment ref="E1198" authorId="0" shapeId="0" xr:uid="{7C8B9C95-4FB5-458F-A4E8-C20DB9B44AB5}">
      <text>
        <r>
          <rPr>
            <b/>
            <sz val="9"/>
            <color indexed="81"/>
            <rFont val="Tahoma"/>
            <family val="2"/>
          </rPr>
          <t>&lt;[[TCDeals] - [TC Property Current Stage (Seq: 1)] - [Buildings (Seq: 11)] Num TC Units - Both]&gt;</t>
        </r>
      </text>
    </comment>
    <comment ref="F1198" authorId="0" shapeId="0" xr:uid="{BF697214-D7EA-4B6E-AC8A-C669CE1D0000}">
      <text>
        <r>
          <rPr>
            <b/>
            <sz val="9"/>
            <color indexed="81"/>
            <rFont val="Tahoma"/>
            <family val="2"/>
          </rPr>
          <t>&lt;[[TCDeals] - [TC Property Current Stage (Seq: 1)] - [Buildings (Seq: 11)] PVC PIS Date - Both]&gt;</t>
        </r>
      </text>
    </comment>
    <comment ref="G1198" authorId="0" shapeId="0" xr:uid="{7124E6B0-E91E-4906-A775-33DE6FF89155}">
      <text>
        <r>
          <rPr>
            <b/>
            <sz val="9"/>
            <color indexed="81"/>
            <rFont val="Tahoma"/>
            <family val="2"/>
          </rPr>
          <t>&lt;[[TCDeals] - [TC Property Current Stage (Seq: 1)] - [Buildings (Seq: 11)] PVC Applicable Percentage - Both]&gt;</t>
        </r>
      </text>
    </comment>
    <comment ref="H1198" authorId="0" shapeId="0" xr:uid="{6246A3AA-3439-442E-AA78-E4C627B2DCCC}">
      <text>
        <r>
          <rPr>
            <b/>
            <sz val="9"/>
            <color indexed="81"/>
            <rFont val="Tahoma"/>
            <family val="2"/>
          </rPr>
          <t>&lt;[[TCDeals] - [TC Property Current Stage (Seq: 1)] - [Buildings (Seq: 11)] PVC Est Qual Basis - Both]&gt;</t>
        </r>
      </text>
    </comment>
    <comment ref="I1198" authorId="0" shapeId="0" xr:uid="{118A3564-E16B-4B05-B939-0ED3F24039C5}">
      <text>
        <r>
          <rPr>
            <b/>
            <sz val="9"/>
            <color indexed="81"/>
            <rFont val="Tahoma"/>
            <family val="2"/>
          </rPr>
          <t>&lt;[[TCDeals] - [TC Property Current Stage (Seq: 1)] - [Buildings (Seq: 11)] PVC8609 Basis - Both]&gt;</t>
        </r>
      </text>
    </comment>
    <comment ref="J1198" authorId="0" shapeId="0" xr:uid="{22680DA5-3A56-4E64-9FCF-DBF785C1C9C3}">
      <text>
        <r>
          <rPr>
            <b/>
            <sz val="9"/>
            <color indexed="81"/>
            <rFont val="Tahoma"/>
            <family val="2"/>
          </rPr>
          <t>&lt;[[TCDeals] - [TC Property Current Stage (Seq: 1)] - [Buildings (Seq: 11)] PVC8609 Credit - Both]&gt;</t>
        </r>
      </text>
    </comment>
    <comment ref="K1198" authorId="0" shapeId="0" xr:uid="{95EFCF8F-9D97-46B6-9513-3DBB90662C29}">
      <text>
        <r>
          <rPr>
            <b/>
            <sz val="9"/>
            <color indexed="81"/>
            <rFont val="Tahoma"/>
            <family val="2"/>
          </rPr>
          <t>&lt;[[TCDeals] - [TC Property Current Stage (Seq: 1)] - [Buildings (Seq: 11)] Constr PIS Date - Both]&gt;</t>
        </r>
      </text>
    </comment>
    <comment ref="L1198" authorId="0" shapeId="0" xr:uid="{9979EEEF-A8D3-40E7-8CD1-934FB6C8CD6C}">
      <text>
        <r>
          <rPr>
            <b/>
            <sz val="9"/>
            <color indexed="81"/>
            <rFont val="Tahoma"/>
            <family val="2"/>
          </rPr>
          <t>&lt;[[TCDeals] - [TC Property Current Stage (Seq: 1)] - [Buildings (Seq: 11)] Constr Applicable Percentage - Both]&gt;</t>
        </r>
      </text>
    </comment>
    <comment ref="M1198" authorId="0" shapeId="0" xr:uid="{18FF0F81-7BFD-4ABB-BBF7-99F673CDD1D2}">
      <text>
        <r>
          <rPr>
            <b/>
            <sz val="9"/>
            <color indexed="81"/>
            <rFont val="Tahoma"/>
            <family val="2"/>
          </rPr>
          <t>&lt;[[TCDeals] - [TC Property Current Stage (Seq: 1)] - [Buildings (Seq: 11)] Constr Est Qual Basis - Both]&gt;</t>
        </r>
      </text>
    </comment>
    <comment ref="N1198" authorId="0" shapeId="0" xr:uid="{A5C1C7CE-6711-428E-88FC-687E94C0F3AD}">
      <text>
        <r>
          <rPr>
            <b/>
            <sz val="9"/>
            <color indexed="81"/>
            <rFont val="Tahoma"/>
            <family val="2"/>
          </rPr>
          <t>&lt;[[TCDeals] - [TC Property Current Stage (Seq: 1)] - [Buildings (Seq: 11)] Constr 8609 Basis - Both]&gt;</t>
        </r>
      </text>
    </comment>
    <comment ref="O1198" authorId="0" shapeId="0" xr:uid="{7B4E3347-49D1-433D-BCAF-7F7583ECCFDA}">
      <text>
        <r>
          <rPr>
            <b/>
            <sz val="9"/>
            <color indexed="81"/>
            <rFont val="Tahoma"/>
            <family val="2"/>
          </rPr>
          <t>&lt;[[TCDeals] - [TC Property Current Stage (Seq: 1)] - [Buildings (Seq: 11)] Constr 8609 Credit - Both]&gt;</t>
        </r>
      </text>
    </comment>
    <comment ref="P1198" authorId="0" shapeId="0" xr:uid="{C6163A3D-12E7-44F2-B090-5B5AF400EFEF}">
      <text>
        <r>
          <rPr>
            <b/>
            <sz val="9"/>
            <color indexed="81"/>
            <rFont val="Tahoma"/>
            <family val="2"/>
          </rPr>
          <t>&lt;[[TCDeals] - [TC Property Current Stage (Seq: 1)] - [Buildings (Seq: 11)] Acq PIS Date - Both]&gt;</t>
        </r>
      </text>
    </comment>
    <comment ref="Q1198" authorId="0" shapeId="0" xr:uid="{0523FE2F-E73D-48FD-9FB0-7645C66A8C36}">
      <text>
        <r>
          <rPr>
            <b/>
            <sz val="9"/>
            <color indexed="81"/>
            <rFont val="Tahoma"/>
            <family val="2"/>
          </rPr>
          <t>&lt;[[TCDeals] - [TC Property Current Stage (Seq: 1)] - [Buildings (Seq: 11)] Acq Applicable Percentage - Both]&gt;</t>
        </r>
      </text>
    </comment>
    <comment ref="R1198" authorId="0" shapeId="0" xr:uid="{D86085C0-43DE-4AF1-A4E6-AAE6ED22D268}">
      <text>
        <r>
          <rPr>
            <b/>
            <sz val="9"/>
            <color indexed="81"/>
            <rFont val="Tahoma"/>
            <family val="2"/>
          </rPr>
          <t>&lt;[[TCDeals] - [TC Property Current Stage (Seq: 1)] - [Buildings (Seq: 11)] Acq Est Qual Basis - Both]&gt;</t>
        </r>
      </text>
    </comment>
    <comment ref="S1198" authorId="0" shapeId="0" xr:uid="{51DDFA48-ECE0-4792-8410-DBC478C0A77C}">
      <text>
        <r>
          <rPr>
            <b/>
            <sz val="9"/>
            <color indexed="81"/>
            <rFont val="Tahoma"/>
            <family val="2"/>
          </rPr>
          <t>&lt;[[TCDeals] - [TC Property Current Stage (Seq: 1)] - [Buildings (Seq: 11)] Acq 8609 Basis - Both]&gt;</t>
        </r>
      </text>
    </comment>
    <comment ref="T1198" authorId="0" shapeId="0" xr:uid="{FB7C67FD-1D85-4F04-8A2B-10EEA5583031}">
      <text>
        <r>
          <rPr>
            <b/>
            <sz val="9"/>
            <color indexed="81"/>
            <rFont val="Tahoma"/>
            <family val="2"/>
          </rPr>
          <t>&lt;[[TCDeals] - [TC Property Current Stage (Seq: 1)] - [Buildings (Seq: 11)] Acq 8609 Credit - Both]&gt;</t>
        </r>
      </text>
    </comment>
    <comment ref="C1199" authorId="0" shapeId="0" xr:uid="{4F06FAEB-6D8B-472D-B86B-E1718F799C30}">
      <text>
        <r>
          <rPr>
            <b/>
            <sz val="9"/>
            <color indexed="81"/>
            <rFont val="Tahoma"/>
            <family val="2"/>
          </rPr>
          <t>&lt;[[TCDeals] - [TC Property Current Stage (Seq: 1)] - [Buildings (Seq: 12)] BIN - Both]&gt;</t>
        </r>
      </text>
    </comment>
    <comment ref="D1199" authorId="0" shapeId="0" xr:uid="{858DE7B6-4007-47E8-ADA3-5D44C9810612}">
      <text>
        <r>
          <rPr>
            <b/>
            <sz val="9"/>
            <color indexed="81"/>
            <rFont val="Tahoma"/>
            <family val="2"/>
          </rPr>
          <t>&lt;[[TCDeals] - [TC Property Current Stage (Seq: 1)] - [Buildings (Seq: 12)] Address 1 - Both]&gt;</t>
        </r>
      </text>
    </comment>
    <comment ref="E1199" authorId="0" shapeId="0" xr:uid="{999B5CB1-E9BB-4C73-ADE8-94558D893FBC}">
      <text>
        <r>
          <rPr>
            <b/>
            <sz val="9"/>
            <color indexed="81"/>
            <rFont val="Tahoma"/>
            <family val="2"/>
          </rPr>
          <t>&lt;[[TCDeals] - [TC Property Current Stage (Seq: 1)] - [Buildings (Seq: 12)] Num TC Units - Both]&gt;</t>
        </r>
      </text>
    </comment>
    <comment ref="F1199" authorId="0" shapeId="0" xr:uid="{CB5AE3C8-ED5E-410D-89C5-E53BBC12E612}">
      <text>
        <r>
          <rPr>
            <b/>
            <sz val="9"/>
            <color indexed="81"/>
            <rFont val="Tahoma"/>
            <family val="2"/>
          </rPr>
          <t>&lt;[[TCDeals] - [TC Property Current Stage (Seq: 1)] - [Buildings (Seq: 12)] PVC PIS Date - Both]&gt;</t>
        </r>
      </text>
    </comment>
    <comment ref="G1199" authorId="0" shapeId="0" xr:uid="{77C9FB99-D919-4123-B9A5-1C693B79EE3E}">
      <text>
        <r>
          <rPr>
            <b/>
            <sz val="9"/>
            <color indexed="81"/>
            <rFont val="Tahoma"/>
            <family val="2"/>
          </rPr>
          <t>&lt;[[TCDeals] - [TC Property Current Stage (Seq: 1)] - [Buildings (Seq: 12)] PVC Applicable Percentage - Both]&gt;</t>
        </r>
      </text>
    </comment>
    <comment ref="H1199" authorId="0" shapeId="0" xr:uid="{C5A7C4CC-EEA4-4026-8789-E62528A8DC2A}">
      <text>
        <r>
          <rPr>
            <b/>
            <sz val="9"/>
            <color indexed="81"/>
            <rFont val="Tahoma"/>
            <family val="2"/>
          </rPr>
          <t>&lt;[[TCDeals] - [TC Property Current Stage (Seq: 1)] - [Buildings (Seq: 12)] PVC Est Qual Basis - Both]&gt;</t>
        </r>
      </text>
    </comment>
    <comment ref="I1199" authorId="0" shapeId="0" xr:uid="{0646E4E8-2394-4A48-880A-2D42BD758264}">
      <text>
        <r>
          <rPr>
            <b/>
            <sz val="9"/>
            <color indexed="81"/>
            <rFont val="Tahoma"/>
            <family val="2"/>
          </rPr>
          <t>&lt;[[TCDeals] - [TC Property Current Stage (Seq: 1)] - [Buildings (Seq: 12)] PVC8609 Basis - Both]&gt;</t>
        </r>
      </text>
    </comment>
    <comment ref="J1199" authorId="0" shapeId="0" xr:uid="{69688260-8ED4-4335-97B4-21B7146698AF}">
      <text>
        <r>
          <rPr>
            <b/>
            <sz val="9"/>
            <color indexed="81"/>
            <rFont val="Tahoma"/>
            <family val="2"/>
          </rPr>
          <t>&lt;[[TCDeals] - [TC Property Current Stage (Seq: 1)] - [Buildings (Seq: 12)] PVC8609 Credit - Both]&gt;</t>
        </r>
      </text>
    </comment>
    <comment ref="K1199" authorId="0" shapeId="0" xr:uid="{37B431FB-4181-4574-8FE0-8E15BAF8503B}">
      <text>
        <r>
          <rPr>
            <b/>
            <sz val="9"/>
            <color indexed="81"/>
            <rFont val="Tahoma"/>
            <family val="2"/>
          </rPr>
          <t>&lt;[[TCDeals] - [TC Property Current Stage (Seq: 1)] - [Buildings (Seq: 12)] Constr PIS Date - Both]&gt;</t>
        </r>
      </text>
    </comment>
    <comment ref="L1199" authorId="0" shapeId="0" xr:uid="{7FAC0038-0A18-4F49-8B9E-27ACF2023173}">
      <text>
        <r>
          <rPr>
            <b/>
            <sz val="9"/>
            <color indexed="81"/>
            <rFont val="Tahoma"/>
            <family val="2"/>
          </rPr>
          <t>&lt;[[TCDeals] - [TC Property Current Stage (Seq: 1)] - [Buildings (Seq: 12)] Constr Applicable Percentage - Both]&gt;</t>
        </r>
      </text>
    </comment>
    <comment ref="M1199" authorId="0" shapeId="0" xr:uid="{B0643279-2BE4-48C7-9205-3623A36D81B8}">
      <text>
        <r>
          <rPr>
            <b/>
            <sz val="9"/>
            <color indexed="81"/>
            <rFont val="Tahoma"/>
            <family val="2"/>
          </rPr>
          <t>&lt;[[TCDeals] - [TC Property Current Stage (Seq: 1)] - [Buildings (Seq: 12)] Constr Est Qual Basis - Both]&gt;</t>
        </r>
      </text>
    </comment>
    <comment ref="N1199" authorId="0" shapeId="0" xr:uid="{6CFFF073-44A7-470A-A1F8-055DD34CD14E}">
      <text>
        <r>
          <rPr>
            <b/>
            <sz val="9"/>
            <color indexed="81"/>
            <rFont val="Tahoma"/>
            <family val="2"/>
          </rPr>
          <t>&lt;[[TCDeals] - [TC Property Current Stage (Seq: 1)] - [Buildings (Seq: 12)] Constr 8609 Basis - Both]&gt;</t>
        </r>
      </text>
    </comment>
    <comment ref="O1199" authorId="0" shapeId="0" xr:uid="{2674BE2C-9FCA-40EA-AFA9-4C558BF7388B}">
      <text>
        <r>
          <rPr>
            <b/>
            <sz val="9"/>
            <color indexed="81"/>
            <rFont val="Tahoma"/>
            <family val="2"/>
          </rPr>
          <t>&lt;[[TCDeals] - [TC Property Current Stage (Seq: 1)] - [Buildings (Seq: 12)] Constr 8609 Credit - Both]&gt;</t>
        </r>
      </text>
    </comment>
    <comment ref="P1199" authorId="0" shapeId="0" xr:uid="{B381CB9D-8C80-4251-8F4C-661F32B6A287}">
      <text>
        <r>
          <rPr>
            <b/>
            <sz val="9"/>
            <color indexed="81"/>
            <rFont val="Tahoma"/>
            <family val="2"/>
          </rPr>
          <t>&lt;[[TCDeals] - [TC Property Current Stage (Seq: 1)] - [Buildings (Seq: 12)] Acq PIS Date - Both]&gt;</t>
        </r>
      </text>
    </comment>
    <comment ref="Q1199" authorId="0" shapeId="0" xr:uid="{247EABB1-1C51-40D4-B04C-635097FE20A4}">
      <text>
        <r>
          <rPr>
            <b/>
            <sz val="9"/>
            <color indexed="81"/>
            <rFont val="Tahoma"/>
            <family val="2"/>
          </rPr>
          <t>&lt;[[TCDeals] - [TC Property Current Stage (Seq: 1)] - [Buildings (Seq: 12)] Acq Applicable Percentage - Both]&gt;</t>
        </r>
      </text>
    </comment>
    <comment ref="R1199" authorId="0" shapeId="0" xr:uid="{04FF9C13-B613-432E-807E-81208E25243A}">
      <text>
        <r>
          <rPr>
            <b/>
            <sz val="9"/>
            <color indexed="81"/>
            <rFont val="Tahoma"/>
            <family val="2"/>
          </rPr>
          <t>&lt;[[TCDeals] - [TC Property Current Stage (Seq: 1)] - [Buildings (Seq: 12)] Acq Est Qual Basis - Both]&gt;</t>
        </r>
      </text>
    </comment>
    <comment ref="S1199" authorId="0" shapeId="0" xr:uid="{31D3A893-DFDA-4A9E-947B-AC3407EDFF5E}">
      <text>
        <r>
          <rPr>
            <b/>
            <sz val="9"/>
            <color indexed="81"/>
            <rFont val="Tahoma"/>
            <family val="2"/>
          </rPr>
          <t>&lt;[[TCDeals] - [TC Property Current Stage (Seq: 1)] - [Buildings (Seq: 12)] Acq 8609 Basis - Both]&gt;</t>
        </r>
      </text>
    </comment>
    <comment ref="T1199" authorId="0" shapeId="0" xr:uid="{BD0252F8-F848-48E5-8EF9-5DEFC7DB14B5}">
      <text>
        <r>
          <rPr>
            <b/>
            <sz val="9"/>
            <color indexed="81"/>
            <rFont val="Tahoma"/>
            <family val="2"/>
          </rPr>
          <t>&lt;[[TCDeals] - [TC Property Current Stage (Seq: 1)] - [Buildings (Seq: 12)] Acq 8609 Credit - Both]&gt;</t>
        </r>
      </text>
    </comment>
    <comment ref="C1200" authorId="0" shapeId="0" xr:uid="{3DE51D9C-916E-472B-9107-42F59FBCD510}">
      <text>
        <r>
          <rPr>
            <b/>
            <sz val="9"/>
            <color indexed="81"/>
            <rFont val="Tahoma"/>
            <family val="2"/>
          </rPr>
          <t>&lt;[[TCDeals] - [TC Property Current Stage (Seq: 1)] - [Buildings (Seq: 13)] BIN - Both]&gt;</t>
        </r>
      </text>
    </comment>
    <comment ref="D1200" authorId="0" shapeId="0" xr:uid="{DDF34D53-93E2-4567-B161-A3E5EA85B24C}">
      <text>
        <r>
          <rPr>
            <b/>
            <sz val="9"/>
            <color indexed="81"/>
            <rFont val="Tahoma"/>
            <family val="2"/>
          </rPr>
          <t>&lt;[[TCDeals] - [TC Property Current Stage (Seq: 1)] - [Buildings (Seq: 13)] Address 1 - Both]&gt;</t>
        </r>
      </text>
    </comment>
    <comment ref="E1200" authorId="0" shapeId="0" xr:uid="{113ED461-5D71-4274-BE7F-DAA821250FEC}">
      <text>
        <r>
          <rPr>
            <b/>
            <sz val="9"/>
            <color indexed="81"/>
            <rFont val="Tahoma"/>
            <family val="2"/>
          </rPr>
          <t>&lt;[[TCDeals] - [TC Property Current Stage (Seq: 1)] - [Buildings (Seq: 13)] Num TC Units - Both]&gt;</t>
        </r>
      </text>
    </comment>
    <comment ref="F1200" authorId="0" shapeId="0" xr:uid="{DA354789-ADFD-46DE-BDD6-9A7EDA216433}">
      <text>
        <r>
          <rPr>
            <b/>
            <sz val="9"/>
            <color indexed="81"/>
            <rFont val="Tahoma"/>
            <family val="2"/>
          </rPr>
          <t>&lt;[[TCDeals] - [TC Property Current Stage (Seq: 1)] - [Buildings (Seq: 13)] PVC PIS Date - Both]&gt;</t>
        </r>
      </text>
    </comment>
    <comment ref="G1200" authorId="0" shapeId="0" xr:uid="{52D460F2-8D99-44F3-82AD-497BFE93FBDC}">
      <text>
        <r>
          <rPr>
            <b/>
            <sz val="9"/>
            <color indexed="81"/>
            <rFont val="Tahoma"/>
            <family val="2"/>
          </rPr>
          <t>&lt;[[TCDeals] - [TC Property Current Stage (Seq: 1)] - [Buildings (Seq: 13)] PVC Applicable Percentage - Both]&gt;</t>
        </r>
      </text>
    </comment>
    <comment ref="H1200" authorId="0" shapeId="0" xr:uid="{54F3C6B5-0AFC-497C-A2DA-A410F9A92B56}">
      <text>
        <r>
          <rPr>
            <b/>
            <sz val="9"/>
            <color indexed="81"/>
            <rFont val="Tahoma"/>
            <family val="2"/>
          </rPr>
          <t>&lt;[[TCDeals] - [TC Property Current Stage (Seq: 1)] - [Buildings (Seq: 13)] PVC Est Qual Basis - Both]&gt;</t>
        </r>
      </text>
    </comment>
    <comment ref="I1200" authorId="0" shapeId="0" xr:uid="{D24E621C-D62E-4CAD-8E79-34582ADFD02E}">
      <text>
        <r>
          <rPr>
            <b/>
            <sz val="9"/>
            <color indexed="81"/>
            <rFont val="Tahoma"/>
            <family val="2"/>
          </rPr>
          <t>&lt;[[TCDeals] - [TC Property Current Stage (Seq: 1)] - [Buildings (Seq: 13)] PVC8609 Basis - Both]&gt;</t>
        </r>
      </text>
    </comment>
    <comment ref="J1200" authorId="0" shapeId="0" xr:uid="{6AB4326B-B68C-4346-B0FA-88B27EEB334E}">
      <text>
        <r>
          <rPr>
            <b/>
            <sz val="9"/>
            <color indexed="81"/>
            <rFont val="Tahoma"/>
            <family val="2"/>
          </rPr>
          <t>&lt;[[TCDeals] - [TC Property Current Stage (Seq: 1)] - [Buildings (Seq: 13)] PVC8609 Credit - Both]&gt;</t>
        </r>
      </text>
    </comment>
    <comment ref="K1200" authorId="0" shapeId="0" xr:uid="{8E26056B-8355-442B-B343-B24F78D242A7}">
      <text>
        <r>
          <rPr>
            <b/>
            <sz val="9"/>
            <color indexed="81"/>
            <rFont val="Tahoma"/>
            <family val="2"/>
          </rPr>
          <t>&lt;[[TCDeals] - [TC Property Current Stage (Seq: 1)] - [Buildings (Seq: 13)] Constr PIS Date - Both]&gt;</t>
        </r>
      </text>
    </comment>
    <comment ref="L1200" authorId="0" shapeId="0" xr:uid="{8C93D1B9-B6BB-4481-9DA8-EE1D4F1F0A52}">
      <text>
        <r>
          <rPr>
            <b/>
            <sz val="9"/>
            <color indexed="81"/>
            <rFont val="Tahoma"/>
            <family val="2"/>
          </rPr>
          <t>&lt;[[TCDeals] - [TC Property Current Stage (Seq: 1)] - [Buildings (Seq: 13)] Constr Applicable Percentage - Both]&gt;</t>
        </r>
      </text>
    </comment>
    <comment ref="M1200" authorId="0" shapeId="0" xr:uid="{6718022C-A9B1-4280-B51F-D44885D5D164}">
      <text>
        <r>
          <rPr>
            <b/>
            <sz val="9"/>
            <color indexed="81"/>
            <rFont val="Tahoma"/>
            <family val="2"/>
          </rPr>
          <t>&lt;[[TCDeals] - [TC Property Current Stage (Seq: 1)] - [Buildings (Seq: 13)] Constr Est Qual Basis - Both]&gt;</t>
        </r>
      </text>
    </comment>
    <comment ref="N1200" authorId="0" shapeId="0" xr:uid="{7A1DDA1E-0EFD-4AE8-BD19-ED0A181B4540}">
      <text>
        <r>
          <rPr>
            <b/>
            <sz val="9"/>
            <color indexed="81"/>
            <rFont val="Tahoma"/>
            <family val="2"/>
          </rPr>
          <t>&lt;[[TCDeals] - [TC Property Current Stage (Seq: 1)] - [Buildings (Seq: 13)] Constr 8609 Basis - Both]&gt;</t>
        </r>
      </text>
    </comment>
    <comment ref="O1200" authorId="0" shapeId="0" xr:uid="{8E4F5638-9BBA-47D1-844E-9E8C93103E55}">
      <text>
        <r>
          <rPr>
            <b/>
            <sz val="9"/>
            <color indexed="81"/>
            <rFont val="Tahoma"/>
            <family val="2"/>
          </rPr>
          <t>&lt;[[TCDeals] - [TC Property Current Stage (Seq: 1)] - [Buildings (Seq: 13)] Constr 8609 Credit - Both]&gt;</t>
        </r>
      </text>
    </comment>
    <comment ref="P1200" authorId="0" shapeId="0" xr:uid="{7EDE41D9-22D7-4BA6-8B3A-DAEEEE65E76B}">
      <text>
        <r>
          <rPr>
            <b/>
            <sz val="9"/>
            <color indexed="81"/>
            <rFont val="Tahoma"/>
            <family val="2"/>
          </rPr>
          <t>&lt;[[TCDeals] - [TC Property Current Stage (Seq: 1)] - [Buildings (Seq: 13)] Acq PIS Date - Both]&gt;</t>
        </r>
      </text>
    </comment>
    <comment ref="Q1200" authorId="0" shapeId="0" xr:uid="{1F8E73B5-3AEB-44C8-BD39-B1877FE2F90B}">
      <text>
        <r>
          <rPr>
            <b/>
            <sz val="9"/>
            <color indexed="81"/>
            <rFont val="Tahoma"/>
            <family val="2"/>
          </rPr>
          <t>&lt;[[TCDeals] - [TC Property Current Stage (Seq: 1)] - [Buildings (Seq: 13)] Acq Applicable Percentage - Both]&gt;</t>
        </r>
      </text>
    </comment>
    <comment ref="R1200" authorId="0" shapeId="0" xr:uid="{D807821A-404E-4C0E-9E10-848560F5CE7E}">
      <text>
        <r>
          <rPr>
            <b/>
            <sz val="9"/>
            <color indexed="81"/>
            <rFont val="Tahoma"/>
            <family val="2"/>
          </rPr>
          <t>&lt;[[TCDeals] - [TC Property Current Stage (Seq: 1)] - [Buildings (Seq: 13)] Acq Est Qual Basis - Both]&gt;</t>
        </r>
      </text>
    </comment>
    <comment ref="S1200" authorId="0" shapeId="0" xr:uid="{3782C175-9638-4F31-9484-FBC3E1CF050B}">
      <text>
        <r>
          <rPr>
            <b/>
            <sz val="9"/>
            <color indexed="81"/>
            <rFont val="Tahoma"/>
            <family val="2"/>
          </rPr>
          <t>&lt;[[TCDeals] - [TC Property Current Stage (Seq: 1)] - [Buildings (Seq: 13)] Acq 8609 Basis - Both]&gt;</t>
        </r>
      </text>
    </comment>
    <comment ref="T1200" authorId="0" shapeId="0" xr:uid="{CFD2DE13-B1D1-470B-A6CA-8DD632D9BCEE}">
      <text>
        <r>
          <rPr>
            <b/>
            <sz val="9"/>
            <color indexed="81"/>
            <rFont val="Tahoma"/>
            <family val="2"/>
          </rPr>
          <t>&lt;[[TCDeals] - [TC Property Current Stage (Seq: 1)] - [Buildings (Seq: 13)] Acq 8609 Credit - Both]&gt;</t>
        </r>
      </text>
    </comment>
    <comment ref="C1201" authorId="0" shapeId="0" xr:uid="{B1DDC460-30F4-4CDC-BE8F-AC8E90547A4E}">
      <text>
        <r>
          <rPr>
            <b/>
            <sz val="9"/>
            <color indexed="81"/>
            <rFont val="Tahoma"/>
            <family val="2"/>
          </rPr>
          <t>&lt;[[TCDeals] - [TC Property Current Stage (Seq: 1)] - [Buildings (Seq: 14)] BIN - Both]&gt;</t>
        </r>
      </text>
    </comment>
    <comment ref="D1201" authorId="0" shapeId="0" xr:uid="{A1301EBE-5240-48A6-843B-58971BC4DA0B}">
      <text>
        <r>
          <rPr>
            <b/>
            <sz val="9"/>
            <color indexed="81"/>
            <rFont val="Tahoma"/>
            <family val="2"/>
          </rPr>
          <t>&lt;[[TCDeals] - [TC Property Current Stage (Seq: 1)] - [Buildings (Seq: 14)] Address 1 - Both]&gt;</t>
        </r>
      </text>
    </comment>
    <comment ref="E1201" authorId="0" shapeId="0" xr:uid="{0DEE9679-D179-4B9D-BD9A-EDA9401F0E9F}">
      <text>
        <r>
          <rPr>
            <b/>
            <sz val="9"/>
            <color indexed="81"/>
            <rFont val="Tahoma"/>
            <family val="2"/>
          </rPr>
          <t>&lt;[[TCDeals] - [TC Property Current Stage (Seq: 1)] - [Buildings (Seq: 14)] Num TC Units - Both]&gt;</t>
        </r>
      </text>
    </comment>
    <comment ref="F1201" authorId="0" shapeId="0" xr:uid="{C45D8A9C-891A-4B36-AAD1-3F65456676C7}">
      <text>
        <r>
          <rPr>
            <b/>
            <sz val="9"/>
            <color indexed="81"/>
            <rFont val="Tahoma"/>
            <family val="2"/>
          </rPr>
          <t>&lt;[[TCDeals] - [TC Property Current Stage (Seq: 1)] - [Buildings (Seq: 14)] PVC PIS Date - Both]&gt;</t>
        </r>
      </text>
    </comment>
    <comment ref="G1201" authorId="0" shapeId="0" xr:uid="{12B80ED7-8C05-4237-9090-8D764E857A13}">
      <text>
        <r>
          <rPr>
            <b/>
            <sz val="9"/>
            <color indexed="81"/>
            <rFont val="Tahoma"/>
            <family val="2"/>
          </rPr>
          <t>&lt;[[TCDeals] - [TC Property Current Stage (Seq: 1)] - [Buildings (Seq: 14)] PVC Applicable Percentage - Both]&gt;</t>
        </r>
      </text>
    </comment>
    <comment ref="H1201" authorId="0" shapeId="0" xr:uid="{4FDD183C-00DF-49F1-B19A-766AC938742A}">
      <text>
        <r>
          <rPr>
            <b/>
            <sz val="9"/>
            <color indexed="81"/>
            <rFont val="Tahoma"/>
            <family val="2"/>
          </rPr>
          <t>&lt;[[TCDeals] - [TC Property Current Stage (Seq: 1)] - [Buildings (Seq: 14)] PVC Est Qual Basis - Both]&gt;</t>
        </r>
      </text>
    </comment>
    <comment ref="I1201" authorId="0" shapeId="0" xr:uid="{5E71CC3D-9F7C-41C9-A818-DC24A0B0084B}">
      <text>
        <r>
          <rPr>
            <b/>
            <sz val="9"/>
            <color indexed="81"/>
            <rFont val="Tahoma"/>
            <family val="2"/>
          </rPr>
          <t>&lt;[[TCDeals] - [TC Property Current Stage (Seq: 1)] - [Buildings (Seq: 14)] PVC8609 Basis - Both]&gt;</t>
        </r>
      </text>
    </comment>
    <comment ref="J1201" authorId="0" shapeId="0" xr:uid="{4FBDE14E-2F85-4EAF-A112-3C5A0A552421}">
      <text>
        <r>
          <rPr>
            <b/>
            <sz val="9"/>
            <color indexed="81"/>
            <rFont val="Tahoma"/>
            <family val="2"/>
          </rPr>
          <t>&lt;[[TCDeals] - [TC Property Current Stage (Seq: 1)] - [Buildings (Seq: 14)] PVC8609 Credit - Both]&gt;</t>
        </r>
      </text>
    </comment>
    <comment ref="K1201" authorId="0" shapeId="0" xr:uid="{21B31DE0-1811-44AA-ACAD-2B06307BC1B1}">
      <text>
        <r>
          <rPr>
            <b/>
            <sz val="9"/>
            <color indexed="81"/>
            <rFont val="Tahoma"/>
            <family val="2"/>
          </rPr>
          <t>&lt;[[TCDeals] - [TC Property Current Stage (Seq: 1)] - [Buildings (Seq: 14)] Constr PIS Date - Both]&gt;</t>
        </r>
      </text>
    </comment>
    <comment ref="L1201" authorId="0" shapeId="0" xr:uid="{E4F48B46-E138-471D-BE2D-B185A9416A04}">
      <text>
        <r>
          <rPr>
            <b/>
            <sz val="9"/>
            <color indexed="81"/>
            <rFont val="Tahoma"/>
            <family val="2"/>
          </rPr>
          <t>&lt;[[TCDeals] - [TC Property Current Stage (Seq: 1)] - [Buildings (Seq: 14)] Constr Applicable Percentage - Both]&gt;</t>
        </r>
      </text>
    </comment>
    <comment ref="M1201" authorId="0" shapeId="0" xr:uid="{897DCEF5-4B25-443D-BC8C-99BA20F7A40A}">
      <text>
        <r>
          <rPr>
            <b/>
            <sz val="9"/>
            <color indexed="81"/>
            <rFont val="Tahoma"/>
            <family val="2"/>
          </rPr>
          <t>&lt;[[TCDeals] - [TC Property Current Stage (Seq: 1)] - [Buildings (Seq: 14)] Constr Est Qual Basis - Both]&gt;</t>
        </r>
      </text>
    </comment>
    <comment ref="N1201" authorId="0" shapeId="0" xr:uid="{ECED3CDF-B8A0-4E44-B4FF-47BD0D55E89C}">
      <text>
        <r>
          <rPr>
            <b/>
            <sz val="9"/>
            <color indexed="81"/>
            <rFont val="Tahoma"/>
            <family val="2"/>
          </rPr>
          <t>&lt;[[TCDeals] - [TC Property Current Stage (Seq: 1)] - [Buildings (Seq: 14)] Constr 8609 Basis - Both]&gt;</t>
        </r>
      </text>
    </comment>
    <comment ref="O1201" authorId="0" shapeId="0" xr:uid="{E5F32D00-451C-49F1-8208-D0EFD5F02046}">
      <text>
        <r>
          <rPr>
            <b/>
            <sz val="9"/>
            <color indexed="81"/>
            <rFont val="Tahoma"/>
            <family val="2"/>
          </rPr>
          <t>&lt;[[TCDeals] - [TC Property Current Stage (Seq: 1)] - [Buildings (Seq: 14)] Constr 8609 Credit - Both]&gt;</t>
        </r>
      </text>
    </comment>
    <comment ref="P1201" authorId="0" shapeId="0" xr:uid="{85A6A408-97F2-4E15-9473-B465901D92EE}">
      <text>
        <r>
          <rPr>
            <b/>
            <sz val="9"/>
            <color indexed="81"/>
            <rFont val="Tahoma"/>
            <family val="2"/>
          </rPr>
          <t>&lt;[[TCDeals] - [TC Property Current Stage (Seq: 1)] - [Buildings (Seq: 14)] Acq PIS Date - Both]&gt;</t>
        </r>
      </text>
    </comment>
    <comment ref="Q1201" authorId="0" shapeId="0" xr:uid="{1FCDA022-1364-4F5F-BE92-D75A3AA773D1}">
      <text>
        <r>
          <rPr>
            <b/>
            <sz val="9"/>
            <color indexed="81"/>
            <rFont val="Tahoma"/>
            <family val="2"/>
          </rPr>
          <t>&lt;[[TCDeals] - [TC Property Current Stage (Seq: 1)] - [Buildings (Seq: 14)] Acq Applicable Percentage - Both]&gt;</t>
        </r>
      </text>
    </comment>
    <comment ref="R1201" authorId="0" shapeId="0" xr:uid="{94A8AE3A-6B87-4015-9ED7-B0379772718C}">
      <text>
        <r>
          <rPr>
            <b/>
            <sz val="9"/>
            <color indexed="81"/>
            <rFont val="Tahoma"/>
            <family val="2"/>
          </rPr>
          <t>&lt;[[TCDeals] - [TC Property Current Stage (Seq: 1)] - [Buildings (Seq: 14)] Acq Est Qual Basis - Both]&gt;</t>
        </r>
      </text>
    </comment>
    <comment ref="S1201" authorId="0" shapeId="0" xr:uid="{9F7D76E8-1DFF-43F5-9C57-96534D249306}">
      <text>
        <r>
          <rPr>
            <b/>
            <sz val="9"/>
            <color indexed="81"/>
            <rFont val="Tahoma"/>
            <family val="2"/>
          </rPr>
          <t>&lt;[[TCDeals] - [TC Property Current Stage (Seq: 1)] - [Buildings (Seq: 14)] Acq 8609 Basis - Both]&gt;</t>
        </r>
      </text>
    </comment>
    <comment ref="T1201" authorId="0" shapeId="0" xr:uid="{CB87CB14-662B-4B81-AA0E-529E384803B1}">
      <text>
        <r>
          <rPr>
            <b/>
            <sz val="9"/>
            <color indexed="81"/>
            <rFont val="Tahoma"/>
            <family val="2"/>
          </rPr>
          <t>&lt;[[TCDeals] - [TC Property Current Stage (Seq: 1)] - [Buildings (Seq: 14)] Acq 8609 Credit - Both]&gt;</t>
        </r>
      </text>
    </comment>
    <comment ref="C1202" authorId="0" shapeId="0" xr:uid="{A2DBD4F8-FF04-4BF7-873F-1013060CD682}">
      <text>
        <r>
          <rPr>
            <b/>
            <sz val="9"/>
            <color indexed="81"/>
            <rFont val="Tahoma"/>
            <family val="2"/>
          </rPr>
          <t>&lt;[[TCDeals] - [TC Property Current Stage (Seq: 1)] - [Buildings (Seq: 15)] BIN - Both]&gt;</t>
        </r>
      </text>
    </comment>
    <comment ref="D1202" authorId="0" shapeId="0" xr:uid="{4D2F41E3-B547-4374-8091-ABE13C4AAF4B}">
      <text>
        <r>
          <rPr>
            <b/>
            <sz val="9"/>
            <color indexed="81"/>
            <rFont val="Tahoma"/>
            <family val="2"/>
          </rPr>
          <t>&lt;[[TCDeals] - [TC Property Current Stage (Seq: 1)] - [Buildings (Seq: 15)] Address 1 - Both]&gt;</t>
        </r>
      </text>
    </comment>
    <comment ref="E1202" authorId="0" shapeId="0" xr:uid="{F1951D41-5450-466B-8C85-81C52579A775}">
      <text>
        <r>
          <rPr>
            <b/>
            <sz val="9"/>
            <color indexed="81"/>
            <rFont val="Tahoma"/>
            <family val="2"/>
          </rPr>
          <t>&lt;[[TCDeals] - [TC Property Current Stage (Seq: 1)] - [Buildings (Seq: 15)] Num TC Units - Both]&gt;</t>
        </r>
      </text>
    </comment>
    <comment ref="F1202" authorId="0" shapeId="0" xr:uid="{2E01E973-9E95-4A61-9E87-BC64657772B9}">
      <text>
        <r>
          <rPr>
            <b/>
            <sz val="9"/>
            <color indexed="81"/>
            <rFont val="Tahoma"/>
            <family val="2"/>
          </rPr>
          <t>&lt;[[TCDeals] - [TC Property Current Stage (Seq: 1)] - [Buildings (Seq: 15)] PVC PIS Date - Both]&gt;</t>
        </r>
      </text>
    </comment>
    <comment ref="G1202" authorId="0" shapeId="0" xr:uid="{FA381E3E-ABE1-428D-B815-7D6E220ECFD4}">
      <text>
        <r>
          <rPr>
            <b/>
            <sz val="9"/>
            <color indexed="81"/>
            <rFont val="Tahoma"/>
            <family val="2"/>
          </rPr>
          <t>&lt;[[TCDeals] - [TC Property Current Stage (Seq: 1)] - [Buildings (Seq: 15)] PVC Applicable Percentage - Both]&gt;</t>
        </r>
      </text>
    </comment>
    <comment ref="H1202" authorId="0" shapeId="0" xr:uid="{544D0780-2EE0-47BF-904F-ADCD0C8B8D02}">
      <text>
        <r>
          <rPr>
            <b/>
            <sz val="9"/>
            <color indexed="81"/>
            <rFont val="Tahoma"/>
            <family val="2"/>
          </rPr>
          <t>&lt;[[TCDeals] - [TC Property Current Stage (Seq: 1)] - [Buildings (Seq: 15)] PVC Est Qual Basis - Both]&gt;</t>
        </r>
      </text>
    </comment>
    <comment ref="I1202" authorId="0" shapeId="0" xr:uid="{7A9281D3-B893-43AD-A4C2-ADAFE93F09DF}">
      <text>
        <r>
          <rPr>
            <b/>
            <sz val="9"/>
            <color indexed="81"/>
            <rFont val="Tahoma"/>
            <family val="2"/>
          </rPr>
          <t>&lt;[[TCDeals] - [TC Property Current Stage (Seq: 1)] - [Buildings (Seq: 15)] PVC8609 Basis - Both]&gt;</t>
        </r>
      </text>
    </comment>
    <comment ref="J1202" authorId="0" shapeId="0" xr:uid="{6A5EC8C9-3C2B-494B-A6C3-B77DC08A884F}">
      <text>
        <r>
          <rPr>
            <b/>
            <sz val="9"/>
            <color indexed="81"/>
            <rFont val="Tahoma"/>
            <family val="2"/>
          </rPr>
          <t>&lt;[[TCDeals] - [TC Property Current Stage (Seq: 1)] - [Buildings (Seq: 15)] PVC8609 Credit - Both]&gt;</t>
        </r>
      </text>
    </comment>
    <comment ref="K1202" authorId="0" shapeId="0" xr:uid="{2825FC95-D7B7-45FD-B5CF-BC65E14ACE19}">
      <text>
        <r>
          <rPr>
            <b/>
            <sz val="9"/>
            <color indexed="81"/>
            <rFont val="Tahoma"/>
            <family val="2"/>
          </rPr>
          <t>&lt;[[TCDeals] - [TC Property Current Stage (Seq: 1)] - [Buildings (Seq: 15)] Constr PIS Date - Both]&gt;</t>
        </r>
      </text>
    </comment>
    <comment ref="L1202" authorId="0" shapeId="0" xr:uid="{7241B414-6C1D-4221-A2FC-530812BEE1DF}">
      <text>
        <r>
          <rPr>
            <b/>
            <sz val="9"/>
            <color indexed="81"/>
            <rFont val="Tahoma"/>
            <family val="2"/>
          </rPr>
          <t>&lt;[[TCDeals] - [TC Property Current Stage (Seq: 1)] - [Buildings (Seq: 15)] Constr Applicable Percentage - Both]&gt;</t>
        </r>
      </text>
    </comment>
    <comment ref="M1202" authorId="0" shapeId="0" xr:uid="{84E30A46-28C4-45FC-BD02-9540244ABF45}">
      <text>
        <r>
          <rPr>
            <b/>
            <sz val="9"/>
            <color indexed="81"/>
            <rFont val="Tahoma"/>
            <family val="2"/>
          </rPr>
          <t>&lt;[[TCDeals] - [TC Property Current Stage (Seq: 1)] - [Buildings (Seq: 15)] Constr Est Qual Basis - Both]&gt;</t>
        </r>
      </text>
    </comment>
    <comment ref="N1202" authorId="0" shapeId="0" xr:uid="{C64935F8-56CA-40E2-B292-15C4B3FD9661}">
      <text>
        <r>
          <rPr>
            <b/>
            <sz val="9"/>
            <color indexed="81"/>
            <rFont val="Tahoma"/>
            <family val="2"/>
          </rPr>
          <t>&lt;[[TCDeals] - [TC Property Current Stage (Seq: 1)] - [Buildings (Seq: 15)] Constr 8609 Basis - Both]&gt;</t>
        </r>
      </text>
    </comment>
    <comment ref="O1202" authorId="0" shapeId="0" xr:uid="{444DF75B-ACE7-4182-B6B9-F310D8F9FE34}">
      <text>
        <r>
          <rPr>
            <b/>
            <sz val="9"/>
            <color indexed="81"/>
            <rFont val="Tahoma"/>
            <family val="2"/>
          </rPr>
          <t>&lt;[[TCDeals] - [TC Property Current Stage (Seq: 1)] - [Buildings (Seq: 15)] Constr 8609 Credit - Both]&gt;</t>
        </r>
      </text>
    </comment>
    <comment ref="P1202" authorId="0" shapeId="0" xr:uid="{7C43B788-91C3-4D58-85CC-9F050EE0783F}">
      <text>
        <r>
          <rPr>
            <b/>
            <sz val="9"/>
            <color indexed="81"/>
            <rFont val="Tahoma"/>
            <family val="2"/>
          </rPr>
          <t>&lt;[[TCDeals] - [TC Property Current Stage (Seq: 1)] - [Buildings (Seq: 15)] Acq PIS Date - Both]&gt;</t>
        </r>
      </text>
    </comment>
    <comment ref="Q1202" authorId="0" shapeId="0" xr:uid="{75943B4E-690F-458D-BE37-2917570887FF}">
      <text>
        <r>
          <rPr>
            <b/>
            <sz val="9"/>
            <color indexed="81"/>
            <rFont val="Tahoma"/>
            <family val="2"/>
          </rPr>
          <t>&lt;[[TCDeals] - [TC Property Current Stage (Seq: 1)] - [Buildings (Seq: 15)] Acq Applicable Percentage - Both]&gt;</t>
        </r>
      </text>
    </comment>
    <comment ref="R1202" authorId="0" shapeId="0" xr:uid="{718420DE-A131-4A61-AEDE-ABC4214EBFDB}">
      <text>
        <r>
          <rPr>
            <b/>
            <sz val="9"/>
            <color indexed="81"/>
            <rFont val="Tahoma"/>
            <family val="2"/>
          </rPr>
          <t>&lt;[[TCDeals] - [TC Property Current Stage (Seq: 1)] - [Buildings (Seq: 15)] Acq Est Qual Basis - Both]&gt;</t>
        </r>
      </text>
    </comment>
    <comment ref="S1202" authorId="0" shapeId="0" xr:uid="{3317E937-95CA-416A-A0AD-BD46DA147697}">
      <text>
        <r>
          <rPr>
            <b/>
            <sz val="9"/>
            <color indexed="81"/>
            <rFont val="Tahoma"/>
            <family val="2"/>
          </rPr>
          <t>&lt;[[TCDeals] - [TC Property Current Stage (Seq: 1)] - [Buildings (Seq: 15)] Acq 8609 Basis - Both]&gt;</t>
        </r>
      </text>
    </comment>
    <comment ref="T1202" authorId="0" shapeId="0" xr:uid="{22681F11-1E92-4446-AF82-EF8614B9A15F}">
      <text>
        <r>
          <rPr>
            <b/>
            <sz val="9"/>
            <color indexed="81"/>
            <rFont val="Tahoma"/>
            <family val="2"/>
          </rPr>
          <t>&lt;[[TCDeals] - [TC Property Current Stage (Seq: 1)] - [Buildings (Seq: 15)] Acq 8609 Credit - Both]&gt;</t>
        </r>
      </text>
    </comment>
    <comment ref="C1203" authorId="0" shapeId="0" xr:uid="{D419FB4C-E5F5-47F1-BC6D-F0D160B1BF2D}">
      <text>
        <r>
          <rPr>
            <b/>
            <sz val="9"/>
            <color indexed="81"/>
            <rFont val="Tahoma"/>
            <family val="2"/>
          </rPr>
          <t>&lt;[[TCDeals] - [TC Property Current Stage (Seq: 1)] - [Buildings (Seq: 16)] BIN - Both]&gt;</t>
        </r>
      </text>
    </comment>
    <comment ref="D1203" authorId="0" shapeId="0" xr:uid="{67F04123-E16B-4A06-BAD0-44063BC9509B}">
      <text>
        <r>
          <rPr>
            <b/>
            <sz val="9"/>
            <color indexed="81"/>
            <rFont val="Tahoma"/>
            <family val="2"/>
          </rPr>
          <t>&lt;[[TCDeals] - [TC Property Current Stage (Seq: 1)] - [Buildings (Seq: 16)] Address 1 - Both]&gt;</t>
        </r>
      </text>
    </comment>
    <comment ref="E1203" authorId="0" shapeId="0" xr:uid="{60939E44-D376-4EAA-A8AD-ED8895A1A8F4}">
      <text>
        <r>
          <rPr>
            <b/>
            <sz val="9"/>
            <color indexed="81"/>
            <rFont val="Tahoma"/>
            <family val="2"/>
          </rPr>
          <t>&lt;[[TCDeals] - [TC Property Current Stage (Seq: 1)] - [Buildings (Seq: 16)] Num TC Units - Both]&gt;</t>
        </r>
      </text>
    </comment>
    <comment ref="F1203" authorId="0" shapeId="0" xr:uid="{D57B2639-BBFA-4EAD-BC82-0491C18BD87A}">
      <text>
        <r>
          <rPr>
            <b/>
            <sz val="9"/>
            <color indexed="81"/>
            <rFont val="Tahoma"/>
            <family val="2"/>
          </rPr>
          <t>&lt;[[TCDeals] - [TC Property Current Stage (Seq: 1)] - [Buildings (Seq: 16)] PVC PIS Date - Both]&gt;</t>
        </r>
      </text>
    </comment>
    <comment ref="G1203" authorId="0" shapeId="0" xr:uid="{57998295-7DED-4BDF-A3EA-5B53BB1C32F5}">
      <text>
        <r>
          <rPr>
            <b/>
            <sz val="9"/>
            <color indexed="81"/>
            <rFont val="Tahoma"/>
            <family val="2"/>
          </rPr>
          <t>&lt;[[TCDeals] - [TC Property Current Stage (Seq: 1)] - [Buildings (Seq: 16)] PVC Applicable Percentage - Both]&gt;</t>
        </r>
      </text>
    </comment>
    <comment ref="H1203" authorId="0" shapeId="0" xr:uid="{2C8174D8-FD07-447E-B30C-F20D53CC47B9}">
      <text>
        <r>
          <rPr>
            <b/>
            <sz val="9"/>
            <color indexed="81"/>
            <rFont val="Tahoma"/>
            <family val="2"/>
          </rPr>
          <t>&lt;[[TCDeals] - [TC Property Current Stage (Seq: 1)] - [Buildings (Seq: 16)] PVC Est Qual Basis - Both]&gt;</t>
        </r>
      </text>
    </comment>
    <comment ref="I1203" authorId="0" shapeId="0" xr:uid="{3EC8AA3A-361D-437B-908E-B8B8FAC5A713}">
      <text>
        <r>
          <rPr>
            <b/>
            <sz val="9"/>
            <color indexed="81"/>
            <rFont val="Tahoma"/>
            <family val="2"/>
          </rPr>
          <t>&lt;[[TCDeals] - [TC Property Current Stage (Seq: 1)] - [Buildings (Seq: 16)] PVC8609 Basis - Both]&gt;</t>
        </r>
      </text>
    </comment>
    <comment ref="J1203" authorId="0" shapeId="0" xr:uid="{9082F3EA-5461-46A7-9D45-C88D8374BD8E}">
      <text>
        <r>
          <rPr>
            <b/>
            <sz val="9"/>
            <color indexed="81"/>
            <rFont val="Tahoma"/>
            <family val="2"/>
          </rPr>
          <t>&lt;[[TCDeals] - [TC Property Current Stage (Seq: 1)] - [Buildings (Seq: 16)] PVC8609 Credit - Both]&gt;</t>
        </r>
      </text>
    </comment>
    <comment ref="K1203" authorId="0" shapeId="0" xr:uid="{92AE7BE7-C7B0-4032-9F28-A37705730696}">
      <text>
        <r>
          <rPr>
            <b/>
            <sz val="9"/>
            <color indexed="81"/>
            <rFont val="Tahoma"/>
            <family val="2"/>
          </rPr>
          <t>&lt;[[TCDeals] - [TC Property Current Stage (Seq: 1)] - [Buildings (Seq: 16)] Constr PIS Date - Both]&gt;</t>
        </r>
      </text>
    </comment>
    <comment ref="L1203" authorId="0" shapeId="0" xr:uid="{33CFEE4C-9B6C-4D51-A58D-4D6C5691A371}">
      <text>
        <r>
          <rPr>
            <b/>
            <sz val="9"/>
            <color indexed="81"/>
            <rFont val="Tahoma"/>
            <family val="2"/>
          </rPr>
          <t>&lt;[[TCDeals] - [TC Property Current Stage (Seq: 1)] - [Buildings (Seq: 16)] Constr Applicable Percentage - Both]&gt;</t>
        </r>
      </text>
    </comment>
    <comment ref="M1203" authorId="0" shapeId="0" xr:uid="{7676240E-0D20-41F6-A082-1DBB790D60C7}">
      <text>
        <r>
          <rPr>
            <b/>
            <sz val="9"/>
            <color indexed="81"/>
            <rFont val="Tahoma"/>
            <family val="2"/>
          </rPr>
          <t>&lt;[[TCDeals] - [TC Property Current Stage (Seq: 1)] - [Buildings (Seq: 16)] Constr Est Qual Basis - Both]&gt;</t>
        </r>
      </text>
    </comment>
    <comment ref="N1203" authorId="0" shapeId="0" xr:uid="{F3E2C3A3-80DF-4F3C-883D-407B54049259}">
      <text>
        <r>
          <rPr>
            <b/>
            <sz val="9"/>
            <color indexed="81"/>
            <rFont val="Tahoma"/>
            <family val="2"/>
          </rPr>
          <t>&lt;[[TCDeals] - [TC Property Current Stage (Seq: 1)] - [Buildings (Seq: 16)] Constr 8609 Basis - Both]&gt;</t>
        </r>
      </text>
    </comment>
    <comment ref="O1203" authorId="0" shapeId="0" xr:uid="{B68A4BD6-D3DF-462E-9EAA-5A9922BFD1E0}">
      <text>
        <r>
          <rPr>
            <b/>
            <sz val="9"/>
            <color indexed="81"/>
            <rFont val="Tahoma"/>
            <family val="2"/>
          </rPr>
          <t>&lt;[[TCDeals] - [TC Property Current Stage (Seq: 1)] - [Buildings (Seq: 16)] Constr 8609 Credit - Both]&gt;</t>
        </r>
      </text>
    </comment>
    <comment ref="P1203" authorId="0" shapeId="0" xr:uid="{77A41928-3809-4F76-9491-22C59A0F26CE}">
      <text>
        <r>
          <rPr>
            <b/>
            <sz val="9"/>
            <color indexed="81"/>
            <rFont val="Tahoma"/>
            <family val="2"/>
          </rPr>
          <t>&lt;[[TCDeals] - [TC Property Current Stage (Seq: 1)] - [Buildings (Seq: 16)] Acq PIS Date - Both]&gt;</t>
        </r>
      </text>
    </comment>
    <comment ref="Q1203" authorId="0" shapeId="0" xr:uid="{A2E68235-C726-4207-B275-70F54BA808DE}">
      <text>
        <r>
          <rPr>
            <b/>
            <sz val="9"/>
            <color indexed="81"/>
            <rFont val="Tahoma"/>
            <family val="2"/>
          </rPr>
          <t>&lt;[[TCDeals] - [TC Property Current Stage (Seq: 1)] - [Buildings (Seq: 16)] Acq Applicable Percentage - Both]&gt;</t>
        </r>
      </text>
    </comment>
    <comment ref="R1203" authorId="0" shapeId="0" xr:uid="{3F9EF32A-F7EF-443A-8C8C-82896227D7AB}">
      <text>
        <r>
          <rPr>
            <b/>
            <sz val="9"/>
            <color indexed="81"/>
            <rFont val="Tahoma"/>
            <family val="2"/>
          </rPr>
          <t>&lt;[[TCDeals] - [TC Property Current Stage (Seq: 1)] - [Buildings (Seq: 16)] Acq Est Qual Basis - Both]&gt;</t>
        </r>
      </text>
    </comment>
    <comment ref="S1203" authorId="0" shapeId="0" xr:uid="{843ED705-C253-4682-9F22-DE054F3F6F28}">
      <text>
        <r>
          <rPr>
            <b/>
            <sz val="9"/>
            <color indexed="81"/>
            <rFont val="Tahoma"/>
            <family val="2"/>
          </rPr>
          <t>&lt;[[TCDeals] - [TC Property Current Stage (Seq: 1)] - [Buildings (Seq: 16)] Acq 8609 Basis - Both]&gt;</t>
        </r>
      </text>
    </comment>
    <comment ref="T1203" authorId="0" shapeId="0" xr:uid="{E91C55B1-99B9-43B3-995B-92E3A62E014C}">
      <text>
        <r>
          <rPr>
            <b/>
            <sz val="9"/>
            <color indexed="81"/>
            <rFont val="Tahoma"/>
            <family val="2"/>
          </rPr>
          <t>&lt;[[TCDeals] - [TC Property Current Stage (Seq: 1)] - [Buildings (Seq: 16)] Acq 8609 Credit - Both]&gt;</t>
        </r>
      </text>
    </comment>
    <comment ref="C1204" authorId="0" shapeId="0" xr:uid="{F7B92729-11B3-43B4-8370-98558EC08E44}">
      <text>
        <r>
          <rPr>
            <b/>
            <sz val="9"/>
            <color indexed="81"/>
            <rFont val="Tahoma"/>
            <family val="2"/>
          </rPr>
          <t>&lt;[[TCDeals] - [TC Property Current Stage (Seq: 1)] - [Buildings (Seq: 17)] BIN - Both]&gt;</t>
        </r>
      </text>
    </comment>
    <comment ref="D1204" authorId="0" shapeId="0" xr:uid="{8F497E26-7E6E-4FF6-ACAC-91BCE6951E39}">
      <text>
        <r>
          <rPr>
            <b/>
            <sz val="9"/>
            <color indexed="81"/>
            <rFont val="Tahoma"/>
            <family val="2"/>
          </rPr>
          <t>&lt;[[TCDeals] - [TC Property Current Stage (Seq: 1)] - [Buildings (Seq: 17)] Address 1 - Both]&gt;</t>
        </r>
      </text>
    </comment>
    <comment ref="E1204" authorId="0" shapeId="0" xr:uid="{1C4578B8-399D-42D1-93F4-CDE3FAF673AA}">
      <text>
        <r>
          <rPr>
            <b/>
            <sz val="9"/>
            <color indexed="81"/>
            <rFont val="Tahoma"/>
            <family val="2"/>
          </rPr>
          <t>&lt;[[TCDeals] - [TC Property Current Stage (Seq: 1)] - [Buildings (Seq: 17)] Num TC Units - Both]&gt;</t>
        </r>
      </text>
    </comment>
    <comment ref="F1204" authorId="0" shapeId="0" xr:uid="{B15546AB-EDB6-4A6B-B02C-4DA04E7370E2}">
      <text>
        <r>
          <rPr>
            <b/>
            <sz val="9"/>
            <color indexed="81"/>
            <rFont val="Tahoma"/>
            <family val="2"/>
          </rPr>
          <t>&lt;[[TCDeals] - [TC Property Current Stage (Seq: 1)] - [Buildings (Seq: 17)] PVC PIS Date - Both]&gt;</t>
        </r>
      </text>
    </comment>
    <comment ref="G1204" authorId="0" shapeId="0" xr:uid="{24AF5139-5204-43E8-A530-A48EF1C59F12}">
      <text>
        <r>
          <rPr>
            <b/>
            <sz val="9"/>
            <color indexed="81"/>
            <rFont val="Tahoma"/>
            <family val="2"/>
          </rPr>
          <t>&lt;[[TCDeals] - [TC Property Current Stage (Seq: 1)] - [Buildings (Seq: 17)] PVC Applicable Percentage - Both]&gt;</t>
        </r>
      </text>
    </comment>
    <comment ref="H1204" authorId="0" shapeId="0" xr:uid="{1C07A33A-37FA-4AE4-BF8D-40B4492FEADE}">
      <text>
        <r>
          <rPr>
            <b/>
            <sz val="9"/>
            <color indexed="81"/>
            <rFont val="Tahoma"/>
            <family val="2"/>
          </rPr>
          <t>&lt;[[TCDeals] - [TC Property Current Stage (Seq: 1)] - [Buildings (Seq: 17)] PVC Est Qual Basis - Both]&gt;</t>
        </r>
      </text>
    </comment>
    <comment ref="I1204" authorId="0" shapeId="0" xr:uid="{DDF7D4D4-C069-4A5F-BF1B-C693A6611508}">
      <text>
        <r>
          <rPr>
            <b/>
            <sz val="9"/>
            <color indexed="81"/>
            <rFont val="Tahoma"/>
            <family val="2"/>
          </rPr>
          <t>&lt;[[TCDeals] - [TC Property Current Stage (Seq: 1)] - [Buildings (Seq: 17)] PVC8609 Basis - Both]&gt;</t>
        </r>
      </text>
    </comment>
    <comment ref="J1204" authorId="0" shapeId="0" xr:uid="{E717971A-BB6C-46FF-A873-C7E0217249DF}">
      <text>
        <r>
          <rPr>
            <b/>
            <sz val="9"/>
            <color indexed="81"/>
            <rFont val="Tahoma"/>
            <family val="2"/>
          </rPr>
          <t>&lt;[[TCDeals] - [TC Property Current Stage (Seq: 1)] - [Buildings (Seq: 17)] PVC8609 Credit - Both]&gt;</t>
        </r>
      </text>
    </comment>
    <comment ref="K1204" authorId="0" shapeId="0" xr:uid="{F83CBA75-1BEC-4476-B4EE-7AFE1539F89F}">
      <text>
        <r>
          <rPr>
            <b/>
            <sz val="9"/>
            <color indexed="81"/>
            <rFont val="Tahoma"/>
            <family val="2"/>
          </rPr>
          <t>&lt;[[TCDeals] - [TC Property Current Stage (Seq: 1)] - [Buildings (Seq: 17)] Constr PIS Date - Both]&gt;</t>
        </r>
      </text>
    </comment>
    <comment ref="L1204" authorId="0" shapeId="0" xr:uid="{E5789003-1B27-4D49-BA00-4F53597EABE3}">
      <text>
        <r>
          <rPr>
            <b/>
            <sz val="9"/>
            <color indexed="81"/>
            <rFont val="Tahoma"/>
            <family val="2"/>
          </rPr>
          <t>&lt;[[TCDeals] - [TC Property Current Stage (Seq: 1)] - [Buildings (Seq: 17)] Constr Applicable Percentage - Both]&gt;</t>
        </r>
      </text>
    </comment>
    <comment ref="M1204" authorId="0" shapeId="0" xr:uid="{6B8BE040-4CF9-42CF-8EE3-FA6807CD9511}">
      <text>
        <r>
          <rPr>
            <b/>
            <sz val="9"/>
            <color indexed="81"/>
            <rFont val="Tahoma"/>
            <family val="2"/>
          </rPr>
          <t>&lt;[[TCDeals] - [TC Property Current Stage (Seq: 1)] - [Buildings (Seq: 17)] Constr Est Qual Basis - Both]&gt;</t>
        </r>
      </text>
    </comment>
    <comment ref="N1204" authorId="0" shapeId="0" xr:uid="{E506B459-5D5D-445E-B68A-6C8A83CEBFDD}">
      <text>
        <r>
          <rPr>
            <b/>
            <sz val="9"/>
            <color indexed="81"/>
            <rFont val="Tahoma"/>
            <family val="2"/>
          </rPr>
          <t>&lt;[[TCDeals] - [TC Property Current Stage (Seq: 1)] - [Buildings (Seq: 17)] Constr 8609 Basis - Both]&gt;</t>
        </r>
      </text>
    </comment>
    <comment ref="O1204" authorId="0" shapeId="0" xr:uid="{8C791AFC-BE37-4739-909E-5B70F4FBE59E}">
      <text>
        <r>
          <rPr>
            <b/>
            <sz val="9"/>
            <color indexed="81"/>
            <rFont val="Tahoma"/>
            <family val="2"/>
          </rPr>
          <t>&lt;[[TCDeals] - [TC Property Current Stage (Seq: 1)] - [Buildings (Seq: 17)] Constr 8609 Credit - Both]&gt;</t>
        </r>
      </text>
    </comment>
    <comment ref="P1204" authorId="0" shapeId="0" xr:uid="{142272FE-61AF-4360-9C6C-42DE455BE0FF}">
      <text>
        <r>
          <rPr>
            <b/>
            <sz val="9"/>
            <color indexed="81"/>
            <rFont val="Tahoma"/>
            <family val="2"/>
          </rPr>
          <t>&lt;[[TCDeals] - [TC Property Current Stage (Seq: 1)] - [Buildings (Seq: 17)] Acq PIS Date - Both]&gt;</t>
        </r>
      </text>
    </comment>
    <comment ref="Q1204" authorId="0" shapeId="0" xr:uid="{5E465A5C-7C13-4A97-8054-288BCC058009}">
      <text>
        <r>
          <rPr>
            <b/>
            <sz val="9"/>
            <color indexed="81"/>
            <rFont val="Tahoma"/>
            <family val="2"/>
          </rPr>
          <t>&lt;[[TCDeals] - [TC Property Current Stage (Seq: 1)] - [Buildings (Seq: 17)] Acq Applicable Percentage - Both]&gt;</t>
        </r>
      </text>
    </comment>
    <comment ref="R1204" authorId="0" shapeId="0" xr:uid="{53751AB2-CBE7-4BCE-A45C-9D529DBCE6F6}">
      <text>
        <r>
          <rPr>
            <b/>
            <sz val="9"/>
            <color indexed="81"/>
            <rFont val="Tahoma"/>
            <family val="2"/>
          </rPr>
          <t>&lt;[[TCDeals] - [TC Property Current Stage (Seq: 1)] - [Buildings (Seq: 17)] Acq Est Qual Basis - Both]&gt;</t>
        </r>
      </text>
    </comment>
    <comment ref="S1204" authorId="0" shapeId="0" xr:uid="{0979456E-67F2-4D53-A819-F6D414F1AA11}">
      <text>
        <r>
          <rPr>
            <b/>
            <sz val="9"/>
            <color indexed="81"/>
            <rFont val="Tahoma"/>
            <family val="2"/>
          </rPr>
          <t>&lt;[[TCDeals] - [TC Property Current Stage (Seq: 1)] - [Buildings (Seq: 17)] Acq 8609 Basis - Both]&gt;</t>
        </r>
      </text>
    </comment>
    <comment ref="T1204" authorId="0" shapeId="0" xr:uid="{CFF5D841-98BE-4BBB-885A-FA88483B7CDD}">
      <text>
        <r>
          <rPr>
            <b/>
            <sz val="9"/>
            <color indexed="81"/>
            <rFont val="Tahoma"/>
            <family val="2"/>
          </rPr>
          <t>&lt;[[TCDeals] - [TC Property Current Stage (Seq: 1)] - [Buildings (Seq: 17)] Acq 8609 Credit - Both]&gt;</t>
        </r>
      </text>
    </comment>
    <comment ref="C1205" authorId="0" shapeId="0" xr:uid="{8F5621CC-0A3B-4647-A7C0-7BD994AC3EC4}">
      <text>
        <r>
          <rPr>
            <b/>
            <sz val="9"/>
            <color indexed="81"/>
            <rFont val="Tahoma"/>
            <family val="2"/>
          </rPr>
          <t>&lt;[[TCDeals] - [TC Property Current Stage (Seq: 1)] - [Buildings (Seq: 18)] BIN - Both]&gt;</t>
        </r>
      </text>
    </comment>
    <comment ref="D1205" authorId="0" shapeId="0" xr:uid="{F62C6615-8873-4E93-93D6-103DFE0361D0}">
      <text>
        <r>
          <rPr>
            <b/>
            <sz val="9"/>
            <color indexed="81"/>
            <rFont val="Tahoma"/>
            <family val="2"/>
          </rPr>
          <t>&lt;[[TCDeals] - [TC Property Current Stage (Seq: 1)] - [Buildings (Seq: 18)] Address 1 - Both]&gt;</t>
        </r>
      </text>
    </comment>
    <comment ref="E1205" authorId="0" shapeId="0" xr:uid="{3BBF3FC2-3FF9-4CEF-A922-76DC0C27A245}">
      <text>
        <r>
          <rPr>
            <b/>
            <sz val="9"/>
            <color indexed="81"/>
            <rFont val="Tahoma"/>
            <family val="2"/>
          </rPr>
          <t>&lt;[[TCDeals] - [TC Property Current Stage (Seq: 1)] - [Buildings (Seq: 18)] Num TC Units - Both]&gt;</t>
        </r>
      </text>
    </comment>
    <comment ref="F1205" authorId="0" shapeId="0" xr:uid="{84468786-7374-4BB9-9493-0C1D8D710CDC}">
      <text>
        <r>
          <rPr>
            <b/>
            <sz val="9"/>
            <color indexed="81"/>
            <rFont val="Tahoma"/>
            <family val="2"/>
          </rPr>
          <t>&lt;[[TCDeals] - [TC Property Current Stage (Seq: 1)] - [Buildings (Seq: 18)] PVC PIS Date - Both]&gt;</t>
        </r>
      </text>
    </comment>
    <comment ref="G1205" authorId="0" shapeId="0" xr:uid="{7C6668E6-7E90-4DF3-AC84-72C0406DEC79}">
      <text>
        <r>
          <rPr>
            <b/>
            <sz val="9"/>
            <color indexed="81"/>
            <rFont val="Tahoma"/>
            <family val="2"/>
          </rPr>
          <t>&lt;[[TCDeals] - [TC Property Current Stage (Seq: 1)] - [Buildings (Seq: 18)] PVC Applicable Percentage - Both]&gt;</t>
        </r>
      </text>
    </comment>
    <comment ref="H1205" authorId="0" shapeId="0" xr:uid="{071F5058-185C-4E8D-83B1-ABAB512DF7E6}">
      <text>
        <r>
          <rPr>
            <b/>
            <sz val="9"/>
            <color indexed="81"/>
            <rFont val="Tahoma"/>
            <family val="2"/>
          </rPr>
          <t>&lt;[[TCDeals] - [TC Property Current Stage (Seq: 1)] - [Buildings (Seq: 18)] PVC Est Qual Basis - Both]&gt;</t>
        </r>
      </text>
    </comment>
    <comment ref="I1205" authorId="0" shapeId="0" xr:uid="{8E05C1EB-8FAA-4EB3-8D19-2058BC678C68}">
      <text>
        <r>
          <rPr>
            <b/>
            <sz val="9"/>
            <color indexed="81"/>
            <rFont val="Tahoma"/>
            <family val="2"/>
          </rPr>
          <t>&lt;[[TCDeals] - [TC Property Current Stage (Seq: 1)] - [Buildings (Seq: 18)] PVC8609 Basis - Both]&gt;</t>
        </r>
      </text>
    </comment>
    <comment ref="J1205" authorId="0" shapeId="0" xr:uid="{9B604017-7B12-48C3-B3F8-104FE858D10C}">
      <text>
        <r>
          <rPr>
            <b/>
            <sz val="9"/>
            <color indexed="81"/>
            <rFont val="Tahoma"/>
            <family val="2"/>
          </rPr>
          <t>&lt;[[TCDeals] - [TC Property Current Stage (Seq: 1)] - [Buildings (Seq: 18)] PVC8609 Credit - Both]&gt;</t>
        </r>
      </text>
    </comment>
    <comment ref="K1205" authorId="0" shapeId="0" xr:uid="{35DD53DA-A7DF-4DBA-AC29-E190924CD1D6}">
      <text>
        <r>
          <rPr>
            <b/>
            <sz val="9"/>
            <color indexed="81"/>
            <rFont val="Tahoma"/>
            <family val="2"/>
          </rPr>
          <t>&lt;[[TCDeals] - [TC Property Current Stage (Seq: 1)] - [Buildings (Seq: 18)] Constr PIS Date - Both]&gt;</t>
        </r>
      </text>
    </comment>
    <comment ref="L1205" authorId="0" shapeId="0" xr:uid="{4426C07C-BF19-4733-AE9E-C25BAC166896}">
      <text>
        <r>
          <rPr>
            <b/>
            <sz val="9"/>
            <color indexed="81"/>
            <rFont val="Tahoma"/>
            <family val="2"/>
          </rPr>
          <t>&lt;[[TCDeals] - [TC Property Current Stage (Seq: 1)] - [Buildings (Seq: 18)] Constr Applicable Percentage - Both]&gt;</t>
        </r>
      </text>
    </comment>
    <comment ref="M1205" authorId="0" shapeId="0" xr:uid="{54CD16C0-1686-430D-AB23-2D3BB49E1F00}">
      <text>
        <r>
          <rPr>
            <b/>
            <sz val="9"/>
            <color indexed="81"/>
            <rFont val="Tahoma"/>
            <family val="2"/>
          </rPr>
          <t>&lt;[[TCDeals] - [TC Property Current Stage (Seq: 1)] - [Buildings (Seq: 18)] Constr Est Qual Basis - Both]&gt;</t>
        </r>
      </text>
    </comment>
    <comment ref="N1205" authorId="0" shapeId="0" xr:uid="{8DBFC5AD-9217-4D31-BE38-A994BF223B3D}">
      <text>
        <r>
          <rPr>
            <b/>
            <sz val="9"/>
            <color indexed="81"/>
            <rFont val="Tahoma"/>
            <family val="2"/>
          </rPr>
          <t>&lt;[[TCDeals] - [TC Property Current Stage (Seq: 1)] - [Buildings (Seq: 18)] Constr 8609 Basis - Both]&gt;</t>
        </r>
      </text>
    </comment>
    <comment ref="O1205" authorId="0" shapeId="0" xr:uid="{C9D44859-9AF9-488A-8558-8A801D118B40}">
      <text>
        <r>
          <rPr>
            <b/>
            <sz val="9"/>
            <color indexed="81"/>
            <rFont val="Tahoma"/>
            <family val="2"/>
          </rPr>
          <t>&lt;[[TCDeals] - [TC Property Current Stage (Seq: 1)] - [Buildings (Seq: 18)] Constr 8609 Credit - Both]&gt;</t>
        </r>
      </text>
    </comment>
    <comment ref="P1205" authorId="0" shapeId="0" xr:uid="{5C79744A-3AFB-4CCE-B3FF-9BAB96C014B3}">
      <text>
        <r>
          <rPr>
            <b/>
            <sz val="9"/>
            <color indexed="81"/>
            <rFont val="Tahoma"/>
            <family val="2"/>
          </rPr>
          <t>&lt;[[TCDeals] - [TC Property Current Stage (Seq: 1)] - [Buildings (Seq: 18)] Acq PIS Date - Both]&gt;</t>
        </r>
      </text>
    </comment>
    <comment ref="Q1205" authorId="0" shapeId="0" xr:uid="{E7D36CE0-CCC0-44C0-B431-A4FD0E36199A}">
      <text>
        <r>
          <rPr>
            <b/>
            <sz val="9"/>
            <color indexed="81"/>
            <rFont val="Tahoma"/>
            <family val="2"/>
          </rPr>
          <t>&lt;[[TCDeals] - [TC Property Current Stage (Seq: 1)] - [Buildings (Seq: 18)] Acq Applicable Percentage - Both]&gt;</t>
        </r>
      </text>
    </comment>
    <comment ref="R1205" authorId="0" shapeId="0" xr:uid="{01FDCBDE-F598-4332-A63D-7B7C4E1560AD}">
      <text>
        <r>
          <rPr>
            <b/>
            <sz val="9"/>
            <color indexed="81"/>
            <rFont val="Tahoma"/>
            <family val="2"/>
          </rPr>
          <t>&lt;[[TCDeals] - [TC Property Current Stage (Seq: 1)] - [Buildings (Seq: 18)] Acq Est Qual Basis - Both]&gt;</t>
        </r>
      </text>
    </comment>
    <comment ref="S1205" authorId="0" shapeId="0" xr:uid="{F5BA2FA0-EB94-415D-BDB5-5697B18FDD95}">
      <text>
        <r>
          <rPr>
            <b/>
            <sz val="9"/>
            <color indexed="81"/>
            <rFont val="Tahoma"/>
            <family val="2"/>
          </rPr>
          <t>&lt;[[TCDeals] - [TC Property Current Stage (Seq: 1)] - [Buildings (Seq: 18)] Acq 8609 Basis - Both]&gt;</t>
        </r>
      </text>
    </comment>
    <comment ref="T1205" authorId="0" shapeId="0" xr:uid="{467435C7-3C9A-4590-AB47-CBAD0DBF5F2F}">
      <text>
        <r>
          <rPr>
            <b/>
            <sz val="9"/>
            <color indexed="81"/>
            <rFont val="Tahoma"/>
            <family val="2"/>
          </rPr>
          <t>&lt;[[TCDeals] - [TC Property Current Stage (Seq: 1)] - [Buildings (Seq: 18)] Acq 8609 Credit - Both]&gt;</t>
        </r>
      </text>
    </comment>
    <comment ref="C1206" authorId="0" shapeId="0" xr:uid="{30DFF0BC-F70D-4FB6-B6B2-7C8ED793E27B}">
      <text>
        <r>
          <rPr>
            <b/>
            <sz val="9"/>
            <color indexed="81"/>
            <rFont val="Tahoma"/>
            <family val="2"/>
          </rPr>
          <t>&lt;[[TCDeals] - [TC Property Current Stage (Seq: 1)] - [Buildings (Seq: 19)] BIN - Both]&gt;</t>
        </r>
      </text>
    </comment>
    <comment ref="D1206" authorId="0" shapeId="0" xr:uid="{3D0A3420-8DCD-4883-9708-FF877DA56E5B}">
      <text>
        <r>
          <rPr>
            <b/>
            <sz val="9"/>
            <color indexed="81"/>
            <rFont val="Tahoma"/>
            <family val="2"/>
          </rPr>
          <t>&lt;[[TCDeals] - [TC Property Current Stage (Seq: 1)] - [Buildings (Seq: 19)] Address 1 - Both]&gt;</t>
        </r>
      </text>
    </comment>
    <comment ref="E1206" authorId="0" shapeId="0" xr:uid="{69E9889B-6D88-4B83-BA6B-2E483AA97354}">
      <text>
        <r>
          <rPr>
            <b/>
            <sz val="9"/>
            <color indexed="81"/>
            <rFont val="Tahoma"/>
            <family val="2"/>
          </rPr>
          <t>&lt;[[TCDeals] - [TC Property Current Stage (Seq: 1)] - [Buildings (Seq: 19)] Num TC Units - Both]&gt;</t>
        </r>
      </text>
    </comment>
    <comment ref="F1206" authorId="0" shapeId="0" xr:uid="{B2219148-E577-4401-BA10-2041E9D4296E}">
      <text>
        <r>
          <rPr>
            <b/>
            <sz val="9"/>
            <color indexed="81"/>
            <rFont val="Tahoma"/>
            <family val="2"/>
          </rPr>
          <t>&lt;[[TCDeals] - [TC Property Current Stage (Seq: 1)] - [Buildings (Seq: 19)] PVC PIS Date - Both]&gt;</t>
        </r>
      </text>
    </comment>
    <comment ref="G1206" authorId="0" shapeId="0" xr:uid="{F2E95770-0D8D-417A-9DD5-89FC52ED6738}">
      <text>
        <r>
          <rPr>
            <b/>
            <sz val="9"/>
            <color indexed="81"/>
            <rFont val="Tahoma"/>
            <family val="2"/>
          </rPr>
          <t>&lt;[[TCDeals] - [TC Property Current Stage (Seq: 1)] - [Buildings (Seq: 19)] PVC Applicable Percentage - Both]&gt;</t>
        </r>
      </text>
    </comment>
    <comment ref="H1206" authorId="0" shapeId="0" xr:uid="{EAA67453-9B7D-490E-B2F1-C98EC5440BA3}">
      <text>
        <r>
          <rPr>
            <b/>
            <sz val="9"/>
            <color indexed="81"/>
            <rFont val="Tahoma"/>
            <family val="2"/>
          </rPr>
          <t>&lt;[[TCDeals] - [TC Property Current Stage (Seq: 1)] - [Buildings (Seq: 19)] PVC Est Qual Basis - Both]&gt;</t>
        </r>
      </text>
    </comment>
    <comment ref="I1206" authorId="0" shapeId="0" xr:uid="{8F1DD4BE-000B-4000-AC08-7DB1F6AE7300}">
      <text>
        <r>
          <rPr>
            <b/>
            <sz val="9"/>
            <color indexed="81"/>
            <rFont val="Tahoma"/>
            <family val="2"/>
          </rPr>
          <t>&lt;[[TCDeals] - [TC Property Current Stage (Seq: 1)] - [Buildings (Seq: 19)] PVC8609 Basis - Both]&gt;</t>
        </r>
      </text>
    </comment>
    <comment ref="J1206" authorId="0" shapeId="0" xr:uid="{DE340CBB-1299-4593-AC5E-0BD980A7CCF2}">
      <text>
        <r>
          <rPr>
            <b/>
            <sz val="9"/>
            <color indexed="81"/>
            <rFont val="Tahoma"/>
            <family val="2"/>
          </rPr>
          <t>&lt;[[TCDeals] - [TC Property Current Stage (Seq: 1)] - [Buildings (Seq: 19)] PVC8609 Credit - Both]&gt;</t>
        </r>
      </text>
    </comment>
    <comment ref="K1206" authorId="0" shapeId="0" xr:uid="{2F9D3917-72E0-4ECB-8BC4-1CA1A8C3D3E5}">
      <text>
        <r>
          <rPr>
            <b/>
            <sz val="9"/>
            <color indexed="81"/>
            <rFont val="Tahoma"/>
            <family val="2"/>
          </rPr>
          <t>&lt;[[TCDeals] - [TC Property Current Stage (Seq: 1)] - [Buildings (Seq: 19)] Constr PIS Date - Both]&gt;</t>
        </r>
      </text>
    </comment>
    <comment ref="L1206" authorId="0" shapeId="0" xr:uid="{1E9D2B36-DFBE-422C-816E-F3326A47AD02}">
      <text>
        <r>
          <rPr>
            <b/>
            <sz val="9"/>
            <color indexed="81"/>
            <rFont val="Tahoma"/>
            <family val="2"/>
          </rPr>
          <t>&lt;[[TCDeals] - [TC Property Current Stage (Seq: 1)] - [Buildings (Seq: 19)] Constr Applicable Percentage - Both]&gt;</t>
        </r>
      </text>
    </comment>
    <comment ref="M1206" authorId="0" shapeId="0" xr:uid="{2C872BCA-0F19-41C6-BA27-69AE477332B5}">
      <text>
        <r>
          <rPr>
            <b/>
            <sz val="9"/>
            <color indexed="81"/>
            <rFont val="Tahoma"/>
            <family val="2"/>
          </rPr>
          <t>&lt;[[TCDeals] - [TC Property Current Stage (Seq: 1)] - [Buildings (Seq: 19)] Constr Est Qual Basis - Both]&gt;</t>
        </r>
      </text>
    </comment>
    <comment ref="N1206" authorId="0" shapeId="0" xr:uid="{C3EC179D-FEBE-4483-9454-4136A72B8EB6}">
      <text>
        <r>
          <rPr>
            <b/>
            <sz val="9"/>
            <color indexed="81"/>
            <rFont val="Tahoma"/>
            <family val="2"/>
          </rPr>
          <t>&lt;[[TCDeals] - [TC Property Current Stage (Seq: 1)] - [Buildings (Seq: 19)] Constr 8609 Basis - Both]&gt;</t>
        </r>
      </text>
    </comment>
    <comment ref="O1206" authorId="0" shapeId="0" xr:uid="{A9657B8B-47BD-4480-B52F-17DD4C2C5424}">
      <text>
        <r>
          <rPr>
            <b/>
            <sz val="9"/>
            <color indexed="81"/>
            <rFont val="Tahoma"/>
            <family val="2"/>
          </rPr>
          <t>&lt;[[TCDeals] - [TC Property Current Stage (Seq: 1)] - [Buildings (Seq: 19)] Constr 8609 Credit - Both]&gt;</t>
        </r>
      </text>
    </comment>
    <comment ref="P1206" authorId="0" shapeId="0" xr:uid="{A65AE2B4-84E3-4DF7-94B1-E513CF853A73}">
      <text>
        <r>
          <rPr>
            <b/>
            <sz val="9"/>
            <color indexed="81"/>
            <rFont val="Tahoma"/>
            <family val="2"/>
          </rPr>
          <t>&lt;[[TCDeals] - [TC Property Current Stage (Seq: 1)] - [Buildings (Seq: 19)] Acq PIS Date - Both]&gt;</t>
        </r>
      </text>
    </comment>
    <comment ref="Q1206" authorId="0" shapeId="0" xr:uid="{17844514-8261-4531-98AC-5CC4C8CF2ABB}">
      <text>
        <r>
          <rPr>
            <b/>
            <sz val="9"/>
            <color indexed="81"/>
            <rFont val="Tahoma"/>
            <family val="2"/>
          </rPr>
          <t>&lt;[[TCDeals] - [TC Property Current Stage (Seq: 1)] - [Buildings (Seq: 19)] Acq Applicable Percentage - Both]&gt;</t>
        </r>
      </text>
    </comment>
    <comment ref="R1206" authorId="0" shapeId="0" xr:uid="{8EDF4CBA-C1A3-48E4-9054-168AD06145E4}">
      <text>
        <r>
          <rPr>
            <b/>
            <sz val="9"/>
            <color indexed="81"/>
            <rFont val="Tahoma"/>
            <family val="2"/>
          </rPr>
          <t>&lt;[[TCDeals] - [TC Property Current Stage (Seq: 1)] - [Buildings (Seq: 19)] Acq Est Qual Basis - Both]&gt;</t>
        </r>
      </text>
    </comment>
    <comment ref="S1206" authorId="0" shapeId="0" xr:uid="{B0C3E93D-1F92-4D9F-A70C-92362D9579CF}">
      <text>
        <r>
          <rPr>
            <b/>
            <sz val="9"/>
            <color indexed="81"/>
            <rFont val="Tahoma"/>
            <family val="2"/>
          </rPr>
          <t>&lt;[[TCDeals] - [TC Property Current Stage (Seq: 1)] - [Buildings (Seq: 19)] Acq 8609 Basis - Both]&gt;</t>
        </r>
      </text>
    </comment>
    <comment ref="T1206" authorId="0" shapeId="0" xr:uid="{BDEFF3AE-8EEA-4979-B8F5-369C8662E694}">
      <text>
        <r>
          <rPr>
            <b/>
            <sz val="9"/>
            <color indexed="81"/>
            <rFont val="Tahoma"/>
            <family val="2"/>
          </rPr>
          <t>&lt;[[TCDeals] - [TC Property Current Stage (Seq: 1)] - [Buildings (Seq: 19)] Acq 8609 Credit - Both]&gt;</t>
        </r>
      </text>
    </comment>
    <comment ref="C1207" authorId="0" shapeId="0" xr:uid="{053925AD-FE01-45AD-9A09-6BB47742F688}">
      <text>
        <r>
          <rPr>
            <b/>
            <sz val="9"/>
            <color indexed="81"/>
            <rFont val="Tahoma"/>
            <family val="2"/>
          </rPr>
          <t>&lt;[[TCDeals] - [TC Property Current Stage (Seq: 1)] - [Buildings (Seq: 20)] BIN - Both]&gt;</t>
        </r>
      </text>
    </comment>
    <comment ref="D1207" authorId="0" shapeId="0" xr:uid="{7817E94F-8D9B-4DCC-B153-AE480159DDE8}">
      <text>
        <r>
          <rPr>
            <b/>
            <sz val="9"/>
            <color indexed="81"/>
            <rFont val="Tahoma"/>
            <family val="2"/>
          </rPr>
          <t>&lt;[[TCDeals] - [TC Property Current Stage (Seq: 1)] - [Buildings (Seq: 20)] Address 1 - Both]&gt;</t>
        </r>
      </text>
    </comment>
    <comment ref="E1207" authorId="0" shapeId="0" xr:uid="{736ABBA2-C84B-4F41-BB95-CF509699E607}">
      <text>
        <r>
          <rPr>
            <b/>
            <sz val="9"/>
            <color indexed="81"/>
            <rFont val="Tahoma"/>
            <family val="2"/>
          </rPr>
          <t>&lt;[[TCDeals] - [TC Property Current Stage (Seq: 1)] - [Buildings (Seq: 20)] Num TC Units - Both]&gt;</t>
        </r>
      </text>
    </comment>
    <comment ref="F1207" authorId="0" shapeId="0" xr:uid="{89A9DE1F-A298-499B-956A-B34523A91C4A}">
      <text>
        <r>
          <rPr>
            <b/>
            <sz val="9"/>
            <color indexed="81"/>
            <rFont val="Tahoma"/>
            <family val="2"/>
          </rPr>
          <t>&lt;[[TCDeals] - [TC Property Current Stage (Seq: 1)] - [Buildings (Seq: 20)] PVC PIS Date - Both]&gt;</t>
        </r>
      </text>
    </comment>
    <comment ref="G1207" authorId="0" shapeId="0" xr:uid="{6FEE5B5C-4574-41B5-9CDA-C427CFFAC924}">
      <text>
        <r>
          <rPr>
            <b/>
            <sz val="9"/>
            <color indexed="81"/>
            <rFont val="Tahoma"/>
            <family val="2"/>
          </rPr>
          <t>&lt;[[TCDeals] - [TC Property Current Stage (Seq: 1)] - [Buildings (Seq: 20)] PVC Applicable Percentage - Both]&gt;</t>
        </r>
      </text>
    </comment>
    <comment ref="H1207" authorId="0" shapeId="0" xr:uid="{E62D8255-916C-429C-9C67-0988A28E61DD}">
      <text>
        <r>
          <rPr>
            <b/>
            <sz val="9"/>
            <color indexed="81"/>
            <rFont val="Tahoma"/>
            <family val="2"/>
          </rPr>
          <t>&lt;[[TCDeals] - [TC Property Current Stage (Seq: 1)] - [Buildings (Seq: 20)] PVC Est Qual Basis - Both]&gt;</t>
        </r>
      </text>
    </comment>
    <comment ref="I1207" authorId="0" shapeId="0" xr:uid="{15879BBE-A53B-4F6D-BD93-9A7A4E9BF3BA}">
      <text>
        <r>
          <rPr>
            <b/>
            <sz val="9"/>
            <color indexed="81"/>
            <rFont val="Tahoma"/>
            <family val="2"/>
          </rPr>
          <t>&lt;[[TCDeals] - [TC Property Current Stage (Seq: 1)] - [Buildings (Seq: 20)] PVC8609 Basis - Both]&gt;</t>
        </r>
      </text>
    </comment>
    <comment ref="J1207" authorId="0" shapeId="0" xr:uid="{AE555FFA-71EE-4E7F-A3C1-FB20BAD55137}">
      <text>
        <r>
          <rPr>
            <b/>
            <sz val="9"/>
            <color indexed="81"/>
            <rFont val="Tahoma"/>
            <family val="2"/>
          </rPr>
          <t>&lt;[[TCDeals] - [TC Property Current Stage (Seq: 1)] - [Buildings (Seq: 20)] PVC8609 Credit - Both]&gt;</t>
        </r>
      </text>
    </comment>
    <comment ref="K1207" authorId="0" shapeId="0" xr:uid="{8825122C-093C-464D-A367-F04493CBDC0E}">
      <text>
        <r>
          <rPr>
            <b/>
            <sz val="9"/>
            <color indexed="81"/>
            <rFont val="Tahoma"/>
            <family val="2"/>
          </rPr>
          <t>&lt;[[TCDeals] - [TC Property Current Stage (Seq: 1)] - [Buildings (Seq: 20)] Constr PIS Date - Both]&gt;</t>
        </r>
      </text>
    </comment>
    <comment ref="L1207" authorId="0" shapeId="0" xr:uid="{02EA8627-AD82-4931-83FE-3B8847571AD9}">
      <text>
        <r>
          <rPr>
            <b/>
            <sz val="9"/>
            <color indexed="81"/>
            <rFont val="Tahoma"/>
            <family val="2"/>
          </rPr>
          <t>&lt;[[TCDeals] - [TC Property Current Stage (Seq: 1)] - [Buildings (Seq: 20)] Constr Applicable Percentage - Both]&gt;</t>
        </r>
      </text>
    </comment>
    <comment ref="M1207" authorId="0" shapeId="0" xr:uid="{0606FCF6-EB1F-4FBA-B9D4-0560B3E7D54C}">
      <text>
        <r>
          <rPr>
            <b/>
            <sz val="9"/>
            <color indexed="81"/>
            <rFont val="Tahoma"/>
            <family val="2"/>
          </rPr>
          <t>&lt;[[TCDeals] - [TC Property Current Stage (Seq: 1)] - [Buildings (Seq: 20)] Constr Est Qual Basis - Both]&gt;</t>
        </r>
      </text>
    </comment>
    <comment ref="N1207" authorId="0" shapeId="0" xr:uid="{46971F48-0874-4436-8FC6-682178FD5BD4}">
      <text>
        <r>
          <rPr>
            <b/>
            <sz val="9"/>
            <color indexed="81"/>
            <rFont val="Tahoma"/>
            <family val="2"/>
          </rPr>
          <t>&lt;[[TCDeals] - [TC Property Current Stage (Seq: 1)] - [Buildings (Seq: 20)] Constr 8609 Basis - Both]&gt;</t>
        </r>
      </text>
    </comment>
    <comment ref="O1207" authorId="0" shapeId="0" xr:uid="{C2409BC2-441D-44C9-8744-3316EF645E97}">
      <text>
        <r>
          <rPr>
            <b/>
            <sz val="9"/>
            <color indexed="81"/>
            <rFont val="Tahoma"/>
            <family val="2"/>
          </rPr>
          <t>&lt;[[TCDeals] - [TC Property Current Stage (Seq: 1)] - [Buildings (Seq: 20)] Constr 8609 Credit - Both]&gt;</t>
        </r>
      </text>
    </comment>
    <comment ref="P1207" authorId="0" shapeId="0" xr:uid="{908A40A5-7AD4-4F61-80C0-7358CE82EF42}">
      <text>
        <r>
          <rPr>
            <b/>
            <sz val="9"/>
            <color indexed="81"/>
            <rFont val="Tahoma"/>
            <family val="2"/>
          </rPr>
          <t>&lt;[[TCDeals] - [TC Property Current Stage (Seq: 1)] - [Buildings (Seq: 20)] Acq PIS Date - Both]&gt;</t>
        </r>
      </text>
    </comment>
    <comment ref="Q1207" authorId="0" shapeId="0" xr:uid="{0E82A52C-C495-4DBB-A22E-EE992D2EB4D3}">
      <text>
        <r>
          <rPr>
            <b/>
            <sz val="9"/>
            <color indexed="81"/>
            <rFont val="Tahoma"/>
            <family val="2"/>
          </rPr>
          <t>&lt;[[TCDeals] - [TC Property Current Stage (Seq: 1)] - [Buildings (Seq: 20)] Acq Applicable Percentage - Both]&gt;</t>
        </r>
      </text>
    </comment>
    <comment ref="R1207" authorId="0" shapeId="0" xr:uid="{C02653AA-D047-4F93-990D-7B7A870E4DC2}">
      <text>
        <r>
          <rPr>
            <b/>
            <sz val="9"/>
            <color indexed="81"/>
            <rFont val="Tahoma"/>
            <family val="2"/>
          </rPr>
          <t>&lt;[[TCDeals] - [TC Property Current Stage (Seq: 1)] - [Buildings (Seq: 20)] Acq Est Qual Basis - Both]&gt;</t>
        </r>
      </text>
    </comment>
    <comment ref="S1207" authorId="0" shapeId="0" xr:uid="{8019D035-5BAE-40B4-B341-DE657B071243}">
      <text>
        <r>
          <rPr>
            <b/>
            <sz val="9"/>
            <color indexed="81"/>
            <rFont val="Tahoma"/>
            <family val="2"/>
          </rPr>
          <t>&lt;[[TCDeals] - [TC Property Current Stage (Seq: 1)] - [Buildings (Seq: 20)] Acq 8609 Basis - Both]&gt;</t>
        </r>
      </text>
    </comment>
    <comment ref="T1207" authorId="0" shapeId="0" xr:uid="{9F361AB0-F45C-4F39-AADB-C91264CA24F0}">
      <text>
        <r>
          <rPr>
            <b/>
            <sz val="9"/>
            <color indexed="81"/>
            <rFont val="Tahoma"/>
            <family val="2"/>
          </rPr>
          <t>&lt;[[TCDeals] - [TC Property Current Stage (Seq: 1)] - [Buildings (Seq: 20)] Acq 8609 Credit - Both]&gt;</t>
        </r>
      </text>
    </comment>
    <comment ref="C1208" authorId="0" shapeId="0" xr:uid="{C69BC22D-15A6-44BF-AE26-A328D165C9BA}">
      <text>
        <r>
          <rPr>
            <b/>
            <sz val="9"/>
            <color indexed="81"/>
            <rFont val="Tahoma"/>
            <family val="2"/>
          </rPr>
          <t>&lt;[[TCDeals] - [TC Property Current Stage (Seq: 1)] - [Buildings (Seq: 21)] BIN - Both]&gt;</t>
        </r>
      </text>
    </comment>
    <comment ref="D1208" authorId="0" shapeId="0" xr:uid="{285738B1-B8C7-4DC4-BB12-441A27626DA3}">
      <text>
        <r>
          <rPr>
            <b/>
            <sz val="9"/>
            <color indexed="81"/>
            <rFont val="Tahoma"/>
            <family val="2"/>
          </rPr>
          <t>&lt;[[TCDeals] - [TC Property Current Stage (Seq: 1)] - [Buildings (Seq: 21)] Address 1 - Both]&gt;</t>
        </r>
      </text>
    </comment>
    <comment ref="E1208" authorId="0" shapeId="0" xr:uid="{3F764FC1-5E8F-4604-82D3-BBCE3F3CC98E}">
      <text>
        <r>
          <rPr>
            <b/>
            <sz val="9"/>
            <color indexed="81"/>
            <rFont val="Tahoma"/>
            <family val="2"/>
          </rPr>
          <t>&lt;[[TCDeals] - [TC Property Current Stage (Seq: 1)] - [Buildings (Seq: 21)] Num TC Units - Both]&gt;</t>
        </r>
      </text>
    </comment>
    <comment ref="F1208" authorId="0" shapeId="0" xr:uid="{F3687C1B-2CD6-423D-96E8-74D45D04259E}">
      <text>
        <r>
          <rPr>
            <b/>
            <sz val="9"/>
            <color indexed="81"/>
            <rFont val="Tahoma"/>
            <family val="2"/>
          </rPr>
          <t>&lt;[[TCDeals] - [TC Property Current Stage (Seq: 1)] - [Buildings (Seq: 21)] PVC PIS Date - Both]&gt;</t>
        </r>
      </text>
    </comment>
    <comment ref="G1208" authorId="0" shapeId="0" xr:uid="{4E6B9073-32EA-4FF2-942C-4C65E33520D0}">
      <text>
        <r>
          <rPr>
            <b/>
            <sz val="9"/>
            <color indexed="81"/>
            <rFont val="Tahoma"/>
            <family val="2"/>
          </rPr>
          <t>&lt;[[TCDeals] - [TC Property Current Stage (Seq: 1)] - [Buildings (Seq: 21)] PVC Applicable Percentage - Both]&gt;</t>
        </r>
      </text>
    </comment>
    <comment ref="H1208" authorId="0" shapeId="0" xr:uid="{94993147-42B1-4332-8DA0-810CF9246FDC}">
      <text>
        <r>
          <rPr>
            <b/>
            <sz val="9"/>
            <color indexed="81"/>
            <rFont val="Tahoma"/>
            <family val="2"/>
          </rPr>
          <t>&lt;[[TCDeals] - [TC Property Current Stage (Seq: 1)] - [Buildings (Seq: 21)] PVC Est Qual Basis - Both]&gt;</t>
        </r>
      </text>
    </comment>
    <comment ref="I1208" authorId="0" shapeId="0" xr:uid="{46038B63-9A3B-4F98-A471-BF62E980B2C3}">
      <text>
        <r>
          <rPr>
            <b/>
            <sz val="9"/>
            <color indexed="81"/>
            <rFont val="Tahoma"/>
            <family val="2"/>
          </rPr>
          <t>&lt;[[TCDeals] - [TC Property Current Stage (Seq: 1)] - [Buildings (Seq: 21)] PVC8609 Basis - Both]&gt;</t>
        </r>
      </text>
    </comment>
    <comment ref="J1208" authorId="0" shapeId="0" xr:uid="{8DBFEDD7-5E4F-4AD3-ABD7-1C746C7F8889}">
      <text>
        <r>
          <rPr>
            <b/>
            <sz val="9"/>
            <color indexed="81"/>
            <rFont val="Tahoma"/>
            <family val="2"/>
          </rPr>
          <t>&lt;[[TCDeals] - [TC Property Current Stage (Seq: 1)] - [Buildings (Seq: 21)] PVC8609 Credit - Both]&gt;</t>
        </r>
      </text>
    </comment>
    <comment ref="K1208" authorId="0" shapeId="0" xr:uid="{054F1ECF-551B-42E3-97BF-9F38D50BD2EB}">
      <text>
        <r>
          <rPr>
            <b/>
            <sz val="9"/>
            <color indexed="81"/>
            <rFont val="Tahoma"/>
            <family val="2"/>
          </rPr>
          <t>&lt;[[TCDeals] - [TC Property Current Stage (Seq: 1)] - [Buildings (Seq: 21)] Constr PIS Date - Both]&gt;</t>
        </r>
      </text>
    </comment>
    <comment ref="L1208" authorId="0" shapeId="0" xr:uid="{973242E4-906E-400B-9491-748F4EB57B8C}">
      <text>
        <r>
          <rPr>
            <b/>
            <sz val="9"/>
            <color indexed="81"/>
            <rFont val="Tahoma"/>
            <family val="2"/>
          </rPr>
          <t>&lt;[[TCDeals] - [TC Property Current Stage (Seq: 1)] - [Buildings (Seq: 21)] Constr Applicable Percentage - Both]&gt;</t>
        </r>
      </text>
    </comment>
    <comment ref="M1208" authorId="0" shapeId="0" xr:uid="{7C0D674A-E023-4BAA-8764-F65E3514FE89}">
      <text>
        <r>
          <rPr>
            <b/>
            <sz val="9"/>
            <color indexed="81"/>
            <rFont val="Tahoma"/>
            <family val="2"/>
          </rPr>
          <t>&lt;[[TCDeals] - [TC Property Current Stage (Seq: 1)] - [Buildings (Seq: 21)] Constr Est Qual Basis - Both]&gt;</t>
        </r>
      </text>
    </comment>
    <comment ref="N1208" authorId="0" shapeId="0" xr:uid="{8C5A17CA-27AD-4602-8B69-3F870F5E8275}">
      <text>
        <r>
          <rPr>
            <b/>
            <sz val="9"/>
            <color indexed="81"/>
            <rFont val="Tahoma"/>
            <family val="2"/>
          </rPr>
          <t>&lt;[[TCDeals] - [TC Property Current Stage (Seq: 1)] - [Buildings (Seq: 21)] Constr 8609 Basis - Both]&gt;</t>
        </r>
      </text>
    </comment>
    <comment ref="O1208" authorId="0" shapeId="0" xr:uid="{70C72E4F-709D-43EE-9318-26DA1CA5F7C4}">
      <text>
        <r>
          <rPr>
            <b/>
            <sz val="9"/>
            <color indexed="81"/>
            <rFont val="Tahoma"/>
            <family val="2"/>
          </rPr>
          <t>&lt;[[TCDeals] - [TC Property Current Stage (Seq: 1)] - [Buildings (Seq: 21)] Constr 8609 Credit - Both]&gt;</t>
        </r>
      </text>
    </comment>
    <comment ref="P1208" authorId="0" shapeId="0" xr:uid="{ECA5D3B5-9138-4323-A4BF-A1FB023947EE}">
      <text>
        <r>
          <rPr>
            <b/>
            <sz val="9"/>
            <color indexed="81"/>
            <rFont val="Tahoma"/>
            <family val="2"/>
          </rPr>
          <t>&lt;[[TCDeals] - [TC Property Current Stage (Seq: 1)] - [Buildings (Seq: 21)] Acq PIS Date - Both]&gt;</t>
        </r>
      </text>
    </comment>
    <comment ref="Q1208" authorId="0" shapeId="0" xr:uid="{80A2C464-6C30-4F38-97B2-DEEFBC070074}">
      <text>
        <r>
          <rPr>
            <b/>
            <sz val="9"/>
            <color indexed="81"/>
            <rFont val="Tahoma"/>
            <family val="2"/>
          </rPr>
          <t>&lt;[[TCDeals] - [TC Property Current Stage (Seq: 1)] - [Buildings (Seq: 21)] Acq Applicable Percentage - Both]&gt;</t>
        </r>
      </text>
    </comment>
    <comment ref="R1208" authorId="0" shapeId="0" xr:uid="{3B21E77B-9E77-4305-AE03-997AD14ED731}">
      <text>
        <r>
          <rPr>
            <b/>
            <sz val="9"/>
            <color indexed="81"/>
            <rFont val="Tahoma"/>
            <family val="2"/>
          </rPr>
          <t>&lt;[[TCDeals] - [TC Property Current Stage (Seq: 1)] - [Buildings (Seq: 21)] Acq Est Qual Basis - Both]&gt;</t>
        </r>
      </text>
    </comment>
    <comment ref="S1208" authorId="0" shapeId="0" xr:uid="{0310429A-F20B-499E-AD2E-CC2F04986E7B}">
      <text>
        <r>
          <rPr>
            <b/>
            <sz val="9"/>
            <color indexed="81"/>
            <rFont val="Tahoma"/>
            <family val="2"/>
          </rPr>
          <t>&lt;[[TCDeals] - [TC Property Current Stage (Seq: 1)] - [Buildings (Seq: 21)] Acq 8609 Basis - Both]&gt;</t>
        </r>
      </text>
    </comment>
    <comment ref="T1208" authorId="0" shapeId="0" xr:uid="{87B3E418-48C1-422E-90B4-CB918288925D}">
      <text>
        <r>
          <rPr>
            <b/>
            <sz val="9"/>
            <color indexed="81"/>
            <rFont val="Tahoma"/>
            <family val="2"/>
          </rPr>
          <t>&lt;[[TCDeals] - [TC Property Current Stage (Seq: 1)] - [Buildings (Seq: 21)] Acq 8609 Credit - Both]&gt;</t>
        </r>
      </text>
    </comment>
    <comment ref="C1209" authorId="0" shapeId="0" xr:uid="{584823C9-3FF3-47DC-BE53-B5451436B499}">
      <text>
        <r>
          <rPr>
            <b/>
            <sz val="9"/>
            <color indexed="81"/>
            <rFont val="Tahoma"/>
            <family val="2"/>
          </rPr>
          <t>&lt;[[TCDeals] - [TC Property Current Stage (Seq: 1)] - [Buildings (Seq: 22)] BIN - Both]&gt;</t>
        </r>
      </text>
    </comment>
    <comment ref="D1209" authorId="0" shapeId="0" xr:uid="{BF25F2CD-78C1-428B-834A-48E79E644B9C}">
      <text>
        <r>
          <rPr>
            <b/>
            <sz val="9"/>
            <color indexed="81"/>
            <rFont val="Tahoma"/>
            <family val="2"/>
          </rPr>
          <t>&lt;[[TCDeals] - [TC Property Current Stage (Seq: 1)] - [Buildings (Seq: 22)] Address 1 - Both]&gt;</t>
        </r>
      </text>
    </comment>
    <comment ref="E1209" authorId="0" shapeId="0" xr:uid="{DD066367-A540-4E87-91C0-0EAAD3D60BEF}">
      <text>
        <r>
          <rPr>
            <b/>
            <sz val="9"/>
            <color indexed="81"/>
            <rFont val="Tahoma"/>
            <family val="2"/>
          </rPr>
          <t>&lt;[[TCDeals] - [TC Property Current Stage (Seq: 1)] - [Buildings (Seq: 22)] Num TC Units - Both]&gt;</t>
        </r>
      </text>
    </comment>
    <comment ref="F1209" authorId="0" shapeId="0" xr:uid="{0482FD81-3A70-4116-82AD-A3038A1B68B3}">
      <text>
        <r>
          <rPr>
            <b/>
            <sz val="9"/>
            <color indexed="81"/>
            <rFont val="Tahoma"/>
            <family val="2"/>
          </rPr>
          <t>&lt;[[TCDeals] - [TC Property Current Stage (Seq: 1)] - [Buildings (Seq: 22)] PVC PIS Date - Both]&gt;</t>
        </r>
      </text>
    </comment>
    <comment ref="G1209" authorId="0" shapeId="0" xr:uid="{56B19C7B-E3CE-4B00-A2BD-7E6F042A7461}">
      <text>
        <r>
          <rPr>
            <b/>
            <sz val="9"/>
            <color indexed="81"/>
            <rFont val="Tahoma"/>
            <family val="2"/>
          </rPr>
          <t>&lt;[[TCDeals] - [TC Property Current Stage (Seq: 1)] - [Buildings (Seq: 22)] PVC Applicable Percentage - Both]&gt;</t>
        </r>
      </text>
    </comment>
    <comment ref="H1209" authorId="0" shapeId="0" xr:uid="{2C19DE39-8069-4C31-A45E-FADCA7CA0CDC}">
      <text>
        <r>
          <rPr>
            <b/>
            <sz val="9"/>
            <color indexed="81"/>
            <rFont val="Tahoma"/>
            <family val="2"/>
          </rPr>
          <t>&lt;[[TCDeals] - [TC Property Current Stage (Seq: 1)] - [Buildings (Seq: 22)] PVC Est Qual Basis - Both]&gt;</t>
        </r>
      </text>
    </comment>
    <comment ref="I1209" authorId="0" shapeId="0" xr:uid="{C37B6783-E10D-4A73-810B-8D3D12C0BB4E}">
      <text>
        <r>
          <rPr>
            <b/>
            <sz val="9"/>
            <color indexed="81"/>
            <rFont val="Tahoma"/>
            <family val="2"/>
          </rPr>
          <t>&lt;[[TCDeals] - [TC Property Current Stage (Seq: 1)] - [Buildings (Seq: 22)] PVC8609 Basis - Both]&gt;</t>
        </r>
      </text>
    </comment>
    <comment ref="J1209" authorId="0" shapeId="0" xr:uid="{4FE8377E-9B5A-4C2D-BD13-BD6191BE3369}">
      <text>
        <r>
          <rPr>
            <b/>
            <sz val="9"/>
            <color indexed="81"/>
            <rFont val="Tahoma"/>
            <family val="2"/>
          </rPr>
          <t>&lt;[[TCDeals] - [TC Property Current Stage (Seq: 1)] - [Buildings (Seq: 22)] PVC8609 Credit - Both]&gt;</t>
        </r>
      </text>
    </comment>
    <comment ref="K1209" authorId="0" shapeId="0" xr:uid="{9795D73D-83B4-446A-A45E-CF54A74CD4DD}">
      <text>
        <r>
          <rPr>
            <b/>
            <sz val="9"/>
            <color indexed="81"/>
            <rFont val="Tahoma"/>
            <family val="2"/>
          </rPr>
          <t>&lt;[[TCDeals] - [TC Property Current Stage (Seq: 1)] - [Buildings (Seq: 22)] Constr PIS Date - Both]&gt;</t>
        </r>
      </text>
    </comment>
    <comment ref="L1209" authorId="0" shapeId="0" xr:uid="{49215DDD-4942-4209-AAED-49A5BA82DA29}">
      <text>
        <r>
          <rPr>
            <b/>
            <sz val="9"/>
            <color indexed="81"/>
            <rFont val="Tahoma"/>
            <family val="2"/>
          </rPr>
          <t>&lt;[[TCDeals] - [TC Property Current Stage (Seq: 1)] - [Buildings (Seq: 22)] Constr Applicable Percentage - Both]&gt;</t>
        </r>
      </text>
    </comment>
    <comment ref="M1209" authorId="0" shapeId="0" xr:uid="{19631EE7-BEF3-425C-9A54-54EC86BC98FA}">
      <text>
        <r>
          <rPr>
            <b/>
            <sz val="9"/>
            <color indexed="81"/>
            <rFont val="Tahoma"/>
            <family val="2"/>
          </rPr>
          <t>&lt;[[TCDeals] - [TC Property Current Stage (Seq: 1)] - [Buildings (Seq: 22)] Constr Est Qual Basis - Both]&gt;</t>
        </r>
      </text>
    </comment>
    <comment ref="N1209" authorId="0" shapeId="0" xr:uid="{0E78CEBE-3B80-43B1-B8C4-E42C46DE2CDD}">
      <text>
        <r>
          <rPr>
            <b/>
            <sz val="9"/>
            <color indexed="81"/>
            <rFont val="Tahoma"/>
            <family val="2"/>
          </rPr>
          <t>&lt;[[TCDeals] - [TC Property Current Stage (Seq: 1)] - [Buildings (Seq: 22)] Constr 8609 Basis - Both]&gt;</t>
        </r>
      </text>
    </comment>
    <comment ref="O1209" authorId="0" shapeId="0" xr:uid="{0F8BA966-B2D2-4E56-BA1D-990495790ED6}">
      <text>
        <r>
          <rPr>
            <b/>
            <sz val="9"/>
            <color indexed="81"/>
            <rFont val="Tahoma"/>
            <family val="2"/>
          </rPr>
          <t>&lt;[[TCDeals] - [TC Property Current Stage (Seq: 1)] - [Buildings (Seq: 22)] Constr 8609 Credit - Both]&gt;</t>
        </r>
      </text>
    </comment>
    <comment ref="P1209" authorId="0" shapeId="0" xr:uid="{002CCA15-57F4-4B5A-939A-3F157088F2ED}">
      <text>
        <r>
          <rPr>
            <b/>
            <sz val="9"/>
            <color indexed="81"/>
            <rFont val="Tahoma"/>
            <family val="2"/>
          </rPr>
          <t>&lt;[[TCDeals] - [TC Property Current Stage (Seq: 1)] - [Buildings (Seq: 22)] Acq PIS Date - Both]&gt;</t>
        </r>
      </text>
    </comment>
    <comment ref="Q1209" authorId="0" shapeId="0" xr:uid="{39769DFA-F6AB-4CFC-A92A-FA94BA3E3CB6}">
      <text>
        <r>
          <rPr>
            <b/>
            <sz val="9"/>
            <color indexed="81"/>
            <rFont val="Tahoma"/>
            <family val="2"/>
          </rPr>
          <t>&lt;[[TCDeals] - [TC Property Current Stage (Seq: 1)] - [Buildings (Seq: 22)] Acq Applicable Percentage - Both]&gt;</t>
        </r>
      </text>
    </comment>
    <comment ref="R1209" authorId="0" shapeId="0" xr:uid="{268E2464-B79F-4DF6-B763-8E90D8B303A0}">
      <text>
        <r>
          <rPr>
            <b/>
            <sz val="9"/>
            <color indexed="81"/>
            <rFont val="Tahoma"/>
            <family val="2"/>
          </rPr>
          <t>&lt;[[TCDeals] - [TC Property Current Stage (Seq: 1)] - [Buildings (Seq: 22)] Acq Est Qual Basis - Both]&gt;</t>
        </r>
      </text>
    </comment>
    <comment ref="S1209" authorId="0" shapeId="0" xr:uid="{4DA0166D-0A69-4B14-92AE-8F08EA592AF0}">
      <text>
        <r>
          <rPr>
            <b/>
            <sz val="9"/>
            <color indexed="81"/>
            <rFont val="Tahoma"/>
            <family val="2"/>
          </rPr>
          <t>&lt;[[TCDeals] - [TC Property Current Stage (Seq: 1)] - [Buildings (Seq: 22)] Acq 8609 Basis - Both]&gt;</t>
        </r>
      </text>
    </comment>
    <comment ref="T1209" authorId="0" shapeId="0" xr:uid="{E839EE2C-151C-410B-AE07-B030A85934D8}">
      <text>
        <r>
          <rPr>
            <b/>
            <sz val="9"/>
            <color indexed="81"/>
            <rFont val="Tahoma"/>
            <family val="2"/>
          </rPr>
          <t>&lt;[[TCDeals] - [TC Property Current Stage (Seq: 1)] - [Buildings (Seq: 22)] Acq 8609 Credit - Both]&gt;</t>
        </r>
      </text>
    </comment>
    <comment ref="C1210" authorId="0" shapeId="0" xr:uid="{51827814-207A-4ECB-8F8D-74F62A7E7322}">
      <text>
        <r>
          <rPr>
            <b/>
            <sz val="9"/>
            <color indexed="81"/>
            <rFont val="Tahoma"/>
            <family val="2"/>
          </rPr>
          <t>&lt;[[TCDeals] - [TC Property Current Stage (Seq: 1)] - [Buildings (Seq: 23)] BIN - Both]&gt;</t>
        </r>
      </text>
    </comment>
    <comment ref="D1210" authorId="0" shapeId="0" xr:uid="{24734940-D81B-4A63-96F7-EEEAC843B9CB}">
      <text>
        <r>
          <rPr>
            <b/>
            <sz val="9"/>
            <color indexed="81"/>
            <rFont val="Tahoma"/>
            <family val="2"/>
          </rPr>
          <t>&lt;[[TCDeals] - [TC Property Current Stage (Seq: 1)] - [Buildings (Seq: 23)] Address 1 - Both]&gt;</t>
        </r>
      </text>
    </comment>
    <comment ref="E1210" authorId="0" shapeId="0" xr:uid="{700A6E62-A1B3-4E18-BDE5-31DCAD822C30}">
      <text>
        <r>
          <rPr>
            <b/>
            <sz val="9"/>
            <color indexed="81"/>
            <rFont val="Tahoma"/>
            <family val="2"/>
          </rPr>
          <t>&lt;[[TCDeals] - [TC Property Current Stage (Seq: 1)] - [Buildings (Seq: 23)] Num TC Units - Both]&gt;</t>
        </r>
      </text>
    </comment>
    <comment ref="F1210" authorId="0" shapeId="0" xr:uid="{C5C08C95-5833-41D7-834A-674642F02B82}">
      <text>
        <r>
          <rPr>
            <b/>
            <sz val="9"/>
            <color indexed="81"/>
            <rFont val="Tahoma"/>
            <family val="2"/>
          </rPr>
          <t>&lt;[[TCDeals] - [TC Property Current Stage (Seq: 1)] - [Buildings (Seq: 23)] PVC PIS Date - Both]&gt;</t>
        </r>
      </text>
    </comment>
    <comment ref="G1210" authorId="0" shapeId="0" xr:uid="{D2A2F53F-8465-4B86-B51A-3CE6519ABF8C}">
      <text>
        <r>
          <rPr>
            <b/>
            <sz val="9"/>
            <color indexed="81"/>
            <rFont val="Tahoma"/>
            <family val="2"/>
          </rPr>
          <t>&lt;[[TCDeals] - [TC Property Current Stage (Seq: 1)] - [Buildings (Seq: 23)] PVC Applicable Percentage - Both]&gt;</t>
        </r>
      </text>
    </comment>
    <comment ref="H1210" authorId="0" shapeId="0" xr:uid="{EF4ED6C7-8E2D-4585-B06F-4D27BFA1C615}">
      <text>
        <r>
          <rPr>
            <b/>
            <sz val="9"/>
            <color indexed="81"/>
            <rFont val="Tahoma"/>
            <family val="2"/>
          </rPr>
          <t>&lt;[[TCDeals] - [TC Property Current Stage (Seq: 1)] - [Buildings (Seq: 23)] PVC Est Qual Basis - Both]&gt;</t>
        </r>
      </text>
    </comment>
    <comment ref="I1210" authorId="0" shapeId="0" xr:uid="{7D8CA096-C7FD-48E3-BDE6-2B851C845C0C}">
      <text>
        <r>
          <rPr>
            <b/>
            <sz val="9"/>
            <color indexed="81"/>
            <rFont val="Tahoma"/>
            <family val="2"/>
          </rPr>
          <t>&lt;[[TCDeals] - [TC Property Current Stage (Seq: 1)] - [Buildings (Seq: 23)] PVC8609 Basis - Both]&gt;</t>
        </r>
      </text>
    </comment>
    <comment ref="J1210" authorId="0" shapeId="0" xr:uid="{493AC330-B384-4825-8CF4-EAF87AEAA894}">
      <text>
        <r>
          <rPr>
            <b/>
            <sz val="9"/>
            <color indexed="81"/>
            <rFont val="Tahoma"/>
            <family val="2"/>
          </rPr>
          <t>&lt;[[TCDeals] - [TC Property Current Stage (Seq: 1)] - [Buildings (Seq: 23)] PVC8609 Credit - Both]&gt;</t>
        </r>
      </text>
    </comment>
    <comment ref="K1210" authorId="0" shapeId="0" xr:uid="{B783A80C-AFC0-47B0-8AB8-96A98C689DE7}">
      <text>
        <r>
          <rPr>
            <b/>
            <sz val="9"/>
            <color indexed="81"/>
            <rFont val="Tahoma"/>
            <family val="2"/>
          </rPr>
          <t>&lt;[[TCDeals] - [TC Property Current Stage (Seq: 1)] - [Buildings (Seq: 23)] Constr PIS Date - Both]&gt;</t>
        </r>
      </text>
    </comment>
    <comment ref="L1210" authorId="0" shapeId="0" xr:uid="{286480C4-B1C4-4190-BD36-50C9EF6F2D52}">
      <text>
        <r>
          <rPr>
            <b/>
            <sz val="9"/>
            <color indexed="81"/>
            <rFont val="Tahoma"/>
            <family val="2"/>
          </rPr>
          <t>&lt;[[TCDeals] - [TC Property Current Stage (Seq: 1)] - [Buildings (Seq: 23)] Constr Applicable Percentage - Both]&gt;</t>
        </r>
      </text>
    </comment>
    <comment ref="M1210" authorId="0" shapeId="0" xr:uid="{27249EB3-8CD0-4F91-96DA-C7EE5BBEC1FC}">
      <text>
        <r>
          <rPr>
            <b/>
            <sz val="9"/>
            <color indexed="81"/>
            <rFont val="Tahoma"/>
            <family val="2"/>
          </rPr>
          <t>&lt;[[TCDeals] - [TC Property Current Stage (Seq: 1)] - [Buildings (Seq: 23)] Constr Est Qual Basis - Both]&gt;</t>
        </r>
      </text>
    </comment>
    <comment ref="N1210" authorId="0" shapeId="0" xr:uid="{EAE3A0E7-BDFC-4B48-8587-EDE0A0538C00}">
      <text>
        <r>
          <rPr>
            <b/>
            <sz val="9"/>
            <color indexed="81"/>
            <rFont val="Tahoma"/>
            <family val="2"/>
          </rPr>
          <t>&lt;[[TCDeals] - [TC Property Current Stage (Seq: 1)] - [Buildings (Seq: 23)] Constr 8609 Basis - Both]&gt;</t>
        </r>
      </text>
    </comment>
    <comment ref="O1210" authorId="0" shapeId="0" xr:uid="{DD2579C2-A89E-4121-B64B-D0BA2E76F458}">
      <text>
        <r>
          <rPr>
            <b/>
            <sz val="9"/>
            <color indexed="81"/>
            <rFont val="Tahoma"/>
            <family val="2"/>
          </rPr>
          <t>&lt;[[TCDeals] - [TC Property Current Stage (Seq: 1)] - [Buildings (Seq: 23)] Constr 8609 Credit - Both]&gt;</t>
        </r>
      </text>
    </comment>
    <comment ref="P1210" authorId="0" shapeId="0" xr:uid="{6A40FD93-CA0F-4744-B42A-42E821943AD9}">
      <text>
        <r>
          <rPr>
            <b/>
            <sz val="9"/>
            <color indexed="81"/>
            <rFont val="Tahoma"/>
            <family val="2"/>
          </rPr>
          <t>&lt;[[TCDeals] - [TC Property Current Stage (Seq: 1)] - [Buildings (Seq: 23)] Acq PIS Date - Both]&gt;</t>
        </r>
      </text>
    </comment>
    <comment ref="Q1210" authorId="0" shapeId="0" xr:uid="{005987B9-BC07-4F52-8EC7-F513EF7E1BFD}">
      <text>
        <r>
          <rPr>
            <b/>
            <sz val="9"/>
            <color indexed="81"/>
            <rFont val="Tahoma"/>
            <family val="2"/>
          </rPr>
          <t>&lt;[[TCDeals] - [TC Property Current Stage (Seq: 1)] - [Buildings (Seq: 23)] Acq Applicable Percentage - Both]&gt;</t>
        </r>
      </text>
    </comment>
    <comment ref="R1210" authorId="0" shapeId="0" xr:uid="{CA8ABE18-C099-4F22-AEB0-27DE98F379B3}">
      <text>
        <r>
          <rPr>
            <b/>
            <sz val="9"/>
            <color indexed="81"/>
            <rFont val="Tahoma"/>
            <family val="2"/>
          </rPr>
          <t>&lt;[[TCDeals] - [TC Property Current Stage (Seq: 1)] - [Buildings (Seq: 23)] Acq Est Qual Basis - Both]&gt;</t>
        </r>
      </text>
    </comment>
    <comment ref="S1210" authorId="0" shapeId="0" xr:uid="{157F6E70-6EA9-4661-B22C-938CF473D471}">
      <text>
        <r>
          <rPr>
            <b/>
            <sz val="9"/>
            <color indexed="81"/>
            <rFont val="Tahoma"/>
            <family val="2"/>
          </rPr>
          <t>&lt;[[TCDeals] - [TC Property Current Stage (Seq: 1)] - [Buildings (Seq: 23)] Acq 8609 Basis - Both]&gt;</t>
        </r>
      </text>
    </comment>
    <comment ref="T1210" authorId="0" shapeId="0" xr:uid="{2C373DF5-11CA-43A0-B53D-582B6675B5FA}">
      <text>
        <r>
          <rPr>
            <b/>
            <sz val="9"/>
            <color indexed="81"/>
            <rFont val="Tahoma"/>
            <family val="2"/>
          </rPr>
          <t>&lt;[[TCDeals] - [TC Property Current Stage (Seq: 1)] - [Buildings (Seq: 23)] Acq 8609 Credit - Both]&gt;</t>
        </r>
      </text>
    </comment>
    <comment ref="C1211" authorId="0" shapeId="0" xr:uid="{E721E41E-DECF-4E31-8609-CAD2ED72707D}">
      <text>
        <r>
          <rPr>
            <b/>
            <sz val="9"/>
            <color indexed="81"/>
            <rFont val="Tahoma"/>
            <family val="2"/>
          </rPr>
          <t>&lt;[[TCDeals] - [TC Property Current Stage (Seq: 1)] - [Buildings (Seq: 24)] BIN - Both]&gt;</t>
        </r>
      </text>
    </comment>
    <comment ref="D1211" authorId="0" shapeId="0" xr:uid="{EC047C19-3F3B-4B99-88A0-74D180F20D92}">
      <text>
        <r>
          <rPr>
            <b/>
            <sz val="9"/>
            <color indexed="81"/>
            <rFont val="Tahoma"/>
            <family val="2"/>
          </rPr>
          <t>&lt;[[TCDeals] - [TC Property Current Stage (Seq: 1)] - [Buildings (Seq: 24)] Address 1 - Both]&gt;</t>
        </r>
      </text>
    </comment>
    <comment ref="E1211" authorId="0" shapeId="0" xr:uid="{A9AE6199-E549-4B3B-92A2-BEC3027A339D}">
      <text>
        <r>
          <rPr>
            <b/>
            <sz val="9"/>
            <color indexed="81"/>
            <rFont val="Tahoma"/>
            <family val="2"/>
          </rPr>
          <t>&lt;[[TCDeals] - [TC Property Current Stage (Seq: 1)] - [Buildings (Seq: 24)] Num TC Units - Both]&gt;</t>
        </r>
      </text>
    </comment>
    <comment ref="F1211" authorId="0" shapeId="0" xr:uid="{1ACAA5C9-9A26-42D8-A9A7-98769D72AFEE}">
      <text>
        <r>
          <rPr>
            <b/>
            <sz val="9"/>
            <color indexed="81"/>
            <rFont val="Tahoma"/>
            <family val="2"/>
          </rPr>
          <t>&lt;[[TCDeals] - [TC Property Current Stage (Seq: 1)] - [Buildings (Seq: 24)] PVC PIS Date - Both]&gt;</t>
        </r>
      </text>
    </comment>
    <comment ref="G1211" authorId="0" shapeId="0" xr:uid="{426F1F46-71AE-467E-B04C-4624550A2E03}">
      <text>
        <r>
          <rPr>
            <b/>
            <sz val="9"/>
            <color indexed="81"/>
            <rFont val="Tahoma"/>
            <family val="2"/>
          </rPr>
          <t>&lt;[[TCDeals] - [TC Property Current Stage (Seq: 1)] - [Buildings (Seq: 24)] PVC Applicable Percentage - Both]&gt;</t>
        </r>
      </text>
    </comment>
    <comment ref="H1211" authorId="0" shapeId="0" xr:uid="{55A51C0B-7CBE-4005-8F53-E8AAFA7EEC79}">
      <text>
        <r>
          <rPr>
            <b/>
            <sz val="9"/>
            <color indexed="81"/>
            <rFont val="Tahoma"/>
            <family val="2"/>
          </rPr>
          <t>&lt;[[TCDeals] - [TC Property Current Stage (Seq: 1)] - [Buildings (Seq: 24)] PVC Est Qual Basis - Both]&gt;</t>
        </r>
      </text>
    </comment>
    <comment ref="I1211" authorId="0" shapeId="0" xr:uid="{12E9D2AD-C79B-4C6E-B40E-B98BCF4EB0BD}">
      <text>
        <r>
          <rPr>
            <b/>
            <sz val="9"/>
            <color indexed="81"/>
            <rFont val="Tahoma"/>
            <family val="2"/>
          </rPr>
          <t>&lt;[[TCDeals] - [TC Property Current Stage (Seq: 1)] - [Buildings (Seq: 24)] PVC8609 Basis - Both]&gt;</t>
        </r>
      </text>
    </comment>
    <comment ref="J1211" authorId="0" shapeId="0" xr:uid="{B8CE54DE-2884-44BE-B987-C03849965C32}">
      <text>
        <r>
          <rPr>
            <b/>
            <sz val="9"/>
            <color indexed="81"/>
            <rFont val="Tahoma"/>
            <family val="2"/>
          </rPr>
          <t>&lt;[[TCDeals] - [TC Property Current Stage (Seq: 1)] - [Buildings (Seq: 24)] PVC8609 Credit - Both]&gt;</t>
        </r>
      </text>
    </comment>
    <comment ref="K1211" authorId="0" shapeId="0" xr:uid="{34F1E726-B0F2-459A-9F1A-D629662F5210}">
      <text>
        <r>
          <rPr>
            <b/>
            <sz val="9"/>
            <color indexed="81"/>
            <rFont val="Tahoma"/>
            <family val="2"/>
          </rPr>
          <t>&lt;[[TCDeals] - [TC Property Current Stage (Seq: 1)] - [Buildings (Seq: 24)] Constr PIS Date - Both]&gt;</t>
        </r>
      </text>
    </comment>
    <comment ref="L1211" authorId="0" shapeId="0" xr:uid="{AE5C33A4-7955-4518-A008-8581004D5EA1}">
      <text>
        <r>
          <rPr>
            <b/>
            <sz val="9"/>
            <color indexed="81"/>
            <rFont val="Tahoma"/>
            <family val="2"/>
          </rPr>
          <t>&lt;[[TCDeals] - [TC Property Current Stage (Seq: 1)] - [Buildings (Seq: 24)] Constr Applicable Percentage - Both]&gt;</t>
        </r>
      </text>
    </comment>
    <comment ref="M1211" authorId="0" shapeId="0" xr:uid="{9085ACE3-788F-4D8B-A86A-834A4FA70973}">
      <text>
        <r>
          <rPr>
            <b/>
            <sz val="9"/>
            <color indexed="81"/>
            <rFont val="Tahoma"/>
            <family val="2"/>
          </rPr>
          <t>&lt;[[TCDeals] - [TC Property Current Stage (Seq: 1)] - [Buildings (Seq: 24)] Constr Est Qual Basis - Both]&gt;</t>
        </r>
      </text>
    </comment>
    <comment ref="N1211" authorId="0" shapeId="0" xr:uid="{5383FD2E-FA2F-445D-9097-ECAA743483D7}">
      <text>
        <r>
          <rPr>
            <b/>
            <sz val="9"/>
            <color indexed="81"/>
            <rFont val="Tahoma"/>
            <family val="2"/>
          </rPr>
          <t>&lt;[[TCDeals] - [TC Property Current Stage (Seq: 1)] - [Buildings (Seq: 24)] Constr 8609 Basis - Both]&gt;</t>
        </r>
      </text>
    </comment>
    <comment ref="O1211" authorId="0" shapeId="0" xr:uid="{51BB21D3-F75C-46C5-895A-1B72383AA67C}">
      <text>
        <r>
          <rPr>
            <b/>
            <sz val="9"/>
            <color indexed="81"/>
            <rFont val="Tahoma"/>
            <family val="2"/>
          </rPr>
          <t>&lt;[[TCDeals] - [TC Property Current Stage (Seq: 1)] - [Buildings (Seq: 24)] Constr 8609 Credit - Both]&gt;</t>
        </r>
      </text>
    </comment>
    <comment ref="P1211" authorId="0" shapeId="0" xr:uid="{AC39BF0E-1412-48EF-AD53-D3A65A3DB7CF}">
      <text>
        <r>
          <rPr>
            <b/>
            <sz val="9"/>
            <color indexed="81"/>
            <rFont val="Tahoma"/>
            <family val="2"/>
          </rPr>
          <t>&lt;[[TCDeals] - [TC Property Current Stage (Seq: 1)] - [Buildings (Seq: 24)] Acq PIS Date - Both]&gt;</t>
        </r>
      </text>
    </comment>
    <comment ref="Q1211" authorId="0" shapeId="0" xr:uid="{155643E1-9E1A-42B4-A33B-198432EBA609}">
      <text>
        <r>
          <rPr>
            <b/>
            <sz val="9"/>
            <color indexed="81"/>
            <rFont val="Tahoma"/>
            <family val="2"/>
          </rPr>
          <t>&lt;[[TCDeals] - [TC Property Current Stage (Seq: 1)] - [Buildings (Seq: 24)] Acq Applicable Percentage - Both]&gt;</t>
        </r>
      </text>
    </comment>
    <comment ref="R1211" authorId="0" shapeId="0" xr:uid="{020A298E-DCE9-413C-B98A-15C376724ED4}">
      <text>
        <r>
          <rPr>
            <b/>
            <sz val="9"/>
            <color indexed="81"/>
            <rFont val="Tahoma"/>
            <family val="2"/>
          </rPr>
          <t>&lt;[[TCDeals] - [TC Property Current Stage (Seq: 1)] - [Buildings (Seq: 24)] Acq Est Qual Basis - Both]&gt;</t>
        </r>
      </text>
    </comment>
    <comment ref="S1211" authorId="0" shapeId="0" xr:uid="{635AF06F-A723-4B47-A5A9-40DA6BD48F48}">
      <text>
        <r>
          <rPr>
            <b/>
            <sz val="9"/>
            <color indexed="81"/>
            <rFont val="Tahoma"/>
            <family val="2"/>
          </rPr>
          <t>&lt;[[TCDeals] - [TC Property Current Stage (Seq: 1)] - [Buildings (Seq: 24)] Acq 8609 Basis - Both]&gt;</t>
        </r>
      </text>
    </comment>
    <comment ref="T1211" authorId="0" shapeId="0" xr:uid="{2F16CC8B-ECB1-41FC-8F37-4AC362787133}">
      <text>
        <r>
          <rPr>
            <b/>
            <sz val="9"/>
            <color indexed="81"/>
            <rFont val="Tahoma"/>
            <family val="2"/>
          </rPr>
          <t>&lt;[[TCDeals] - [TC Property Current Stage (Seq: 1)] - [Buildings (Seq: 24)] Acq 8609 Credit - Both]&gt;</t>
        </r>
      </text>
    </comment>
    <comment ref="C1212" authorId="0" shapeId="0" xr:uid="{FBE932E5-485B-4F7B-BA0F-CF63B9E74355}">
      <text>
        <r>
          <rPr>
            <b/>
            <sz val="9"/>
            <color indexed="81"/>
            <rFont val="Tahoma"/>
            <family val="2"/>
          </rPr>
          <t>&lt;[[TCDeals] - [TC Property Current Stage (Seq: 1)] - [Buildings (Seq: 25)] BIN - Both]&gt;</t>
        </r>
      </text>
    </comment>
    <comment ref="D1212" authorId="0" shapeId="0" xr:uid="{AFD57F70-0102-4D56-8B98-372562FD3803}">
      <text>
        <r>
          <rPr>
            <b/>
            <sz val="9"/>
            <color indexed="81"/>
            <rFont val="Tahoma"/>
            <family val="2"/>
          </rPr>
          <t>&lt;[[TCDeals] - [TC Property Current Stage (Seq: 1)] - [Buildings (Seq: 25)] Address 1 - Both]&gt;</t>
        </r>
      </text>
    </comment>
    <comment ref="E1212" authorId="0" shapeId="0" xr:uid="{4B1186FE-97CB-438C-8654-302233DBE062}">
      <text>
        <r>
          <rPr>
            <b/>
            <sz val="9"/>
            <color indexed="81"/>
            <rFont val="Tahoma"/>
            <family val="2"/>
          </rPr>
          <t>&lt;[[TCDeals] - [TC Property Current Stage (Seq: 1)] - [Buildings (Seq: 25)] Num TC Units - Both]&gt;</t>
        </r>
      </text>
    </comment>
    <comment ref="F1212" authorId="0" shapeId="0" xr:uid="{58600DFC-4AB4-455A-A73D-404903BC01D2}">
      <text>
        <r>
          <rPr>
            <b/>
            <sz val="9"/>
            <color indexed="81"/>
            <rFont val="Tahoma"/>
            <family val="2"/>
          </rPr>
          <t>&lt;[[TCDeals] - [TC Property Current Stage (Seq: 1)] - [Buildings (Seq: 25)] PVC PIS Date - Both]&gt;</t>
        </r>
      </text>
    </comment>
    <comment ref="G1212" authorId="0" shapeId="0" xr:uid="{025B6575-60C2-43AC-8F85-F0DA717EDFFE}">
      <text>
        <r>
          <rPr>
            <b/>
            <sz val="9"/>
            <color indexed="81"/>
            <rFont val="Tahoma"/>
            <family val="2"/>
          </rPr>
          <t>&lt;[[TCDeals] - [TC Property Current Stage (Seq: 1)] - [Buildings (Seq: 25)] PVC Applicable Percentage - Both]&gt;</t>
        </r>
      </text>
    </comment>
    <comment ref="H1212" authorId="0" shapeId="0" xr:uid="{16AC16A3-8B4E-468B-A899-794BB505C1B9}">
      <text>
        <r>
          <rPr>
            <b/>
            <sz val="9"/>
            <color indexed="81"/>
            <rFont val="Tahoma"/>
            <family val="2"/>
          </rPr>
          <t>&lt;[[TCDeals] - [TC Property Current Stage (Seq: 1)] - [Buildings (Seq: 25)] PVC Est Qual Basis - Both]&gt;</t>
        </r>
      </text>
    </comment>
    <comment ref="I1212" authorId="0" shapeId="0" xr:uid="{F6D84998-62E7-4D70-B13A-756AED829395}">
      <text>
        <r>
          <rPr>
            <b/>
            <sz val="9"/>
            <color indexed="81"/>
            <rFont val="Tahoma"/>
            <family val="2"/>
          </rPr>
          <t>&lt;[[TCDeals] - [TC Property Current Stage (Seq: 1)] - [Buildings (Seq: 25)] PVC8609 Basis - Both]&gt;</t>
        </r>
      </text>
    </comment>
    <comment ref="J1212" authorId="0" shapeId="0" xr:uid="{D83AE60C-6CBD-4ACD-B1B1-52C71A70F1FE}">
      <text>
        <r>
          <rPr>
            <b/>
            <sz val="9"/>
            <color indexed="81"/>
            <rFont val="Tahoma"/>
            <family val="2"/>
          </rPr>
          <t>&lt;[[TCDeals] - [TC Property Current Stage (Seq: 1)] - [Buildings (Seq: 25)] PVC8609 Credit - Both]&gt;</t>
        </r>
      </text>
    </comment>
    <comment ref="K1212" authorId="0" shapeId="0" xr:uid="{9C52E361-FC9C-4580-95DD-709D281D25E0}">
      <text>
        <r>
          <rPr>
            <b/>
            <sz val="9"/>
            <color indexed="81"/>
            <rFont val="Tahoma"/>
            <family val="2"/>
          </rPr>
          <t>&lt;[[TCDeals] - [TC Property Current Stage (Seq: 1)] - [Buildings (Seq: 25)] Constr PIS Date - Both]&gt;</t>
        </r>
      </text>
    </comment>
    <comment ref="L1212" authorId="0" shapeId="0" xr:uid="{221F8345-084D-4F8D-9311-E4D00662AE71}">
      <text>
        <r>
          <rPr>
            <b/>
            <sz val="9"/>
            <color indexed="81"/>
            <rFont val="Tahoma"/>
            <family val="2"/>
          </rPr>
          <t>&lt;[[TCDeals] - [TC Property Current Stage (Seq: 1)] - [Buildings (Seq: 25)] Constr Applicable Percentage - Both]&gt;</t>
        </r>
      </text>
    </comment>
    <comment ref="M1212" authorId="0" shapeId="0" xr:uid="{99CFAFC8-A3E9-479E-8E73-D8B6C26671BF}">
      <text>
        <r>
          <rPr>
            <b/>
            <sz val="9"/>
            <color indexed="81"/>
            <rFont val="Tahoma"/>
            <family val="2"/>
          </rPr>
          <t>&lt;[[TCDeals] - [TC Property Current Stage (Seq: 1)] - [Buildings (Seq: 25)] Constr Est Qual Basis - Both]&gt;</t>
        </r>
      </text>
    </comment>
    <comment ref="N1212" authorId="0" shapeId="0" xr:uid="{CF24CC29-796A-4A8A-B54A-73823B135CD5}">
      <text>
        <r>
          <rPr>
            <b/>
            <sz val="9"/>
            <color indexed="81"/>
            <rFont val="Tahoma"/>
            <family val="2"/>
          </rPr>
          <t>&lt;[[TCDeals] - [TC Property Current Stage (Seq: 1)] - [Buildings (Seq: 25)] Constr 8609 Basis - Both]&gt;</t>
        </r>
      </text>
    </comment>
    <comment ref="O1212" authorId="0" shapeId="0" xr:uid="{CCBBA728-5FF8-4A7E-B74D-3A49AC6F0B53}">
      <text>
        <r>
          <rPr>
            <b/>
            <sz val="9"/>
            <color indexed="81"/>
            <rFont val="Tahoma"/>
            <family val="2"/>
          </rPr>
          <t>&lt;[[TCDeals] - [TC Property Current Stage (Seq: 1)] - [Buildings (Seq: 25)] Constr 8609 Credit - Both]&gt;</t>
        </r>
      </text>
    </comment>
    <comment ref="P1212" authorId="0" shapeId="0" xr:uid="{76D7A8B1-A195-4F3C-AC1C-AC40442C9F35}">
      <text>
        <r>
          <rPr>
            <b/>
            <sz val="9"/>
            <color indexed="81"/>
            <rFont val="Tahoma"/>
            <family val="2"/>
          </rPr>
          <t>&lt;[[TCDeals] - [TC Property Current Stage (Seq: 1)] - [Buildings (Seq: 25)] Acq PIS Date - Both]&gt;</t>
        </r>
      </text>
    </comment>
    <comment ref="Q1212" authorId="0" shapeId="0" xr:uid="{53ADA809-99BC-4330-A4AE-684F9DDCCC42}">
      <text>
        <r>
          <rPr>
            <b/>
            <sz val="9"/>
            <color indexed="81"/>
            <rFont val="Tahoma"/>
            <family val="2"/>
          </rPr>
          <t>&lt;[[TCDeals] - [TC Property Current Stage (Seq: 1)] - [Buildings (Seq: 25)] Acq Applicable Percentage - Both]&gt;</t>
        </r>
      </text>
    </comment>
    <comment ref="R1212" authorId="0" shapeId="0" xr:uid="{9C70CDE2-5EF4-42D5-A3C4-E60249BADE49}">
      <text>
        <r>
          <rPr>
            <b/>
            <sz val="9"/>
            <color indexed="81"/>
            <rFont val="Tahoma"/>
            <family val="2"/>
          </rPr>
          <t>&lt;[[TCDeals] - [TC Property Current Stage (Seq: 1)] - [Buildings (Seq: 25)] Acq Est Qual Basis - Both]&gt;</t>
        </r>
      </text>
    </comment>
    <comment ref="S1212" authorId="0" shapeId="0" xr:uid="{8B3AC734-EA87-47A5-8C7D-DD488B8D2208}">
      <text>
        <r>
          <rPr>
            <b/>
            <sz val="9"/>
            <color indexed="81"/>
            <rFont val="Tahoma"/>
            <family val="2"/>
          </rPr>
          <t>&lt;[[TCDeals] - [TC Property Current Stage (Seq: 1)] - [Buildings (Seq: 25)] Acq 8609 Basis - Both]&gt;</t>
        </r>
      </text>
    </comment>
    <comment ref="T1212" authorId="0" shapeId="0" xr:uid="{F38EF38C-688C-41A1-9806-2163DAD80FE7}">
      <text>
        <r>
          <rPr>
            <b/>
            <sz val="9"/>
            <color indexed="81"/>
            <rFont val="Tahoma"/>
            <family val="2"/>
          </rPr>
          <t>&lt;[[TCDeals] - [TC Property Current Stage (Seq: 1)] - [Buildings (Seq: 25)] Acq 8609 Credit - Both]&gt;</t>
        </r>
      </text>
    </comment>
    <comment ref="C1213" authorId="0" shapeId="0" xr:uid="{DCF4A16E-0B4B-4BB6-8C7B-E42EDD932AE8}">
      <text>
        <r>
          <rPr>
            <b/>
            <sz val="9"/>
            <color indexed="81"/>
            <rFont val="Tahoma"/>
            <family val="2"/>
          </rPr>
          <t>&lt;[[TCDeals] - [TC Property Current Stage (Seq: 1)] - [Buildings (Seq: 26)] BIN - Both]&gt;</t>
        </r>
      </text>
    </comment>
    <comment ref="D1213" authorId="0" shapeId="0" xr:uid="{AA7F3F74-F7CE-459E-BBE4-3C5DDEB7AE5C}">
      <text>
        <r>
          <rPr>
            <b/>
            <sz val="9"/>
            <color indexed="81"/>
            <rFont val="Tahoma"/>
            <family val="2"/>
          </rPr>
          <t>&lt;[[TCDeals] - [TC Property Current Stage (Seq: 1)] - [Buildings (Seq: 26)] Address 1 - Both]&gt;</t>
        </r>
      </text>
    </comment>
    <comment ref="E1213" authorId="0" shapeId="0" xr:uid="{3BC4EF30-1CFA-455D-8E16-F0B914B39EF5}">
      <text>
        <r>
          <rPr>
            <b/>
            <sz val="9"/>
            <color indexed="81"/>
            <rFont val="Tahoma"/>
            <family val="2"/>
          </rPr>
          <t>&lt;[[TCDeals] - [TC Property Current Stage (Seq: 1)] - [Buildings (Seq: 26)] Num TC Units - Both]&gt;</t>
        </r>
      </text>
    </comment>
    <comment ref="F1213" authorId="0" shapeId="0" xr:uid="{8F72B6B9-2ABB-437D-8E41-6EEEF5B8C41F}">
      <text>
        <r>
          <rPr>
            <b/>
            <sz val="9"/>
            <color indexed="81"/>
            <rFont val="Tahoma"/>
            <family val="2"/>
          </rPr>
          <t>&lt;[[TCDeals] - [TC Property Current Stage (Seq: 1)] - [Buildings (Seq: 26)] PVC PIS Date - Both]&gt;</t>
        </r>
      </text>
    </comment>
    <comment ref="G1213" authorId="0" shapeId="0" xr:uid="{7943F217-531B-4877-8B0C-F8ACCF8F690D}">
      <text>
        <r>
          <rPr>
            <b/>
            <sz val="9"/>
            <color indexed="81"/>
            <rFont val="Tahoma"/>
            <family val="2"/>
          </rPr>
          <t>&lt;[[TCDeals] - [TC Property Current Stage (Seq: 1)] - [Buildings (Seq: 26)] PVC Applicable Percentage - Both]&gt;</t>
        </r>
      </text>
    </comment>
    <comment ref="H1213" authorId="0" shapeId="0" xr:uid="{C83AF0FF-2558-4749-9C8A-8FDF3F6E0F22}">
      <text>
        <r>
          <rPr>
            <b/>
            <sz val="9"/>
            <color indexed="81"/>
            <rFont val="Tahoma"/>
            <family val="2"/>
          </rPr>
          <t>&lt;[[TCDeals] - [TC Property Current Stage (Seq: 1)] - [Buildings (Seq: 26)] PVC Est Qual Basis - Both]&gt;</t>
        </r>
      </text>
    </comment>
    <comment ref="I1213" authorId="0" shapeId="0" xr:uid="{37ACE7A5-1ECB-4C0D-A1CC-AAEE964AB5A6}">
      <text>
        <r>
          <rPr>
            <b/>
            <sz val="9"/>
            <color indexed="81"/>
            <rFont val="Tahoma"/>
            <family val="2"/>
          </rPr>
          <t>&lt;[[TCDeals] - [TC Property Current Stage (Seq: 1)] - [Buildings (Seq: 26)] PVC8609 Basis - Both]&gt;</t>
        </r>
      </text>
    </comment>
    <comment ref="J1213" authorId="0" shapeId="0" xr:uid="{5401E5C9-C5E9-4F23-B57C-4084E82B3841}">
      <text>
        <r>
          <rPr>
            <b/>
            <sz val="9"/>
            <color indexed="81"/>
            <rFont val="Tahoma"/>
            <family val="2"/>
          </rPr>
          <t>&lt;[[TCDeals] - [TC Property Current Stage (Seq: 1)] - [Buildings (Seq: 26)] PVC8609 Credit - Both]&gt;</t>
        </r>
      </text>
    </comment>
    <comment ref="K1213" authorId="0" shapeId="0" xr:uid="{80397FC5-100D-4528-AF57-1540C2FD7DC4}">
      <text>
        <r>
          <rPr>
            <b/>
            <sz val="9"/>
            <color indexed="81"/>
            <rFont val="Tahoma"/>
            <family val="2"/>
          </rPr>
          <t>&lt;[[TCDeals] - [TC Property Current Stage (Seq: 1)] - [Buildings (Seq: 26)] Constr PIS Date - Both]&gt;</t>
        </r>
      </text>
    </comment>
    <comment ref="L1213" authorId="0" shapeId="0" xr:uid="{9F177054-4D69-4618-A1B8-9517CC7F5C77}">
      <text>
        <r>
          <rPr>
            <b/>
            <sz val="9"/>
            <color indexed="81"/>
            <rFont val="Tahoma"/>
            <family val="2"/>
          </rPr>
          <t>&lt;[[TCDeals] - [TC Property Current Stage (Seq: 1)] - [Buildings (Seq: 26)] Constr Applicable Percentage - Both]&gt;</t>
        </r>
      </text>
    </comment>
    <comment ref="M1213" authorId="0" shapeId="0" xr:uid="{614BE76F-81B0-4499-8F32-AD82CBE867CD}">
      <text>
        <r>
          <rPr>
            <b/>
            <sz val="9"/>
            <color indexed="81"/>
            <rFont val="Tahoma"/>
            <family val="2"/>
          </rPr>
          <t>&lt;[[TCDeals] - [TC Property Current Stage (Seq: 1)] - [Buildings (Seq: 26)] Constr Est Qual Basis - Both]&gt;</t>
        </r>
      </text>
    </comment>
    <comment ref="N1213" authorId="0" shapeId="0" xr:uid="{995AF15F-9F85-4E90-A987-8E8AB6B252BA}">
      <text>
        <r>
          <rPr>
            <b/>
            <sz val="9"/>
            <color indexed="81"/>
            <rFont val="Tahoma"/>
            <family val="2"/>
          </rPr>
          <t>&lt;[[TCDeals] - [TC Property Current Stage (Seq: 1)] - [Buildings (Seq: 26)] Constr 8609 Basis - Both]&gt;</t>
        </r>
      </text>
    </comment>
    <comment ref="O1213" authorId="0" shapeId="0" xr:uid="{9DB972F0-D73D-4333-9BCF-7012635E95F5}">
      <text>
        <r>
          <rPr>
            <b/>
            <sz val="9"/>
            <color indexed="81"/>
            <rFont val="Tahoma"/>
            <family val="2"/>
          </rPr>
          <t>&lt;[[TCDeals] - [TC Property Current Stage (Seq: 1)] - [Buildings (Seq: 26)] Constr 8609 Credit - Both]&gt;</t>
        </r>
      </text>
    </comment>
    <comment ref="P1213" authorId="0" shapeId="0" xr:uid="{EFC68C4F-CB8D-4564-A216-B1ACCC0C886F}">
      <text>
        <r>
          <rPr>
            <b/>
            <sz val="9"/>
            <color indexed="81"/>
            <rFont val="Tahoma"/>
            <family val="2"/>
          </rPr>
          <t>&lt;[[TCDeals] - [TC Property Current Stage (Seq: 1)] - [Buildings (Seq: 26)] Acq PIS Date - Both]&gt;</t>
        </r>
      </text>
    </comment>
    <comment ref="Q1213" authorId="0" shapeId="0" xr:uid="{87B0FBF9-8E7C-4563-B05A-3A2E76331769}">
      <text>
        <r>
          <rPr>
            <b/>
            <sz val="9"/>
            <color indexed="81"/>
            <rFont val="Tahoma"/>
            <family val="2"/>
          </rPr>
          <t>&lt;[[TCDeals] - [TC Property Current Stage (Seq: 1)] - [Buildings (Seq: 26)] Acq Applicable Percentage - Both]&gt;</t>
        </r>
      </text>
    </comment>
    <comment ref="R1213" authorId="0" shapeId="0" xr:uid="{BE74A3A7-7963-48DF-937F-4D07857522EE}">
      <text>
        <r>
          <rPr>
            <b/>
            <sz val="9"/>
            <color indexed="81"/>
            <rFont val="Tahoma"/>
            <family val="2"/>
          </rPr>
          <t>&lt;[[TCDeals] - [TC Property Current Stage (Seq: 1)] - [Buildings (Seq: 26)] Acq Est Qual Basis - Both]&gt;</t>
        </r>
      </text>
    </comment>
    <comment ref="S1213" authorId="0" shapeId="0" xr:uid="{575D33EE-6ADF-413A-BDE7-12B0BE431EE4}">
      <text>
        <r>
          <rPr>
            <b/>
            <sz val="9"/>
            <color indexed="81"/>
            <rFont val="Tahoma"/>
            <family val="2"/>
          </rPr>
          <t>&lt;[[TCDeals] - [TC Property Current Stage (Seq: 1)] - [Buildings (Seq: 26)] Acq 8609 Basis - Both]&gt;</t>
        </r>
      </text>
    </comment>
    <comment ref="T1213" authorId="0" shapeId="0" xr:uid="{467EE3D0-1C21-4E83-994B-F309520651A1}">
      <text>
        <r>
          <rPr>
            <b/>
            <sz val="9"/>
            <color indexed="81"/>
            <rFont val="Tahoma"/>
            <family val="2"/>
          </rPr>
          <t>&lt;[[TCDeals] - [TC Property Current Stage (Seq: 1)] - [Buildings (Seq: 26)] Acq 8609 Credit - Both]&gt;</t>
        </r>
      </text>
    </comment>
    <comment ref="C1214" authorId="0" shapeId="0" xr:uid="{29255615-B667-429D-82F0-9335F40EEAC9}">
      <text>
        <r>
          <rPr>
            <b/>
            <sz val="9"/>
            <color indexed="81"/>
            <rFont val="Tahoma"/>
            <family val="2"/>
          </rPr>
          <t>&lt;[[TCDeals] - [TC Property Current Stage (Seq: 1)] - [Buildings (Seq: 27)] BIN - Both]&gt;</t>
        </r>
      </text>
    </comment>
    <comment ref="D1214" authorId="0" shapeId="0" xr:uid="{247AD15F-A780-40E3-81BB-06CBCAAB8474}">
      <text>
        <r>
          <rPr>
            <b/>
            <sz val="9"/>
            <color indexed="81"/>
            <rFont val="Tahoma"/>
            <family val="2"/>
          </rPr>
          <t>&lt;[[TCDeals] - [TC Property Current Stage (Seq: 1)] - [Buildings (Seq: 27)] Address 1 - Both]&gt;</t>
        </r>
      </text>
    </comment>
    <comment ref="E1214" authorId="0" shapeId="0" xr:uid="{6985F05E-8A9E-4B26-8C93-35B6FBE34404}">
      <text>
        <r>
          <rPr>
            <b/>
            <sz val="9"/>
            <color indexed="81"/>
            <rFont val="Tahoma"/>
            <family val="2"/>
          </rPr>
          <t>&lt;[[TCDeals] - [TC Property Current Stage (Seq: 1)] - [Buildings (Seq: 27)] Num TC Units - Both]&gt;</t>
        </r>
      </text>
    </comment>
    <comment ref="F1214" authorId="0" shapeId="0" xr:uid="{135BE223-9BE6-4888-AFA3-89009CCC5FA8}">
      <text>
        <r>
          <rPr>
            <b/>
            <sz val="9"/>
            <color indexed="81"/>
            <rFont val="Tahoma"/>
            <family val="2"/>
          </rPr>
          <t>&lt;[[TCDeals] - [TC Property Current Stage (Seq: 1)] - [Buildings (Seq: 27)] PVC PIS Date - Both]&gt;</t>
        </r>
      </text>
    </comment>
    <comment ref="G1214" authorId="0" shapeId="0" xr:uid="{B7C53DD3-478E-404D-87DC-0ABE1482C1D4}">
      <text>
        <r>
          <rPr>
            <b/>
            <sz val="9"/>
            <color indexed="81"/>
            <rFont val="Tahoma"/>
            <family val="2"/>
          </rPr>
          <t>&lt;[[TCDeals] - [TC Property Current Stage (Seq: 1)] - [Buildings (Seq: 27)] PVC Applicable Percentage - Both]&gt;</t>
        </r>
      </text>
    </comment>
    <comment ref="H1214" authorId="0" shapeId="0" xr:uid="{A5B14CE0-85C0-49D4-8B04-A8E986921541}">
      <text>
        <r>
          <rPr>
            <b/>
            <sz val="9"/>
            <color indexed="81"/>
            <rFont val="Tahoma"/>
            <family val="2"/>
          </rPr>
          <t>&lt;[[TCDeals] - [TC Property Current Stage (Seq: 1)] - [Buildings (Seq: 27)] PVC Est Qual Basis - Both]&gt;</t>
        </r>
      </text>
    </comment>
    <comment ref="I1214" authorId="0" shapeId="0" xr:uid="{5F38E653-ADBF-4079-94CF-155744095E9A}">
      <text>
        <r>
          <rPr>
            <b/>
            <sz val="9"/>
            <color indexed="81"/>
            <rFont val="Tahoma"/>
            <family val="2"/>
          </rPr>
          <t>&lt;[[TCDeals] - [TC Property Current Stage (Seq: 1)] - [Buildings (Seq: 27)] PVC8609 Basis - Both]&gt;</t>
        </r>
      </text>
    </comment>
    <comment ref="J1214" authorId="0" shapeId="0" xr:uid="{C55CB4BB-2393-45C6-A534-34CA8D76E23B}">
      <text>
        <r>
          <rPr>
            <b/>
            <sz val="9"/>
            <color indexed="81"/>
            <rFont val="Tahoma"/>
            <family val="2"/>
          </rPr>
          <t>&lt;[[TCDeals] - [TC Property Current Stage (Seq: 1)] - [Buildings (Seq: 27)] PVC8609 Credit - Both]&gt;</t>
        </r>
      </text>
    </comment>
    <comment ref="K1214" authorId="0" shapeId="0" xr:uid="{A128D726-FF50-43AD-933D-987E73D0A0B2}">
      <text>
        <r>
          <rPr>
            <b/>
            <sz val="9"/>
            <color indexed="81"/>
            <rFont val="Tahoma"/>
            <family val="2"/>
          </rPr>
          <t>&lt;[[TCDeals] - [TC Property Current Stage (Seq: 1)] - [Buildings (Seq: 27)] Constr PIS Date - Both]&gt;</t>
        </r>
      </text>
    </comment>
    <comment ref="L1214" authorId="0" shapeId="0" xr:uid="{59756330-3C56-423A-A37C-6F2A07F571AF}">
      <text>
        <r>
          <rPr>
            <b/>
            <sz val="9"/>
            <color indexed="81"/>
            <rFont val="Tahoma"/>
            <family val="2"/>
          </rPr>
          <t>&lt;[[TCDeals] - [TC Property Current Stage (Seq: 1)] - [Buildings (Seq: 27)] Constr Applicable Percentage - Both]&gt;</t>
        </r>
      </text>
    </comment>
    <comment ref="M1214" authorId="0" shapeId="0" xr:uid="{D2C85172-4C9A-4879-AE12-4E0F8C81B54D}">
      <text>
        <r>
          <rPr>
            <b/>
            <sz val="9"/>
            <color indexed="81"/>
            <rFont val="Tahoma"/>
            <family val="2"/>
          </rPr>
          <t>&lt;[[TCDeals] - [TC Property Current Stage (Seq: 1)] - [Buildings (Seq: 27)] Constr Est Qual Basis - Both]&gt;</t>
        </r>
      </text>
    </comment>
    <comment ref="N1214" authorId="0" shapeId="0" xr:uid="{73ACA50B-96CA-49DB-8871-74FB25A73D7D}">
      <text>
        <r>
          <rPr>
            <b/>
            <sz val="9"/>
            <color indexed="81"/>
            <rFont val="Tahoma"/>
            <family val="2"/>
          </rPr>
          <t>&lt;[[TCDeals] - [TC Property Current Stage (Seq: 1)] - [Buildings (Seq: 27)] Constr 8609 Basis - Both]&gt;</t>
        </r>
      </text>
    </comment>
    <comment ref="O1214" authorId="0" shapeId="0" xr:uid="{226B5870-AC7C-4769-9853-CE9AA3C955E3}">
      <text>
        <r>
          <rPr>
            <b/>
            <sz val="9"/>
            <color indexed="81"/>
            <rFont val="Tahoma"/>
            <family val="2"/>
          </rPr>
          <t>&lt;[[TCDeals] - [TC Property Current Stage (Seq: 1)] - [Buildings (Seq: 27)] Constr 8609 Credit - Both]&gt;</t>
        </r>
      </text>
    </comment>
    <comment ref="P1214" authorId="0" shapeId="0" xr:uid="{98EB77D5-9668-4464-B940-299FF38B8E35}">
      <text>
        <r>
          <rPr>
            <b/>
            <sz val="9"/>
            <color indexed="81"/>
            <rFont val="Tahoma"/>
            <family val="2"/>
          </rPr>
          <t>&lt;[[TCDeals] - [TC Property Current Stage (Seq: 1)] - [Buildings (Seq: 27)] Acq PIS Date - Both]&gt;</t>
        </r>
      </text>
    </comment>
    <comment ref="Q1214" authorId="0" shapeId="0" xr:uid="{60A1A671-FF4A-4585-A1DE-89A80E4992AF}">
      <text>
        <r>
          <rPr>
            <b/>
            <sz val="9"/>
            <color indexed="81"/>
            <rFont val="Tahoma"/>
            <family val="2"/>
          </rPr>
          <t>&lt;[[TCDeals] - [TC Property Current Stage (Seq: 1)] - [Buildings (Seq: 27)] Acq Applicable Percentage - Both]&gt;</t>
        </r>
      </text>
    </comment>
    <comment ref="R1214" authorId="0" shapeId="0" xr:uid="{132132B6-E0A5-4461-A496-A23A0BC0B84D}">
      <text>
        <r>
          <rPr>
            <b/>
            <sz val="9"/>
            <color indexed="81"/>
            <rFont val="Tahoma"/>
            <family val="2"/>
          </rPr>
          <t>&lt;[[TCDeals] - [TC Property Current Stage (Seq: 1)] - [Buildings (Seq: 27)] Acq Est Qual Basis - Both]&gt;</t>
        </r>
      </text>
    </comment>
    <comment ref="S1214" authorId="0" shapeId="0" xr:uid="{97AA4ABF-D8D6-4999-B041-D1D85FB676B4}">
      <text>
        <r>
          <rPr>
            <b/>
            <sz val="9"/>
            <color indexed="81"/>
            <rFont val="Tahoma"/>
            <family val="2"/>
          </rPr>
          <t>&lt;[[TCDeals] - [TC Property Current Stage (Seq: 1)] - [Buildings (Seq: 27)] Acq 8609 Basis - Both]&gt;</t>
        </r>
      </text>
    </comment>
    <comment ref="T1214" authorId="0" shapeId="0" xr:uid="{627C6802-7E42-48EF-9F45-4AA3F304A716}">
      <text>
        <r>
          <rPr>
            <b/>
            <sz val="9"/>
            <color indexed="81"/>
            <rFont val="Tahoma"/>
            <family val="2"/>
          </rPr>
          <t>&lt;[[TCDeals] - [TC Property Current Stage (Seq: 1)] - [Buildings (Seq: 27)] Acq 8609 Credit - Both]&gt;</t>
        </r>
      </text>
    </comment>
    <comment ref="C1215" authorId="0" shapeId="0" xr:uid="{7BA438EB-F116-4301-B2E9-DA8668821A25}">
      <text>
        <r>
          <rPr>
            <b/>
            <sz val="9"/>
            <color indexed="81"/>
            <rFont val="Tahoma"/>
            <family val="2"/>
          </rPr>
          <t>&lt;[[TCDeals] - [TC Property Current Stage (Seq: 1)] - [Buildings (Seq: 28)] BIN - Both]&gt;</t>
        </r>
      </text>
    </comment>
    <comment ref="D1215" authorId="0" shapeId="0" xr:uid="{ADC99CC4-BC2E-466F-B10E-BB1DEE2092D0}">
      <text>
        <r>
          <rPr>
            <b/>
            <sz val="9"/>
            <color indexed="81"/>
            <rFont val="Tahoma"/>
            <family val="2"/>
          </rPr>
          <t>&lt;[[TCDeals] - [TC Property Current Stage (Seq: 1)] - [Buildings (Seq: 28)] Address 1 - Both]&gt;</t>
        </r>
      </text>
    </comment>
    <comment ref="E1215" authorId="0" shapeId="0" xr:uid="{4561B1A7-109A-4830-884B-6F2BC294F665}">
      <text>
        <r>
          <rPr>
            <b/>
            <sz val="9"/>
            <color indexed="81"/>
            <rFont val="Tahoma"/>
            <family val="2"/>
          </rPr>
          <t>&lt;[[TCDeals] - [TC Property Current Stage (Seq: 1)] - [Buildings (Seq: 28)] Num TC Units - Both]&gt;</t>
        </r>
      </text>
    </comment>
    <comment ref="F1215" authorId="0" shapeId="0" xr:uid="{88E7D7EF-7BB4-48DB-85EA-78AF394D017C}">
      <text>
        <r>
          <rPr>
            <b/>
            <sz val="9"/>
            <color indexed="81"/>
            <rFont val="Tahoma"/>
            <family val="2"/>
          </rPr>
          <t>&lt;[[TCDeals] - [TC Property Current Stage (Seq: 1)] - [Buildings (Seq: 28)] PVC PIS Date - Both]&gt;</t>
        </r>
      </text>
    </comment>
    <comment ref="G1215" authorId="0" shapeId="0" xr:uid="{325C4E3F-2D7A-4C28-9A51-E4B18D02D0FF}">
      <text>
        <r>
          <rPr>
            <b/>
            <sz val="9"/>
            <color indexed="81"/>
            <rFont val="Tahoma"/>
            <family val="2"/>
          </rPr>
          <t>&lt;[[TCDeals] - [TC Property Current Stage (Seq: 1)] - [Buildings (Seq: 28)] PVC Applicable Percentage - Both]&gt;</t>
        </r>
      </text>
    </comment>
    <comment ref="H1215" authorId="0" shapeId="0" xr:uid="{B2DC1718-0804-4167-821E-2BCB9D1D5633}">
      <text>
        <r>
          <rPr>
            <b/>
            <sz val="9"/>
            <color indexed="81"/>
            <rFont val="Tahoma"/>
            <family val="2"/>
          </rPr>
          <t>&lt;[[TCDeals] - [TC Property Current Stage (Seq: 1)] - [Buildings (Seq: 28)] PVC Est Qual Basis - Both]&gt;</t>
        </r>
      </text>
    </comment>
    <comment ref="I1215" authorId="0" shapeId="0" xr:uid="{D52614B6-6166-429D-BC2D-C2E7532E068A}">
      <text>
        <r>
          <rPr>
            <b/>
            <sz val="9"/>
            <color indexed="81"/>
            <rFont val="Tahoma"/>
            <family val="2"/>
          </rPr>
          <t>&lt;[[TCDeals] - [TC Property Current Stage (Seq: 1)] - [Buildings (Seq: 28)] PVC8609 Basis - Both]&gt;</t>
        </r>
      </text>
    </comment>
    <comment ref="J1215" authorId="0" shapeId="0" xr:uid="{E2E32AC2-0EC1-4C7A-B0F0-22AF8B991CF1}">
      <text>
        <r>
          <rPr>
            <b/>
            <sz val="9"/>
            <color indexed="81"/>
            <rFont val="Tahoma"/>
            <family val="2"/>
          </rPr>
          <t>&lt;[[TCDeals] - [TC Property Current Stage (Seq: 1)] - [Buildings (Seq: 28)] PVC8609 Credit - Both]&gt;</t>
        </r>
      </text>
    </comment>
    <comment ref="K1215" authorId="0" shapeId="0" xr:uid="{E18BBB59-51E8-43DC-B751-E4C1694E1DF7}">
      <text>
        <r>
          <rPr>
            <b/>
            <sz val="9"/>
            <color indexed="81"/>
            <rFont val="Tahoma"/>
            <family val="2"/>
          </rPr>
          <t>&lt;[[TCDeals] - [TC Property Current Stage (Seq: 1)] - [Buildings (Seq: 28)] Constr PIS Date - Both]&gt;</t>
        </r>
      </text>
    </comment>
    <comment ref="L1215" authorId="0" shapeId="0" xr:uid="{6E7FA7E9-1A81-46A3-9546-1EA456E2067F}">
      <text>
        <r>
          <rPr>
            <b/>
            <sz val="9"/>
            <color indexed="81"/>
            <rFont val="Tahoma"/>
            <family val="2"/>
          </rPr>
          <t>&lt;[[TCDeals] - [TC Property Current Stage (Seq: 1)] - [Buildings (Seq: 28)] Constr Applicable Percentage - Both]&gt;</t>
        </r>
      </text>
    </comment>
    <comment ref="M1215" authorId="0" shapeId="0" xr:uid="{B866250C-EBC3-48AD-83B8-19182CA2CF7C}">
      <text>
        <r>
          <rPr>
            <b/>
            <sz val="9"/>
            <color indexed="81"/>
            <rFont val="Tahoma"/>
            <family val="2"/>
          </rPr>
          <t>&lt;[[TCDeals] - [TC Property Current Stage (Seq: 1)] - [Buildings (Seq: 28)] Constr Est Qual Basis - Both]&gt;</t>
        </r>
      </text>
    </comment>
    <comment ref="N1215" authorId="0" shapeId="0" xr:uid="{A98E4702-E678-40A5-976F-234B57692FFF}">
      <text>
        <r>
          <rPr>
            <b/>
            <sz val="9"/>
            <color indexed="81"/>
            <rFont val="Tahoma"/>
            <family val="2"/>
          </rPr>
          <t>&lt;[[TCDeals] - [TC Property Current Stage (Seq: 1)] - [Buildings (Seq: 28)] Constr 8609 Basis - Both]&gt;</t>
        </r>
      </text>
    </comment>
    <comment ref="O1215" authorId="0" shapeId="0" xr:uid="{6D1A18DE-8182-487C-982A-B1F4DDED7418}">
      <text>
        <r>
          <rPr>
            <b/>
            <sz val="9"/>
            <color indexed="81"/>
            <rFont val="Tahoma"/>
            <family val="2"/>
          </rPr>
          <t>&lt;[[TCDeals] - [TC Property Current Stage (Seq: 1)] - [Buildings (Seq: 28)] Constr 8609 Credit - Both]&gt;</t>
        </r>
      </text>
    </comment>
    <comment ref="P1215" authorId="0" shapeId="0" xr:uid="{59A99392-3199-4482-88D8-06B4519C59F3}">
      <text>
        <r>
          <rPr>
            <b/>
            <sz val="9"/>
            <color indexed="81"/>
            <rFont val="Tahoma"/>
            <family val="2"/>
          </rPr>
          <t>&lt;[[TCDeals] - [TC Property Current Stage (Seq: 1)] - [Buildings (Seq: 28)] Acq PIS Date - Both]&gt;</t>
        </r>
      </text>
    </comment>
    <comment ref="Q1215" authorId="0" shapeId="0" xr:uid="{4009AD85-D6E1-4566-B072-4CC133AF8ABF}">
      <text>
        <r>
          <rPr>
            <b/>
            <sz val="9"/>
            <color indexed="81"/>
            <rFont val="Tahoma"/>
            <family val="2"/>
          </rPr>
          <t>&lt;[[TCDeals] - [TC Property Current Stage (Seq: 1)] - [Buildings (Seq: 28)] Acq Applicable Percentage - Both]&gt;</t>
        </r>
      </text>
    </comment>
    <comment ref="R1215" authorId="0" shapeId="0" xr:uid="{4D1F7A89-5665-41EB-B268-14BC3C7C0859}">
      <text>
        <r>
          <rPr>
            <b/>
            <sz val="9"/>
            <color indexed="81"/>
            <rFont val="Tahoma"/>
            <family val="2"/>
          </rPr>
          <t>&lt;[[TCDeals] - [TC Property Current Stage (Seq: 1)] - [Buildings (Seq: 28)] Acq Est Qual Basis - Both]&gt;</t>
        </r>
      </text>
    </comment>
    <comment ref="S1215" authorId="0" shapeId="0" xr:uid="{094311A1-6572-4EE3-A882-0349C4F65971}">
      <text>
        <r>
          <rPr>
            <b/>
            <sz val="9"/>
            <color indexed="81"/>
            <rFont val="Tahoma"/>
            <family val="2"/>
          </rPr>
          <t>&lt;[[TCDeals] - [TC Property Current Stage (Seq: 1)] - [Buildings (Seq: 28)] Acq 8609 Basis - Both]&gt;</t>
        </r>
      </text>
    </comment>
    <comment ref="T1215" authorId="0" shapeId="0" xr:uid="{772BE060-6F1C-44E8-B0C4-043065116DC3}">
      <text>
        <r>
          <rPr>
            <b/>
            <sz val="9"/>
            <color indexed="81"/>
            <rFont val="Tahoma"/>
            <family val="2"/>
          </rPr>
          <t>&lt;[[TCDeals] - [TC Property Current Stage (Seq: 1)] - [Buildings (Seq: 28)] Acq 8609 Credit - Both]&gt;</t>
        </r>
      </text>
    </comment>
    <comment ref="C1216" authorId="0" shapeId="0" xr:uid="{60CE24B4-7E74-4C0E-BBB8-FD89D73584C7}">
      <text>
        <r>
          <rPr>
            <b/>
            <sz val="9"/>
            <color indexed="81"/>
            <rFont val="Tahoma"/>
            <family val="2"/>
          </rPr>
          <t>&lt;[[TCDeals] - [TC Property Current Stage (Seq: 1)] - [Buildings (Seq: 29)] BIN - Both]&gt;</t>
        </r>
      </text>
    </comment>
    <comment ref="D1216" authorId="0" shapeId="0" xr:uid="{AEA20E5B-4707-43DB-8707-8A7A75569921}">
      <text>
        <r>
          <rPr>
            <b/>
            <sz val="9"/>
            <color indexed="81"/>
            <rFont val="Tahoma"/>
            <family val="2"/>
          </rPr>
          <t>&lt;[[TCDeals] - [TC Property Current Stage (Seq: 1)] - [Buildings (Seq: 29)] Address 1 - Both]&gt;</t>
        </r>
      </text>
    </comment>
    <comment ref="E1216" authorId="0" shapeId="0" xr:uid="{3926CBFA-CB04-406D-8C22-4FCE746A5B0E}">
      <text>
        <r>
          <rPr>
            <b/>
            <sz val="9"/>
            <color indexed="81"/>
            <rFont val="Tahoma"/>
            <family val="2"/>
          </rPr>
          <t>&lt;[[TCDeals] - [TC Property Current Stage (Seq: 1)] - [Buildings (Seq: 29)] Num TC Units - Both]&gt;</t>
        </r>
      </text>
    </comment>
    <comment ref="F1216" authorId="0" shapeId="0" xr:uid="{388429ED-3330-4A36-AABE-6E0EC6865473}">
      <text>
        <r>
          <rPr>
            <b/>
            <sz val="9"/>
            <color indexed="81"/>
            <rFont val="Tahoma"/>
            <family val="2"/>
          </rPr>
          <t>&lt;[[TCDeals] - [TC Property Current Stage (Seq: 1)] - [Buildings (Seq: 29)] PVC PIS Date - Both]&gt;</t>
        </r>
      </text>
    </comment>
    <comment ref="G1216" authorId="0" shapeId="0" xr:uid="{B2EF6D77-EA66-4D91-8FE1-FD32493D83C9}">
      <text>
        <r>
          <rPr>
            <b/>
            <sz val="9"/>
            <color indexed="81"/>
            <rFont val="Tahoma"/>
            <family val="2"/>
          </rPr>
          <t>&lt;[[TCDeals] - [TC Property Current Stage (Seq: 1)] - [Buildings (Seq: 29)] PVC Applicable Percentage - Both]&gt;</t>
        </r>
      </text>
    </comment>
    <comment ref="H1216" authorId="0" shapeId="0" xr:uid="{0EFBBDC4-3C2D-4EA3-808F-002CD15AB658}">
      <text>
        <r>
          <rPr>
            <b/>
            <sz val="9"/>
            <color indexed="81"/>
            <rFont val="Tahoma"/>
            <family val="2"/>
          </rPr>
          <t>&lt;[[TCDeals] - [TC Property Current Stage (Seq: 1)] - [Buildings (Seq: 29)] PVC Est Qual Basis - Both]&gt;</t>
        </r>
      </text>
    </comment>
    <comment ref="I1216" authorId="0" shapeId="0" xr:uid="{E487366A-BE2E-4D92-8282-97713D726DDD}">
      <text>
        <r>
          <rPr>
            <b/>
            <sz val="9"/>
            <color indexed="81"/>
            <rFont val="Tahoma"/>
            <family val="2"/>
          </rPr>
          <t>&lt;[[TCDeals] - [TC Property Current Stage (Seq: 1)] - [Buildings (Seq: 29)] PVC8609 Basis - Both]&gt;</t>
        </r>
      </text>
    </comment>
    <comment ref="J1216" authorId="0" shapeId="0" xr:uid="{1532D8B9-0645-4B86-9517-4FA5F82D83A3}">
      <text>
        <r>
          <rPr>
            <b/>
            <sz val="9"/>
            <color indexed="81"/>
            <rFont val="Tahoma"/>
            <family val="2"/>
          </rPr>
          <t>&lt;[[TCDeals] - [TC Property Current Stage (Seq: 1)] - [Buildings (Seq: 29)] PVC8609 Credit - Both]&gt;</t>
        </r>
      </text>
    </comment>
    <comment ref="K1216" authorId="0" shapeId="0" xr:uid="{F6D684D0-A1CB-476B-8CC7-FA3C0CF75089}">
      <text>
        <r>
          <rPr>
            <b/>
            <sz val="9"/>
            <color indexed="81"/>
            <rFont val="Tahoma"/>
            <family val="2"/>
          </rPr>
          <t>&lt;[[TCDeals] - [TC Property Current Stage (Seq: 1)] - [Buildings (Seq: 29)] Constr PIS Date - Both]&gt;</t>
        </r>
      </text>
    </comment>
    <comment ref="L1216" authorId="0" shapeId="0" xr:uid="{9FE08E83-22DC-4643-A7C0-13E6ADA5FBE0}">
      <text>
        <r>
          <rPr>
            <b/>
            <sz val="9"/>
            <color indexed="81"/>
            <rFont val="Tahoma"/>
            <family val="2"/>
          </rPr>
          <t>&lt;[[TCDeals] - [TC Property Current Stage (Seq: 1)] - [Buildings (Seq: 29)] Constr Applicable Percentage - Both]&gt;</t>
        </r>
      </text>
    </comment>
    <comment ref="M1216" authorId="0" shapeId="0" xr:uid="{65F8D862-7AB6-4301-9DAA-779D792A584E}">
      <text>
        <r>
          <rPr>
            <b/>
            <sz val="9"/>
            <color indexed="81"/>
            <rFont val="Tahoma"/>
            <family val="2"/>
          </rPr>
          <t>&lt;[[TCDeals] - [TC Property Current Stage (Seq: 1)] - [Buildings (Seq: 29)] Constr Est Qual Basis - Both]&gt;</t>
        </r>
      </text>
    </comment>
    <comment ref="N1216" authorId="0" shapeId="0" xr:uid="{B0885CC0-EB3B-4491-B8E9-D3D82F6F7502}">
      <text>
        <r>
          <rPr>
            <b/>
            <sz val="9"/>
            <color indexed="81"/>
            <rFont val="Tahoma"/>
            <family val="2"/>
          </rPr>
          <t>&lt;[[TCDeals] - [TC Property Current Stage (Seq: 1)] - [Buildings (Seq: 29)] Constr 8609 Basis - Both]&gt;</t>
        </r>
      </text>
    </comment>
    <comment ref="O1216" authorId="0" shapeId="0" xr:uid="{AA41F164-AF39-422B-AB7F-BAC0C5F2F577}">
      <text>
        <r>
          <rPr>
            <b/>
            <sz val="9"/>
            <color indexed="81"/>
            <rFont val="Tahoma"/>
            <family val="2"/>
          </rPr>
          <t>&lt;[[TCDeals] - [TC Property Current Stage (Seq: 1)] - [Buildings (Seq: 29)] Constr 8609 Credit - Both]&gt;</t>
        </r>
      </text>
    </comment>
    <comment ref="P1216" authorId="0" shapeId="0" xr:uid="{91AADF38-1557-44A8-8354-EE3F85452BDC}">
      <text>
        <r>
          <rPr>
            <b/>
            <sz val="9"/>
            <color indexed="81"/>
            <rFont val="Tahoma"/>
            <family val="2"/>
          </rPr>
          <t>&lt;[[TCDeals] - [TC Property Current Stage (Seq: 1)] - [Buildings (Seq: 29)] Acq PIS Date - Both]&gt;</t>
        </r>
      </text>
    </comment>
    <comment ref="Q1216" authorId="0" shapeId="0" xr:uid="{83E16E97-36FF-4C4F-97A3-638CEA92689E}">
      <text>
        <r>
          <rPr>
            <b/>
            <sz val="9"/>
            <color indexed="81"/>
            <rFont val="Tahoma"/>
            <family val="2"/>
          </rPr>
          <t>&lt;[[TCDeals] - [TC Property Current Stage (Seq: 1)] - [Buildings (Seq: 29)] Acq Applicable Percentage - Both]&gt;</t>
        </r>
      </text>
    </comment>
    <comment ref="R1216" authorId="0" shapeId="0" xr:uid="{A4CEDCA5-76E9-47AA-9DE7-979D67937196}">
      <text>
        <r>
          <rPr>
            <b/>
            <sz val="9"/>
            <color indexed="81"/>
            <rFont val="Tahoma"/>
            <family val="2"/>
          </rPr>
          <t>&lt;[[TCDeals] - [TC Property Current Stage (Seq: 1)] - [Buildings (Seq: 29)] Acq Est Qual Basis - Both]&gt;</t>
        </r>
      </text>
    </comment>
    <comment ref="S1216" authorId="0" shapeId="0" xr:uid="{9672521E-B8AF-4AA4-B6DF-75BB08218E98}">
      <text>
        <r>
          <rPr>
            <b/>
            <sz val="9"/>
            <color indexed="81"/>
            <rFont val="Tahoma"/>
            <family val="2"/>
          </rPr>
          <t>&lt;[[TCDeals] - [TC Property Current Stage (Seq: 1)] - [Buildings (Seq: 29)] Acq 8609 Basis - Both]&gt;</t>
        </r>
      </text>
    </comment>
    <comment ref="T1216" authorId="0" shapeId="0" xr:uid="{2B8A30D3-77A7-475B-B0E2-6151AC7042DE}">
      <text>
        <r>
          <rPr>
            <b/>
            <sz val="9"/>
            <color indexed="81"/>
            <rFont val="Tahoma"/>
            <family val="2"/>
          </rPr>
          <t>&lt;[[TCDeals] - [TC Property Current Stage (Seq: 1)] - [Buildings (Seq: 29)] Acq 8609 Credit - Both]&gt;</t>
        </r>
      </text>
    </comment>
    <comment ref="C1217" authorId="0" shapeId="0" xr:uid="{A1C6B99B-D85A-4B32-B706-AA4764BE2B4A}">
      <text>
        <r>
          <rPr>
            <b/>
            <sz val="9"/>
            <color indexed="81"/>
            <rFont val="Tahoma"/>
            <family val="2"/>
          </rPr>
          <t>&lt;[[TCDeals] - [TC Property Current Stage (Seq: 1)] - [Buildings (Seq: 30)] BIN - Both]&gt;</t>
        </r>
      </text>
    </comment>
    <comment ref="D1217" authorId="0" shapeId="0" xr:uid="{1C69719E-A773-4D2E-8CA6-EAAFE6E7B4A2}">
      <text>
        <r>
          <rPr>
            <b/>
            <sz val="9"/>
            <color indexed="81"/>
            <rFont val="Tahoma"/>
            <family val="2"/>
          </rPr>
          <t>&lt;[[TCDeals] - [TC Property Current Stage (Seq: 1)] - [Buildings (Seq: 30)] Address 1 - Both]&gt;</t>
        </r>
      </text>
    </comment>
    <comment ref="E1217" authorId="0" shapeId="0" xr:uid="{7E6C6392-9363-4932-9DAC-28058487A113}">
      <text>
        <r>
          <rPr>
            <b/>
            <sz val="9"/>
            <color indexed="81"/>
            <rFont val="Tahoma"/>
            <family val="2"/>
          </rPr>
          <t>&lt;[[TCDeals] - [TC Property Current Stage (Seq: 1)] - [Buildings (Seq: 30)] Num TC Units - Both]&gt;</t>
        </r>
      </text>
    </comment>
    <comment ref="F1217" authorId="0" shapeId="0" xr:uid="{A80C6D7D-A92F-4DAC-BBF6-5464F2EE9FF2}">
      <text>
        <r>
          <rPr>
            <b/>
            <sz val="9"/>
            <color indexed="81"/>
            <rFont val="Tahoma"/>
            <family val="2"/>
          </rPr>
          <t>&lt;[[TCDeals] - [TC Property Current Stage (Seq: 1)] - [Buildings (Seq: 30)] PVC PIS Date - Both]&gt;</t>
        </r>
      </text>
    </comment>
    <comment ref="G1217" authorId="0" shapeId="0" xr:uid="{D9BE5E9A-F431-4DA5-B993-D18050517E5A}">
      <text>
        <r>
          <rPr>
            <b/>
            <sz val="9"/>
            <color indexed="81"/>
            <rFont val="Tahoma"/>
            <family val="2"/>
          </rPr>
          <t>&lt;[[TCDeals] - [TC Property Current Stage (Seq: 1)] - [Buildings (Seq: 30)] PVC Applicable Percentage - Both]&gt;</t>
        </r>
      </text>
    </comment>
    <comment ref="H1217" authorId="0" shapeId="0" xr:uid="{8C88693B-1FF0-4047-BD75-60513344C586}">
      <text>
        <r>
          <rPr>
            <b/>
            <sz val="9"/>
            <color indexed="81"/>
            <rFont val="Tahoma"/>
            <family val="2"/>
          </rPr>
          <t>&lt;[[TCDeals] - [TC Property Current Stage (Seq: 1)] - [Buildings (Seq: 30)] PVC Est Qual Basis - Both]&gt;</t>
        </r>
      </text>
    </comment>
    <comment ref="I1217" authorId="0" shapeId="0" xr:uid="{8A7C64CB-DB40-4645-960E-A9B02E0BFEEA}">
      <text>
        <r>
          <rPr>
            <b/>
            <sz val="9"/>
            <color indexed="81"/>
            <rFont val="Tahoma"/>
            <family val="2"/>
          </rPr>
          <t>&lt;[[TCDeals] - [TC Property Current Stage (Seq: 1)] - [Buildings (Seq: 30)] PVC8609 Basis - Both]&gt;</t>
        </r>
      </text>
    </comment>
    <comment ref="J1217" authorId="0" shapeId="0" xr:uid="{D578DC43-E0CF-4443-B665-45FB24035A64}">
      <text>
        <r>
          <rPr>
            <b/>
            <sz val="9"/>
            <color indexed="81"/>
            <rFont val="Tahoma"/>
            <family val="2"/>
          </rPr>
          <t>&lt;[[TCDeals] - [TC Property Current Stage (Seq: 1)] - [Buildings (Seq: 30)] PVC8609 Credit - Both]&gt;</t>
        </r>
      </text>
    </comment>
    <comment ref="K1217" authorId="0" shapeId="0" xr:uid="{DF9E9AAB-7D4E-4F24-ADEA-C25E49957490}">
      <text>
        <r>
          <rPr>
            <b/>
            <sz val="9"/>
            <color indexed="81"/>
            <rFont val="Tahoma"/>
            <family val="2"/>
          </rPr>
          <t>&lt;[[TCDeals] - [TC Property Current Stage (Seq: 1)] - [Buildings (Seq: 30)] Constr PIS Date - Both]&gt;</t>
        </r>
      </text>
    </comment>
    <comment ref="L1217" authorId="0" shapeId="0" xr:uid="{AC3C1B69-E2D6-498B-A216-AE9281EAB751}">
      <text>
        <r>
          <rPr>
            <b/>
            <sz val="9"/>
            <color indexed="81"/>
            <rFont val="Tahoma"/>
            <family val="2"/>
          </rPr>
          <t>&lt;[[TCDeals] - [TC Property Current Stage (Seq: 1)] - [Buildings (Seq: 30)] Constr Applicable Percentage - Both]&gt;</t>
        </r>
      </text>
    </comment>
    <comment ref="M1217" authorId="0" shapeId="0" xr:uid="{19BF94BE-586D-48EC-A1AB-853AB45B349B}">
      <text>
        <r>
          <rPr>
            <b/>
            <sz val="9"/>
            <color indexed="81"/>
            <rFont val="Tahoma"/>
            <family val="2"/>
          </rPr>
          <t>&lt;[[TCDeals] - [TC Property Current Stage (Seq: 1)] - [Buildings (Seq: 30)] Constr Est Qual Basis - Both]&gt;</t>
        </r>
      </text>
    </comment>
    <comment ref="N1217" authorId="0" shapeId="0" xr:uid="{9ABDA242-FA17-4DA2-A78D-E7E1CD680198}">
      <text>
        <r>
          <rPr>
            <b/>
            <sz val="9"/>
            <color indexed="81"/>
            <rFont val="Tahoma"/>
            <family val="2"/>
          </rPr>
          <t>&lt;[[TCDeals] - [TC Property Current Stage (Seq: 1)] - [Buildings (Seq: 30)] Constr 8609 Basis - Both]&gt;</t>
        </r>
      </text>
    </comment>
    <comment ref="O1217" authorId="0" shapeId="0" xr:uid="{AC404FDF-2812-4254-81BC-24E29F6BEA1D}">
      <text>
        <r>
          <rPr>
            <b/>
            <sz val="9"/>
            <color indexed="81"/>
            <rFont val="Tahoma"/>
            <family val="2"/>
          </rPr>
          <t>&lt;[[TCDeals] - [TC Property Current Stage (Seq: 1)] - [Buildings (Seq: 30)] Constr 8609 Credit - Both]&gt;</t>
        </r>
      </text>
    </comment>
    <comment ref="P1217" authorId="0" shapeId="0" xr:uid="{BB91889F-A6E6-40AD-9DBF-155EC8E7A098}">
      <text>
        <r>
          <rPr>
            <b/>
            <sz val="9"/>
            <color indexed="81"/>
            <rFont val="Tahoma"/>
            <family val="2"/>
          </rPr>
          <t>&lt;[[TCDeals] - [TC Property Current Stage (Seq: 1)] - [Buildings (Seq: 30)] Acq PIS Date - Both]&gt;</t>
        </r>
      </text>
    </comment>
    <comment ref="Q1217" authorId="0" shapeId="0" xr:uid="{4885A84A-E7B0-44A3-BB39-8E89055EB440}">
      <text>
        <r>
          <rPr>
            <b/>
            <sz val="9"/>
            <color indexed="81"/>
            <rFont val="Tahoma"/>
            <family val="2"/>
          </rPr>
          <t>&lt;[[TCDeals] - [TC Property Current Stage (Seq: 1)] - [Buildings (Seq: 30)] Acq Applicable Percentage - Both]&gt;</t>
        </r>
      </text>
    </comment>
    <comment ref="R1217" authorId="0" shapeId="0" xr:uid="{9F62BD81-1A4F-4113-B371-AC47CABB3314}">
      <text>
        <r>
          <rPr>
            <b/>
            <sz val="9"/>
            <color indexed="81"/>
            <rFont val="Tahoma"/>
            <family val="2"/>
          </rPr>
          <t>&lt;[[TCDeals] - [TC Property Current Stage (Seq: 1)] - [Buildings (Seq: 30)] Acq Est Qual Basis - Both]&gt;</t>
        </r>
      </text>
    </comment>
    <comment ref="S1217" authorId="0" shapeId="0" xr:uid="{C88E6734-22CD-4CC5-9D2C-643BF72697D1}">
      <text>
        <r>
          <rPr>
            <b/>
            <sz val="9"/>
            <color indexed="81"/>
            <rFont val="Tahoma"/>
            <family val="2"/>
          </rPr>
          <t>&lt;[[TCDeals] - [TC Property Current Stage (Seq: 1)] - [Buildings (Seq: 30)] Acq 8609 Basis - Both]&gt;</t>
        </r>
      </text>
    </comment>
    <comment ref="T1217" authorId="0" shapeId="0" xr:uid="{6E2E66A0-5E3F-411A-917D-D33A082602CB}">
      <text>
        <r>
          <rPr>
            <b/>
            <sz val="9"/>
            <color indexed="81"/>
            <rFont val="Tahoma"/>
            <family val="2"/>
          </rPr>
          <t>&lt;[[TCDeals] - [TC Property Current Stage (Seq: 1)] - [Buildings (Seq: 30)] Acq 8609 Credit - Both]&gt;</t>
        </r>
      </text>
    </comment>
    <comment ref="C1218" authorId="0" shapeId="0" xr:uid="{78E92F97-C580-49E5-9A6B-6281E24D06F0}">
      <text>
        <r>
          <rPr>
            <b/>
            <sz val="9"/>
            <color indexed="81"/>
            <rFont val="Tahoma"/>
            <family val="2"/>
          </rPr>
          <t>&lt;[[TCDeals] - [TC Property Current Stage (Seq: 1)] - [Buildings (Seq: 31)] BIN - Both]&gt;</t>
        </r>
      </text>
    </comment>
    <comment ref="D1218" authorId="0" shapeId="0" xr:uid="{E4DFA642-7D40-41FA-8273-251CCE196AFE}">
      <text>
        <r>
          <rPr>
            <b/>
            <sz val="9"/>
            <color indexed="81"/>
            <rFont val="Tahoma"/>
            <family val="2"/>
          </rPr>
          <t>&lt;[[TCDeals] - [TC Property Current Stage (Seq: 1)] - [Buildings (Seq: 31)] Address 1 - Both]&gt;</t>
        </r>
      </text>
    </comment>
    <comment ref="E1218" authorId="0" shapeId="0" xr:uid="{64554121-0E9E-4589-9389-13F0D70F681E}">
      <text>
        <r>
          <rPr>
            <b/>
            <sz val="9"/>
            <color indexed="81"/>
            <rFont val="Tahoma"/>
            <family val="2"/>
          </rPr>
          <t>&lt;[[TCDeals] - [TC Property Current Stage (Seq: 1)] - [Buildings (Seq: 31)] Num TC Units - Both]&gt;</t>
        </r>
      </text>
    </comment>
    <comment ref="F1218" authorId="0" shapeId="0" xr:uid="{BBEA928A-D9BB-436B-965F-00DEC001A9B1}">
      <text>
        <r>
          <rPr>
            <b/>
            <sz val="9"/>
            <color indexed="81"/>
            <rFont val="Tahoma"/>
            <family val="2"/>
          </rPr>
          <t>&lt;[[TCDeals] - [TC Property Current Stage (Seq: 1)] - [Buildings (Seq: 31)] PVC PIS Date - Both]&gt;</t>
        </r>
      </text>
    </comment>
    <comment ref="G1218" authorId="0" shapeId="0" xr:uid="{971B4B5E-931D-40B4-87AE-27AECD536B9A}">
      <text>
        <r>
          <rPr>
            <b/>
            <sz val="9"/>
            <color indexed="81"/>
            <rFont val="Tahoma"/>
            <family val="2"/>
          </rPr>
          <t>&lt;[[TCDeals] - [TC Property Current Stage (Seq: 1)] - [Buildings (Seq: 31)] PVC Applicable Percentage - Both]&gt;</t>
        </r>
      </text>
    </comment>
    <comment ref="H1218" authorId="0" shapeId="0" xr:uid="{2AE0FD5A-09B1-4D34-A709-B60730F91B3D}">
      <text>
        <r>
          <rPr>
            <b/>
            <sz val="9"/>
            <color indexed="81"/>
            <rFont val="Tahoma"/>
            <family val="2"/>
          </rPr>
          <t>&lt;[[TCDeals] - [TC Property Current Stage (Seq: 1)] - [Buildings (Seq: 31)] PVC Est Qual Basis - Both]&gt;</t>
        </r>
      </text>
    </comment>
    <comment ref="I1218" authorId="0" shapeId="0" xr:uid="{C50D9FC3-AF35-4CBC-B7C9-5E227EC714DF}">
      <text>
        <r>
          <rPr>
            <b/>
            <sz val="9"/>
            <color indexed="81"/>
            <rFont val="Tahoma"/>
            <family val="2"/>
          </rPr>
          <t>&lt;[[TCDeals] - [TC Property Current Stage (Seq: 1)] - [Buildings (Seq: 31)] PVC8609 Basis - Both]&gt;</t>
        </r>
      </text>
    </comment>
    <comment ref="J1218" authorId="0" shapeId="0" xr:uid="{5C128553-A578-4027-B498-3FC091CBDE78}">
      <text>
        <r>
          <rPr>
            <b/>
            <sz val="9"/>
            <color indexed="81"/>
            <rFont val="Tahoma"/>
            <family val="2"/>
          </rPr>
          <t>&lt;[[TCDeals] - [TC Property Current Stage (Seq: 1)] - [Buildings (Seq: 31)] PVC8609 Credit - Both]&gt;</t>
        </r>
      </text>
    </comment>
    <comment ref="K1218" authorId="0" shapeId="0" xr:uid="{53A33AAE-BF35-4011-A724-DE6B145B373F}">
      <text>
        <r>
          <rPr>
            <b/>
            <sz val="9"/>
            <color indexed="81"/>
            <rFont val="Tahoma"/>
            <family val="2"/>
          </rPr>
          <t>&lt;[[TCDeals] - [TC Property Current Stage (Seq: 1)] - [Buildings (Seq: 31)] Constr PIS Date - Both]&gt;</t>
        </r>
      </text>
    </comment>
    <comment ref="L1218" authorId="0" shapeId="0" xr:uid="{DCB6626B-C5E3-4C18-B2DA-B32F7E9C514E}">
      <text>
        <r>
          <rPr>
            <b/>
            <sz val="9"/>
            <color indexed="81"/>
            <rFont val="Tahoma"/>
            <family val="2"/>
          </rPr>
          <t>&lt;[[TCDeals] - [TC Property Current Stage (Seq: 1)] - [Buildings (Seq: 31)] Constr Applicable Percentage - Both]&gt;</t>
        </r>
      </text>
    </comment>
    <comment ref="M1218" authorId="0" shapeId="0" xr:uid="{B8981047-AA6A-427E-9EE3-275CB41F1FB9}">
      <text>
        <r>
          <rPr>
            <b/>
            <sz val="9"/>
            <color indexed="81"/>
            <rFont val="Tahoma"/>
            <family val="2"/>
          </rPr>
          <t>&lt;[[TCDeals] - [TC Property Current Stage (Seq: 1)] - [Buildings (Seq: 31)] Constr Est Qual Basis - Both]&gt;</t>
        </r>
      </text>
    </comment>
    <comment ref="N1218" authorId="0" shapeId="0" xr:uid="{A8F80CE3-AB09-4F3D-8E8D-8FD857E3B069}">
      <text>
        <r>
          <rPr>
            <b/>
            <sz val="9"/>
            <color indexed="81"/>
            <rFont val="Tahoma"/>
            <family val="2"/>
          </rPr>
          <t>&lt;[[TCDeals] - [TC Property Current Stage (Seq: 1)] - [Buildings (Seq: 31)] Constr 8609 Basis - Both]&gt;</t>
        </r>
      </text>
    </comment>
    <comment ref="O1218" authorId="0" shapeId="0" xr:uid="{BA4215E9-9036-4E2A-8882-8BF3B02773C0}">
      <text>
        <r>
          <rPr>
            <b/>
            <sz val="9"/>
            <color indexed="81"/>
            <rFont val="Tahoma"/>
            <family val="2"/>
          </rPr>
          <t>&lt;[[TCDeals] - [TC Property Current Stage (Seq: 1)] - [Buildings (Seq: 31)] Constr 8609 Credit - Both]&gt;</t>
        </r>
      </text>
    </comment>
    <comment ref="P1218" authorId="0" shapeId="0" xr:uid="{5436A69D-EFE2-44D6-802C-D85005179275}">
      <text>
        <r>
          <rPr>
            <b/>
            <sz val="9"/>
            <color indexed="81"/>
            <rFont val="Tahoma"/>
            <family val="2"/>
          </rPr>
          <t>&lt;[[TCDeals] - [TC Property Current Stage (Seq: 1)] - [Buildings (Seq: 31)] Acq PIS Date - Both]&gt;</t>
        </r>
      </text>
    </comment>
    <comment ref="Q1218" authorId="0" shapeId="0" xr:uid="{082483BC-C4BE-4D2C-9B39-19D523B2413A}">
      <text>
        <r>
          <rPr>
            <b/>
            <sz val="9"/>
            <color indexed="81"/>
            <rFont val="Tahoma"/>
            <family val="2"/>
          </rPr>
          <t>&lt;[[TCDeals] - [TC Property Current Stage (Seq: 1)] - [Buildings (Seq: 31)] Acq Applicable Percentage - Both]&gt;</t>
        </r>
      </text>
    </comment>
    <comment ref="R1218" authorId="0" shapeId="0" xr:uid="{42C8524C-4866-4B74-AF1B-8188261DDE88}">
      <text>
        <r>
          <rPr>
            <b/>
            <sz val="9"/>
            <color indexed="81"/>
            <rFont val="Tahoma"/>
            <family val="2"/>
          </rPr>
          <t>&lt;[[TCDeals] - [TC Property Current Stage (Seq: 1)] - [Buildings (Seq: 31)] Acq Est Qual Basis - Both]&gt;</t>
        </r>
      </text>
    </comment>
    <comment ref="S1218" authorId="0" shapeId="0" xr:uid="{3F469B3C-E1D0-47B5-85B1-0314FF378D05}">
      <text>
        <r>
          <rPr>
            <b/>
            <sz val="9"/>
            <color indexed="81"/>
            <rFont val="Tahoma"/>
            <family val="2"/>
          </rPr>
          <t>&lt;[[TCDeals] - [TC Property Current Stage (Seq: 1)] - [Buildings (Seq: 31)] Acq 8609 Basis - Both]&gt;</t>
        </r>
      </text>
    </comment>
    <comment ref="T1218" authorId="0" shapeId="0" xr:uid="{9A5CB431-F391-4323-B4E6-7070838CA555}">
      <text>
        <r>
          <rPr>
            <b/>
            <sz val="9"/>
            <color indexed="81"/>
            <rFont val="Tahoma"/>
            <family val="2"/>
          </rPr>
          <t>&lt;[[TCDeals] - [TC Property Current Stage (Seq: 1)] - [Buildings (Seq: 31)] Acq 8609 Credit - Both]&gt;</t>
        </r>
      </text>
    </comment>
    <comment ref="C1219" authorId="0" shapeId="0" xr:uid="{C5F8F3E8-A73F-4469-9B90-CA6A767FF47D}">
      <text>
        <r>
          <rPr>
            <b/>
            <sz val="9"/>
            <color indexed="81"/>
            <rFont val="Tahoma"/>
            <family val="2"/>
          </rPr>
          <t>&lt;[[TCDeals] - [TC Property Current Stage (Seq: 1)] - [Buildings (Seq: 32)] BIN - Both]&gt;</t>
        </r>
      </text>
    </comment>
    <comment ref="D1219" authorId="0" shapeId="0" xr:uid="{CF121747-87B7-4215-BCFB-CCDD4F1BF130}">
      <text>
        <r>
          <rPr>
            <b/>
            <sz val="9"/>
            <color indexed="81"/>
            <rFont val="Tahoma"/>
            <family val="2"/>
          </rPr>
          <t>&lt;[[TCDeals] - [TC Property Current Stage (Seq: 1)] - [Buildings (Seq: 32)] Address 1 - Both]&gt;</t>
        </r>
      </text>
    </comment>
    <comment ref="E1219" authorId="0" shapeId="0" xr:uid="{2A9F288E-75DF-470B-95AF-300737C1FE81}">
      <text>
        <r>
          <rPr>
            <b/>
            <sz val="9"/>
            <color indexed="81"/>
            <rFont val="Tahoma"/>
            <family val="2"/>
          </rPr>
          <t>&lt;[[TCDeals] - [TC Property Current Stage (Seq: 1)] - [Buildings (Seq: 32)] Num TC Units - Both]&gt;</t>
        </r>
      </text>
    </comment>
    <comment ref="F1219" authorId="0" shapeId="0" xr:uid="{83CB6F57-C5C0-4C1C-8AF0-FC5E7E7FEBF8}">
      <text>
        <r>
          <rPr>
            <b/>
            <sz val="9"/>
            <color indexed="81"/>
            <rFont val="Tahoma"/>
            <family val="2"/>
          </rPr>
          <t>&lt;[[TCDeals] - [TC Property Current Stage (Seq: 1)] - [Buildings (Seq: 32)] PVC PIS Date - Both]&gt;</t>
        </r>
      </text>
    </comment>
    <comment ref="G1219" authorId="0" shapeId="0" xr:uid="{4F4AAB75-5D41-41FD-B5C6-BFB970EA6DE7}">
      <text>
        <r>
          <rPr>
            <b/>
            <sz val="9"/>
            <color indexed="81"/>
            <rFont val="Tahoma"/>
            <family val="2"/>
          </rPr>
          <t>&lt;[[TCDeals] - [TC Property Current Stage (Seq: 1)] - [Buildings (Seq: 32)] PVC Applicable Percentage - Both]&gt;</t>
        </r>
      </text>
    </comment>
    <comment ref="H1219" authorId="0" shapeId="0" xr:uid="{879319AE-811B-454C-98A7-0DE109FA4A84}">
      <text>
        <r>
          <rPr>
            <b/>
            <sz val="9"/>
            <color indexed="81"/>
            <rFont val="Tahoma"/>
            <family val="2"/>
          </rPr>
          <t>&lt;[[TCDeals] - [TC Property Current Stage (Seq: 1)] - [Buildings (Seq: 32)] PVC Est Qual Basis - Both]&gt;</t>
        </r>
      </text>
    </comment>
    <comment ref="I1219" authorId="0" shapeId="0" xr:uid="{6F6AFA0E-1A3F-4A4B-A3AA-9BDF0E3CD3DB}">
      <text>
        <r>
          <rPr>
            <b/>
            <sz val="9"/>
            <color indexed="81"/>
            <rFont val="Tahoma"/>
            <family val="2"/>
          </rPr>
          <t>&lt;[[TCDeals] - [TC Property Current Stage (Seq: 1)] - [Buildings (Seq: 32)] PVC8609 Basis - Both]&gt;</t>
        </r>
      </text>
    </comment>
    <comment ref="J1219" authorId="0" shapeId="0" xr:uid="{2DF88235-FE4D-4E9A-A797-CDC9AC60D1F7}">
      <text>
        <r>
          <rPr>
            <b/>
            <sz val="9"/>
            <color indexed="81"/>
            <rFont val="Tahoma"/>
            <family val="2"/>
          </rPr>
          <t>&lt;[[TCDeals] - [TC Property Current Stage (Seq: 1)] - [Buildings (Seq: 32)] PVC8609 Credit - Both]&gt;</t>
        </r>
      </text>
    </comment>
    <comment ref="K1219" authorId="0" shapeId="0" xr:uid="{0277D6A3-C22E-48C9-9213-F554FC3A7179}">
      <text>
        <r>
          <rPr>
            <b/>
            <sz val="9"/>
            <color indexed="81"/>
            <rFont val="Tahoma"/>
            <family val="2"/>
          </rPr>
          <t>&lt;[[TCDeals] - [TC Property Current Stage (Seq: 1)] - [Buildings (Seq: 32)] Constr PIS Date - Both]&gt;</t>
        </r>
      </text>
    </comment>
    <comment ref="L1219" authorId="0" shapeId="0" xr:uid="{44A7F8BA-EF44-4FA8-9B47-169846536716}">
      <text>
        <r>
          <rPr>
            <b/>
            <sz val="9"/>
            <color indexed="81"/>
            <rFont val="Tahoma"/>
            <family val="2"/>
          </rPr>
          <t>&lt;[[TCDeals] - [TC Property Current Stage (Seq: 1)] - [Buildings (Seq: 32)] Constr Applicable Percentage - Both]&gt;</t>
        </r>
      </text>
    </comment>
    <comment ref="M1219" authorId="0" shapeId="0" xr:uid="{7BA87373-E832-4817-99E0-ABA0F99CC84B}">
      <text>
        <r>
          <rPr>
            <b/>
            <sz val="9"/>
            <color indexed="81"/>
            <rFont val="Tahoma"/>
            <family val="2"/>
          </rPr>
          <t>&lt;[[TCDeals] - [TC Property Current Stage (Seq: 1)] - [Buildings (Seq: 32)] Constr Est Qual Basis - Both]&gt;</t>
        </r>
      </text>
    </comment>
    <comment ref="N1219" authorId="0" shapeId="0" xr:uid="{8220EBA8-3032-4C00-8126-797C9552DD02}">
      <text>
        <r>
          <rPr>
            <b/>
            <sz val="9"/>
            <color indexed="81"/>
            <rFont val="Tahoma"/>
            <family val="2"/>
          </rPr>
          <t>&lt;[[TCDeals] - [TC Property Current Stage (Seq: 1)] - [Buildings (Seq: 32)] Constr 8609 Basis - Both]&gt;</t>
        </r>
      </text>
    </comment>
    <comment ref="O1219" authorId="0" shapeId="0" xr:uid="{D194A1E6-7311-4A08-BA17-F6D881DB0684}">
      <text>
        <r>
          <rPr>
            <b/>
            <sz val="9"/>
            <color indexed="81"/>
            <rFont val="Tahoma"/>
            <family val="2"/>
          </rPr>
          <t>&lt;[[TCDeals] - [TC Property Current Stage (Seq: 1)] - [Buildings (Seq: 32)] Constr 8609 Credit - Both]&gt;</t>
        </r>
      </text>
    </comment>
    <comment ref="P1219" authorId="0" shapeId="0" xr:uid="{596AFDAA-F389-4AF7-A7C6-04143D2A1614}">
      <text>
        <r>
          <rPr>
            <b/>
            <sz val="9"/>
            <color indexed="81"/>
            <rFont val="Tahoma"/>
            <family val="2"/>
          </rPr>
          <t>&lt;[[TCDeals] - [TC Property Current Stage (Seq: 1)] - [Buildings (Seq: 32)] Acq PIS Date - Both]&gt;</t>
        </r>
      </text>
    </comment>
    <comment ref="Q1219" authorId="0" shapeId="0" xr:uid="{FB3F6411-A567-43EC-83B9-10335907EBF1}">
      <text>
        <r>
          <rPr>
            <b/>
            <sz val="9"/>
            <color indexed="81"/>
            <rFont val="Tahoma"/>
            <family val="2"/>
          </rPr>
          <t>&lt;[[TCDeals] - [TC Property Current Stage (Seq: 1)] - [Buildings (Seq: 32)] Acq Applicable Percentage - Both]&gt;</t>
        </r>
      </text>
    </comment>
    <comment ref="R1219" authorId="0" shapeId="0" xr:uid="{F810CE88-E7BA-484F-B1AD-41BF4CE4892C}">
      <text>
        <r>
          <rPr>
            <b/>
            <sz val="9"/>
            <color indexed="81"/>
            <rFont val="Tahoma"/>
            <family val="2"/>
          </rPr>
          <t>&lt;[[TCDeals] - [TC Property Current Stage (Seq: 1)] - [Buildings (Seq: 32)] Acq Est Qual Basis - Both]&gt;</t>
        </r>
      </text>
    </comment>
    <comment ref="S1219" authorId="0" shapeId="0" xr:uid="{A8E1B5FF-BC6C-45AF-912D-914704DC5EC2}">
      <text>
        <r>
          <rPr>
            <b/>
            <sz val="9"/>
            <color indexed="81"/>
            <rFont val="Tahoma"/>
            <family val="2"/>
          </rPr>
          <t>&lt;[[TCDeals] - [TC Property Current Stage (Seq: 1)] - [Buildings (Seq: 32)] Acq 8609 Basis - Both]&gt;</t>
        </r>
      </text>
    </comment>
    <comment ref="T1219" authorId="0" shapeId="0" xr:uid="{1B07E8A2-3924-4286-A335-8C088BCD8629}">
      <text>
        <r>
          <rPr>
            <b/>
            <sz val="9"/>
            <color indexed="81"/>
            <rFont val="Tahoma"/>
            <family val="2"/>
          </rPr>
          <t>&lt;[[TCDeals] - [TC Property Current Stage (Seq: 1)] - [Buildings (Seq: 32)] Acq 8609 Credit - Both]&gt;</t>
        </r>
      </text>
    </comment>
    <comment ref="C1220" authorId="0" shapeId="0" xr:uid="{1366808E-EF9E-4082-8CF7-8917B1807686}">
      <text>
        <r>
          <rPr>
            <b/>
            <sz val="9"/>
            <color indexed="81"/>
            <rFont val="Tahoma"/>
            <family val="2"/>
          </rPr>
          <t>&lt;[[TCDeals] - [TC Property Current Stage (Seq: 1)] - [Buildings (Seq: 33)] BIN - Both]&gt;</t>
        </r>
      </text>
    </comment>
    <comment ref="D1220" authorId="0" shapeId="0" xr:uid="{497C7565-7602-41C9-A132-4D12320E1164}">
      <text>
        <r>
          <rPr>
            <b/>
            <sz val="9"/>
            <color indexed="81"/>
            <rFont val="Tahoma"/>
            <family val="2"/>
          </rPr>
          <t>&lt;[[TCDeals] - [TC Property Current Stage (Seq: 1)] - [Buildings (Seq: 33)] Address 1 - Both]&gt;</t>
        </r>
      </text>
    </comment>
    <comment ref="E1220" authorId="0" shapeId="0" xr:uid="{2BDD1CE3-0738-42AD-AC86-F73D11BE09C0}">
      <text>
        <r>
          <rPr>
            <b/>
            <sz val="9"/>
            <color indexed="81"/>
            <rFont val="Tahoma"/>
            <family val="2"/>
          </rPr>
          <t>&lt;[[TCDeals] - [TC Property Current Stage (Seq: 1)] - [Buildings (Seq: 33)] Num TC Units - Both]&gt;</t>
        </r>
      </text>
    </comment>
    <comment ref="F1220" authorId="0" shapeId="0" xr:uid="{369E658C-6E11-4559-BDBD-515505CEF1D8}">
      <text>
        <r>
          <rPr>
            <b/>
            <sz val="9"/>
            <color indexed="81"/>
            <rFont val="Tahoma"/>
            <family val="2"/>
          </rPr>
          <t>&lt;[[TCDeals] - [TC Property Current Stage (Seq: 1)] - [Buildings (Seq: 33)] PVC PIS Date - Both]&gt;</t>
        </r>
      </text>
    </comment>
    <comment ref="G1220" authorId="0" shapeId="0" xr:uid="{CBF539E3-F2F4-4A4C-9177-18D6837C3D8A}">
      <text>
        <r>
          <rPr>
            <b/>
            <sz val="9"/>
            <color indexed="81"/>
            <rFont val="Tahoma"/>
            <family val="2"/>
          </rPr>
          <t>&lt;[[TCDeals] - [TC Property Current Stage (Seq: 1)] - [Buildings (Seq: 33)] PVC Applicable Percentage - Both]&gt;</t>
        </r>
      </text>
    </comment>
    <comment ref="H1220" authorId="0" shapeId="0" xr:uid="{7E83083F-DF98-413B-85B4-AE15828668AF}">
      <text>
        <r>
          <rPr>
            <b/>
            <sz val="9"/>
            <color indexed="81"/>
            <rFont val="Tahoma"/>
            <family val="2"/>
          </rPr>
          <t>&lt;[[TCDeals] - [TC Property Current Stage (Seq: 1)] - [Buildings (Seq: 33)] PVC Est Qual Basis - Both]&gt;</t>
        </r>
      </text>
    </comment>
    <comment ref="I1220" authorId="0" shapeId="0" xr:uid="{204CA1B1-6DFE-4FDD-AF64-64552C1B3042}">
      <text>
        <r>
          <rPr>
            <b/>
            <sz val="9"/>
            <color indexed="81"/>
            <rFont val="Tahoma"/>
            <family val="2"/>
          </rPr>
          <t>&lt;[[TCDeals] - [TC Property Current Stage (Seq: 1)] - [Buildings (Seq: 33)] PVC8609 Basis - Both]&gt;</t>
        </r>
      </text>
    </comment>
    <comment ref="J1220" authorId="0" shapeId="0" xr:uid="{AE4C4725-4C20-4343-80CC-2453F99F3543}">
      <text>
        <r>
          <rPr>
            <b/>
            <sz val="9"/>
            <color indexed="81"/>
            <rFont val="Tahoma"/>
            <family val="2"/>
          </rPr>
          <t>&lt;[[TCDeals] - [TC Property Current Stage (Seq: 1)] - [Buildings (Seq: 33)] PVC8609 Credit - Both]&gt;</t>
        </r>
      </text>
    </comment>
    <comment ref="K1220" authorId="0" shapeId="0" xr:uid="{9D8A8884-D3A6-409D-BBDD-A2F77235A7EB}">
      <text>
        <r>
          <rPr>
            <b/>
            <sz val="9"/>
            <color indexed="81"/>
            <rFont val="Tahoma"/>
            <family val="2"/>
          </rPr>
          <t>&lt;[[TCDeals] - [TC Property Current Stage (Seq: 1)] - [Buildings (Seq: 33)] Constr PIS Date - Both]&gt;</t>
        </r>
      </text>
    </comment>
    <comment ref="L1220" authorId="0" shapeId="0" xr:uid="{C3DA3FEE-1957-4596-9FE0-6B8A0F6C5519}">
      <text>
        <r>
          <rPr>
            <b/>
            <sz val="9"/>
            <color indexed="81"/>
            <rFont val="Tahoma"/>
            <family val="2"/>
          </rPr>
          <t>&lt;[[TCDeals] - [TC Property Current Stage (Seq: 1)] - [Buildings (Seq: 33)] Constr Applicable Percentage - Both]&gt;</t>
        </r>
      </text>
    </comment>
    <comment ref="M1220" authorId="0" shapeId="0" xr:uid="{3F9A28AC-354C-4FB7-B7C9-A419133A2FE8}">
      <text>
        <r>
          <rPr>
            <b/>
            <sz val="9"/>
            <color indexed="81"/>
            <rFont val="Tahoma"/>
            <family val="2"/>
          </rPr>
          <t>&lt;[[TCDeals] - [TC Property Current Stage (Seq: 1)] - [Buildings (Seq: 33)] Constr Est Qual Basis - Both]&gt;</t>
        </r>
      </text>
    </comment>
    <comment ref="N1220" authorId="0" shapeId="0" xr:uid="{31E6DDD1-C25A-4351-8F3C-30812E949CA4}">
      <text>
        <r>
          <rPr>
            <b/>
            <sz val="9"/>
            <color indexed="81"/>
            <rFont val="Tahoma"/>
            <family val="2"/>
          </rPr>
          <t>&lt;[[TCDeals] - [TC Property Current Stage (Seq: 1)] - [Buildings (Seq: 33)] Constr 8609 Basis - Both]&gt;</t>
        </r>
      </text>
    </comment>
    <comment ref="O1220" authorId="0" shapeId="0" xr:uid="{9B04894E-F736-4205-9477-AC0FCE3278A7}">
      <text>
        <r>
          <rPr>
            <b/>
            <sz val="9"/>
            <color indexed="81"/>
            <rFont val="Tahoma"/>
            <family val="2"/>
          </rPr>
          <t>&lt;[[TCDeals] - [TC Property Current Stage (Seq: 1)] - [Buildings (Seq: 33)] Constr 8609 Credit - Both]&gt;</t>
        </r>
      </text>
    </comment>
    <comment ref="P1220" authorId="0" shapeId="0" xr:uid="{8CDB7E69-8523-417C-BFD9-BD98159016C8}">
      <text>
        <r>
          <rPr>
            <b/>
            <sz val="9"/>
            <color indexed="81"/>
            <rFont val="Tahoma"/>
            <family val="2"/>
          </rPr>
          <t>&lt;[[TCDeals] - [TC Property Current Stage (Seq: 1)] - [Buildings (Seq: 33)] Acq PIS Date - Both]&gt;</t>
        </r>
      </text>
    </comment>
    <comment ref="Q1220" authorId="0" shapeId="0" xr:uid="{6A4318E5-AEAB-4B9E-A4A8-350278D9D2C3}">
      <text>
        <r>
          <rPr>
            <b/>
            <sz val="9"/>
            <color indexed="81"/>
            <rFont val="Tahoma"/>
            <family val="2"/>
          </rPr>
          <t>&lt;[[TCDeals] - [TC Property Current Stage (Seq: 1)] - [Buildings (Seq: 33)] Acq Applicable Percentage - Both]&gt;</t>
        </r>
      </text>
    </comment>
    <comment ref="R1220" authorId="0" shapeId="0" xr:uid="{6698AF00-A6F0-4FCF-BC9F-8A19AD9B9190}">
      <text>
        <r>
          <rPr>
            <b/>
            <sz val="9"/>
            <color indexed="81"/>
            <rFont val="Tahoma"/>
            <family val="2"/>
          </rPr>
          <t>&lt;[[TCDeals] - [TC Property Current Stage (Seq: 1)] - [Buildings (Seq: 33)] Acq Est Qual Basis - Both]&gt;</t>
        </r>
      </text>
    </comment>
    <comment ref="S1220" authorId="0" shapeId="0" xr:uid="{3AEAD96C-8E50-4777-9505-4CF40D0EFFFE}">
      <text>
        <r>
          <rPr>
            <b/>
            <sz val="9"/>
            <color indexed="81"/>
            <rFont val="Tahoma"/>
            <family val="2"/>
          </rPr>
          <t>&lt;[[TCDeals] - [TC Property Current Stage (Seq: 1)] - [Buildings (Seq: 33)] Acq 8609 Basis - Both]&gt;</t>
        </r>
      </text>
    </comment>
    <comment ref="T1220" authorId="0" shapeId="0" xr:uid="{D6002473-ABB0-4255-B6B9-42CF1C7E10EF}">
      <text>
        <r>
          <rPr>
            <b/>
            <sz val="9"/>
            <color indexed="81"/>
            <rFont val="Tahoma"/>
            <family val="2"/>
          </rPr>
          <t>&lt;[[TCDeals] - [TC Property Current Stage (Seq: 1)] - [Buildings (Seq: 33)] Acq 8609 Credit - Both]&gt;</t>
        </r>
      </text>
    </comment>
    <comment ref="C1221" authorId="0" shapeId="0" xr:uid="{12CFBAAD-FF5D-4045-B6EF-78CD748A6354}">
      <text>
        <r>
          <rPr>
            <b/>
            <sz val="9"/>
            <color indexed="81"/>
            <rFont val="Tahoma"/>
            <family val="2"/>
          </rPr>
          <t>&lt;[[TCDeals] - [TC Property Current Stage (Seq: 1)] - [Buildings (Seq: 34)] BIN - Both]&gt;</t>
        </r>
      </text>
    </comment>
    <comment ref="D1221" authorId="0" shapeId="0" xr:uid="{C83B981B-05D7-4C27-98CA-7674B4505D6D}">
      <text>
        <r>
          <rPr>
            <b/>
            <sz val="9"/>
            <color indexed="81"/>
            <rFont val="Tahoma"/>
            <family val="2"/>
          </rPr>
          <t>&lt;[[TCDeals] - [TC Property Current Stage (Seq: 1)] - [Buildings (Seq: 34)] Address 1 - Both]&gt;</t>
        </r>
      </text>
    </comment>
    <comment ref="E1221" authorId="0" shapeId="0" xr:uid="{51403421-3FE8-43D3-915E-861F1B4639D6}">
      <text>
        <r>
          <rPr>
            <b/>
            <sz val="9"/>
            <color indexed="81"/>
            <rFont val="Tahoma"/>
            <family val="2"/>
          </rPr>
          <t>&lt;[[TCDeals] - [TC Property Current Stage (Seq: 1)] - [Buildings (Seq: 34)] Num TC Units - Both]&gt;</t>
        </r>
      </text>
    </comment>
    <comment ref="F1221" authorId="0" shapeId="0" xr:uid="{2E81F33F-3336-4610-A904-E528C4CC41D0}">
      <text>
        <r>
          <rPr>
            <b/>
            <sz val="9"/>
            <color indexed="81"/>
            <rFont val="Tahoma"/>
            <family val="2"/>
          </rPr>
          <t>&lt;[[TCDeals] - [TC Property Current Stage (Seq: 1)] - [Buildings (Seq: 34)] PVC PIS Date - Both]&gt;</t>
        </r>
      </text>
    </comment>
    <comment ref="G1221" authorId="0" shapeId="0" xr:uid="{DB81FF67-9CC4-48CC-A6AF-234C4237393E}">
      <text>
        <r>
          <rPr>
            <b/>
            <sz val="9"/>
            <color indexed="81"/>
            <rFont val="Tahoma"/>
            <family val="2"/>
          </rPr>
          <t>&lt;[[TCDeals] - [TC Property Current Stage (Seq: 1)] - [Buildings (Seq: 34)] PVC Applicable Percentage - Both]&gt;</t>
        </r>
      </text>
    </comment>
    <comment ref="H1221" authorId="0" shapeId="0" xr:uid="{FEB94866-9912-4717-8B44-DC85582810E4}">
      <text>
        <r>
          <rPr>
            <b/>
            <sz val="9"/>
            <color indexed="81"/>
            <rFont val="Tahoma"/>
            <family val="2"/>
          </rPr>
          <t>&lt;[[TCDeals] - [TC Property Current Stage (Seq: 1)] - [Buildings (Seq: 34)] PVC Est Qual Basis - Both]&gt;</t>
        </r>
      </text>
    </comment>
    <comment ref="I1221" authorId="0" shapeId="0" xr:uid="{F858CE05-5C28-4CF2-90F6-C4FFD157B1BF}">
      <text>
        <r>
          <rPr>
            <b/>
            <sz val="9"/>
            <color indexed="81"/>
            <rFont val="Tahoma"/>
            <family val="2"/>
          </rPr>
          <t>&lt;[[TCDeals] - [TC Property Current Stage (Seq: 1)] - [Buildings (Seq: 34)] PVC8609 Basis - Both]&gt;</t>
        </r>
      </text>
    </comment>
    <comment ref="J1221" authorId="0" shapeId="0" xr:uid="{E9FB88FF-36D4-4374-8D7E-CB8416D5A776}">
      <text>
        <r>
          <rPr>
            <b/>
            <sz val="9"/>
            <color indexed="81"/>
            <rFont val="Tahoma"/>
            <family val="2"/>
          </rPr>
          <t>&lt;[[TCDeals] - [TC Property Current Stage (Seq: 1)] - [Buildings (Seq: 34)] PVC8609 Credit - Both]&gt;</t>
        </r>
      </text>
    </comment>
    <comment ref="K1221" authorId="0" shapeId="0" xr:uid="{ECB9470D-B632-46E7-A9BA-0B17D50F1FE7}">
      <text>
        <r>
          <rPr>
            <b/>
            <sz val="9"/>
            <color indexed="81"/>
            <rFont val="Tahoma"/>
            <family val="2"/>
          </rPr>
          <t>&lt;[[TCDeals] - [TC Property Current Stage (Seq: 1)] - [Buildings (Seq: 34)] Constr PIS Date - Both]&gt;</t>
        </r>
      </text>
    </comment>
    <comment ref="L1221" authorId="0" shapeId="0" xr:uid="{5ED06A48-A8E8-4B19-9A5E-2AF390221FB9}">
      <text>
        <r>
          <rPr>
            <b/>
            <sz val="9"/>
            <color indexed="81"/>
            <rFont val="Tahoma"/>
            <family val="2"/>
          </rPr>
          <t>&lt;[[TCDeals] - [TC Property Current Stage (Seq: 1)] - [Buildings (Seq: 34)] Constr Applicable Percentage - Both]&gt;</t>
        </r>
      </text>
    </comment>
    <comment ref="M1221" authorId="0" shapeId="0" xr:uid="{4F036246-4D31-403A-8E30-92D02531219A}">
      <text>
        <r>
          <rPr>
            <b/>
            <sz val="9"/>
            <color indexed="81"/>
            <rFont val="Tahoma"/>
            <family val="2"/>
          </rPr>
          <t>&lt;[[TCDeals] - [TC Property Current Stage (Seq: 1)] - [Buildings (Seq: 34)] Constr Est Qual Basis - Both]&gt;</t>
        </r>
      </text>
    </comment>
    <comment ref="N1221" authorId="0" shapeId="0" xr:uid="{C9DD4A64-9BE1-451E-A556-98FB2B56DC0C}">
      <text>
        <r>
          <rPr>
            <b/>
            <sz val="9"/>
            <color indexed="81"/>
            <rFont val="Tahoma"/>
            <family val="2"/>
          </rPr>
          <t>&lt;[[TCDeals] - [TC Property Current Stage (Seq: 1)] - [Buildings (Seq: 34)] Constr 8609 Basis - Both]&gt;</t>
        </r>
      </text>
    </comment>
    <comment ref="O1221" authorId="0" shapeId="0" xr:uid="{6C6C6283-A739-4647-87C9-EE1535C56D6E}">
      <text>
        <r>
          <rPr>
            <b/>
            <sz val="9"/>
            <color indexed="81"/>
            <rFont val="Tahoma"/>
            <family val="2"/>
          </rPr>
          <t>&lt;[[TCDeals] - [TC Property Current Stage (Seq: 1)] - [Buildings (Seq: 34)] Constr 8609 Credit - Both]&gt;</t>
        </r>
      </text>
    </comment>
    <comment ref="P1221" authorId="0" shapeId="0" xr:uid="{6435C848-18C3-484A-BB92-A1076EAE3B52}">
      <text>
        <r>
          <rPr>
            <b/>
            <sz val="9"/>
            <color indexed="81"/>
            <rFont val="Tahoma"/>
            <family val="2"/>
          </rPr>
          <t>&lt;[[TCDeals] - [TC Property Current Stage (Seq: 1)] - [Buildings (Seq: 34)] Acq PIS Date - Both]&gt;</t>
        </r>
      </text>
    </comment>
    <comment ref="Q1221" authorId="0" shapeId="0" xr:uid="{3A3E291C-C693-48AD-AA8C-7635CE48A4F0}">
      <text>
        <r>
          <rPr>
            <b/>
            <sz val="9"/>
            <color indexed="81"/>
            <rFont val="Tahoma"/>
            <family val="2"/>
          </rPr>
          <t>&lt;[[TCDeals] - [TC Property Current Stage (Seq: 1)] - [Buildings (Seq: 34)] Acq Applicable Percentage - Both]&gt;</t>
        </r>
      </text>
    </comment>
    <comment ref="R1221" authorId="0" shapeId="0" xr:uid="{E3EB0F6E-6464-40A2-90E3-0733CAFB3548}">
      <text>
        <r>
          <rPr>
            <b/>
            <sz val="9"/>
            <color indexed="81"/>
            <rFont val="Tahoma"/>
            <family val="2"/>
          </rPr>
          <t>&lt;[[TCDeals] - [TC Property Current Stage (Seq: 1)] - [Buildings (Seq: 34)] Acq Est Qual Basis - Both]&gt;</t>
        </r>
      </text>
    </comment>
    <comment ref="S1221" authorId="0" shapeId="0" xr:uid="{2FBB20AB-CF9E-4BA9-A8B4-1CDD6FB07F50}">
      <text>
        <r>
          <rPr>
            <b/>
            <sz val="9"/>
            <color indexed="81"/>
            <rFont val="Tahoma"/>
            <family val="2"/>
          </rPr>
          <t>&lt;[[TCDeals] - [TC Property Current Stage (Seq: 1)] - [Buildings (Seq: 34)] Acq 8609 Basis - Both]&gt;</t>
        </r>
      </text>
    </comment>
    <comment ref="T1221" authorId="0" shapeId="0" xr:uid="{8EAE175A-2680-43CC-A9DF-40EC9D3EC5C2}">
      <text>
        <r>
          <rPr>
            <b/>
            <sz val="9"/>
            <color indexed="81"/>
            <rFont val="Tahoma"/>
            <family val="2"/>
          </rPr>
          <t>&lt;[[TCDeals] - [TC Property Current Stage (Seq: 1)] - [Buildings (Seq: 34)] Acq 8609 Credit - Both]&gt;</t>
        </r>
      </text>
    </comment>
    <comment ref="C1222" authorId="0" shapeId="0" xr:uid="{2ADE24FF-C100-4EA9-8EC5-FFC5DFE1FF3F}">
      <text>
        <r>
          <rPr>
            <b/>
            <sz val="9"/>
            <color indexed="81"/>
            <rFont val="Tahoma"/>
            <family val="2"/>
          </rPr>
          <t>&lt;[[TCDeals] - [TC Property Current Stage (Seq: 1)] - [Buildings (Seq: 35)] BIN - Both]&gt;</t>
        </r>
      </text>
    </comment>
    <comment ref="D1222" authorId="0" shapeId="0" xr:uid="{FEF92023-B73E-4B86-806E-572E8957B75B}">
      <text>
        <r>
          <rPr>
            <b/>
            <sz val="9"/>
            <color indexed="81"/>
            <rFont val="Tahoma"/>
            <family val="2"/>
          </rPr>
          <t>&lt;[[TCDeals] - [TC Property Current Stage (Seq: 1)] - [Buildings (Seq: 35)] Address 1 - Both]&gt;</t>
        </r>
      </text>
    </comment>
    <comment ref="E1222" authorId="0" shapeId="0" xr:uid="{476441A8-BD78-457A-8942-20A0239E7CF8}">
      <text>
        <r>
          <rPr>
            <b/>
            <sz val="9"/>
            <color indexed="81"/>
            <rFont val="Tahoma"/>
            <family val="2"/>
          </rPr>
          <t>&lt;[[TCDeals] - [TC Property Current Stage (Seq: 1)] - [Buildings (Seq: 35)] Num TC Units - Both]&gt;</t>
        </r>
      </text>
    </comment>
    <comment ref="F1222" authorId="0" shapeId="0" xr:uid="{F3628A97-8518-44B3-9109-C9C3B737CB9B}">
      <text>
        <r>
          <rPr>
            <b/>
            <sz val="9"/>
            <color indexed="81"/>
            <rFont val="Tahoma"/>
            <family val="2"/>
          </rPr>
          <t>&lt;[[TCDeals] - [TC Property Current Stage (Seq: 1)] - [Buildings (Seq: 35)] PVC PIS Date - Both]&gt;</t>
        </r>
      </text>
    </comment>
    <comment ref="G1222" authorId="0" shapeId="0" xr:uid="{E2A615D7-0C54-4C49-AEBA-39FA77E344C3}">
      <text>
        <r>
          <rPr>
            <b/>
            <sz val="9"/>
            <color indexed="81"/>
            <rFont val="Tahoma"/>
            <family val="2"/>
          </rPr>
          <t>&lt;[[TCDeals] - [TC Property Current Stage (Seq: 1)] - [Buildings (Seq: 35)] PVC Applicable Percentage - Both]&gt;</t>
        </r>
      </text>
    </comment>
    <comment ref="H1222" authorId="0" shapeId="0" xr:uid="{E84BC5F0-B78C-4E42-A7D0-A21897A55B35}">
      <text>
        <r>
          <rPr>
            <b/>
            <sz val="9"/>
            <color indexed="81"/>
            <rFont val="Tahoma"/>
            <family val="2"/>
          </rPr>
          <t>&lt;[[TCDeals] - [TC Property Current Stage (Seq: 1)] - [Buildings (Seq: 35)] PVC Est Qual Basis - Both]&gt;</t>
        </r>
      </text>
    </comment>
    <comment ref="I1222" authorId="0" shapeId="0" xr:uid="{B9013315-464C-48A1-95DF-3E4A2C2AD6CB}">
      <text>
        <r>
          <rPr>
            <b/>
            <sz val="9"/>
            <color indexed="81"/>
            <rFont val="Tahoma"/>
            <family val="2"/>
          </rPr>
          <t>&lt;[[TCDeals] - [TC Property Current Stage (Seq: 1)] - [Buildings (Seq: 35)] PVC8609 Basis - Both]&gt;</t>
        </r>
      </text>
    </comment>
    <comment ref="J1222" authorId="0" shapeId="0" xr:uid="{1B868BCD-AD6B-42E8-9218-562618656C35}">
      <text>
        <r>
          <rPr>
            <b/>
            <sz val="9"/>
            <color indexed="81"/>
            <rFont val="Tahoma"/>
            <family val="2"/>
          </rPr>
          <t>&lt;[[TCDeals] - [TC Property Current Stage (Seq: 1)] - [Buildings (Seq: 35)] PVC8609 Credit - Both]&gt;</t>
        </r>
      </text>
    </comment>
    <comment ref="K1222" authorId="0" shapeId="0" xr:uid="{9114B14C-AE8A-4308-B7D4-25399DF86E05}">
      <text>
        <r>
          <rPr>
            <b/>
            <sz val="9"/>
            <color indexed="81"/>
            <rFont val="Tahoma"/>
            <family val="2"/>
          </rPr>
          <t>&lt;[[TCDeals] - [TC Property Current Stage (Seq: 1)] - [Buildings (Seq: 35)] Constr PIS Date - Both]&gt;</t>
        </r>
      </text>
    </comment>
    <comment ref="L1222" authorId="0" shapeId="0" xr:uid="{79303A7D-01F4-421A-B2E1-BCA112A60CFC}">
      <text>
        <r>
          <rPr>
            <b/>
            <sz val="9"/>
            <color indexed="81"/>
            <rFont val="Tahoma"/>
            <family val="2"/>
          </rPr>
          <t>&lt;[[TCDeals] - [TC Property Current Stage (Seq: 1)] - [Buildings (Seq: 35)] Constr Applicable Percentage - Both]&gt;</t>
        </r>
      </text>
    </comment>
    <comment ref="M1222" authorId="0" shapeId="0" xr:uid="{88FAD1A9-24D5-42B4-BEF7-4994FD6CE745}">
      <text>
        <r>
          <rPr>
            <b/>
            <sz val="9"/>
            <color indexed="81"/>
            <rFont val="Tahoma"/>
            <family val="2"/>
          </rPr>
          <t>&lt;[[TCDeals] - [TC Property Current Stage (Seq: 1)] - [Buildings (Seq: 35)] Constr Est Qual Basis - Both]&gt;</t>
        </r>
      </text>
    </comment>
    <comment ref="N1222" authorId="0" shapeId="0" xr:uid="{DF0F32E8-9D82-4DE6-A15E-ABD18A7668D7}">
      <text>
        <r>
          <rPr>
            <b/>
            <sz val="9"/>
            <color indexed="81"/>
            <rFont val="Tahoma"/>
            <family val="2"/>
          </rPr>
          <t>&lt;[[TCDeals] - [TC Property Current Stage (Seq: 1)] - [Buildings (Seq: 35)] Constr 8609 Basis - Both]&gt;</t>
        </r>
      </text>
    </comment>
    <comment ref="O1222" authorId="0" shapeId="0" xr:uid="{47D5CFFA-DFB3-487B-95DA-2D2E7402E223}">
      <text>
        <r>
          <rPr>
            <b/>
            <sz val="9"/>
            <color indexed="81"/>
            <rFont val="Tahoma"/>
            <family val="2"/>
          </rPr>
          <t>&lt;[[TCDeals] - [TC Property Current Stage (Seq: 1)] - [Buildings (Seq: 35)] Constr 8609 Credit - Both]&gt;</t>
        </r>
      </text>
    </comment>
    <comment ref="P1222" authorId="0" shapeId="0" xr:uid="{50CDD90B-C2E2-42A7-90D2-D665533F9004}">
      <text>
        <r>
          <rPr>
            <b/>
            <sz val="9"/>
            <color indexed="81"/>
            <rFont val="Tahoma"/>
            <family val="2"/>
          </rPr>
          <t>&lt;[[TCDeals] - [TC Property Current Stage (Seq: 1)] - [Buildings (Seq: 35)] Acq PIS Date - Both]&gt;</t>
        </r>
      </text>
    </comment>
    <comment ref="Q1222" authorId="0" shapeId="0" xr:uid="{A850EB2B-7B21-472C-92A9-31EE982B993D}">
      <text>
        <r>
          <rPr>
            <b/>
            <sz val="9"/>
            <color indexed="81"/>
            <rFont val="Tahoma"/>
            <family val="2"/>
          </rPr>
          <t>&lt;[[TCDeals] - [TC Property Current Stage (Seq: 1)] - [Buildings (Seq: 35)] Acq Applicable Percentage - Both]&gt;</t>
        </r>
      </text>
    </comment>
    <comment ref="R1222" authorId="0" shapeId="0" xr:uid="{9642A423-EC3D-4036-B421-2ED61E48BA8E}">
      <text>
        <r>
          <rPr>
            <b/>
            <sz val="9"/>
            <color indexed="81"/>
            <rFont val="Tahoma"/>
            <family val="2"/>
          </rPr>
          <t>&lt;[[TCDeals] - [TC Property Current Stage (Seq: 1)] - [Buildings (Seq: 35)] Acq Est Qual Basis - Both]&gt;</t>
        </r>
      </text>
    </comment>
    <comment ref="S1222" authorId="0" shapeId="0" xr:uid="{71E81C5C-11E8-4DC3-AA3F-0ADC013B4790}">
      <text>
        <r>
          <rPr>
            <b/>
            <sz val="9"/>
            <color indexed="81"/>
            <rFont val="Tahoma"/>
            <family val="2"/>
          </rPr>
          <t>&lt;[[TCDeals] - [TC Property Current Stage (Seq: 1)] - [Buildings (Seq: 35)] Acq 8609 Basis - Both]&gt;</t>
        </r>
      </text>
    </comment>
    <comment ref="T1222" authorId="0" shapeId="0" xr:uid="{A299795B-AEDB-4690-A4D1-D4262BBB99A6}">
      <text>
        <r>
          <rPr>
            <b/>
            <sz val="9"/>
            <color indexed="81"/>
            <rFont val="Tahoma"/>
            <family val="2"/>
          </rPr>
          <t>&lt;[[TCDeals] - [TC Property Current Stage (Seq: 1)] - [Buildings (Seq: 35)] Acq 8609 Credit - Both]&gt;</t>
        </r>
      </text>
    </comment>
    <comment ref="C1223" authorId="0" shapeId="0" xr:uid="{57A4918E-FBE3-4E22-8ECD-066034364B4D}">
      <text>
        <r>
          <rPr>
            <b/>
            <sz val="9"/>
            <color indexed="81"/>
            <rFont val="Tahoma"/>
            <family val="2"/>
          </rPr>
          <t>&lt;[[TCDeals] - [TC Property Current Stage (Seq: 1)] - [Buildings (Seq: 36)] BIN - Both]&gt;</t>
        </r>
      </text>
    </comment>
    <comment ref="D1223" authorId="0" shapeId="0" xr:uid="{CC9EE508-9084-4B19-A049-76CD37783F7D}">
      <text>
        <r>
          <rPr>
            <b/>
            <sz val="9"/>
            <color indexed="81"/>
            <rFont val="Tahoma"/>
            <family val="2"/>
          </rPr>
          <t>&lt;[[TCDeals] - [TC Property Current Stage (Seq: 1)] - [Buildings (Seq: 36)] Address 1 - Both]&gt;</t>
        </r>
      </text>
    </comment>
    <comment ref="E1223" authorId="0" shapeId="0" xr:uid="{7CC08051-4BAE-49EE-9735-E6CA605966E0}">
      <text>
        <r>
          <rPr>
            <b/>
            <sz val="9"/>
            <color indexed="81"/>
            <rFont val="Tahoma"/>
            <family val="2"/>
          </rPr>
          <t>&lt;[[TCDeals] - [TC Property Current Stage (Seq: 1)] - [Buildings (Seq: 36)] Num TC Units - Both]&gt;</t>
        </r>
      </text>
    </comment>
    <comment ref="F1223" authorId="0" shapeId="0" xr:uid="{67F46BE8-7F51-46C0-A956-37A486BB7367}">
      <text>
        <r>
          <rPr>
            <b/>
            <sz val="9"/>
            <color indexed="81"/>
            <rFont val="Tahoma"/>
            <family val="2"/>
          </rPr>
          <t>&lt;[[TCDeals] - [TC Property Current Stage (Seq: 1)] - [Buildings (Seq: 36)] PVC PIS Date - Both]&gt;</t>
        </r>
      </text>
    </comment>
    <comment ref="G1223" authorId="0" shapeId="0" xr:uid="{9B58E698-067A-4769-87E5-65CA06F3E9D3}">
      <text>
        <r>
          <rPr>
            <b/>
            <sz val="9"/>
            <color indexed="81"/>
            <rFont val="Tahoma"/>
            <family val="2"/>
          </rPr>
          <t>&lt;[[TCDeals] - [TC Property Current Stage (Seq: 1)] - [Buildings (Seq: 36)] PVC Applicable Percentage - Both]&gt;</t>
        </r>
      </text>
    </comment>
    <comment ref="H1223" authorId="0" shapeId="0" xr:uid="{852BBBFD-D5E5-4CD9-8596-196D68BBC945}">
      <text>
        <r>
          <rPr>
            <b/>
            <sz val="9"/>
            <color indexed="81"/>
            <rFont val="Tahoma"/>
            <family val="2"/>
          </rPr>
          <t>&lt;[[TCDeals] - [TC Property Current Stage (Seq: 1)] - [Buildings (Seq: 36)] PVC Est Qual Basis - Both]&gt;</t>
        </r>
      </text>
    </comment>
    <comment ref="I1223" authorId="0" shapeId="0" xr:uid="{7C1B278A-9A1D-4311-9EFD-7B76E88BF3DF}">
      <text>
        <r>
          <rPr>
            <b/>
            <sz val="9"/>
            <color indexed="81"/>
            <rFont val="Tahoma"/>
            <family val="2"/>
          </rPr>
          <t>&lt;[[TCDeals] - [TC Property Current Stage (Seq: 1)] - [Buildings (Seq: 36)] PVC8609 Basis - Both]&gt;</t>
        </r>
      </text>
    </comment>
    <comment ref="J1223" authorId="0" shapeId="0" xr:uid="{A0E02852-4C94-49B9-805D-04BE6C46FEAA}">
      <text>
        <r>
          <rPr>
            <b/>
            <sz val="9"/>
            <color indexed="81"/>
            <rFont val="Tahoma"/>
            <family val="2"/>
          </rPr>
          <t>&lt;[[TCDeals] - [TC Property Current Stage (Seq: 1)] - [Buildings (Seq: 36)] PVC8609 Credit - Both]&gt;</t>
        </r>
      </text>
    </comment>
    <comment ref="K1223" authorId="0" shapeId="0" xr:uid="{A64A4920-C398-4E91-9B78-66FEE9824A65}">
      <text>
        <r>
          <rPr>
            <b/>
            <sz val="9"/>
            <color indexed="81"/>
            <rFont val="Tahoma"/>
            <family val="2"/>
          </rPr>
          <t>&lt;[[TCDeals] - [TC Property Current Stage (Seq: 1)] - [Buildings (Seq: 36)] Constr PIS Date - Both]&gt;</t>
        </r>
      </text>
    </comment>
    <comment ref="L1223" authorId="0" shapeId="0" xr:uid="{62F3758E-A859-44C0-8913-09B3D2A007DA}">
      <text>
        <r>
          <rPr>
            <b/>
            <sz val="9"/>
            <color indexed="81"/>
            <rFont val="Tahoma"/>
            <family val="2"/>
          </rPr>
          <t>&lt;[[TCDeals] - [TC Property Current Stage (Seq: 1)] - [Buildings (Seq: 36)] Constr Applicable Percentage - Both]&gt;</t>
        </r>
      </text>
    </comment>
    <comment ref="M1223" authorId="0" shapeId="0" xr:uid="{D59D4AC4-91D2-46C9-95CA-C5B3AE2C9A8B}">
      <text>
        <r>
          <rPr>
            <b/>
            <sz val="9"/>
            <color indexed="81"/>
            <rFont val="Tahoma"/>
            <family val="2"/>
          </rPr>
          <t>&lt;[[TCDeals] - [TC Property Current Stage (Seq: 1)] - [Buildings (Seq: 36)] Constr Est Qual Basis - Both]&gt;</t>
        </r>
      </text>
    </comment>
    <comment ref="N1223" authorId="0" shapeId="0" xr:uid="{E19CD0D7-1EBD-4DDA-9DFD-6808213B7FE6}">
      <text>
        <r>
          <rPr>
            <b/>
            <sz val="9"/>
            <color indexed="81"/>
            <rFont val="Tahoma"/>
            <family val="2"/>
          </rPr>
          <t>&lt;[[TCDeals] - [TC Property Current Stage (Seq: 1)] - [Buildings (Seq: 36)] Constr 8609 Basis - Both]&gt;</t>
        </r>
      </text>
    </comment>
    <comment ref="O1223" authorId="0" shapeId="0" xr:uid="{89B310D2-6C57-49D7-8C44-3312E90D1694}">
      <text>
        <r>
          <rPr>
            <b/>
            <sz val="9"/>
            <color indexed="81"/>
            <rFont val="Tahoma"/>
            <family val="2"/>
          </rPr>
          <t>&lt;[[TCDeals] - [TC Property Current Stage (Seq: 1)] - [Buildings (Seq: 36)] Constr 8609 Credit - Both]&gt;</t>
        </r>
      </text>
    </comment>
    <comment ref="P1223" authorId="0" shapeId="0" xr:uid="{6FF0371A-64B3-44B7-B195-A3AA6101E784}">
      <text>
        <r>
          <rPr>
            <b/>
            <sz val="9"/>
            <color indexed="81"/>
            <rFont val="Tahoma"/>
            <family val="2"/>
          </rPr>
          <t>&lt;[[TCDeals] - [TC Property Current Stage (Seq: 1)] - [Buildings (Seq: 36)] Acq PIS Date - Both]&gt;</t>
        </r>
      </text>
    </comment>
    <comment ref="Q1223" authorId="0" shapeId="0" xr:uid="{B67FE408-9DD3-4916-BF30-F698AF655F12}">
      <text>
        <r>
          <rPr>
            <b/>
            <sz val="9"/>
            <color indexed="81"/>
            <rFont val="Tahoma"/>
            <family val="2"/>
          </rPr>
          <t>&lt;[[TCDeals] - [TC Property Current Stage (Seq: 1)] - [Buildings (Seq: 36)] Acq Applicable Percentage - Both]&gt;</t>
        </r>
      </text>
    </comment>
    <comment ref="R1223" authorId="0" shapeId="0" xr:uid="{9AE39AD2-AB13-4E0B-9249-FA88B3700994}">
      <text>
        <r>
          <rPr>
            <b/>
            <sz val="9"/>
            <color indexed="81"/>
            <rFont val="Tahoma"/>
            <family val="2"/>
          </rPr>
          <t>&lt;[[TCDeals] - [TC Property Current Stage (Seq: 1)] - [Buildings (Seq: 36)] Acq Est Qual Basis - Both]&gt;</t>
        </r>
      </text>
    </comment>
    <comment ref="S1223" authorId="0" shapeId="0" xr:uid="{1220915D-5ACB-427C-A559-E9330EF72C81}">
      <text>
        <r>
          <rPr>
            <b/>
            <sz val="9"/>
            <color indexed="81"/>
            <rFont val="Tahoma"/>
            <family val="2"/>
          </rPr>
          <t>&lt;[[TCDeals] - [TC Property Current Stage (Seq: 1)] - [Buildings (Seq: 36)] Acq 8609 Basis - Both]&gt;</t>
        </r>
      </text>
    </comment>
    <comment ref="T1223" authorId="0" shapeId="0" xr:uid="{7598ED89-9021-4C44-991A-765A848D89CF}">
      <text>
        <r>
          <rPr>
            <b/>
            <sz val="9"/>
            <color indexed="81"/>
            <rFont val="Tahoma"/>
            <family val="2"/>
          </rPr>
          <t>&lt;[[TCDeals] - [TC Property Current Stage (Seq: 1)] - [Buildings (Seq: 36)] Acq 8609 Credit - Both]&gt;</t>
        </r>
      </text>
    </comment>
    <comment ref="C1224" authorId="0" shapeId="0" xr:uid="{4E867309-4F7E-4041-B5E6-5E8A5678F753}">
      <text>
        <r>
          <rPr>
            <b/>
            <sz val="9"/>
            <color indexed="81"/>
            <rFont val="Tahoma"/>
            <family val="2"/>
          </rPr>
          <t>&lt;[[TCDeals] - [TC Property Current Stage (Seq: 1)] - [Buildings (Seq: 37)] BIN - Both]&gt;</t>
        </r>
      </text>
    </comment>
    <comment ref="D1224" authorId="0" shapeId="0" xr:uid="{097A20EC-799B-499B-BE27-55E0598FA1CA}">
      <text>
        <r>
          <rPr>
            <b/>
            <sz val="9"/>
            <color indexed="81"/>
            <rFont val="Tahoma"/>
            <family val="2"/>
          </rPr>
          <t>&lt;[[TCDeals] - [TC Property Current Stage (Seq: 1)] - [Buildings (Seq: 37)] Address 1 - Both]&gt;</t>
        </r>
      </text>
    </comment>
    <comment ref="E1224" authorId="0" shapeId="0" xr:uid="{CFB4AD94-77B8-4505-AB48-B495606C1CA0}">
      <text>
        <r>
          <rPr>
            <b/>
            <sz val="9"/>
            <color indexed="81"/>
            <rFont val="Tahoma"/>
            <family val="2"/>
          </rPr>
          <t>&lt;[[TCDeals] - [TC Property Current Stage (Seq: 1)] - [Buildings (Seq: 37)] Num TC Units - Both]&gt;</t>
        </r>
      </text>
    </comment>
    <comment ref="F1224" authorId="0" shapeId="0" xr:uid="{E718781E-5BCD-404C-BA2D-8FBB7982BD13}">
      <text>
        <r>
          <rPr>
            <b/>
            <sz val="9"/>
            <color indexed="81"/>
            <rFont val="Tahoma"/>
            <family val="2"/>
          </rPr>
          <t>&lt;[[TCDeals] - [TC Property Current Stage (Seq: 1)] - [Buildings (Seq: 37)] PVC PIS Date - Both]&gt;</t>
        </r>
      </text>
    </comment>
    <comment ref="G1224" authorId="0" shapeId="0" xr:uid="{3586EB27-E7CB-4D10-97FA-F53E587895A3}">
      <text>
        <r>
          <rPr>
            <b/>
            <sz val="9"/>
            <color indexed="81"/>
            <rFont val="Tahoma"/>
            <family val="2"/>
          </rPr>
          <t>&lt;[[TCDeals] - [TC Property Current Stage (Seq: 1)] - [Buildings (Seq: 37)] PVC Applicable Percentage - Both]&gt;</t>
        </r>
      </text>
    </comment>
    <comment ref="H1224" authorId="0" shapeId="0" xr:uid="{59D94CBC-D910-4C03-8889-CF912CBD3A11}">
      <text>
        <r>
          <rPr>
            <b/>
            <sz val="9"/>
            <color indexed="81"/>
            <rFont val="Tahoma"/>
            <family val="2"/>
          </rPr>
          <t>&lt;[[TCDeals] - [TC Property Current Stage (Seq: 1)] - [Buildings (Seq: 37)] PVC Est Qual Basis - Both]&gt;</t>
        </r>
      </text>
    </comment>
    <comment ref="I1224" authorId="0" shapeId="0" xr:uid="{AA02F2CE-7BC2-4207-B52F-EF02CD731C17}">
      <text>
        <r>
          <rPr>
            <b/>
            <sz val="9"/>
            <color indexed="81"/>
            <rFont val="Tahoma"/>
            <family val="2"/>
          </rPr>
          <t>&lt;[[TCDeals] - [TC Property Current Stage (Seq: 1)] - [Buildings (Seq: 37)] PVC8609 Basis - Both]&gt;</t>
        </r>
      </text>
    </comment>
    <comment ref="J1224" authorId="0" shapeId="0" xr:uid="{A15CAB91-D96C-4CED-8FB1-FFEA3AE53351}">
      <text>
        <r>
          <rPr>
            <b/>
            <sz val="9"/>
            <color indexed="81"/>
            <rFont val="Tahoma"/>
            <family val="2"/>
          </rPr>
          <t>&lt;[[TCDeals] - [TC Property Current Stage (Seq: 1)] - [Buildings (Seq: 37)] PVC8609 Credit - Both]&gt;</t>
        </r>
      </text>
    </comment>
    <comment ref="K1224" authorId="0" shapeId="0" xr:uid="{BBE01E29-1E8C-4B01-82A7-50C0DAAB3D6F}">
      <text>
        <r>
          <rPr>
            <b/>
            <sz val="9"/>
            <color indexed="81"/>
            <rFont val="Tahoma"/>
            <family val="2"/>
          </rPr>
          <t>&lt;[[TCDeals] - [TC Property Current Stage (Seq: 1)] - [Buildings (Seq: 37)] Constr PIS Date - Both]&gt;</t>
        </r>
      </text>
    </comment>
    <comment ref="L1224" authorId="0" shapeId="0" xr:uid="{84B3EA6D-663F-46EF-8E1D-80B2C2B8ADE5}">
      <text>
        <r>
          <rPr>
            <b/>
            <sz val="9"/>
            <color indexed="81"/>
            <rFont val="Tahoma"/>
            <family val="2"/>
          </rPr>
          <t>&lt;[[TCDeals] - [TC Property Current Stage (Seq: 1)] - [Buildings (Seq: 37)] Constr Applicable Percentage - Both]&gt;</t>
        </r>
      </text>
    </comment>
    <comment ref="M1224" authorId="0" shapeId="0" xr:uid="{EE1D6B2E-5CEC-437E-BD8D-A0CC7684BBC4}">
      <text>
        <r>
          <rPr>
            <b/>
            <sz val="9"/>
            <color indexed="81"/>
            <rFont val="Tahoma"/>
            <family val="2"/>
          </rPr>
          <t>&lt;[[TCDeals] - [TC Property Current Stage (Seq: 1)] - [Buildings (Seq: 37)] Constr Est Qual Basis - Both]&gt;</t>
        </r>
      </text>
    </comment>
    <comment ref="N1224" authorId="0" shapeId="0" xr:uid="{A4D2A65A-7133-4618-A405-F7BDB6EF4702}">
      <text>
        <r>
          <rPr>
            <b/>
            <sz val="9"/>
            <color indexed="81"/>
            <rFont val="Tahoma"/>
            <family val="2"/>
          </rPr>
          <t>&lt;[[TCDeals] - [TC Property Current Stage (Seq: 1)] - [Buildings (Seq: 37)] Constr 8609 Basis - Both]&gt;</t>
        </r>
      </text>
    </comment>
    <comment ref="O1224" authorId="0" shapeId="0" xr:uid="{B68805FA-D734-4045-A43A-9A5CE8E4DC36}">
      <text>
        <r>
          <rPr>
            <b/>
            <sz val="9"/>
            <color indexed="81"/>
            <rFont val="Tahoma"/>
            <family val="2"/>
          </rPr>
          <t>&lt;[[TCDeals] - [TC Property Current Stage (Seq: 1)] - [Buildings (Seq: 37)] Constr 8609 Credit - Both]&gt;</t>
        </r>
      </text>
    </comment>
    <comment ref="P1224" authorId="0" shapeId="0" xr:uid="{1A16FD35-0BB5-461C-86E7-27B66BE16603}">
      <text>
        <r>
          <rPr>
            <b/>
            <sz val="9"/>
            <color indexed="81"/>
            <rFont val="Tahoma"/>
            <family val="2"/>
          </rPr>
          <t>&lt;[[TCDeals] - [TC Property Current Stage (Seq: 1)] - [Buildings (Seq: 37)] Acq PIS Date - Both]&gt;</t>
        </r>
      </text>
    </comment>
    <comment ref="Q1224" authorId="0" shapeId="0" xr:uid="{C2D65610-FF9C-47A1-BF56-618231999C7F}">
      <text>
        <r>
          <rPr>
            <b/>
            <sz val="9"/>
            <color indexed="81"/>
            <rFont val="Tahoma"/>
            <family val="2"/>
          </rPr>
          <t>&lt;[[TCDeals] - [TC Property Current Stage (Seq: 1)] - [Buildings (Seq: 37)] Acq Applicable Percentage - Both]&gt;</t>
        </r>
      </text>
    </comment>
    <comment ref="R1224" authorId="0" shapeId="0" xr:uid="{847DF51F-171E-4AF3-82FF-14EF1198AAEA}">
      <text>
        <r>
          <rPr>
            <b/>
            <sz val="9"/>
            <color indexed="81"/>
            <rFont val="Tahoma"/>
            <family val="2"/>
          </rPr>
          <t>&lt;[[TCDeals] - [TC Property Current Stage (Seq: 1)] - [Buildings (Seq: 37)] Acq Est Qual Basis - Both]&gt;</t>
        </r>
      </text>
    </comment>
    <comment ref="S1224" authorId="0" shapeId="0" xr:uid="{06C47240-11C7-4DB4-860B-AC9342580853}">
      <text>
        <r>
          <rPr>
            <b/>
            <sz val="9"/>
            <color indexed="81"/>
            <rFont val="Tahoma"/>
            <family val="2"/>
          </rPr>
          <t>&lt;[[TCDeals] - [TC Property Current Stage (Seq: 1)] - [Buildings (Seq: 37)] Acq 8609 Basis - Both]&gt;</t>
        </r>
      </text>
    </comment>
    <comment ref="T1224" authorId="0" shapeId="0" xr:uid="{BE02FD56-8E68-4ACF-AD4B-58E362290FBA}">
      <text>
        <r>
          <rPr>
            <b/>
            <sz val="9"/>
            <color indexed="81"/>
            <rFont val="Tahoma"/>
            <family val="2"/>
          </rPr>
          <t>&lt;[[TCDeals] - [TC Property Current Stage (Seq: 1)] - [Buildings (Seq: 37)] Acq 8609 Credit - Both]&gt;</t>
        </r>
      </text>
    </comment>
    <comment ref="C1225" authorId="0" shapeId="0" xr:uid="{B5B8F896-E174-4E95-91B1-ED8C7E38A271}">
      <text>
        <r>
          <rPr>
            <b/>
            <sz val="9"/>
            <color indexed="81"/>
            <rFont val="Tahoma"/>
            <family val="2"/>
          </rPr>
          <t>&lt;[[TCDeals] - [TC Property Current Stage (Seq: 1)] - [Buildings (Seq: 38)] BIN - Both]&gt;</t>
        </r>
      </text>
    </comment>
    <comment ref="D1225" authorId="0" shapeId="0" xr:uid="{E74C89D8-252C-47D8-A5C0-C6869E6E0DFC}">
      <text>
        <r>
          <rPr>
            <b/>
            <sz val="9"/>
            <color indexed="81"/>
            <rFont val="Tahoma"/>
            <family val="2"/>
          </rPr>
          <t>&lt;[[TCDeals] - [TC Property Current Stage (Seq: 1)] - [Buildings (Seq: 38)] Address 1 - Both]&gt;</t>
        </r>
      </text>
    </comment>
    <comment ref="E1225" authorId="0" shapeId="0" xr:uid="{D0FEBE19-0C3E-40A2-8CAE-BF947FAC8A68}">
      <text>
        <r>
          <rPr>
            <b/>
            <sz val="9"/>
            <color indexed="81"/>
            <rFont val="Tahoma"/>
            <family val="2"/>
          </rPr>
          <t>&lt;[[TCDeals] - [TC Property Current Stage (Seq: 1)] - [Buildings (Seq: 38)] Num TC Units - Both]&gt;</t>
        </r>
      </text>
    </comment>
    <comment ref="F1225" authorId="0" shapeId="0" xr:uid="{3A7A043B-38FA-4FED-A214-0674B4AAFCE3}">
      <text>
        <r>
          <rPr>
            <b/>
            <sz val="9"/>
            <color indexed="81"/>
            <rFont val="Tahoma"/>
            <family val="2"/>
          </rPr>
          <t>&lt;[[TCDeals] - [TC Property Current Stage (Seq: 1)] - [Buildings (Seq: 38)] PVC PIS Date - Both]&gt;</t>
        </r>
      </text>
    </comment>
    <comment ref="G1225" authorId="0" shapeId="0" xr:uid="{DEE225A8-3421-4619-9B40-7446DFFED8F3}">
      <text>
        <r>
          <rPr>
            <b/>
            <sz val="9"/>
            <color indexed="81"/>
            <rFont val="Tahoma"/>
            <family val="2"/>
          </rPr>
          <t>&lt;[[TCDeals] - [TC Property Current Stage (Seq: 1)] - [Buildings (Seq: 38)] PVC Applicable Percentage - Both]&gt;</t>
        </r>
      </text>
    </comment>
    <comment ref="H1225" authorId="0" shapeId="0" xr:uid="{AD9A2F6C-A20B-4B03-835F-602A4F8DFF9D}">
      <text>
        <r>
          <rPr>
            <b/>
            <sz val="9"/>
            <color indexed="81"/>
            <rFont val="Tahoma"/>
            <family val="2"/>
          </rPr>
          <t>&lt;[[TCDeals] - [TC Property Current Stage (Seq: 1)] - [Buildings (Seq: 38)] PVC Est Qual Basis - Both]&gt;</t>
        </r>
      </text>
    </comment>
    <comment ref="I1225" authorId="0" shapeId="0" xr:uid="{52AA211D-C477-43D6-8A8E-C6190C7E8E81}">
      <text>
        <r>
          <rPr>
            <b/>
            <sz val="9"/>
            <color indexed="81"/>
            <rFont val="Tahoma"/>
            <family val="2"/>
          </rPr>
          <t>&lt;[[TCDeals] - [TC Property Current Stage (Seq: 1)] - [Buildings (Seq: 38)] PVC8609 Basis - Both]&gt;</t>
        </r>
      </text>
    </comment>
    <comment ref="J1225" authorId="0" shapeId="0" xr:uid="{74B0215E-0F94-44EC-BF41-2CD017C0E08C}">
      <text>
        <r>
          <rPr>
            <b/>
            <sz val="9"/>
            <color indexed="81"/>
            <rFont val="Tahoma"/>
            <family val="2"/>
          </rPr>
          <t>&lt;[[TCDeals] - [TC Property Current Stage (Seq: 1)] - [Buildings (Seq: 38)] PVC8609 Credit - Both]&gt;</t>
        </r>
      </text>
    </comment>
    <comment ref="K1225" authorId="0" shapeId="0" xr:uid="{C4262977-8E9A-4DD2-A27C-B93B70EAB691}">
      <text>
        <r>
          <rPr>
            <b/>
            <sz val="9"/>
            <color indexed="81"/>
            <rFont val="Tahoma"/>
            <family val="2"/>
          </rPr>
          <t>&lt;[[TCDeals] - [TC Property Current Stage (Seq: 1)] - [Buildings (Seq: 38)] Constr PIS Date - Both]&gt;</t>
        </r>
      </text>
    </comment>
    <comment ref="L1225" authorId="0" shapeId="0" xr:uid="{0BD8C039-7691-4F4F-A82C-1387114FAD6E}">
      <text>
        <r>
          <rPr>
            <b/>
            <sz val="9"/>
            <color indexed="81"/>
            <rFont val="Tahoma"/>
            <family val="2"/>
          </rPr>
          <t>&lt;[[TCDeals] - [TC Property Current Stage (Seq: 1)] - [Buildings (Seq: 38)] Constr Applicable Percentage - Both]&gt;</t>
        </r>
      </text>
    </comment>
    <comment ref="M1225" authorId="0" shapeId="0" xr:uid="{77CB3E01-F90A-44D6-97DD-61895E63A1BC}">
      <text>
        <r>
          <rPr>
            <b/>
            <sz val="9"/>
            <color indexed="81"/>
            <rFont val="Tahoma"/>
            <family val="2"/>
          </rPr>
          <t>&lt;[[TCDeals] - [TC Property Current Stage (Seq: 1)] - [Buildings (Seq: 38)] Constr Est Qual Basis - Both]&gt;</t>
        </r>
      </text>
    </comment>
    <comment ref="N1225" authorId="0" shapeId="0" xr:uid="{FE44C96A-E0C7-435E-8394-44B0FCC77FF1}">
      <text>
        <r>
          <rPr>
            <b/>
            <sz val="9"/>
            <color indexed="81"/>
            <rFont val="Tahoma"/>
            <family val="2"/>
          </rPr>
          <t>&lt;[[TCDeals] - [TC Property Current Stage (Seq: 1)] - [Buildings (Seq: 38)] Constr 8609 Basis - Both]&gt;</t>
        </r>
      </text>
    </comment>
    <comment ref="O1225" authorId="0" shapeId="0" xr:uid="{9F5F7829-874F-484B-95AF-AF9A48CA7B4F}">
      <text>
        <r>
          <rPr>
            <b/>
            <sz val="9"/>
            <color indexed="81"/>
            <rFont val="Tahoma"/>
            <family val="2"/>
          </rPr>
          <t>&lt;[[TCDeals] - [TC Property Current Stage (Seq: 1)] - [Buildings (Seq: 38)] Constr 8609 Credit - Both]&gt;</t>
        </r>
      </text>
    </comment>
    <comment ref="P1225" authorId="0" shapeId="0" xr:uid="{ED1EC9B7-08F8-46F9-B213-03D980A1717F}">
      <text>
        <r>
          <rPr>
            <b/>
            <sz val="9"/>
            <color indexed="81"/>
            <rFont val="Tahoma"/>
            <family val="2"/>
          </rPr>
          <t>&lt;[[TCDeals] - [TC Property Current Stage (Seq: 1)] - [Buildings (Seq: 38)] Acq PIS Date - Both]&gt;</t>
        </r>
      </text>
    </comment>
    <comment ref="Q1225" authorId="0" shapeId="0" xr:uid="{63996A16-6255-401E-9C58-9AA168066ED2}">
      <text>
        <r>
          <rPr>
            <b/>
            <sz val="9"/>
            <color indexed="81"/>
            <rFont val="Tahoma"/>
            <family val="2"/>
          </rPr>
          <t>&lt;[[TCDeals] - [TC Property Current Stage (Seq: 1)] - [Buildings (Seq: 38)] Acq Applicable Percentage - Both]&gt;</t>
        </r>
      </text>
    </comment>
    <comment ref="R1225" authorId="0" shapeId="0" xr:uid="{8CB2E7B2-17B6-4E22-8A1A-F5B75C7DBE83}">
      <text>
        <r>
          <rPr>
            <b/>
            <sz val="9"/>
            <color indexed="81"/>
            <rFont val="Tahoma"/>
            <family val="2"/>
          </rPr>
          <t>&lt;[[TCDeals] - [TC Property Current Stage (Seq: 1)] - [Buildings (Seq: 38)] Acq Est Qual Basis - Both]&gt;</t>
        </r>
      </text>
    </comment>
    <comment ref="S1225" authorId="0" shapeId="0" xr:uid="{9D951CD3-F18C-44FB-9459-271DA3BEF582}">
      <text>
        <r>
          <rPr>
            <b/>
            <sz val="9"/>
            <color indexed="81"/>
            <rFont val="Tahoma"/>
            <family val="2"/>
          </rPr>
          <t>&lt;[[TCDeals] - [TC Property Current Stage (Seq: 1)] - [Buildings (Seq: 38)] Acq 8609 Basis - Both]&gt;</t>
        </r>
      </text>
    </comment>
    <comment ref="T1225" authorId="0" shapeId="0" xr:uid="{98AACF6F-B7B6-4B05-A2AC-7153ABA77BBD}">
      <text>
        <r>
          <rPr>
            <b/>
            <sz val="9"/>
            <color indexed="81"/>
            <rFont val="Tahoma"/>
            <family val="2"/>
          </rPr>
          <t>&lt;[[TCDeals] - [TC Property Current Stage (Seq: 1)] - [Buildings (Seq: 38)] Acq 8609 Credit - Both]&gt;</t>
        </r>
      </text>
    </comment>
    <comment ref="C1226" authorId="0" shapeId="0" xr:uid="{B148FF0E-FC27-43A5-9E6B-4D82F91CBA8B}">
      <text>
        <r>
          <rPr>
            <b/>
            <sz val="9"/>
            <color indexed="81"/>
            <rFont val="Tahoma"/>
            <family val="2"/>
          </rPr>
          <t>&lt;[[TCDeals] - [TC Property Current Stage (Seq: 1)] - [Buildings (Seq: 39)] BIN - Both]&gt;</t>
        </r>
      </text>
    </comment>
    <comment ref="D1226" authorId="0" shapeId="0" xr:uid="{C5E721CB-EF14-4F76-A7F6-34BA16C1F163}">
      <text>
        <r>
          <rPr>
            <b/>
            <sz val="9"/>
            <color indexed="81"/>
            <rFont val="Tahoma"/>
            <family val="2"/>
          </rPr>
          <t>&lt;[[TCDeals] - [TC Property Current Stage (Seq: 1)] - [Buildings (Seq: 39)] Address 1 - Both]&gt;</t>
        </r>
      </text>
    </comment>
    <comment ref="E1226" authorId="0" shapeId="0" xr:uid="{27ADE18A-FD67-48F2-8FAC-EAEA37A163A7}">
      <text>
        <r>
          <rPr>
            <b/>
            <sz val="9"/>
            <color indexed="81"/>
            <rFont val="Tahoma"/>
            <family val="2"/>
          </rPr>
          <t>&lt;[[TCDeals] - [TC Property Current Stage (Seq: 1)] - [Buildings (Seq: 39)] Num TC Units - Both]&gt;</t>
        </r>
      </text>
    </comment>
    <comment ref="F1226" authorId="0" shapeId="0" xr:uid="{3D0334A8-1564-4910-9430-00F9B06597DF}">
      <text>
        <r>
          <rPr>
            <b/>
            <sz val="9"/>
            <color indexed="81"/>
            <rFont val="Tahoma"/>
            <family val="2"/>
          </rPr>
          <t>&lt;[[TCDeals] - [TC Property Current Stage (Seq: 1)] - [Buildings (Seq: 39)] PVC PIS Date - Both]&gt;</t>
        </r>
      </text>
    </comment>
    <comment ref="G1226" authorId="0" shapeId="0" xr:uid="{FFEDC95F-9E84-4E2E-9202-1DEEB589D989}">
      <text>
        <r>
          <rPr>
            <b/>
            <sz val="9"/>
            <color indexed="81"/>
            <rFont val="Tahoma"/>
            <family val="2"/>
          </rPr>
          <t>&lt;[[TCDeals] - [TC Property Current Stage (Seq: 1)] - [Buildings (Seq: 39)] PVC Applicable Percentage - Both]&gt;</t>
        </r>
      </text>
    </comment>
    <comment ref="H1226" authorId="0" shapeId="0" xr:uid="{0F321493-355C-4882-B27E-63B02F8167FE}">
      <text>
        <r>
          <rPr>
            <b/>
            <sz val="9"/>
            <color indexed="81"/>
            <rFont val="Tahoma"/>
            <family val="2"/>
          </rPr>
          <t>&lt;[[TCDeals] - [TC Property Current Stage (Seq: 1)] - [Buildings (Seq: 39)] PVC Est Qual Basis - Both]&gt;</t>
        </r>
      </text>
    </comment>
    <comment ref="I1226" authorId="0" shapeId="0" xr:uid="{2261A7A4-6BE6-4E2F-8875-4EDBD2707E35}">
      <text>
        <r>
          <rPr>
            <b/>
            <sz val="9"/>
            <color indexed="81"/>
            <rFont val="Tahoma"/>
            <family val="2"/>
          </rPr>
          <t>&lt;[[TCDeals] - [TC Property Current Stage (Seq: 1)] - [Buildings (Seq: 39)] PVC8609 Basis - Both]&gt;</t>
        </r>
      </text>
    </comment>
    <comment ref="J1226" authorId="0" shapeId="0" xr:uid="{01390016-6805-4856-B1E6-44D64DDC9A0E}">
      <text>
        <r>
          <rPr>
            <b/>
            <sz val="9"/>
            <color indexed="81"/>
            <rFont val="Tahoma"/>
            <family val="2"/>
          </rPr>
          <t>&lt;[[TCDeals] - [TC Property Current Stage (Seq: 1)] - [Buildings (Seq: 39)] PVC8609 Credit - Both]&gt;</t>
        </r>
      </text>
    </comment>
    <comment ref="K1226" authorId="0" shapeId="0" xr:uid="{2D017336-8A3F-4968-A970-6934290DDEA3}">
      <text>
        <r>
          <rPr>
            <b/>
            <sz val="9"/>
            <color indexed="81"/>
            <rFont val="Tahoma"/>
            <family val="2"/>
          </rPr>
          <t>&lt;[[TCDeals] - [TC Property Current Stage (Seq: 1)] - [Buildings (Seq: 39)] Constr PIS Date - Both]&gt;</t>
        </r>
      </text>
    </comment>
    <comment ref="L1226" authorId="0" shapeId="0" xr:uid="{59D3659C-3772-4046-A67C-2310475A318D}">
      <text>
        <r>
          <rPr>
            <b/>
            <sz val="9"/>
            <color indexed="81"/>
            <rFont val="Tahoma"/>
            <family val="2"/>
          </rPr>
          <t>&lt;[[TCDeals] - [TC Property Current Stage (Seq: 1)] - [Buildings (Seq: 39)] Constr Applicable Percentage - Both]&gt;</t>
        </r>
      </text>
    </comment>
    <comment ref="M1226" authorId="0" shapeId="0" xr:uid="{3E648204-DCCC-4917-B0BA-3A684FF88A85}">
      <text>
        <r>
          <rPr>
            <b/>
            <sz val="9"/>
            <color indexed="81"/>
            <rFont val="Tahoma"/>
            <family val="2"/>
          </rPr>
          <t>&lt;[[TCDeals] - [TC Property Current Stage (Seq: 1)] - [Buildings (Seq: 39)] Constr Est Qual Basis - Both]&gt;</t>
        </r>
      </text>
    </comment>
    <comment ref="N1226" authorId="0" shapeId="0" xr:uid="{6ED98C68-EB79-4ABE-8A47-6EE14633235F}">
      <text>
        <r>
          <rPr>
            <b/>
            <sz val="9"/>
            <color indexed="81"/>
            <rFont val="Tahoma"/>
            <family val="2"/>
          </rPr>
          <t>&lt;[[TCDeals] - [TC Property Current Stage (Seq: 1)] - [Buildings (Seq: 39)] Constr 8609 Basis - Both]&gt;</t>
        </r>
      </text>
    </comment>
    <comment ref="O1226" authorId="0" shapeId="0" xr:uid="{2FCF0BAD-EF4C-4CDC-8F21-F78005847E3B}">
      <text>
        <r>
          <rPr>
            <b/>
            <sz val="9"/>
            <color indexed="81"/>
            <rFont val="Tahoma"/>
            <family val="2"/>
          </rPr>
          <t>&lt;[[TCDeals] - [TC Property Current Stage (Seq: 1)] - [Buildings (Seq: 39)] Constr 8609 Credit - Both]&gt;</t>
        </r>
      </text>
    </comment>
    <comment ref="P1226" authorId="0" shapeId="0" xr:uid="{538E7B46-8D47-4003-BFBF-627E488995A8}">
      <text>
        <r>
          <rPr>
            <b/>
            <sz val="9"/>
            <color indexed="81"/>
            <rFont val="Tahoma"/>
            <family val="2"/>
          </rPr>
          <t>&lt;[[TCDeals] - [TC Property Current Stage (Seq: 1)] - [Buildings (Seq: 39)] Acq PIS Date - Both]&gt;</t>
        </r>
      </text>
    </comment>
    <comment ref="Q1226" authorId="0" shapeId="0" xr:uid="{B235FAEF-49F4-4326-93B3-CDA7E7B7F3AB}">
      <text>
        <r>
          <rPr>
            <b/>
            <sz val="9"/>
            <color indexed="81"/>
            <rFont val="Tahoma"/>
            <family val="2"/>
          </rPr>
          <t>&lt;[[TCDeals] - [TC Property Current Stage (Seq: 1)] - [Buildings (Seq: 39)] Acq Applicable Percentage - Both]&gt;</t>
        </r>
      </text>
    </comment>
    <comment ref="R1226" authorId="0" shapeId="0" xr:uid="{E2ABD4CB-98C4-413E-9D45-20C4AE583CD7}">
      <text>
        <r>
          <rPr>
            <b/>
            <sz val="9"/>
            <color indexed="81"/>
            <rFont val="Tahoma"/>
            <family val="2"/>
          </rPr>
          <t>&lt;[[TCDeals] - [TC Property Current Stage (Seq: 1)] - [Buildings (Seq: 39)] Acq Est Qual Basis - Both]&gt;</t>
        </r>
      </text>
    </comment>
    <comment ref="S1226" authorId="0" shapeId="0" xr:uid="{77E931E5-F5C7-4C9D-96A1-2AD53D0AC83B}">
      <text>
        <r>
          <rPr>
            <b/>
            <sz val="9"/>
            <color indexed="81"/>
            <rFont val="Tahoma"/>
            <family val="2"/>
          </rPr>
          <t>&lt;[[TCDeals] - [TC Property Current Stage (Seq: 1)] - [Buildings (Seq: 39)] Acq 8609 Basis - Both]&gt;</t>
        </r>
      </text>
    </comment>
    <comment ref="T1226" authorId="0" shapeId="0" xr:uid="{3E50D1B1-F6C0-4E3F-9965-37A6CAECCD89}">
      <text>
        <r>
          <rPr>
            <b/>
            <sz val="9"/>
            <color indexed="81"/>
            <rFont val="Tahoma"/>
            <family val="2"/>
          </rPr>
          <t>&lt;[[TCDeals] - [TC Property Current Stage (Seq: 1)] - [Buildings (Seq: 39)] Acq 8609 Credit - Both]&gt;</t>
        </r>
      </text>
    </comment>
    <comment ref="C1227" authorId="0" shapeId="0" xr:uid="{E5E9DD24-FB13-427B-9208-20CB97D85D74}">
      <text>
        <r>
          <rPr>
            <b/>
            <sz val="9"/>
            <color indexed="81"/>
            <rFont val="Tahoma"/>
            <family val="2"/>
          </rPr>
          <t>&lt;[[TCDeals] - [TC Property Current Stage (Seq: 1)] - [Buildings (Seq: 40)] BIN - Both]&gt;</t>
        </r>
      </text>
    </comment>
    <comment ref="D1227" authorId="0" shapeId="0" xr:uid="{061895DA-844F-4231-8598-BA6DF1B0B427}">
      <text>
        <r>
          <rPr>
            <b/>
            <sz val="9"/>
            <color indexed="81"/>
            <rFont val="Tahoma"/>
            <family val="2"/>
          </rPr>
          <t>&lt;[[TCDeals] - [TC Property Current Stage (Seq: 1)] - [Buildings (Seq: 40)] Address 1 - Both]&gt;</t>
        </r>
      </text>
    </comment>
    <comment ref="E1227" authorId="0" shapeId="0" xr:uid="{681D1B6B-807E-4AFC-8DEF-2E4D640DA0EC}">
      <text>
        <r>
          <rPr>
            <b/>
            <sz val="9"/>
            <color indexed="81"/>
            <rFont val="Tahoma"/>
            <family val="2"/>
          </rPr>
          <t>&lt;[[TCDeals] - [TC Property Current Stage (Seq: 1)] - [Buildings (Seq: 40)] Num TC Units - Both]&gt;</t>
        </r>
      </text>
    </comment>
    <comment ref="F1227" authorId="0" shapeId="0" xr:uid="{0A7E3F49-00C0-428B-BD28-3238A837D7A3}">
      <text>
        <r>
          <rPr>
            <b/>
            <sz val="9"/>
            <color indexed="81"/>
            <rFont val="Tahoma"/>
            <family val="2"/>
          </rPr>
          <t>&lt;[[TCDeals] - [TC Property Current Stage (Seq: 1)] - [Buildings (Seq: 40)] PVC PIS Date - Both]&gt;</t>
        </r>
      </text>
    </comment>
    <comment ref="G1227" authorId="0" shapeId="0" xr:uid="{9E9327B7-02AE-4F13-9868-1DC6BBC59A97}">
      <text>
        <r>
          <rPr>
            <b/>
            <sz val="9"/>
            <color indexed="81"/>
            <rFont val="Tahoma"/>
            <family val="2"/>
          </rPr>
          <t>&lt;[[TCDeals] - [TC Property Current Stage (Seq: 1)] - [Buildings (Seq: 40)] PVC Applicable Percentage - Both]&gt;</t>
        </r>
      </text>
    </comment>
    <comment ref="H1227" authorId="0" shapeId="0" xr:uid="{F0DCBB23-5EDA-4D33-9369-6FDBD82277F4}">
      <text>
        <r>
          <rPr>
            <b/>
            <sz val="9"/>
            <color indexed="81"/>
            <rFont val="Tahoma"/>
            <family val="2"/>
          </rPr>
          <t>&lt;[[TCDeals] - [TC Property Current Stage (Seq: 1)] - [Buildings (Seq: 40)] PVC Est Qual Basis - Both]&gt;</t>
        </r>
      </text>
    </comment>
    <comment ref="I1227" authorId="0" shapeId="0" xr:uid="{51D9EB79-448D-475F-BC1C-F11308C7AFF9}">
      <text>
        <r>
          <rPr>
            <b/>
            <sz val="9"/>
            <color indexed="81"/>
            <rFont val="Tahoma"/>
            <family val="2"/>
          </rPr>
          <t>&lt;[[TCDeals] - [TC Property Current Stage (Seq: 1)] - [Buildings (Seq: 40)] PVC8609 Basis - Both]&gt;</t>
        </r>
      </text>
    </comment>
    <comment ref="J1227" authorId="0" shapeId="0" xr:uid="{7F5BA488-15B2-4E3B-8D72-7AEA5D371703}">
      <text>
        <r>
          <rPr>
            <b/>
            <sz val="9"/>
            <color indexed="81"/>
            <rFont val="Tahoma"/>
            <family val="2"/>
          </rPr>
          <t>&lt;[[TCDeals] - [TC Property Current Stage (Seq: 1)] - [Buildings (Seq: 40)] PVC8609 Credit - Both]&gt;</t>
        </r>
      </text>
    </comment>
    <comment ref="K1227" authorId="0" shapeId="0" xr:uid="{67E03592-4B0C-4C8B-809E-537DD03147C7}">
      <text>
        <r>
          <rPr>
            <b/>
            <sz val="9"/>
            <color indexed="81"/>
            <rFont val="Tahoma"/>
            <family val="2"/>
          </rPr>
          <t>&lt;[[TCDeals] - [TC Property Current Stage (Seq: 1)] - [Buildings (Seq: 40)] Constr PIS Date - Both]&gt;</t>
        </r>
      </text>
    </comment>
    <comment ref="L1227" authorId="0" shapeId="0" xr:uid="{22722B72-9EA3-4181-AE97-01CD9057891E}">
      <text>
        <r>
          <rPr>
            <b/>
            <sz val="9"/>
            <color indexed="81"/>
            <rFont val="Tahoma"/>
            <family val="2"/>
          </rPr>
          <t>&lt;[[TCDeals] - [TC Property Current Stage (Seq: 1)] - [Buildings (Seq: 40)] Constr Applicable Percentage - Both]&gt;</t>
        </r>
      </text>
    </comment>
    <comment ref="M1227" authorId="0" shapeId="0" xr:uid="{5CDEDB82-8B0A-4F48-9C8F-CB6E91D9425B}">
      <text>
        <r>
          <rPr>
            <b/>
            <sz val="9"/>
            <color indexed="81"/>
            <rFont val="Tahoma"/>
            <family val="2"/>
          </rPr>
          <t>&lt;[[TCDeals] - [TC Property Current Stage (Seq: 1)] - [Buildings (Seq: 40)] Constr Est Qual Basis - Both]&gt;</t>
        </r>
      </text>
    </comment>
    <comment ref="N1227" authorId="0" shapeId="0" xr:uid="{0F0A0463-46AA-42A3-8D24-D41EAD007DCF}">
      <text>
        <r>
          <rPr>
            <b/>
            <sz val="9"/>
            <color indexed="81"/>
            <rFont val="Tahoma"/>
            <family val="2"/>
          </rPr>
          <t>&lt;[[TCDeals] - [TC Property Current Stage (Seq: 1)] - [Buildings (Seq: 40)] Constr 8609 Basis - Both]&gt;</t>
        </r>
      </text>
    </comment>
    <comment ref="O1227" authorId="0" shapeId="0" xr:uid="{64A72410-FFB4-475E-AB26-AED0C252FEEA}">
      <text>
        <r>
          <rPr>
            <b/>
            <sz val="9"/>
            <color indexed="81"/>
            <rFont val="Tahoma"/>
            <family val="2"/>
          </rPr>
          <t>&lt;[[TCDeals] - [TC Property Current Stage (Seq: 1)] - [Buildings (Seq: 40)] Constr 8609 Credit - Both]&gt;</t>
        </r>
      </text>
    </comment>
    <comment ref="P1227" authorId="0" shapeId="0" xr:uid="{4BD862FB-9576-422E-A6B0-DE0D3A8BD6BA}">
      <text>
        <r>
          <rPr>
            <b/>
            <sz val="9"/>
            <color indexed="81"/>
            <rFont val="Tahoma"/>
            <family val="2"/>
          </rPr>
          <t>&lt;[[TCDeals] - [TC Property Current Stage (Seq: 1)] - [Buildings (Seq: 40)] Acq PIS Date - Both]&gt;</t>
        </r>
      </text>
    </comment>
    <comment ref="Q1227" authorId="0" shapeId="0" xr:uid="{1A7D48D4-9600-4F6C-AAA6-34826E22D4D6}">
      <text>
        <r>
          <rPr>
            <b/>
            <sz val="9"/>
            <color indexed="81"/>
            <rFont val="Tahoma"/>
            <family val="2"/>
          </rPr>
          <t>&lt;[[TCDeals] - [TC Property Current Stage (Seq: 1)] - [Buildings (Seq: 40)] Acq Applicable Percentage - Both]&gt;</t>
        </r>
      </text>
    </comment>
    <comment ref="R1227" authorId="0" shapeId="0" xr:uid="{080F2455-FE11-4B2C-AF8C-DAAE5B3F3CA1}">
      <text>
        <r>
          <rPr>
            <b/>
            <sz val="9"/>
            <color indexed="81"/>
            <rFont val="Tahoma"/>
            <family val="2"/>
          </rPr>
          <t>&lt;[[TCDeals] - [TC Property Current Stage (Seq: 1)] - [Buildings (Seq: 40)] Acq Est Qual Basis - Both]&gt;</t>
        </r>
      </text>
    </comment>
    <comment ref="S1227" authorId="0" shapeId="0" xr:uid="{4856221B-BF39-4564-8B22-63C1D953A6DF}">
      <text>
        <r>
          <rPr>
            <b/>
            <sz val="9"/>
            <color indexed="81"/>
            <rFont val="Tahoma"/>
            <family val="2"/>
          </rPr>
          <t>&lt;[[TCDeals] - [TC Property Current Stage (Seq: 1)] - [Buildings (Seq: 40)] Acq 8609 Basis - Both]&gt;</t>
        </r>
      </text>
    </comment>
    <comment ref="T1227" authorId="0" shapeId="0" xr:uid="{CD29EB53-9117-44BC-8BB7-4B3AEA2556C9}">
      <text>
        <r>
          <rPr>
            <b/>
            <sz val="9"/>
            <color indexed="81"/>
            <rFont val="Tahoma"/>
            <family val="2"/>
          </rPr>
          <t>&lt;[[TCDeals] - [TC Property Current Stage (Seq: 1)] - [Buildings (Seq: 40)] Acq 8609 Credit - Both]&gt;</t>
        </r>
      </text>
    </comment>
    <comment ref="C1228" authorId="0" shapeId="0" xr:uid="{80462628-A2CF-412E-9605-F8BF1AF6A8DB}">
      <text>
        <r>
          <rPr>
            <b/>
            <sz val="9"/>
            <color indexed="81"/>
            <rFont val="Tahoma"/>
            <family val="2"/>
          </rPr>
          <t>&lt;[[TCDeals] - [TC Property Current Stage (Seq: 1)] - [Buildings (Seq: 41)] BIN - Both]&gt;</t>
        </r>
      </text>
    </comment>
    <comment ref="D1228" authorId="0" shapeId="0" xr:uid="{D09E28D1-8806-43BE-B603-DF04E4FA8787}">
      <text>
        <r>
          <rPr>
            <b/>
            <sz val="9"/>
            <color indexed="81"/>
            <rFont val="Tahoma"/>
            <family val="2"/>
          </rPr>
          <t>&lt;[[TCDeals] - [TC Property Current Stage (Seq: 1)] - [Buildings (Seq: 41)] Address 1 - Both]&gt;</t>
        </r>
      </text>
    </comment>
    <comment ref="E1228" authorId="0" shapeId="0" xr:uid="{D7E598DD-BA08-41E6-A43D-528F065D9AD5}">
      <text>
        <r>
          <rPr>
            <b/>
            <sz val="9"/>
            <color indexed="81"/>
            <rFont val="Tahoma"/>
            <family val="2"/>
          </rPr>
          <t>&lt;[[TCDeals] - [TC Property Current Stage (Seq: 1)] - [Buildings (Seq: 41)] Num TC Units - Both]&gt;</t>
        </r>
      </text>
    </comment>
    <comment ref="F1228" authorId="0" shapeId="0" xr:uid="{F6EBF482-43A7-4C27-B5BA-FEDFD44D89AD}">
      <text>
        <r>
          <rPr>
            <b/>
            <sz val="9"/>
            <color indexed="81"/>
            <rFont val="Tahoma"/>
            <family val="2"/>
          </rPr>
          <t>&lt;[[TCDeals] - [TC Property Current Stage (Seq: 1)] - [Buildings (Seq: 41)] PVC PIS Date - Both]&gt;</t>
        </r>
      </text>
    </comment>
    <comment ref="G1228" authorId="0" shapeId="0" xr:uid="{9895F381-54A4-44E7-8A60-7A7929CBAB80}">
      <text>
        <r>
          <rPr>
            <b/>
            <sz val="9"/>
            <color indexed="81"/>
            <rFont val="Tahoma"/>
            <family val="2"/>
          </rPr>
          <t>&lt;[[TCDeals] - [TC Property Current Stage (Seq: 1)] - [Buildings (Seq: 41)] PVC Applicable Percentage - Both]&gt;</t>
        </r>
      </text>
    </comment>
    <comment ref="H1228" authorId="0" shapeId="0" xr:uid="{355FF483-81AF-44C1-8629-362FC1873E5C}">
      <text>
        <r>
          <rPr>
            <b/>
            <sz val="9"/>
            <color indexed="81"/>
            <rFont val="Tahoma"/>
            <family val="2"/>
          </rPr>
          <t>&lt;[[TCDeals] - [TC Property Current Stage (Seq: 1)] - [Buildings (Seq: 41)] PVC Est Qual Basis - Both]&gt;</t>
        </r>
      </text>
    </comment>
    <comment ref="I1228" authorId="0" shapeId="0" xr:uid="{3BCF449E-8006-42BB-8D52-42B1B71B2AC8}">
      <text>
        <r>
          <rPr>
            <b/>
            <sz val="9"/>
            <color indexed="81"/>
            <rFont val="Tahoma"/>
            <family val="2"/>
          </rPr>
          <t>&lt;[[TCDeals] - [TC Property Current Stage (Seq: 1)] - [Buildings (Seq: 41)] PVC8609 Basis - Both]&gt;</t>
        </r>
      </text>
    </comment>
    <comment ref="J1228" authorId="0" shapeId="0" xr:uid="{0F35BB67-BDD8-4A09-8339-31C4889AAB92}">
      <text>
        <r>
          <rPr>
            <b/>
            <sz val="9"/>
            <color indexed="81"/>
            <rFont val="Tahoma"/>
            <family val="2"/>
          </rPr>
          <t>&lt;[[TCDeals] - [TC Property Current Stage (Seq: 1)] - [Buildings (Seq: 41)] PVC8609 Credit - Both]&gt;</t>
        </r>
      </text>
    </comment>
    <comment ref="K1228" authorId="0" shapeId="0" xr:uid="{BFEB2C14-A965-4518-8E12-E4B5E520C949}">
      <text>
        <r>
          <rPr>
            <b/>
            <sz val="9"/>
            <color indexed="81"/>
            <rFont val="Tahoma"/>
            <family val="2"/>
          </rPr>
          <t>&lt;[[TCDeals] - [TC Property Current Stage (Seq: 1)] - [Buildings (Seq: 41)] Constr PIS Date - Both]&gt;</t>
        </r>
      </text>
    </comment>
    <comment ref="L1228" authorId="0" shapeId="0" xr:uid="{B022D722-6CB5-4BC5-A6A6-9567E9D0268E}">
      <text>
        <r>
          <rPr>
            <b/>
            <sz val="9"/>
            <color indexed="81"/>
            <rFont val="Tahoma"/>
            <family val="2"/>
          </rPr>
          <t>&lt;[[TCDeals] - [TC Property Current Stage (Seq: 1)] - [Buildings (Seq: 41)] Constr Applicable Percentage - Both]&gt;</t>
        </r>
      </text>
    </comment>
    <comment ref="M1228" authorId="0" shapeId="0" xr:uid="{1C607622-4826-4BC7-AD20-F89025E263A2}">
      <text>
        <r>
          <rPr>
            <b/>
            <sz val="9"/>
            <color indexed="81"/>
            <rFont val="Tahoma"/>
            <family val="2"/>
          </rPr>
          <t>&lt;[[TCDeals] - [TC Property Current Stage (Seq: 1)] - [Buildings (Seq: 41)] Constr Est Qual Basis - Both]&gt;</t>
        </r>
      </text>
    </comment>
    <comment ref="N1228" authorId="0" shapeId="0" xr:uid="{0264AA07-5AC6-454F-A06A-EBD83B291AC0}">
      <text>
        <r>
          <rPr>
            <b/>
            <sz val="9"/>
            <color indexed="81"/>
            <rFont val="Tahoma"/>
            <family val="2"/>
          </rPr>
          <t>&lt;[[TCDeals] - [TC Property Current Stage (Seq: 1)] - [Buildings (Seq: 41)] Constr 8609 Basis - Both]&gt;</t>
        </r>
      </text>
    </comment>
    <comment ref="O1228" authorId="0" shapeId="0" xr:uid="{BCA75BD5-EA4D-4CD7-87AE-6C59B1590217}">
      <text>
        <r>
          <rPr>
            <b/>
            <sz val="9"/>
            <color indexed="81"/>
            <rFont val="Tahoma"/>
            <family val="2"/>
          </rPr>
          <t>&lt;[[TCDeals] - [TC Property Current Stage (Seq: 1)] - [Buildings (Seq: 41)] Constr 8609 Credit - Both]&gt;</t>
        </r>
      </text>
    </comment>
    <comment ref="P1228" authorId="0" shapeId="0" xr:uid="{E3B826B0-4F91-43A5-ABF7-43FFF34681C2}">
      <text>
        <r>
          <rPr>
            <b/>
            <sz val="9"/>
            <color indexed="81"/>
            <rFont val="Tahoma"/>
            <family val="2"/>
          </rPr>
          <t>&lt;[[TCDeals] - [TC Property Current Stage (Seq: 1)] - [Buildings (Seq: 41)] Acq PIS Date - Both]&gt;</t>
        </r>
      </text>
    </comment>
    <comment ref="Q1228" authorId="0" shapeId="0" xr:uid="{CC2A3BFE-B405-4D21-88BB-CD1708F1F592}">
      <text>
        <r>
          <rPr>
            <b/>
            <sz val="9"/>
            <color indexed="81"/>
            <rFont val="Tahoma"/>
            <family val="2"/>
          </rPr>
          <t>&lt;[[TCDeals] - [TC Property Current Stage (Seq: 1)] - [Buildings (Seq: 41)] Acq Applicable Percentage - Both]&gt;</t>
        </r>
      </text>
    </comment>
    <comment ref="R1228" authorId="0" shapeId="0" xr:uid="{8AB0CEE7-F870-4A56-BE30-4AE59C3EB285}">
      <text>
        <r>
          <rPr>
            <b/>
            <sz val="9"/>
            <color indexed="81"/>
            <rFont val="Tahoma"/>
            <family val="2"/>
          </rPr>
          <t>&lt;[[TCDeals] - [TC Property Current Stage (Seq: 1)] - [Buildings (Seq: 41)] Acq Est Qual Basis - Both]&gt;</t>
        </r>
      </text>
    </comment>
    <comment ref="S1228" authorId="0" shapeId="0" xr:uid="{3A69F1F4-0273-45C6-B317-E76F9B8C089E}">
      <text>
        <r>
          <rPr>
            <b/>
            <sz val="9"/>
            <color indexed="81"/>
            <rFont val="Tahoma"/>
            <family val="2"/>
          </rPr>
          <t>&lt;[[TCDeals] - [TC Property Current Stage (Seq: 1)] - [Buildings (Seq: 41)] Acq 8609 Basis - Both]&gt;</t>
        </r>
      </text>
    </comment>
    <comment ref="T1228" authorId="0" shapeId="0" xr:uid="{4FE170A5-DC01-4F40-805F-150BB65F859A}">
      <text>
        <r>
          <rPr>
            <b/>
            <sz val="9"/>
            <color indexed="81"/>
            <rFont val="Tahoma"/>
            <family val="2"/>
          </rPr>
          <t>&lt;[[TCDeals] - [TC Property Current Stage (Seq: 1)] - [Buildings (Seq: 41)] Acq 8609 Credit - Both]&gt;</t>
        </r>
      </text>
    </comment>
    <comment ref="C1229" authorId="0" shapeId="0" xr:uid="{E3F96AF9-D38F-4A1F-97F3-F3863D2DA5CA}">
      <text>
        <r>
          <rPr>
            <b/>
            <sz val="9"/>
            <color indexed="81"/>
            <rFont val="Tahoma"/>
            <family val="2"/>
          </rPr>
          <t>&lt;[[TCDeals] - [TC Property Current Stage (Seq: 1)] - [Buildings (Seq: 42)] BIN - Both]&gt;</t>
        </r>
      </text>
    </comment>
    <comment ref="D1229" authorId="0" shapeId="0" xr:uid="{A0976F86-5417-40AD-9299-551223DB66A7}">
      <text>
        <r>
          <rPr>
            <b/>
            <sz val="9"/>
            <color indexed="81"/>
            <rFont val="Tahoma"/>
            <family val="2"/>
          </rPr>
          <t>&lt;[[TCDeals] - [TC Property Current Stage (Seq: 1)] - [Buildings (Seq: 42)] Address 1 - Both]&gt;</t>
        </r>
      </text>
    </comment>
    <comment ref="E1229" authorId="0" shapeId="0" xr:uid="{DBBAD12E-3018-4357-9AB7-C49B3DE5D097}">
      <text>
        <r>
          <rPr>
            <b/>
            <sz val="9"/>
            <color indexed="81"/>
            <rFont val="Tahoma"/>
            <family val="2"/>
          </rPr>
          <t>&lt;[[TCDeals] - [TC Property Current Stage (Seq: 1)] - [Buildings (Seq: 42)] Num TC Units - Both]&gt;</t>
        </r>
      </text>
    </comment>
    <comment ref="F1229" authorId="0" shapeId="0" xr:uid="{827EFF57-7767-4B02-B76A-4FBA34576ADD}">
      <text>
        <r>
          <rPr>
            <b/>
            <sz val="9"/>
            <color indexed="81"/>
            <rFont val="Tahoma"/>
            <family val="2"/>
          </rPr>
          <t>&lt;[[TCDeals] - [TC Property Current Stage (Seq: 1)] - [Buildings (Seq: 42)] PVC PIS Date - Both]&gt;</t>
        </r>
      </text>
    </comment>
    <comment ref="G1229" authorId="0" shapeId="0" xr:uid="{A539B405-4907-48FF-8A0E-D4601AD1C1D5}">
      <text>
        <r>
          <rPr>
            <b/>
            <sz val="9"/>
            <color indexed="81"/>
            <rFont val="Tahoma"/>
            <family val="2"/>
          </rPr>
          <t>&lt;[[TCDeals] - [TC Property Current Stage (Seq: 1)] - [Buildings (Seq: 42)] PVC Applicable Percentage - Both]&gt;</t>
        </r>
      </text>
    </comment>
    <comment ref="H1229" authorId="0" shapeId="0" xr:uid="{16B4F818-60F2-4CB8-8F2C-61292F7C6B83}">
      <text>
        <r>
          <rPr>
            <b/>
            <sz val="9"/>
            <color indexed="81"/>
            <rFont val="Tahoma"/>
            <family val="2"/>
          </rPr>
          <t>&lt;[[TCDeals] - [TC Property Current Stage (Seq: 1)] - [Buildings (Seq: 42)] PVC Est Qual Basis - Both]&gt;</t>
        </r>
      </text>
    </comment>
    <comment ref="I1229" authorId="0" shapeId="0" xr:uid="{2D643F96-D159-4BC2-9DE6-DFFBEDCBB903}">
      <text>
        <r>
          <rPr>
            <b/>
            <sz val="9"/>
            <color indexed="81"/>
            <rFont val="Tahoma"/>
            <family val="2"/>
          </rPr>
          <t>&lt;[[TCDeals] - [TC Property Current Stage (Seq: 1)] - [Buildings (Seq: 42)] PVC8609 Basis - Both]&gt;</t>
        </r>
      </text>
    </comment>
    <comment ref="J1229" authorId="0" shapeId="0" xr:uid="{28E60FC6-C8C7-47AD-8295-275BB6DB8AD4}">
      <text>
        <r>
          <rPr>
            <b/>
            <sz val="9"/>
            <color indexed="81"/>
            <rFont val="Tahoma"/>
            <family val="2"/>
          </rPr>
          <t>&lt;[[TCDeals] - [TC Property Current Stage (Seq: 1)] - [Buildings (Seq: 42)] PVC8609 Credit - Both]&gt;</t>
        </r>
      </text>
    </comment>
    <comment ref="K1229" authorId="0" shapeId="0" xr:uid="{D0E8115F-886E-4B2F-B882-B7336A81CB66}">
      <text>
        <r>
          <rPr>
            <b/>
            <sz val="9"/>
            <color indexed="81"/>
            <rFont val="Tahoma"/>
            <family val="2"/>
          </rPr>
          <t>&lt;[[TCDeals] - [TC Property Current Stage (Seq: 1)] - [Buildings (Seq: 42)] Constr PIS Date - Both]&gt;</t>
        </r>
      </text>
    </comment>
    <comment ref="L1229" authorId="0" shapeId="0" xr:uid="{4D00FFD0-2DEB-4C85-B6AB-ECEF9237E219}">
      <text>
        <r>
          <rPr>
            <b/>
            <sz val="9"/>
            <color indexed="81"/>
            <rFont val="Tahoma"/>
            <family val="2"/>
          </rPr>
          <t>&lt;[[TCDeals] - [TC Property Current Stage (Seq: 1)] - [Buildings (Seq: 42)] Constr Applicable Percentage - Both]&gt;</t>
        </r>
      </text>
    </comment>
    <comment ref="M1229" authorId="0" shapeId="0" xr:uid="{75821250-B0DF-44AB-B158-F43910B4E31C}">
      <text>
        <r>
          <rPr>
            <b/>
            <sz val="9"/>
            <color indexed="81"/>
            <rFont val="Tahoma"/>
            <family val="2"/>
          </rPr>
          <t>&lt;[[TCDeals] - [TC Property Current Stage (Seq: 1)] - [Buildings (Seq: 42)] Constr Est Qual Basis - Both]&gt;</t>
        </r>
      </text>
    </comment>
    <comment ref="N1229" authorId="0" shapeId="0" xr:uid="{51FF8AC6-0254-46DA-9128-E9FC30401324}">
      <text>
        <r>
          <rPr>
            <b/>
            <sz val="9"/>
            <color indexed="81"/>
            <rFont val="Tahoma"/>
            <family val="2"/>
          </rPr>
          <t>&lt;[[TCDeals] - [TC Property Current Stage (Seq: 1)] - [Buildings (Seq: 42)] Constr 8609 Basis - Both]&gt;</t>
        </r>
      </text>
    </comment>
    <comment ref="O1229" authorId="0" shapeId="0" xr:uid="{BEAB2BCD-6094-4FB2-8168-EF693D5F8F30}">
      <text>
        <r>
          <rPr>
            <b/>
            <sz val="9"/>
            <color indexed="81"/>
            <rFont val="Tahoma"/>
            <family val="2"/>
          </rPr>
          <t>&lt;[[TCDeals] - [TC Property Current Stage (Seq: 1)] - [Buildings (Seq: 42)] Constr 8609 Credit - Both]&gt;</t>
        </r>
      </text>
    </comment>
    <comment ref="P1229" authorId="0" shapeId="0" xr:uid="{D1934FDA-3C26-426D-AE8C-01ABEDCB7758}">
      <text>
        <r>
          <rPr>
            <b/>
            <sz val="9"/>
            <color indexed="81"/>
            <rFont val="Tahoma"/>
            <family val="2"/>
          </rPr>
          <t>&lt;[[TCDeals] - [TC Property Current Stage (Seq: 1)] - [Buildings (Seq: 42)] Acq PIS Date - Both]&gt;</t>
        </r>
      </text>
    </comment>
    <comment ref="Q1229" authorId="0" shapeId="0" xr:uid="{2575726A-60B0-4F3E-AB04-C120ACADE627}">
      <text>
        <r>
          <rPr>
            <b/>
            <sz val="9"/>
            <color indexed="81"/>
            <rFont val="Tahoma"/>
            <family val="2"/>
          </rPr>
          <t>&lt;[[TCDeals] - [TC Property Current Stage (Seq: 1)] - [Buildings (Seq: 42)] Acq Applicable Percentage - Both]&gt;</t>
        </r>
      </text>
    </comment>
    <comment ref="R1229" authorId="0" shapeId="0" xr:uid="{1005172D-E4EF-4DD6-B802-26615C23B5CC}">
      <text>
        <r>
          <rPr>
            <b/>
            <sz val="9"/>
            <color indexed="81"/>
            <rFont val="Tahoma"/>
            <family val="2"/>
          </rPr>
          <t>&lt;[[TCDeals] - [TC Property Current Stage (Seq: 1)] - [Buildings (Seq: 42)] Acq Est Qual Basis - Both]&gt;</t>
        </r>
      </text>
    </comment>
    <comment ref="S1229" authorId="0" shapeId="0" xr:uid="{EE996078-39BF-4CC1-892A-77729BFB8087}">
      <text>
        <r>
          <rPr>
            <b/>
            <sz val="9"/>
            <color indexed="81"/>
            <rFont val="Tahoma"/>
            <family val="2"/>
          </rPr>
          <t>&lt;[[TCDeals] - [TC Property Current Stage (Seq: 1)] - [Buildings (Seq: 42)] Acq 8609 Basis - Both]&gt;</t>
        </r>
      </text>
    </comment>
    <comment ref="T1229" authorId="0" shapeId="0" xr:uid="{9B3B58F5-9A98-4251-BAC9-35A3A18CD01A}">
      <text>
        <r>
          <rPr>
            <b/>
            <sz val="9"/>
            <color indexed="81"/>
            <rFont val="Tahoma"/>
            <family val="2"/>
          </rPr>
          <t>&lt;[[TCDeals] - [TC Property Current Stage (Seq: 1)] - [Buildings (Seq: 42)] Acq 8609 Credit - Both]&gt;</t>
        </r>
      </text>
    </comment>
    <comment ref="C1230" authorId="0" shapeId="0" xr:uid="{BFDCC75C-D59D-4533-A94F-35E8F5CE299F}">
      <text>
        <r>
          <rPr>
            <b/>
            <sz val="9"/>
            <color indexed="81"/>
            <rFont val="Tahoma"/>
            <family val="2"/>
          </rPr>
          <t>&lt;[[TCDeals] - [TC Property Current Stage (Seq: 1)] - [Buildings (Seq: 43)] BIN - Both]&gt;</t>
        </r>
      </text>
    </comment>
    <comment ref="D1230" authorId="0" shapeId="0" xr:uid="{F029F212-7D8A-437A-9403-DF7AC189821C}">
      <text>
        <r>
          <rPr>
            <b/>
            <sz val="9"/>
            <color indexed="81"/>
            <rFont val="Tahoma"/>
            <family val="2"/>
          </rPr>
          <t>&lt;[[TCDeals] - [TC Property Current Stage (Seq: 1)] - [Buildings (Seq: 43)] Address 1 - Both]&gt;</t>
        </r>
      </text>
    </comment>
    <comment ref="E1230" authorId="0" shapeId="0" xr:uid="{3C620273-EDF0-4AEA-B515-5EE1A2B71C7D}">
      <text>
        <r>
          <rPr>
            <b/>
            <sz val="9"/>
            <color indexed="81"/>
            <rFont val="Tahoma"/>
            <family val="2"/>
          </rPr>
          <t>&lt;[[TCDeals] - [TC Property Current Stage (Seq: 1)] - [Buildings (Seq: 43)] Num TC Units - Both]&gt;</t>
        </r>
      </text>
    </comment>
    <comment ref="F1230" authorId="0" shapeId="0" xr:uid="{629A66A6-625D-423E-99A6-9A7774E83EF9}">
      <text>
        <r>
          <rPr>
            <b/>
            <sz val="9"/>
            <color indexed="81"/>
            <rFont val="Tahoma"/>
            <family val="2"/>
          </rPr>
          <t>&lt;[[TCDeals] - [TC Property Current Stage (Seq: 1)] - [Buildings (Seq: 43)] PVC PIS Date - Both]&gt;</t>
        </r>
      </text>
    </comment>
    <comment ref="G1230" authorId="0" shapeId="0" xr:uid="{DFF0EB24-1414-4907-9FC1-389E5E0DEA0C}">
      <text>
        <r>
          <rPr>
            <b/>
            <sz val="9"/>
            <color indexed="81"/>
            <rFont val="Tahoma"/>
            <family val="2"/>
          </rPr>
          <t>&lt;[[TCDeals] - [TC Property Current Stage (Seq: 1)] - [Buildings (Seq: 43)] PVC Applicable Percentage - Both]&gt;</t>
        </r>
      </text>
    </comment>
    <comment ref="H1230" authorId="0" shapeId="0" xr:uid="{A1B1B08D-F1A6-404E-AFC7-5A50BDAE2D73}">
      <text>
        <r>
          <rPr>
            <b/>
            <sz val="9"/>
            <color indexed="81"/>
            <rFont val="Tahoma"/>
            <family val="2"/>
          </rPr>
          <t>&lt;[[TCDeals] - [TC Property Current Stage (Seq: 1)] - [Buildings (Seq: 43)] PVC Est Qual Basis - Both]&gt;</t>
        </r>
      </text>
    </comment>
    <comment ref="I1230" authorId="0" shapeId="0" xr:uid="{27560935-4C34-454E-A23F-D1B3E731C63A}">
      <text>
        <r>
          <rPr>
            <b/>
            <sz val="9"/>
            <color indexed="81"/>
            <rFont val="Tahoma"/>
            <family val="2"/>
          </rPr>
          <t>&lt;[[TCDeals] - [TC Property Current Stage (Seq: 1)] - [Buildings (Seq: 43)] PVC8609 Basis - Both]&gt;</t>
        </r>
      </text>
    </comment>
    <comment ref="J1230" authorId="0" shapeId="0" xr:uid="{DB1BD87E-C726-4907-9D92-2559C4A0792D}">
      <text>
        <r>
          <rPr>
            <b/>
            <sz val="9"/>
            <color indexed="81"/>
            <rFont val="Tahoma"/>
            <family val="2"/>
          </rPr>
          <t>&lt;[[TCDeals] - [TC Property Current Stage (Seq: 1)] - [Buildings (Seq: 43)] PVC8609 Credit - Both]&gt;</t>
        </r>
      </text>
    </comment>
    <comment ref="K1230" authorId="0" shapeId="0" xr:uid="{9643CF8C-FCA8-4A23-AC03-DB47B1C76DED}">
      <text>
        <r>
          <rPr>
            <b/>
            <sz val="9"/>
            <color indexed="81"/>
            <rFont val="Tahoma"/>
            <family val="2"/>
          </rPr>
          <t>&lt;[[TCDeals] - [TC Property Current Stage (Seq: 1)] - [Buildings (Seq: 43)] Constr PIS Date - Both]&gt;</t>
        </r>
      </text>
    </comment>
    <comment ref="L1230" authorId="0" shapeId="0" xr:uid="{08B9547B-9327-444D-A30D-D0D7C851BAE3}">
      <text>
        <r>
          <rPr>
            <b/>
            <sz val="9"/>
            <color indexed="81"/>
            <rFont val="Tahoma"/>
            <family val="2"/>
          </rPr>
          <t>&lt;[[TCDeals] - [TC Property Current Stage (Seq: 1)] - [Buildings (Seq: 43)] Constr Applicable Percentage - Both]&gt;</t>
        </r>
      </text>
    </comment>
    <comment ref="M1230" authorId="0" shapeId="0" xr:uid="{2674305E-8FE3-4AD0-9F0B-30A637A0069D}">
      <text>
        <r>
          <rPr>
            <b/>
            <sz val="9"/>
            <color indexed="81"/>
            <rFont val="Tahoma"/>
            <family val="2"/>
          </rPr>
          <t>&lt;[[TCDeals] - [TC Property Current Stage (Seq: 1)] - [Buildings (Seq: 43)] Constr Est Qual Basis - Both]&gt;</t>
        </r>
      </text>
    </comment>
    <comment ref="N1230" authorId="0" shapeId="0" xr:uid="{C49DD285-E998-42E8-A76B-307E2B109652}">
      <text>
        <r>
          <rPr>
            <b/>
            <sz val="9"/>
            <color indexed="81"/>
            <rFont val="Tahoma"/>
            <family val="2"/>
          </rPr>
          <t>&lt;[[TCDeals] - [TC Property Current Stage (Seq: 1)] - [Buildings (Seq: 43)] Constr 8609 Basis - Both]&gt;</t>
        </r>
      </text>
    </comment>
    <comment ref="O1230" authorId="0" shapeId="0" xr:uid="{A909C2A3-0C8C-4A76-91BD-03B0EC4545BF}">
      <text>
        <r>
          <rPr>
            <b/>
            <sz val="9"/>
            <color indexed="81"/>
            <rFont val="Tahoma"/>
            <family val="2"/>
          </rPr>
          <t>&lt;[[TCDeals] - [TC Property Current Stage (Seq: 1)] - [Buildings (Seq: 43)] Constr 8609 Credit - Both]&gt;</t>
        </r>
      </text>
    </comment>
    <comment ref="P1230" authorId="0" shapeId="0" xr:uid="{64D5B13A-23C5-458D-8CA5-9613F0B6F6AC}">
      <text>
        <r>
          <rPr>
            <b/>
            <sz val="9"/>
            <color indexed="81"/>
            <rFont val="Tahoma"/>
            <family val="2"/>
          </rPr>
          <t>&lt;[[TCDeals] - [TC Property Current Stage (Seq: 1)] - [Buildings (Seq: 43)] Acq PIS Date - Both]&gt;</t>
        </r>
      </text>
    </comment>
    <comment ref="Q1230" authorId="0" shapeId="0" xr:uid="{047D7BF7-3903-46D6-B0AC-4A13DEDBD589}">
      <text>
        <r>
          <rPr>
            <b/>
            <sz val="9"/>
            <color indexed="81"/>
            <rFont val="Tahoma"/>
            <family val="2"/>
          </rPr>
          <t>&lt;[[TCDeals] - [TC Property Current Stage (Seq: 1)] - [Buildings (Seq: 43)] Acq Applicable Percentage - Both]&gt;</t>
        </r>
      </text>
    </comment>
    <comment ref="R1230" authorId="0" shapeId="0" xr:uid="{C47BACF9-B24C-41A8-AA56-FECB315893D8}">
      <text>
        <r>
          <rPr>
            <b/>
            <sz val="9"/>
            <color indexed="81"/>
            <rFont val="Tahoma"/>
            <family val="2"/>
          </rPr>
          <t>&lt;[[TCDeals] - [TC Property Current Stage (Seq: 1)] - [Buildings (Seq: 43)] Acq Est Qual Basis - Both]&gt;</t>
        </r>
      </text>
    </comment>
    <comment ref="S1230" authorId="0" shapeId="0" xr:uid="{0255C84E-47F1-454F-A94C-1F2EC5F962E3}">
      <text>
        <r>
          <rPr>
            <b/>
            <sz val="9"/>
            <color indexed="81"/>
            <rFont val="Tahoma"/>
            <family val="2"/>
          </rPr>
          <t>&lt;[[TCDeals] - [TC Property Current Stage (Seq: 1)] - [Buildings (Seq: 43)] Acq 8609 Basis - Both]&gt;</t>
        </r>
      </text>
    </comment>
    <comment ref="T1230" authorId="0" shapeId="0" xr:uid="{AC68CDAB-69A7-49CF-A009-767567B4F3E2}">
      <text>
        <r>
          <rPr>
            <b/>
            <sz val="9"/>
            <color indexed="81"/>
            <rFont val="Tahoma"/>
            <family val="2"/>
          </rPr>
          <t>&lt;[[TCDeals] - [TC Property Current Stage (Seq: 1)] - [Buildings (Seq: 43)] Acq 8609 Credit - Both]&gt;</t>
        </r>
      </text>
    </comment>
    <comment ref="C1231" authorId="0" shapeId="0" xr:uid="{ECC298C2-2823-4E13-8A34-32EDB9C9C0BA}">
      <text>
        <r>
          <rPr>
            <b/>
            <sz val="9"/>
            <color indexed="81"/>
            <rFont val="Tahoma"/>
            <family val="2"/>
          </rPr>
          <t>&lt;[[TCDeals] - [TC Property Current Stage (Seq: 1)] - [Buildings (Seq: 44)] BIN - Both]&gt;</t>
        </r>
      </text>
    </comment>
    <comment ref="D1231" authorId="0" shapeId="0" xr:uid="{49DFDF50-3999-4CE2-9554-8BC5EF084824}">
      <text>
        <r>
          <rPr>
            <b/>
            <sz val="9"/>
            <color indexed="81"/>
            <rFont val="Tahoma"/>
            <family val="2"/>
          </rPr>
          <t>&lt;[[TCDeals] - [TC Property Current Stage (Seq: 1)] - [Buildings (Seq: 44)] Address 1 - Both]&gt;</t>
        </r>
      </text>
    </comment>
    <comment ref="E1231" authorId="0" shapeId="0" xr:uid="{AC5D4B0D-CBB2-41C0-85A6-5F854338AD48}">
      <text>
        <r>
          <rPr>
            <b/>
            <sz val="9"/>
            <color indexed="81"/>
            <rFont val="Tahoma"/>
            <family val="2"/>
          </rPr>
          <t>&lt;[[TCDeals] - [TC Property Current Stage (Seq: 1)] - [Buildings (Seq: 44)] Num TC Units - Both]&gt;</t>
        </r>
      </text>
    </comment>
    <comment ref="F1231" authorId="0" shapeId="0" xr:uid="{50225843-8D4F-4D66-829C-FDA4F8D5A93F}">
      <text>
        <r>
          <rPr>
            <b/>
            <sz val="9"/>
            <color indexed="81"/>
            <rFont val="Tahoma"/>
            <family val="2"/>
          </rPr>
          <t>&lt;[[TCDeals] - [TC Property Current Stage (Seq: 1)] - [Buildings (Seq: 44)] PVC PIS Date - Both]&gt;</t>
        </r>
      </text>
    </comment>
    <comment ref="G1231" authorId="0" shapeId="0" xr:uid="{32F433CA-1B9E-4441-AA3C-6260233CCDA9}">
      <text>
        <r>
          <rPr>
            <b/>
            <sz val="9"/>
            <color indexed="81"/>
            <rFont val="Tahoma"/>
            <family val="2"/>
          </rPr>
          <t>&lt;[[TCDeals] - [TC Property Current Stage (Seq: 1)] - [Buildings (Seq: 44)] PVC Applicable Percentage - Both]&gt;</t>
        </r>
      </text>
    </comment>
    <comment ref="H1231" authorId="0" shapeId="0" xr:uid="{B0F30C04-C80B-4EC0-8189-F4CA23371D79}">
      <text>
        <r>
          <rPr>
            <b/>
            <sz val="9"/>
            <color indexed="81"/>
            <rFont val="Tahoma"/>
            <family val="2"/>
          </rPr>
          <t>&lt;[[TCDeals] - [TC Property Current Stage (Seq: 1)] - [Buildings (Seq: 44)] PVC Est Qual Basis - Both]&gt;</t>
        </r>
      </text>
    </comment>
    <comment ref="I1231" authorId="0" shapeId="0" xr:uid="{CB23246A-3A7A-4BEB-84DC-810B194045CA}">
      <text>
        <r>
          <rPr>
            <b/>
            <sz val="9"/>
            <color indexed="81"/>
            <rFont val="Tahoma"/>
            <family val="2"/>
          </rPr>
          <t>&lt;[[TCDeals] - [TC Property Current Stage (Seq: 1)] - [Buildings (Seq: 44)] PVC8609 Basis - Both]&gt;</t>
        </r>
      </text>
    </comment>
    <comment ref="J1231" authorId="0" shapeId="0" xr:uid="{FA479205-C19F-48BB-B790-B93846440BC8}">
      <text>
        <r>
          <rPr>
            <b/>
            <sz val="9"/>
            <color indexed="81"/>
            <rFont val="Tahoma"/>
            <family val="2"/>
          </rPr>
          <t>&lt;[[TCDeals] - [TC Property Current Stage (Seq: 1)] - [Buildings (Seq: 44)] PVC8609 Credit - Both]&gt;</t>
        </r>
      </text>
    </comment>
    <comment ref="K1231" authorId="0" shapeId="0" xr:uid="{AD56A374-2D32-4774-B7F0-63B5AEBE4EC8}">
      <text>
        <r>
          <rPr>
            <b/>
            <sz val="9"/>
            <color indexed="81"/>
            <rFont val="Tahoma"/>
            <family val="2"/>
          </rPr>
          <t>&lt;[[TCDeals] - [TC Property Current Stage (Seq: 1)] - [Buildings (Seq: 44)] Constr PIS Date - Both]&gt;</t>
        </r>
      </text>
    </comment>
    <comment ref="L1231" authorId="0" shapeId="0" xr:uid="{6C42375C-8A6E-4EE4-9699-6A5FE8A504E6}">
      <text>
        <r>
          <rPr>
            <b/>
            <sz val="9"/>
            <color indexed="81"/>
            <rFont val="Tahoma"/>
            <family val="2"/>
          </rPr>
          <t>&lt;[[TCDeals] - [TC Property Current Stage (Seq: 1)] - [Buildings (Seq: 44)] Constr Applicable Percentage - Both]&gt;</t>
        </r>
      </text>
    </comment>
    <comment ref="M1231" authorId="0" shapeId="0" xr:uid="{641A51FF-3646-4C70-B01B-3B55A5AEEE94}">
      <text>
        <r>
          <rPr>
            <b/>
            <sz val="9"/>
            <color indexed="81"/>
            <rFont val="Tahoma"/>
            <family val="2"/>
          </rPr>
          <t>&lt;[[TCDeals] - [TC Property Current Stage (Seq: 1)] - [Buildings (Seq: 44)] Constr Est Qual Basis - Both]&gt;</t>
        </r>
      </text>
    </comment>
    <comment ref="N1231" authorId="0" shapeId="0" xr:uid="{BEE0E6EA-83C4-4E51-A114-5D02BE9C0BD6}">
      <text>
        <r>
          <rPr>
            <b/>
            <sz val="9"/>
            <color indexed="81"/>
            <rFont val="Tahoma"/>
            <family val="2"/>
          </rPr>
          <t>&lt;[[TCDeals] - [TC Property Current Stage (Seq: 1)] - [Buildings (Seq: 44)] Constr 8609 Basis - Both]&gt;</t>
        </r>
      </text>
    </comment>
    <comment ref="O1231" authorId="0" shapeId="0" xr:uid="{233F9181-E355-4328-BDB6-7BFC97E7DAD3}">
      <text>
        <r>
          <rPr>
            <b/>
            <sz val="9"/>
            <color indexed="81"/>
            <rFont val="Tahoma"/>
            <family val="2"/>
          </rPr>
          <t>&lt;[[TCDeals] - [TC Property Current Stage (Seq: 1)] - [Buildings (Seq: 44)] Constr 8609 Credit - Both]&gt;</t>
        </r>
      </text>
    </comment>
    <comment ref="P1231" authorId="0" shapeId="0" xr:uid="{30D96D56-9317-4DFE-818E-3A6DDFD67944}">
      <text>
        <r>
          <rPr>
            <b/>
            <sz val="9"/>
            <color indexed="81"/>
            <rFont val="Tahoma"/>
            <family val="2"/>
          </rPr>
          <t>&lt;[[TCDeals] - [TC Property Current Stage (Seq: 1)] - [Buildings (Seq: 44)] Acq PIS Date - Both]&gt;</t>
        </r>
      </text>
    </comment>
    <comment ref="Q1231" authorId="0" shapeId="0" xr:uid="{7192D304-2584-47A8-943E-59F3B061217C}">
      <text>
        <r>
          <rPr>
            <b/>
            <sz val="9"/>
            <color indexed="81"/>
            <rFont val="Tahoma"/>
            <family val="2"/>
          </rPr>
          <t>&lt;[[TCDeals] - [TC Property Current Stage (Seq: 1)] - [Buildings (Seq: 44)] Acq Applicable Percentage - Both]&gt;</t>
        </r>
      </text>
    </comment>
    <comment ref="R1231" authorId="0" shapeId="0" xr:uid="{CB4F514C-DF12-4BAE-BB47-688E53370373}">
      <text>
        <r>
          <rPr>
            <b/>
            <sz val="9"/>
            <color indexed="81"/>
            <rFont val="Tahoma"/>
            <family val="2"/>
          </rPr>
          <t>&lt;[[TCDeals] - [TC Property Current Stage (Seq: 1)] - [Buildings (Seq: 44)] Acq Est Qual Basis - Both]&gt;</t>
        </r>
      </text>
    </comment>
    <comment ref="S1231" authorId="0" shapeId="0" xr:uid="{56C3ACA1-FA09-474D-A18C-7466E7F5B9BE}">
      <text>
        <r>
          <rPr>
            <b/>
            <sz val="9"/>
            <color indexed="81"/>
            <rFont val="Tahoma"/>
            <family val="2"/>
          </rPr>
          <t>&lt;[[TCDeals] - [TC Property Current Stage (Seq: 1)] - [Buildings (Seq: 44)] Acq 8609 Basis - Both]&gt;</t>
        </r>
      </text>
    </comment>
    <comment ref="T1231" authorId="0" shapeId="0" xr:uid="{46BAE3E7-9338-493A-B867-796ED5412384}">
      <text>
        <r>
          <rPr>
            <b/>
            <sz val="9"/>
            <color indexed="81"/>
            <rFont val="Tahoma"/>
            <family val="2"/>
          </rPr>
          <t>&lt;[[TCDeals] - [TC Property Current Stage (Seq: 1)] - [Buildings (Seq: 44)] Acq 8609 Credit - Both]&gt;</t>
        </r>
      </text>
    </comment>
    <comment ref="C1232" authorId="0" shapeId="0" xr:uid="{3244DDE8-1E40-4F3D-BE3C-DE4263EFF599}">
      <text>
        <r>
          <rPr>
            <b/>
            <sz val="9"/>
            <color indexed="81"/>
            <rFont val="Tahoma"/>
            <family val="2"/>
          </rPr>
          <t>&lt;[[TCDeals] - [TC Property Current Stage (Seq: 1)] - [Buildings (Seq: 45)] BIN - Both]&gt;</t>
        </r>
      </text>
    </comment>
    <comment ref="D1232" authorId="0" shapeId="0" xr:uid="{227EEFD8-B055-4AD7-B1B3-4ABED12931A3}">
      <text>
        <r>
          <rPr>
            <b/>
            <sz val="9"/>
            <color indexed="81"/>
            <rFont val="Tahoma"/>
            <family val="2"/>
          </rPr>
          <t>&lt;[[TCDeals] - [TC Property Current Stage (Seq: 1)] - [Buildings (Seq: 45)] Address 1 - Both]&gt;</t>
        </r>
      </text>
    </comment>
    <comment ref="E1232" authorId="0" shapeId="0" xr:uid="{367E319A-A955-4798-8D40-5887B47558E1}">
      <text>
        <r>
          <rPr>
            <b/>
            <sz val="9"/>
            <color indexed="81"/>
            <rFont val="Tahoma"/>
            <family val="2"/>
          </rPr>
          <t>&lt;[[TCDeals] - [TC Property Current Stage (Seq: 1)] - [Buildings (Seq: 45)] Num TC Units - Both]&gt;</t>
        </r>
      </text>
    </comment>
    <comment ref="F1232" authorId="0" shapeId="0" xr:uid="{27C6BEDF-B679-4E1F-8C72-73B6751020C9}">
      <text>
        <r>
          <rPr>
            <b/>
            <sz val="9"/>
            <color indexed="81"/>
            <rFont val="Tahoma"/>
            <family val="2"/>
          </rPr>
          <t>&lt;[[TCDeals] - [TC Property Current Stage (Seq: 1)] - [Buildings (Seq: 45)] PVC PIS Date - Both]&gt;</t>
        </r>
      </text>
    </comment>
    <comment ref="G1232" authorId="0" shapeId="0" xr:uid="{AEE97241-6F33-4137-9386-C5B1445CE837}">
      <text>
        <r>
          <rPr>
            <b/>
            <sz val="9"/>
            <color indexed="81"/>
            <rFont val="Tahoma"/>
            <family val="2"/>
          </rPr>
          <t>&lt;[[TCDeals] - [TC Property Current Stage (Seq: 1)] - [Buildings (Seq: 45)] PVC Applicable Percentage - Both]&gt;</t>
        </r>
      </text>
    </comment>
    <comment ref="H1232" authorId="0" shapeId="0" xr:uid="{0C89B100-12BD-4EC2-A836-0B346BF6B810}">
      <text>
        <r>
          <rPr>
            <b/>
            <sz val="9"/>
            <color indexed="81"/>
            <rFont val="Tahoma"/>
            <family val="2"/>
          </rPr>
          <t>&lt;[[TCDeals] - [TC Property Current Stage (Seq: 1)] - [Buildings (Seq: 45)] PVC Est Qual Basis - Both]&gt;</t>
        </r>
      </text>
    </comment>
    <comment ref="I1232" authorId="0" shapeId="0" xr:uid="{48371D50-37BF-4FBC-9AD9-30F7DB8C75EC}">
      <text>
        <r>
          <rPr>
            <b/>
            <sz val="9"/>
            <color indexed="81"/>
            <rFont val="Tahoma"/>
            <family val="2"/>
          </rPr>
          <t>&lt;[[TCDeals] - [TC Property Current Stage (Seq: 1)] - [Buildings (Seq: 45)] PVC8609 Basis - Both]&gt;</t>
        </r>
      </text>
    </comment>
    <comment ref="J1232" authorId="0" shapeId="0" xr:uid="{C07C2747-3988-40E7-B804-A6025DB32D0C}">
      <text>
        <r>
          <rPr>
            <b/>
            <sz val="9"/>
            <color indexed="81"/>
            <rFont val="Tahoma"/>
            <family val="2"/>
          </rPr>
          <t>&lt;[[TCDeals] - [TC Property Current Stage (Seq: 1)] - [Buildings (Seq: 45)] PVC8609 Credit - Both]&gt;</t>
        </r>
      </text>
    </comment>
    <comment ref="K1232" authorId="0" shapeId="0" xr:uid="{F12A4F51-20C0-43F4-95E9-A90573B04230}">
      <text>
        <r>
          <rPr>
            <b/>
            <sz val="9"/>
            <color indexed="81"/>
            <rFont val="Tahoma"/>
            <family val="2"/>
          </rPr>
          <t>&lt;[[TCDeals] - [TC Property Current Stage (Seq: 1)] - [Buildings (Seq: 45)] Constr PIS Date - Both]&gt;</t>
        </r>
      </text>
    </comment>
    <comment ref="L1232" authorId="0" shapeId="0" xr:uid="{445825F0-CA34-4597-9207-C6F4CBCA2942}">
      <text>
        <r>
          <rPr>
            <b/>
            <sz val="9"/>
            <color indexed="81"/>
            <rFont val="Tahoma"/>
            <family val="2"/>
          </rPr>
          <t>&lt;[[TCDeals] - [TC Property Current Stage (Seq: 1)] - [Buildings (Seq: 45)] Constr Applicable Percentage - Both]&gt;</t>
        </r>
      </text>
    </comment>
    <comment ref="M1232" authorId="0" shapeId="0" xr:uid="{FAB196EC-6B34-43A6-A074-A960DB574116}">
      <text>
        <r>
          <rPr>
            <b/>
            <sz val="9"/>
            <color indexed="81"/>
            <rFont val="Tahoma"/>
            <family val="2"/>
          </rPr>
          <t>&lt;[[TCDeals] - [TC Property Current Stage (Seq: 1)] - [Buildings (Seq: 45)] Constr Est Qual Basis - Both]&gt;</t>
        </r>
      </text>
    </comment>
    <comment ref="N1232" authorId="0" shapeId="0" xr:uid="{2C5F316B-80F4-426E-8163-CFFF70A391BC}">
      <text>
        <r>
          <rPr>
            <b/>
            <sz val="9"/>
            <color indexed="81"/>
            <rFont val="Tahoma"/>
            <family val="2"/>
          </rPr>
          <t>&lt;[[TCDeals] - [TC Property Current Stage (Seq: 1)] - [Buildings (Seq: 45)] Constr 8609 Basis - Both]&gt;</t>
        </r>
      </text>
    </comment>
    <comment ref="O1232" authorId="0" shapeId="0" xr:uid="{DA9FF7A8-BBC6-4614-8F57-2B459A471405}">
      <text>
        <r>
          <rPr>
            <b/>
            <sz val="9"/>
            <color indexed="81"/>
            <rFont val="Tahoma"/>
            <family val="2"/>
          </rPr>
          <t>&lt;[[TCDeals] - [TC Property Current Stage (Seq: 1)] - [Buildings (Seq: 45)] Constr 8609 Credit - Both]&gt;</t>
        </r>
      </text>
    </comment>
    <comment ref="P1232" authorId="0" shapeId="0" xr:uid="{4B0420A5-F76A-48BA-ACE1-9361BACF2281}">
      <text>
        <r>
          <rPr>
            <b/>
            <sz val="9"/>
            <color indexed="81"/>
            <rFont val="Tahoma"/>
            <family val="2"/>
          </rPr>
          <t>&lt;[[TCDeals] - [TC Property Current Stage (Seq: 1)] - [Buildings (Seq: 45)] Acq PIS Date - Both]&gt;</t>
        </r>
      </text>
    </comment>
    <comment ref="Q1232" authorId="0" shapeId="0" xr:uid="{3DA18420-2E84-4B2E-A4CB-6AB0CF400BF5}">
      <text>
        <r>
          <rPr>
            <b/>
            <sz val="9"/>
            <color indexed="81"/>
            <rFont val="Tahoma"/>
            <family val="2"/>
          </rPr>
          <t>&lt;[[TCDeals] - [TC Property Current Stage (Seq: 1)] - [Buildings (Seq: 45)] Acq Applicable Percentage - Both]&gt;</t>
        </r>
      </text>
    </comment>
    <comment ref="R1232" authorId="0" shapeId="0" xr:uid="{7C0358E6-C615-4FDD-A9BC-0AE79DCB6AED}">
      <text>
        <r>
          <rPr>
            <b/>
            <sz val="9"/>
            <color indexed="81"/>
            <rFont val="Tahoma"/>
            <family val="2"/>
          </rPr>
          <t>&lt;[[TCDeals] - [TC Property Current Stage (Seq: 1)] - [Buildings (Seq: 45)] Acq Est Qual Basis - Both]&gt;</t>
        </r>
      </text>
    </comment>
    <comment ref="S1232" authorId="0" shapeId="0" xr:uid="{BA71EF58-740D-4519-89B1-B20F384080B6}">
      <text>
        <r>
          <rPr>
            <b/>
            <sz val="9"/>
            <color indexed="81"/>
            <rFont val="Tahoma"/>
            <family val="2"/>
          </rPr>
          <t>&lt;[[TCDeals] - [TC Property Current Stage (Seq: 1)] - [Buildings (Seq: 45)] Acq 8609 Basis - Both]&gt;</t>
        </r>
      </text>
    </comment>
    <comment ref="T1232" authorId="0" shapeId="0" xr:uid="{FF84004E-2370-45C9-BF30-869BE4334CE9}">
      <text>
        <r>
          <rPr>
            <b/>
            <sz val="9"/>
            <color indexed="81"/>
            <rFont val="Tahoma"/>
            <family val="2"/>
          </rPr>
          <t>&lt;[[TCDeals] - [TC Property Current Stage (Seq: 1)] - [Buildings (Seq: 45)] Acq 8609 Credit - Both]&gt;</t>
        </r>
      </text>
    </comment>
    <comment ref="C1233" authorId="0" shapeId="0" xr:uid="{BD2202C1-B0B6-434F-AA9A-1A6118120B42}">
      <text>
        <r>
          <rPr>
            <b/>
            <sz val="9"/>
            <color indexed="81"/>
            <rFont val="Tahoma"/>
            <family val="2"/>
          </rPr>
          <t>&lt;[[TCDeals] - [TC Property Current Stage (Seq: 1)] - [Buildings (Seq: 46)] BIN - Both]&gt;</t>
        </r>
      </text>
    </comment>
    <comment ref="D1233" authorId="0" shapeId="0" xr:uid="{DA85CC15-6284-45E3-ACC6-73A25BB6C6E8}">
      <text>
        <r>
          <rPr>
            <b/>
            <sz val="9"/>
            <color indexed="81"/>
            <rFont val="Tahoma"/>
            <family val="2"/>
          </rPr>
          <t>&lt;[[TCDeals] - [TC Property Current Stage (Seq: 1)] - [Buildings (Seq: 46)] Address 1 - Both]&gt;</t>
        </r>
      </text>
    </comment>
    <comment ref="E1233" authorId="0" shapeId="0" xr:uid="{C133C27A-BE60-4D05-9326-CC028798F483}">
      <text>
        <r>
          <rPr>
            <b/>
            <sz val="9"/>
            <color indexed="81"/>
            <rFont val="Tahoma"/>
            <family val="2"/>
          </rPr>
          <t>&lt;[[TCDeals] - [TC Property Current Stage (Seq: 1)] - [Buildings (Seq: 46)] Num TC Units - Both]&gt;</t>
        </r>
      </text>
    </comment>
    <comment ref="F1233" authorId="0" shapeId="0" xr:uid="{68B1FC3B-782D-44F9-BA17-0B8B009096A7}">
      <text>
        <r>
          <rPr>
            <b/>
            <sz val="9"/>
            <color indexed="81"/>
            <rFont val="Tahoma"/>
            <family val="2"/>
          </rPr>
          <t>&lt;[[TCDeals] - [TC Property Current Stage (Seq: 1)] - [Buildings (Seq: 46)] PVC PIS Date - Both]&gt;</t>
        </r>
      </text>
    </comment>
    <comment ref="G1233" authorId="0" shapeId="0" xr:uid="{B01C200C-B1D6-4DB1-8B30-03715FE576F4}">
      <text>
        <r>
          <rPr>
            <b/>
            <sz val="9"/>
            <color indexed="81"/>
            <rFont val="Tahoma"/>
            <family val="2"/>
          </rPr>
          <t>&lt;[[TCDeals] - [TC Property Current Stage (Seq: 1)] - [Buildings (Seq: 46)] PVC Applicable Percentage - Both]&gt;</t>
        </r>
      </text>
    </comment>
    <comment ref="H1233" authorId="0" shapeId="0" xr:uid="{461CA9A8-FCC4-4981-A991-CAFBD10934B3}">
      <text>
        <r>
          <rPr>
            <b/>
            <sz val="9"/>
            <color indexed="81"/>
            <rFont val="Tahoma"/>
            <family val="2"/>
          </rPr>
          <t>&lt;[[TCDeals] - [TC Property Current Stage (Seq: 1)] - [Buildings (Seq: 46)] PVC Est Qual Basis - Both]&gt;</t>
        </r>
      </text>
    </comment>
    <comment ref="I1233" authorId="0" shapeId="0" xr:uid="{A1E03269-D8B5-4E3E-9361-5D2A34A21591}">
      <text>
        <r>
          <rPr>
            <b/>
            <sz val="9"/>
            <color indexed="81"/>
            <rFont val="Tahoma"/>
            <family val="2"/>
          </rPr>
          <t>&lt;[[TCDeals] - [TC Property Current Stage (Seq: 1)] - [Buildings (Seq: 46)] PVC8609 Basis - Both]&gt;</t>
        </r>
      </text>
    </comment>
    <comment ref="J1233" authorId="0" shapeId="0" xr:uid="{3618E423-137C-4D65-B7C7-295B97266999}">
      <text>
        <r>
          <rPr>
            <b/>
            <sz val="9"/>
            <color indexed="81"/>
            <rFont val="Tahoma"/>
            <family val="2"/>
          </rPr>
          <t>&lt;[[TCDeals] - [TC Property Current Stage (Seq: 1)] - [Buildings (Seq: 46)] PVC8609 Credit - Both]&gt;</t>
        </r>
      </text>
    </comment>
    <comment ref="K1233" authorId="0" shapeId="0" xr:uid="{B5E8F123-D55F-4959-8871-974DC860D6CA}">
      <text>
        <r>
          <rPr>
            <b/>
            <sz val="9"/>
            <color indexed="81"/>
            <rFont val="Tahoma"/>
            <family val="2"/>
          </rPr>
          <t>&lt;[[TCDeals] - [TC Property Current Stage (Seq: 1)] - [Buildings (Seq: 46)] Constr PIS Date - Both]&gt;</t>
        </r>
      </text>
    </comment>
    <comment ref="L1233" authorId="0" shapeId="0" xr:uid="{F4A6870A-DB1B-4543-AEF6-428413EBCE3E}">
      <text>
        <r>
          <rPr>
            <b/>
            <sz val="9"/>
            <color indexed="81"/>
            <rFont val="Tahoma"/>
            <family val="2"/>
          </rPr>
          <t>&lt;[[TCDeals] - [TC Property Current Stage (Seq: 1)] - [Buildings (Seq: 46)] Constr Applicable Percentage - Both]&gt;</t>
        </r>
      </text>
    </comment>
    <comment ref="M1233" authorId="0" shapeId="0" xr:uid="{86BBD887-17C0-4382-A875-B52CB3357E39}">
      <text>
        <r>
          <rPr>
            <b/>
            <sz val="9"/>
            <color indexed="81"/>
            <rFont val="Tahoma"/>
            <family val="2"/>
          </rPr>
          <t>&lt;[[TCDeals] - [TC Property Current Stage (Seq: 1)] - [Buildings (Seq: 46)] Constr Est Qual Basis - Both]&gt;</t>
        </r>
      </text>
    </comment>
    <comment ref="N1233" authorId="0" shapeId="0" xr:uid="{792C7B4E-967B-4CBF-A25E-A8E5A2FDD661}">
      <text>
        <r>
          <rPr>
            <b/>
            <sz val="9"/>
            <color indexed="81"/>
            <rFont val="Tahoma"/>
            <family val="2"/>
          </rPr>
          <t>&lt;[[TCDeals] - [TC Property Current Stage (Seq: 1)] - [Buildings (Seq: 46)] Constr 8609 Basis - Both]&gt;</t>
        </r>
      </text>
    </comment>
    <comment ref="O1233" authorId="0" shapeId="0" xr:uid="{ABF1C47C-222E-4CBC-80FC-F66C7366A94E}">
      <text>
        <r>
          <rPr>
            <b/>
            <sz val="9"/>
            <color indexed="81"/>
            <rFont val="Tahoma"/>
            <family val="2"/>
          </rPr>
          <t>&lt;[[TCDeals] - [TC Property Current Stage (Seq: 1)] - [Buildings (Seq: 46)] Constr 8609 Credit - Both]&gt;</t>
        </r>
      </text>
    </comment>
    <comment ref="P1233" authorId="0" shapeId="0" xr:uid="{6DD682D2-04EA-4A1A-A3F4-C59CBE141FBA}">
      <text>
        <r>
          <rPr>
            <b/>
            <sz val="9"/>
            <color indexed="81"/>
            <rFont val="Tahoma"/>
            <family val="2"/>
          </rPr>
          <t>&lt;[[TCDeals] - [TC Property Current Stage (Seq: 1)] - [Buildings (Seq: 46)] Acq PIS Date - Both]&gt;</t>
        </r>
      </text>
    </comment>
    <comment ref="Q1233" authorId="0" shapeId="0" xr:uid="{588E0DB0-EBA0-4642-A397-CB55437FA4CE}">
      <text>
        <r>
          <rPr>
            <b/>
            <sz val="9"/>
            <color indexed="81"/>
            <rFont val="Tahoma"/>
            <family val="2"/>
          </rPr>
          <t>&lt;[[TCDeals] - [TC Property Current Stage (Seq: 1)] - [Buildings (Seq: 46)] Acq Applicable Percentage - Both]&gt;</t>
        </r>
      </text>
    </comment>
    <comment ref="R1233" authorId="0" shapeId="0" xr:uid="{2FC2B3F0-1DBE-43F7-B319-1E0EBE28A895}">
      <text>
        <r>
          <rPr>
            <b/>
            <sz val="9"/>
            <color indexed="81"/>
            <rFont val="Tahoma"/>
            <family val="2"/>
          </rPr>
          <t>&lt;[[TCDeals] - [TC Property Current Stage (Seq: 1)] - [Buildings (Seq: 46)] Acq Est Qual Basis - Both]&gt;</t>
        </r>
      </text>
    </comment>
    <comment ref="S1233" authorId="0" shapeId="0" xr:uid="{247C33BF-388C-4A12-8495-9AEFE9E5164A}">
      <text>
        <r>
          <rPr>
            <b/>
            <sz val="9"/>
            <color indexed="81"/>
            <rFont val="Tahoma"/>
            <family val="2"/>
          </rPr>
          <t>&lt;[[TCDeals] - [TC Property Current Stage (Seq: 1)] - [Buildings (Seq: 46)] Acq 8609 Basis - Both]&gt;</t>
        </r>
      </text>
    </comment>
    <comment ref="T1233" authorId="0" shapeId="0" xr:uid="{7A7933E8-D9B7-4AD6-9BFF-361EAE82C925}">
      <text>
        <r>
          <rPr>
            <b/>
            <sz val="9"/>
            <color indexed="81"/>
            <rFont val="Tahoma"/>
            <family val="2"/>
          </rPr>
          <t>&lt;[[TCDeals] - [TC Property Current Stage (Seq: 1)] - [Buildings (Seq: 46)] Acq 8609 Credit - Both]&gt;</t>
        </r>
      </text>
    </comment>
    <comment ref="C1234" authorId="0" shapeId="0" xr:uid="{CA5DBBF6-8F06-452C-8BF1-73B240022936}">
      <text>
        <r>
          <rPr>
            <b/>
            <sz val="9"/>
            <color indexed="81"/>
            <rFont val="Tahoma"/>
            <family val="2"/>
          </rPr>
          <t>&lt;[[TCDeals] - [TC Property Current Stage (Seq: 1)] - [Buildings (Seq: 47)] BIN - Both]&gt;</t>
        </r>
      </text>
    </comment>
    <comment ref="D1234" authorId="0" shapeId="0" xr:uid="{219F7B92-B01B-49E0-8D1C-B5E4A264A7FE}">
      <text>
        <r>
          <rPr>
            <b/>
            <sz val="9"/>
            <color indexed="81"/>
            <rFont val="Tahoma"/>
            <family val="2"/>
          </rPr>
          <t>&lt;[[TCDeals] - [TC Property Current Stage (Seq: 1)] - [Buildings (Seq: 47)] Address 1 - Both]&gt;</t>
        </r>
      </text>
    </comment>
    <comment ref="E1234" authorId="0" shapeId="0" xr:uid="{52F0BB65-47A0-4E3A-ABCF-C2BD4C94B317}">
      <text>
        <r>
          <rPr>
            <b/>
            <sz val="9"/>
            <color indexed="81"/>
            <rFont val="Tahoma"/>
            <family val="2"/>
          </rPr>
          <t>&lt;[[TCDeals] - [TC Property Current Stage (Seq: 1)] - [Buildings (Seq: 47)] Num TC Units - Both]&gt;</t>
        </r>
      </text>
    </comment>
    <comment ref="F1234" authorId="0" shapeId="0" xr:uid="{423B87E1-3103-41C3-AA8B-C31930CEDE5A}">
      <text>
        <r>
          <rPr>
            <b/>
            <sz val="9"/>
            <color indexed="81"/>
            <rFont val="Tahoma"/>
            <family val="2"/>
          </rPr>
          <t>&lt;[[TCDeals] - [TC Property Current Stage (Seq: 1)] - [Buildings (Seq: 47)] PVC PIS Date - Both]&gt;</t>
        </r>
      </text>
    </comment>
    <comment ref="G1234" authorId="0" shapeId="0" xr:uid="{C27AEF75-F1FC-4CD7-BDF2-A6DFA4967D7E}">
      <text>
        <r>
          <rPr>
            <b/>
            <sz val="9"/>
            <color indexed="81"/>
            <rFont val="Tahoma"/>
            <family val="2"/>
          </rPr>
          <t>&lt;[[TCDeals] - [TC Property Current Stage (Seq: 1)] - [Buildings (Seq: 47)] PVC Applicable Percentage - Both]&gt;</t>
        </r>
      </text>
    </comment>
    <comment ref="H1234" authorId="0" shapeId="0" xr:uid="{33D681E5-1F6E-42F4-83D7-01A40E74A9B6}">
      <text>
        <r>
          <rPr>
            <b/>
            <sz val="9"/>
            <color indexed="81"/>
            <rFont val="Tahoma"/>
            <family val="2"/>
          </rPr>
          <t>&lt;[[TCDeals] - [TC Property Current Stage (Seq: 1)] - [Buildings (Seq: 47)] PVC Est Qual Basis - Both]&gt;</t>
        </r>
      </text>
    </comment>
    <comment ref="I1234" authorId="0" shapeId="0" xr:uid="{E5BA322F-41C7-4EB4-9417-0FCCDF082B72}">
      <text>
        <r>
          <rPr>
            <b/>
            <sz val="9"/>
            <color indexed="81"/>
            <rFont val="Tahoma"/>
            <family val="2"/>
          </rPr>
          <t>&lt;[[TCDeals] - [TC Property Current Stage (Seq: 1)] - [Buildings (Seq: 47)] PVC8609 Basis - Both]&gt;</t>
        </r>
      </text>
    </comment>
    <comment ref="J1234" authorId="0" shapeId="0" xr:uid="{7FF9EDDB-AD08-4066-9F2E-FB6FF14F3CD4}">
      <text>
        <r>
          <rPr>
            <b/>
            <sz val="9"/>
            <color indexed="81"/>
            <rFont val="Tahoma"/>
            <family val="2"/>
          </rPr>
          <t>&lt;[[TCDeals] - [TC Property Current Stage (Seq: 1)] - [Buildings (Seq: 47)] PVC8609 Credit - Both]&gt;</t>
        </r>
      </text>
    </comment>
    <comment ref="K1234" authorId="0" shapeId="0" xr:uid="{33CA4F59-71B8-47BC-85C1-5A13CB90998B}">
      <text>
        <r>
          <rPr>
            <b/>
            <sz val="9"/>
            <color indexed="81"/>
            <rFont val="Tahoma"/>
            <family val="2"/>
          </rPr>
          <t>&lt;[[TCDeals] - [TC Property Current Stage (Seq: 1)] - [Buildings (Seq: 47)] Constr PIS Date - Both]&gt;</t>
        </r>
      </text>
    </comment>
    <comment ref="L1234" authorId="0" shapeId="0" xr:uid="{ED062EC1-D555-483E-B74A-E68A1A317CB6}">
      <text>
        <r>
          <rPr>
            <b/>
            <sz val="9"/>
            <color indexed="81"/>
            <rFont val="Tahoma"/>
            <family val="2"/>
          </rPr>
          <t>&lt;[[TCDeals] - [TC Property Current Stage (Seq: 1)] - [Buildings (Seq: 47)] Constr Applicable Percentage - Both]&gt;</t>
        </r>
      </text>
    </comment>
    <comment ref="M1234" authorId="0" shapeId="0" xr:uid="{BEFFF2E2-1033-409D-9328-E77E0CE3D4A4}">
      <text>
        <r>
          <rPr>
            <b/>
            <sz val="9"/>
            <color indexed="81"/>
            <rFont val="Tahoma"/>
            <family val="2"/>
          </rPr>
          <t>&lt;[[TCDeals] - [TC Property Current Stage (Seq: 1)] - [Buildings (Seq: 47)] Constr Est Qual Basis - Both]&gt;</t>
        </r>
      </text>
    </comment>
    <comment ref="N1234" authorId="0" shapeId="0" xr:uid="{ACE601AA-6FF7-4D06-9C67-29158C7731A2}">
      <text>
        <r>
          <rPr>
            <b/>
            <sz val="9"/>
            <color indexed="81"/>
            <rFont val="Tahoma"/>
            <family val="2"/>
          </rPr>
          <t>&lt;[[TCDeals] - [TC Property Current Stage (Seq: 1)] - [Buildings (Seq: 47)] Constr 8609 Basis - Both]&gt;</t>
        </r>
      </text>
    </comment>
    <comment ref="O1234" authorId="0" shapeId="0" xr:uid="{553F63F1-81D2-4772-8816-4C30A51F2F18}">
      <text>
        <r>
          <rPr>
            <b/>
            <sz val="9"/>
            <color indexed="81"/>
            <rFont val="Tahoma"/>
            <family val="2"/>
          </rPr>
          <t>&lt;[[TCDeals] - [TC Property Current Stage (Seq: 1)] - [Buildings (Seq: 47)] Constr 8609 Credit - Both]&gt;</t>
        </r>
      </text>
    </comment>
    <comment ref="P1234" authorId="0" shapeId="0" xr:uid="{09A8706C-5CF6-40F9-9A2C-F439E8FEA651}">
      <text>
        <r>
          <rPr>
            <b/>
            <sz val="9"/>
            <color indexed="81"/>
            <rFont val="Tahoma"/>
            <family val="2"/>
          </rPr>
          <t>&lt;[[TCDeals] - [TC Property Current Stage (Seq: 1)] - [Buildings (Seq: 47)] Acq PIS Date - Both]&gt;</t>
        </r>
      </text>
    </comment>
    <comment ref="Q1234" authorId="0" shapeId="0" xr:uid="{C22CBEA3-5CE1-40D1-8A40-27F64B7B6552}">
      <text>
        <r>
          <rPr>
            <b/>
            <sz val="9"/>
            <color indexed="81"/>
            <rFont val="Tahoma"/>
            <family val="2"/>
          </rPr>
          <t>&lt;[[TCDeals] - [TC Property Current Stage (Seq: 1)] - [Buildings (Seq: 47)] Acq Applicable Percentage - Both]&gt;</t>
        </r>
      </text>
    </comment>
    <comment ref="R1234" authorId="0" shapeId="0" xr:uid="{76B0ABC1-8651-4CD2-8380-811708F1CA2C}">
      <text>
        <r>
          <rPr>
            <b/>
            <sz val="9"/>
            <color indexed="81"/>
            <rFont val="Tahoma"/>
            <family val="2"/>
          </rPr>
          <t>&lt;[[TCDeals] - [TC Property Current Stage (Seq: 1)] - [Buildings (Seq: 47)] Acq Est Qual Basis - Both]&gt;</t>
        </r>
      </text>
    </comment>
    <comment ref="S1234" authorId="0" shapeId="0" xr:uid="{87D0E359-FF0C-46E3-89F2-DF69EEEE48C4}">
      <text>
        <r>
          <rPr>
            <b/>
            <sz val="9"/>
            <color indexed="81"/>
            <rFont val="Tahoma"/>
            <family val="2"/>
          </rPr>
          <t>&lt;[[TCDeals] - [TC Property Current Stage (Seq: 1)] - [Buildings (Seq: 47)] Acq 8609 Basis - Both]&gt;</t>
        </r>
      </text>
    </comment>
    <comment ref="T1234" authorId="0" shapeId="0" xr:uid="{D097916A-02B5-4D88-A72A-0ED9A7DB487B}">
      <text>
        <r>
          <rPr>
            <b/>
            <sz val="9"/>
            <color indexed="81"/>
            <rFont val="Tahoma"/>
            <family val="2"/>
          </rPr>
          <t>&lt;[[TCDeals] - [TC Property Current Stage (Seq: 1)] - [Buildings (Seq: 47)] Acq 8609 Credit - Both]&gt;</t>
        </r>
      </text>
    </comment>
    <comment ref="C1235" authorId="0" shapeId="0" xr:uid="{7A56C8F9-209A-47BB-85FD-07F6EBA7DDB6}">
      <text>
        <r>
          <rPr>
            <b/>
            <sz val="9"/>
            <color indexed="81"/>
            <rFont val="Tahoma"/>
            <family val="2"/>
          </rPr>
          <t>&lt;[[TCDeals] - [TC Property Current Stage (Seq: 1)] - [Buildings (Seq: 48)] BIN - Both]&gt;</t>
        </r>
      </text>
    </comment>
    <comment ref="D1235" authorId="0" shapeId="0" xr:uid="{F07E5DE6-3385-4C48-946F-252AD13BBC10}">
      <text>
        <r>
          <rPr>
            <b/>
            <sz val="9"/>
            <color indexed="81"/>
            <rFont val="Tahoma"/>
            <family val="2"/>
          </rPr>
          <t>&lt;[[TCDeals] - [TC Property Current Stage (Seq: 1)] - [Buildings (Seq: 48)] Address 1 - Both]&gt;</t>
        </r>
      </text>
    </comment>
    <comment ref="E1235" authorId="0" shapeId="0" xr:uid="{4420A2D6-ED59-4652-9627-7CFE9752E529}">
      <text>
        <r>
          <rPr>
            <b/>
            <sz val="9"/>
            <color indexed="81"/>
            <rFont val="Tahoma"/>
            <family val="2"/>
          </rPr>
          <t>&lt;[[TCDeals] - [TC Property Current Stage (Seq: 1)] - [Buildings (Seq: 48)] Num TC Units - Both]&gt;</t>
        </r>
      </text>
    </comment>
    <comment ref="F1235" authorId="0" shapeId="0" xr:uid="{F1A020E2-1D14-4FDE-9ECD-5A658E0FCC45}">
      <text>
        <r>
          <rPr>
            <b/>
            <sz val="9"/>
            <color indexed="81"/>
            <rFont val="Tahoma"/>
            <family val="2"/>
          </rPr>
          <t>&lt;[[TCDeals] - [TC Property Current Stage (Seq: 1)] - [Buildings (Seq: 48)] PVC PIS Date - Both]&gt;</t>
        </r>
      </text>
    </comment>
    <comment ref="G1235" authorId="0" shapeId="0" xr:uid="{F8833547-0704-4FDA-ABF0-831EEC054B0D}">
      <text>
        <r>
          <rPr>
            <b/>
            <sz val="9"/>
            <color indexed="81"/>
            <rFont val="Tahoma"/>
            <family val="2"/>
          </rPr>
          <t>&lt;[[TCDeals] - [TC Property Current Stage (Seq: 1)] - [Buildings (Seq: 48)] PVC Applicable Percentage - Both]&gt;</t>
        </r>
      </text>
    </comment>
    <comment ref="H1235" authorId="0" shapeId="0" xr:uid="{5B79F1BE-31D9-40C3-8E30-C2C079B18172}">
      <text>
        <r>
          <rPr>
            <b/>
            <sz val="9"/>
            <color indexed="81"/>
            <rFont val="Tahoma"/>
            <family val="2"/>
          </rPr>
          <t>&lt;[[TCDeals] - [TC Property Current Stage (Seq: 1)] - [Buildings (Seq: 48)] PVC Est Qual Basis - Both]&gt;</t>
        </r>
      </text>
    </comment>
    <comment ref="I1235" authorId="0" shapeId="0" xr:uid="{BA96DD99-3E1F-4523-BDF9-6E9046F1AFC7}">
      <text>
        <r>
          <rPr>
            <b/>
            <sz val="9"/>
            <color indexed="81"/>
            <rFont val="Tahoma"/>
            <family val="2"/>
          </rPr>
          <t>&lt;[[TCDeals] - [TC Property Current Stage (Seq: 1)] - [Buildings (Seq: 48)] PVC8609 Basis - Both]&gt;</t>
        </r>
      </text>
    </comment>
    <comment ref="J1235" authorId="0" shapeId="0" xr:uid="{4388C4DB-AFFC-4822-BE4C-DC434497FE70}">
      <text>
        <r>
          <rPr>
            <b/>
            <sz val="9"/>
            <color indexed="81"/>
            <rFont val="Tahoma"/>
            <family val="2"/>
          </rPr>
          <t>&lt;[[TCDeals] - [TC Property Current Stage (Seq: 1)] - [Buildings (Seq: 48)] PVC8609 Credit - Both]&gt;</t>
        </r>
      </text>
    </comment>
    <comment ref="K1235" authorId="0" shapeId="0" xr:uid="{AA8F2E12-0B24-422A-AD9F-FB201F3C951E}">
      <text>
        <r>
          <rPr>
            <b/>
            <sz val="9"/>
            <color indexed="81"/>
            <rFont val="Tahoma"/>
            <family val="2"/>
          </rPr>
          <t>&lt;[[TCDeals] - [TC Property Current Stage (Seq: 1)] - [Buildings (Seq: 48)] Constr PIS Date - Both]&gt;</t>
        </r>
      </text>
    </comment>
    <comment ref="L1235" authorId="0" shapeId="0" xr:uid="{DFEE3FCE-09A9-4194-9908-C50BDFEDE0E5}">
      <text>
        <r>
          <rPr>
            <b/>
            <sz val="9"/>
            <color indexed="81"/>
            <rFont val="Tahoma"/>
            <family val="2"/>
          </rPr>
          <t>&lt;[[TCDeals] - [TC Property Current Stage (Seq: 1)] - [Buildings (Seq: 48)] Constr Applicable Percentage - Both]&gt;</t>
        </r>
      </text>
    </comment>
    <comment ref="M1235" authorId="0" shapeId="0" xr:uid="{D2367D3C-EC26-4387-A798-1E397133A60B}">
      <text>
        <r>
          <rPr>
            <b/>
            <sz val="9"/>
            <color indexed="81"/>
            <rFont val="Tahoma"/>
            <family val="2"/>
          </rPr>
          <t>&lt;[[TCDeals] - [TC Property Current Stage (Seq: 1)] - [Buildings (Seq: 48)] Constr Est Qual Basis - Both]&gt;</t>
        </r>
      </text>
    </comment>
    <comment ref="N1235" authorId="0" shapeId="0" xr:uid="{78708D46-D42B-4542-BCBB-4D0BD900638F}">
      <text>
        <r>
          <rPr>
            <b/>
            <sz val="9"/>
            <color indexed="81"/>
            <rFont val="Tahoma"/>
            <family val="2"/>
          </rPr>
          <t>&lt;[[TCDeals] - [TC Property Current Stage (Seq: 1)] - [Buildings (Seq: 48)] Constr 8609 Basis - Both]&gt;</t>
        </r>
      </text>
    </comment>
    <comment ref="O1235" authorId="0" shapeId="0" xr:uid="{BCE146F3-02B4-4833-9D7B-93F03E8559F5}">
      <text>
        <r>
          <rPr>
            <b/>
            <sz val="9"/>
            <color indexed="81"/>
            <rFont val="Tahoma"/>
            <family val="2"/>
          </rPr>
          <t>&lt;[[TCDeals] - [TC Property Current Stage (Seq: 1)] - [Buildings (Seq: 48)] Constr 8609 Credit - Both]&gt;</t>
        </r>
      </text>
    </comment>
    <comment ref="P1235" authorId="0" shapeId="0" xr:uid="{CAE87EDE-AF0C-41B7-8974-081C294E6338}">
      <text>
        <r>
          <rPr>
            <b/>
            <sz val="9"/>
            <color indexed="81"/>
            <rFont val="Tahoma"/>
            <family val="2"/>
          </rPr>
          <t>&lt;[[TCDeals] - [TC Property Current Stage (Seq: 1)] - [Buildings (Seq: 48)] Acq PIS Date - Both]&gt;</t>
        </r>
      </text>
    </comment>
    <comment ref="Q1235" authorId="0" shapeId="0" xr:uid="{DBAF69AD-3DC8-476F-82F5-89D29DB3765B}">
      <text>
        <r>
          <rPr>
            <b/>
            <sz val="9"/>
            <color indexed="81"/>
            <rFont val="Tahoma"/>
            <family val="2"/>
          </rPr>
          <t>&lt;[[TCDeals] - [TC Property Current Stage (Seq: 1)] - [Buildings (Seq: 48)] Acq Applicable Percentage - Both]&gt;</t>
        </r>
      </text>
    </comment>
    <comment ref="R1235" authorId="0" shapeId="0" xr:uid="{33381C74-0E96-46CF-8B50-0E8A22B5A15D}">
      <text>
        <r>
          <rPr>
            <b/>
            <sz val="9"/>
            <color indexed="81"/>
            <rFont val="Tahoma"/>
            <family val="2"/>
          </rPr>
          <t>&lt;[[TCDeals] - [TC Property Current Stage (Seq: 1)] - [Buildings (Seq: 48)] Acq Est Qual Basis - Both]&gt;</t>
        </r>
      </text>
    </comment>
    <comment ref="S1235" authorId="0" shapeId="0" xr:uid="{61B91661-2C56-4FFB-8A3F-4AAC42A66E45}">
      <text>
        <r>
          <rPr>
            <b/>
            <sz val="9"/>
            <color indexed="81"/>
            <rFont val="Tahoma"/>
            <family val="2"/>
          </rPr>
          <t>&lt;[[TCDeals] - [TC Property Current Stage (Seq: 1)] - [Buildings (Seq: 48)] Acq 8609 Basis - Both]&gt;</t>
        </r>
      </text>
    </comment>
    <comment ref="T1235" authorId="0" shapeId="0" xr:uid="{0B591F34-5E90-4BD4-A7C6-D182CD9485D7}">
      <text>
        <r>
          <rPr>
            <b/>
            <sz val="9"/>
            <color indexed="81"/>
            <rFont val="Tahoma"/>
            <family val="2"/>
          </rPr>
          <t>&lt;[[TCDeals] - [TC Property Current Stage (Seq: 1)] - [Buildings (Seq: 48)] Acq 8609 Credit - Both]&gt;</t>
        </r>
      </text>
    </comment>
    <comment ref="C1236" authorId="0" shapeId="0" xr:uid="{DC655BDE-F417-4081-BED5-A592C8F95395}">
      <text>
        <r>
          <rPr>
            <b/>
            <sz val="9"/>
            <color indexed="81"/>
            <rFont val="Tahoma"/>
            <family val="2"/>
          </rPr>
          <t>&lt;[[TCDeals] - [TC Property Current Stage (Seq: 1)] - [Buildings (Seq: 49)] BIN - Both]&gt;</t>
        </r>
      </text>
    </comment>
    <comment ref="D1236" authorId="0" shapeId="0" xr:uid="{0601D92D-8A8D-4A57-ADBB-1879B7A96EF3}">
      <text>
        <r>
          <rPr>
            <b/>
            <sz val="9"/>
            <color indexed="81"/>
            <rFont val="Tahoma"/>
            <family val="2"/>
          </rPr>
          <t>&lt;[[TCDeals] - [TC Property Current Stage (Seq: 1)] - [Buildings (Seq: 49)] Address 1 - Both]&gt;</t>
        </r>
      </text>
    </comment>
    <comment ref="E1236" authorId="0" shapeId="0" xr:uid="{EAF9EA9A-A8CF-4A45-94DF-5DB9E6DE1069}">
      <text>
        <r>
          <rPr>
            <b/>
            <sz val="9"/>
            <color indexed="81"/>
            <rFont val="Tahoma"/>
            <family val="2"/>
          </rPr>
          <t>&lt;[[TCDeals] - [TC Property Current Stage (Seq: 1)] - [Buildings (Seq: 49)] Num TC Units - Both]&gt;</t>
        </r>
      </text>
    </comment>
    <comment ref="F1236" authorId="0" shapeId="0" xr:uid="{2C4AD11B-8A43-4889-9339-14EB3D58BB72}">
      <text>
        <r>
          <rPr>
            <b/>
            <sz val="9"/>
            <color indexed="81"/>
            <rFont val="Tahoma"/>
            <family val="2"/>
          </rPr>
          <t>&lt;[[TCDeals] - [TC Property Current Stage (Seq: 1)] - [Buildings (Seq: 49)] PVC PIS Date - Both]&gt;</t>
        </r>
      </text>
    </comment>
    <comment ref="G1236" authorId="0" shapeId="0" xr:uid="{AB592161-1FE5-44C0-A545-AC04DCDB6D4F}">
      <text>
        <r>
          <rPr>
            <b/>
            <sz val="9"/>
            <color indexed="81"/>
            <rFont val="Tahoma"/>
            <family val="2"/>
          </rPr>
          <t>&lt;[[TCDeals] - [TC Property Current Stage (Seq: 1)] - [Buildings (Seq: 49)] PVC Applicable Percentage - Both]&gt;</t>
        </r>
      </text>
    </comment>
    <comment ref="H1236" authorId="0" shapeId="0" xr:uid="{3D1BF0F5-8103-408E-9469-720DB3AD5A4D}">
      <text>
        <r>
          <rPr>
            <b/>
            <sz val="9"/>
            <color indexed="81"/>
            <rFont val="Tahoma"/>
            <family val="2"/>
          </rPr>
          <t>&lt;[[TCDeals] - [TC Property Current Stage (Seq: 1)] - [Buildings (Seq: 49)] PVC Est Qual Basis - Both]&gt;</t>
        </r>
      </text>
    </comment>
    <comment ref="I1236" authorId="0" shapeId="0" xr:uid="{D286A23A-F0CD-422A-9F38-4C5C81B89B17}">
      <text>
        <r>
          <rPr>
            <b/>
            <sz val="9"/>
            <color indexed="81"/>
            <rFont val="Tahoma"/>
            <family val="2"/>
          </rPr>
          <t>&lt;[[TCDeals] - [TC Property Current Stage (Seq: 1)] - [Buildings (Seq: 49)] PVC8609 Basis - Both]&gt;</t>
        </r>
      </text>
    </comment>
    <comment ref="J1236" authorId="0" shapeId="0" xr:uid="{D085D436-09A9-4FA7-A637-19BFE3AA9DDC}">
      <text>
        <r>
          <rPr>
            <b/>
            <sz val="9"/>
            <color indexed="81"/>
            <rFont val="Tahoma"/>
            <family val="2"/>
          </rPr>
          <t>&lt;[[TCDeals] - [TC Property Current Stage (Seq: 1)] - [Buildings (Seq: 49)] PVC8609 Credit - Both]&gt;</t>
        </r>
      </text>
    </comment>
    <comment ref="K1236" authorId="0" shapeId="0" xr:uid="{41138AD2-C43C-4DB1-9243-E4B74ACD43CE}">
      <text>
        <r>
          <rPr>
            <b/>
            <sz val="9"/>
            <color indexed="81"/>
            <rFont val="Tahoma"/>
            <family val="2"/>
          </rPr>
          <t>&lt;[[TCDeals] - [TC Property Current Stage (Seq: 1)] - [Buildings (Seq: 49)] Constr PIS Date - Both]&gt;</t>
        </r>
      </text>
    </comment>
    <comment ref="L1236" authorId="0" shapeId="0" xr:uid="{B9C449C1-C775-43E6-9A25-8813653CED92}">
      <text>
        <r>
          <rPr>
            <b/>
            <sz val="9"/>
            <color indexed="81"/>
            <rFont val="Tahoma"/>
            <family val="2"/>
          </rPr>
          <t>&lt;[[TCDeals] - [TC Property Current Stage (Seq: 1)] - [Buildings (Seq: 49)] Constr Applicable Percentage - Both]&gt;</t>
        </r>
      </text>
    </comment>
    <comment ref="M1236" authorId="0" shapeId="0" xr:uid="{A553E185-B540-44B4-A0E8-2D27A28E5473}">
      <text>
        <r>
          <rPr>
            <b/>
            <sz val="9"/>
            <color indexed="81"/>
            <rFont val="Tahoma"/>
            <family val="2"/>
          </rPr>
          <t>&lt;[[TCDeals] - [TC Property Current Stage (Seq: 1)] - [Buildings (Seq: 49)] Constr Est Qual Basis - Both]&gt;</t>
        </r>
      </text>
    </comment>
    <comment ref="N1236" authorId="0" shapeId="0" xr:uid="{D6BDCA84-D338-4CEB-BA9D-1D9D566A93E5}">
      <text>
        <r>
          <rPr>
            <b/>
            <sz val="9"/>
            <color indexed="81"/>
            <rFont val="Tahoma"/>
            <family val="2"/>
          </rPr>
          <t>&lt;[[TCDeals] - [TC Property Current Stage (Seq: 1)] - [Buildings (Seq: 49)] Constr 8609 Basis - Both]&gt;</t>
        </r>
      </text>
    </comment>
    <comment ref="O1236" authorId="0" shapeId="0" xr:uid="{12A5DADF-71A1-49CD-8E76-700807F92F65}">
      <text>
        <r>
          <rPr>
            <b/>
            <sz val="9"/>
            <color indexed="81"/>
            <rFont val="Tahoma"/>
            <family val="2"/>
          </rPr>
          <t>&lt;[[TCDeals] - [TC Property Current Stage (Seq: 1)] - [Buildings (Seq: 49)] Constr 8609 Credit - Both]&gt;</t>
        </r>
      </text>
    </comment>
    <comment ref="P1236" authorId="0" shapeId="0" xr:uid="{7E8A8FE7-8F7D-4142-A8B0-3975C6ECD07F}">
      <text>
        <r>
          <rPr>
            <b/>
            <sz val="9"/>
            <color indexed="81"/>
            <rFont val="Tahoma"/>
            <family val="2"/>
          </rPr>
          <t>&lt;[[TCDeals] - [TC Property Current Stage (Seq: 1)] - [Buildings (Seq: 49)] Acq PIS Date - Both]&gt;</t>
        </r>
      </text>
    </comment>
    <comment ref="Q1236" authorId="0" shapeId="0" xr:uid="{4B0DDEF0-E254-4519-9780-5C21EB3A57FC}">
      <text>
        <r>
          <rPr>
            <b/>
            <sz val="9"/>
            <color indexed="81"/>
            <rFont val="Tahoma"/>
            <family val="2"/>
          </rPr>
          <t>&lt;[[TCDeals] - [TC Property Current Stage (Seq: 1)] - [Buildings (Seq: 49)] Acq Applicable Percentage - Both]&gt;</t>
        </r>
      </text>
    </comment>
    <comment ref="R1236" authorId="0" shapeId="0" xr:uid="{924E3097-573E-4BD2-B093-6684D4A45B5E}">
      <text>
        <r>
          <rPr>
            <b/>
            <sz val="9"/>
            <color indexed="81"/>
            <rFont val="Tahoma"/>
            <family val="2"/>
          </rPr>
          <t>&lt;[[TCDeals] - [TC Property Current Stage (Seq: 1)] - [Buildings (Seq: 49)] Acq Est Qual Basis - Both]&gt;</t>
        </r>
      </text>
    </comment>
    <comment ref="S1236" authorId="0" shapeId="0" xr:uid="{F2B1E24C-F50D-425E-803E-29C303034585}">
      <text>
        <r>
          <rPr>
            <b/>
            <sz val="9"/>
            <color indexed="81"/>
            <rFont val="Tahoma"/>
            <family val="2"/>
          </rPr>
          <t>&lt;[[TCDeals] - [TC Property Current Stage (Seq: 1)] - [Buildings (Seq: 49)] Acq 8609 Basis - Both]&gt;</t>
        </r>
      </text>
    </comment>
    <comment ref="T1236" authorId="0" shapeId="0" xr:uid="{8D22C670-8BC6-473E-801E-ADC8F9B5FD5F}">
      <text>
        <r>
          <rPr>
            <b/>
            <sz val="9"/>
            <color indexed="81"/>
            <rFont val="Tahoma"/>
            <family val="2"/>
          </rPr>
          <t>&lt;[[TCDeals] - [TC Property Current Stage (Seq: 1)] - [Buildings (Seq: 49)] Acq 8609 Credit - Both]&gt;</t>
        </r>
      </text>
    </comment>
    <comment ref="C1237" authorId="0" shapeId="0" xr:uid="{35ACB4E0-F589-4D59-BCB2-A14253B6131E}">
      <text>
        <r>
          <rPr>
            <b/>
            <sz val="9"/>
            <color indexed="81"/>
            <rFont val="Tahoma"/>
            <family val="2"/>
          </rPr>
          <t>&lt;[[TCDeals] - [TC Property Current Stage (Seq: 1)] - [Buildings (Seq: 50)] BIN - Both]&gt;</t>
        </r>
      </text>
    </comment>
    <comment ref="D1237" authorId="0" shapeId="0" xr:uid="{DA927A48-9911-433A-974D-449759BEEE4F}">
      <text>
        <r>
          <rPr>
            <b/>
            <sz val="9"/>
            <color indexed="81"/>
            <rFont val="Tahoma"/>
            <family val="2"/>
          </rPr>
          <t>&lt;[[TCDeals] - [TC Property Current Stage (Seq: 1)] - [Buildings (Seq: 50)] Address 1 - Both]&gt;</t>
        </r>
      </text>
    </comment>
    <comment ref="E1237" authorId="0" shapeId="0" xr:uid="{6CA91B52-B377-4390-834B-ACD18206EDD6}">
      <text>
        <r>
          <rPr>
            <b/>
            <sz val="9"/>
            <color indexed="81"/>
            <rFont val="Tahoma"/>
            <family val="2"/>
          </rPr>
          <t>&lt;[[TCDeals] - [TC Property Current Stage (Seq: 1)] - [Buildings (Seq: 50)] Num TC Units - Both]&gt;</t>
        </r>
      </text>
    </comment>
    <comment ref="F1237" authorId="0" shapeId="0" xr:uid="{4C70D43F-70CD-4AA3-B007-F8D1E9C11854}">
      <text>
        <r>
          <rPr>
            <b/>
            <sz val="9"/>
            <color indexed="81"/>
            <rFont val="Tahoma"/>
            <family val="2"/>
          </rPr>
          <t>&lt;[[TCDeals] - [TC Property Current Stage (Seq: 1)] - [Buildings (Seq: 50)] PVC PIS Date - Both]&gt;</t>
        </r>
      </text>
    </comment>
    <comment ref="G1237" authorId="0" shapeId="0" xr:uid="{1F240B37-F598-463A-814D-38CE05A14B77}">
      <text>
        <r>
          <rPr>
            <b/>
            <sz val="9"/>
            <color indexed="81"/>
            <rFont val="Tahoma"/>
            <family val="2"/>
          </rPr>
          <t>&lt;[[TCDeals] - [TC Property Current Stage (Seq: 1)] - [Buildings (Seq: 50)] PVC Applicable Percentage - Both]&gt;</t>
        </r>
      </text>
    </comment>
    <comment ref="H1237" authorId="0" shapeId="0" xr:uid="{CA82E3BF-9AC0-4D3B-B472-4916FC77EA36}">
      <text>
        <r>
          <rPr>
            <b/>
            <sz val="9"/>
            <color indexed="81"/>
            <rFont val="Tahoma"/>
            <family val="2"/>
          </rPr>
          <t>&lt;[[TCDeals] - [TC Property Current Stage (Seq: 1)] - [Buildings (Seq: 50)] PVC Est Qual Basis - Both]&gt;</t>
        </r>
      </text>
    </comment>
    <comment ref="I1237" authorId="0" shapeId="0" xr:uid="{E40D98F8-5E22-4D38-97FE-D1248D19D470}">
      <text>
        <r>
          <rPr>
            <b/>
            <sz val="9"/>
            <color indexed="81"/>
            <rFont val="Tahoma"/>
            <family val="2"/>
          </rPr>
          <t>&lt;[[TCDeals] - [TC Property Current Stage (Seq: 1)] - [Buildings (Seq: 50)] PVC8609 Basis - Both]&gt;</t>
        </r>
      </text>
    </comment>
    <comment ref="J1237" authorId="0" shapeId="0" xr:uid="{8588BDDC-E4D6-4290-9860-53BE3D9F564B}">
      <text>
        <r>
          <rPr>
            <b/>
            <sz val="9"/>
            <color indexed="81"/>
            <rFont val="Tahoma"/>
            <family val="2"/>
          </rPr>
          <t>&lt;[[TCDeals] - [TC Property Current Stage (Seq: 1)] - [Buildings (Seq: 50)] PVC8609 Credit - Both]&gt;</t>
        </r>
      </text>
    </comment>
    <comment ref="K1237" authorId="0" shapeId="0" xr:uid="{3E82FCFD-6148-422E-BEB5-BB84F29A8D53}">
      <text>
        <r>
          <rPr>
            <b/>
            <sz val="9"/>
            <color indexed="81"/>
            <rFont val="Tahoma"/>
            <family val="2"/>
          </rPr>
          <t>&lt;[[TCDeals] - [TC Property Current Stage (Seq: 1)] - [Buildings (Seq: 50)] Constr PIS Date - Both]&gt;</t>
        </r>
      </text>
    </comment>
    <comment ref="L1237" authorId="0" shapeId="0" xr:uid="{C8BFFAB6-F211-4769-AF5B-5A184483B641}">
      <text>
        <r>
          <rPr>
            <b/>
            <sz val="9"/>
            <color indexed="81"/>
            <rFont val="Tahoma"/>
            <family val="2"/>
          </rPr>
          <t>&lt;[[TCDeals] - [TC Property Current Stage (Seq: 1)] - [Buildings (Seq: 50)] Constr Applicable Percentage - Both]&gt;</t>
        </r>
      </text>
    </comment>
    <comment ref="M1237" authorId="0" shapeId="0" xr:uid="{0AACC6FA-3037-461A-84CE-4FDD58C6031D}">
      <text>
        <r>
          <rPr>
            <b/>
            <sz val="9"/>
            <color indexed="81"/>
            <rFont val="Tahoma"/>
            <family val="2"/>
          </rPr>
          <t>&lt;[[TCDeals] - [TC Property Current Stage (Seq: 1)] - [Buildings (Seq: 50)] Constr Est Qual Basis - Both]&gt;</t>
        </r>
      </text>
    </comment>
    <comment ref="N1237" authorId="0" shapeId="0" xr:uid="{4203FED5-ADDF-4F1F-B96C-FE8AD5E34672}">
      <text>
        <r>
          <rPr>
            <b/>
            <sz val="9"/>
            <color indexed="81"/>
            <rFont val="Tahoma"/>
            <family val="2"/>
          </rPr>
          <t>&lt;[[TCDeals] - [TC Property Current Stage (Seq: 1)] - [Buildings (Seq: 50)] Constr 8609 Basis - Both]&gt;</t>
        </r>
      </text>
    </comment>
    <comment ref="O1237" authorId="0" shapeId="0" xr:uid="{3BCA2340-FFE1-42C9-B09F-589FBCA692D9}">
      <text>
        <r>
          <rPr>
            <b/>
            <sz val="9"/>
            <color indexed="81"/>
            <rFont val="Tahoma"/>
            <family val="2"/>
          </rPr>
          <t>&lt;[[TCDeals] - [TC Property Current Stage (Seq: 1)] - [Buildings (Seq: 50)] Constr 8609 Credit - Both]&gt;</t>
        </r>
      </text>
    </comment>
    <comment ref="P1237" authorId="0" shapeId="0" xr:uid="{26C008CD-A9B8-46CC-8AED-8ED918426BCA}">
      <text>
        <r>
          <rPr>
            <b/>
            <sz val="9"/>
            <color indexed="81"/>
            <rFont val="Tahoma"/>
            <family val="2"/>
          </rPr>
          <t>&lt;[[TCDeals] - [TC Property Current Stage (Seq: 1)] - [Buildings (Seq: 50)] Acq PIS Date - Both]&gt;</t>
        </r>
      </text>
    </comment>
    <comment ref="Q1237" authorId="0" shapeId="0" xr:uid="{160C1112-F9AE-4C3A-A893-692CAC8CF1A3}">
      <text>
        <r>
          <rPr>
            <b/>
            <sz val="9"/>
            <color indexed="81"/>
            <rFont val="Tahoma"/>
            <family val="2"/>
          </rPr>
          <t>&lt;[[TCDeals] - [TC Property Current Stage (Seq: 1)] - [Buildings (Seq: 50)] Acq Applicable Percentage - Both]&gt;</t>
        </r>
      </text>
    </comment>
    <comment ref="R1237" authorId="0" shapeId="0" xr:uid="{8C05D458-D565-42A5-BA2B-7C12BACB58FC}">
      <text>
        <r>
          <rPr>
            <b/>
            <sz val="9"/>
            <color indexed="81"/>
            <rFont val="Tahoma"/>
            <family val="2"/>
          </rPr>
          <t>&lt;[[TCDeals] - [TC Property Current Stage (Seq: 1)] - [Buildings (Seq: 50)] Acq Est Qual Basis - Both]&gt;</t>
        </r>
      </text>
    </comment>
    <comment ref="S1237" authorId="0" shapeId="0" xr:uid="{F7CF8755-4430-431E-B09D-AEA52843D668}">
      <text>
        <r>
          <rPr>
            <b/>
            <sz val="9"/>
            <color indexed="81"/>
            <rFont val="Tahoma"/>
            <family val="2"/>
          </rPr>
          <t>&lt;[[TCDeals] - [TC Property Current Stage (Seq: 1)] - [Buildings (Seq: 50)] Acq 8609 Basis - Both]&gt;</t>
        </r>
      </text>
    </comment>
    <comment ref="T1237" authorId="0" shapeId="0" xr:uid="{58855D68-9E0F-4D16-B6D9-C09F7672EAF3}">
      <text>
        <r>
          <rPr>
            <b/>
            <sz val="9"/>
            <color indexed="81"/>
            <rFont val="Tahoma"/>
            <family val="2"/>
          </rPr>
          <t>&lt;[[TCDeals] - [TC Property Current Stage (Seq: 1)] - [Buildings (Seq: 50)] Acq 8609 Credit - Both]&gt;</t>
        </r>
      </text>
    </comment>
    <comment ref="C1238" authorId="0" shapeId="0" xr:uid="{DB4FD7C4-D74C-4158-AA06-F39FF4E6A6D4}">
      <text>
        <r>
          <rPr>
            <b/>
            <sz val="9"/>
            <color indexed="81"/>
            <rFont val="Tahoma"/>
            <family val="2"/>
          </rPr>
          <t>&lt;[[TCDeals] - [TC Property Current Stage (Seq: 1)] - [Buildings (Seq: 51)] BIN - Both]&gt;</t>
        </r>
      </text>
    </comment>
    <comment ref="D1238" authorId="0" shapeId="0" xr:uid="{CB26DF5E-51F7-4AE0-927C-8DC7099175EE}">
      <text>
        <r>
          <rPr>
            <b/>
            <sz val="9"/>
            <color indexed="81"/>
            <rFont val="Tahoma"/>
            <family val="2"/>
          </rPr>
          <t>&lt;[[TCDeals] - [TC Property Current Stage (Seq: 1)] - [Buildings (Seq: 51)] Address 1 - Both]&gt;</t>
        </r>
      </text>
    </comment>
    <comment ref="E1238" authorId="0" shapeId="0" xr:uid="{6A74C3FB-A3C3-450C-A930-3C812B4D376C}">
      <text>
        <r>
          <rPr>
            <b/>
            <sz val="9"/>
            <color indexed="81"/>
            <rFont val="Tahoma"/>
            <family val="2"/>
          </rPr>
          <t>&lt;[[TCDeals] - [TC Property Current Stage (Seq: 1)] - [Buildings (Seq: 51)] Num TC Units - Both]&gt;</t>
        </r>
      </text>
    </comment>
    <comment ref="F1238" authorId="0" shapeId="0" xr:uid="{BC4897C7-4CB2-4B2F-9A07-B8B9087039EF}">
      <text>
        <r>
          <rPr>
            <b/>
            <sz val="9"/>
            <color indexed="81"/>
            <rFont val="Tahoma"/>
            <family val="2"/>
          </rPr>
          <t>&lt;[[TCDeals] - [TC Property Current Stage (Seq: 1)] - [Buildings (Seq: 51)] PVC PIS Date - Both]&gt;</t>
        </r>
      </text>
    </comment>
    <comment ref="G1238" authorId="0" shapeId="0" xr:uid="{7E522575-C609-48A9-A49A-1C97894072BC}">
      <text>
        <r>
          <rPr>
            <b/>
            <sz val="9"/>
            <color indexed="81"/>
            <rFont val="Tahoma"/>
            <family val="2"/>
          </rPr>
          <t>&lt;[[TCDeals] - [TC Property Current Stage (Seq: 1)] - [Buildings (Seq: 51)] PVC Applicable Percentage - Both]&gt;</t>
        </r>
      </text>
    </comment>
    <comment ref="H1238" authorId="0" shapeId="0" xr:uid="{B93B49F7-116B-440E-B096-E29599921183}">
      <text>
        <r>
          <rPr>
            <b/>
            <sz val="9"/>
            <color indexed="81"/>
            <rFont val="Tahoma"/>
            <family val="2"/>
          </rPr>
          <t>&lt;[[TCDeals] - [TC Property Current Stage (Seq: 1)] - [Buildings (Seq: 51)] PVC Est Qual Basis - Both]&gt;</t>
        </r>
      </text>
    </comment>
    <comment ref="I1238" authorId="0" shapeId="0" xr:uid="{527AA2D4-03EE-4DC6-BB7C-6BCDB763CAC8}">
      <text>
        <r>
          <rPr>
            <b/>
            <sz val="9"/>
            <color indexed="81"/>
            <rFont val="Tahoma"/>
            <family val="2"/>
          </rPr>
          <t>&lt;[[TCDeals] - [TC Property Current Stage (Seq: 1)] - [Buildings (Seq: 51)] PVC8609 Basis - Both]&gt;</t>
        </r>
      </text>
    </comment>
    <comment ref="J1238" authorId="0" shapeId="0" xr:uid="{DFE4A166-CE39-4AD5-B01C-946A58131AAC}">
      <text>
        <r>
          <rPr>
            <b/>
            <sz val="9"/>
            <color indexed="81"/>
            <rFont val="Tahoma"/>
            <family val="2"/>
          </rPr>
          <t>&lt;[[TCDeals] - [TC Property Current Stage (Seq: 1)] - [Buildings (Seq: 51)] PVC8609 Credit - Both]&gt;</t>
        </r>
      </text>
    </comment>
    <comment ref="K1238" authorId="0" shapeId="0" xr:uid="{0C78A959-C450-467B-B80A-58C864C8BB23}">
      <text>
        <r>
          <rPr>
            <b/>
            <sz val="9"/>
            <color indexed="81"/>
            <rFont val="Tahoma"/>
            <family val="2"/>
          </rPr>
          <t>&lt;[[TCDeals] - [TC Property Current Stage (Seq: 1)] - [Buildings (Seq: 51)] Constr PIS Date - Both]&gt;</t>
        </r>
      </text>
    </comment>
    <comment ref="L1238" authorId="0" shapeId="0" xr:uid="{001B21E6-1F69-48C0-A8D5-EF520EF0B95E}">
      <text>
        <r>
          <rPr>
            <b/>
            <sz val="9"/>
            <color indexed="81"/>
            <rFont val="Tahoma"/>
            <family val="2"/>
          </rPr>
          <t>&lt;[[TCDeals] - [TC Property Current Stage (Seq: 1)] - [Buildings (Seq: 51)] Constr Applicable Percentage - Both]&gt;</t>
        </r>
      </text>
    </comment>
    <comment ref="M1238" authorId="0" shapeId="0" xr:uid="{9162F681-6ED5-443A-9CCF-355F49A8A361}">
      <text>
        <r>
          <rPr>
            <b/>
            <sz val="9"/>
            <color indexed="81"/>
            <rFont val="Tahoma"/>
            <family val="2"/>
          </rPr>
          <t>&lt;[[TCDeals] - [TC Property Current Stage (Seq: 1)] - [Buildings (Seq: 51)] Constr Est Qual Basis - Both]&gt;</t>
        </r>
      </text>
    </comment>
    <comment ref="N1238" authorId="0" shapeId="0" xr:uid="{EAF0352A-CE6B-4E5A-8C5B-663ECF3582D2}">
      <text>
        <r>
          <rPr>
            <b/>
            <sz val="9"/>
            <color indexed="81"/>
            <rFont val="Tahoma"/>
            <family val="2"/>
          </rPr>
          <t>&lt;[[TCDeals] - [TC Property Current Stage (Seq: 1)] - [Buildings (Seq: 51)] Constr 8609 Basis - Both]&gt;</t>
        </r>
      </text>
    </comment>
    <comment ref="O1238" authorId="0" shapeId="0" xr:uid="{654904D7-6092-4A48-812E-878D9C7CC58B}">
      <text>
        <r>
          <rPr>
            <b/>
            <sz val="9"/>
            <color indexed="81"/>
            <rFont val="Tahoma"/>
            <family val="2"/>
          </rPr>
          <t>&lt;[[TCDeals] - [TC Property Current Stage (Seq: 1)] - [Buildings (Seq: 51)] Constr 8609 Credit - Both]&gt;</t>
        </r>
      </text>
    </comment>
    <comment ref="P1238" authorId="0" shapeId="0" xr:uid="{B99FC048-AB9E-4AEE-BABA-E529467C82DD}">
      <text>
        <r>
          <rPr>
            <b/>
            <sz val="9"/>
            <color indexed="81"/>
            <rFont val="Tahoma"/>
            <family val="2"/>
          </rPr>
          <t>&lt;[[TCDeals] - [TC Property Current Stage (Seq: 1)] - [Buildings (Seq: 51)] Acq PIS Date - Both]&gt;</t>
        </r>
      </text>
    </comment>
    <comment ref="Q1238" authorId="0" shapeId="0" xr:uid="{53A2F6A3-8A3C-49EB-87BB-9CC11544AAA5}">
      <text>
        <r>
          <rPr>
            <b/>
            <sz val="9"/>
            <color indexed="81"/>
            <rFont val="Tahoma"/>
            <family val="2"/>
          </rPr>
          <t>&lt;[[TCDeals] - [TC Property Current Stage (Seq: 1)] - [Buildings (Seq: 51)] Acq Applicable Percentage - Both]&gt;</t>
        </r>
      </text>
    </comment>
    <comment ref="R1238" authorId="0" shapeId="0" xr:uid="{921DDA2F-8C93-46CF-A6CE-A4FA18A71F6F}">
      <text>
        <r>
          <rPr>
            <b/>
            <sz val="9"/>
            <color indexed="81"/>
            <rFont val="Tahoma"/>
            <family val="2"/>
          </rPr>
          <t>&lt;[[TCDeals] - [TC Property Current Stage (Seq: 1)] - [Buildings (Seq: 51)] Acq Est Qual Basis - Both]&gt;</t>
        </r>
      </text>
    </comment>
    <comment ref="S1238" authorId="0" shapeId="0" xr:uid="{58B5CDF1-CC66-4425-9680-940B6A302CEF}">
      <text>
        <r>
          <rPr>
            <b/>
            <sz val="9"/>
            <color indexed="81"/>
            <rFont val="Tahoma"/>
            <family val="2"/>
          </rPr>
          <t>&lt;[[TCDeals] - [TC Property Current Stage (Seq: 1)] - [Buildings (Seq: 51)] Acq 8609 Basis - Both]&gt;</t>
        </r>
      </text>
    </comment>
    <comment ref="T1238" authorId="0" shapeId="0" xr:uid="{AED3CC8F-83AD-447B-92DC-A4DEA6CEBF78}">
      <text>
        <r>
          <rPr>
            <b/>
            <sz val="9"/>
            <color indexed="81"/>
            <rFont val="Tahoma"/>
            <family val="2"/>
          </rPr>
          <t>&lt;[[TCDeals] - [TC Property Current Stage (Seq: 1)] - [Buildings (Seq: 51)] Acq 8609 Credit - Both]&gt;</t>
        </r>
      </text>
    </comment>
    <comment ref="C1239" authorId="0" shapeId="0" xr:uid="{AA1AF19F-8029-4034-A1A6-3E12C72FF3DB}">
      <text>
        <r>
          <rPr>
            <b/>
            <sz val="9"/>
            <color indexed="81"/>
            <rFont val="Tahoma"/>
            <family val="2"/>
          </rPr>
          <t>&lt;[[TCDeals] - [TC Property Current Stage (Seq: 1)] - [Buildings (Seq: 52)] BIN - Both]&gt;</t>
        </r>
      </text>
    </comment>
    <comment ref="D1239" authorId="0" shapeId="0" xr:uid="{68DABB23-6F3E-45BA-99BA-5DE1DD87385E}">
      <text>
        <r>
          <rPr>
            <b/>
            <sz val="9"/>
            <color indexed="81"/>
            <rFont val="Tahoma"/>
            <family val="2"/>
          </rPr>
          <t>&lt;[[TCDeals] - [TC Property Current Stage (Seq: 1)] - [Buildings (Seq: 52)] Address 1 - Both]&gt;</t>
        </r>
      </text>
    </comment>
    <comment ref="E1239" authorId="0" shapeId="0" xr:uid="{45015D09-5017-456C-904C-7A05B3B62CE7}">
      <text>
        <r>
          <rPr>
            <b/>
            <sz val="9"/>
            <color indexed="81"/>
            <rFont val="Tahoma"/>
            <family val="2"/>
          </rPr>
          <t>&lt;[[TCDeals] - [TC Property Current Stage (Seq: 1)] - [Buildings (Seq: 52)] Num TC Units - Both]&gt;</t>
        </r>
      </text>
    </comment>
    <comment ref="F1239" authorId="0" shapeId="0" xr:uid="{CCAD9CE6-34D7-46A0-8A5A-AC2A70218051}">
      <text>
        <r>
          <rPr>
            <b/>
            <sz val="9"/>
            <color indexed="81"/>
            <rFont val="Tahoma"/>
            <family val="2"/>
          </rPr>
          <t>&lt;[[TCDeals] - [TC Property Current Stage (Seq: 1)] - [Buildings (Seq: 52)] PVC PIS Date - Both]&gt;</t>
        </r>
      </text>
    </comment>
    <comment ref="G1239" authorId="0" shapeId="0" xr:uid="{0F240025-6378-4DC8-BCB0-4DB07D973697}">
      <text>
        <r>
          <rPr>
            <b/>
            <sz val="9"/>
            <color indexed="81"/>
            <rFont val="Tahoma"/>
            <family val="2"/>
          </rPr>
          <t>&lt;[[TCDeals] - [TC Property Current Stage (Seq: 1)] - [Buildings (Seq: 52)] PVC Applicable Percentage - Both]&gt;</t>
        </r>
      </text>
    </comment>
    <comment ref="H1239" authorId="0" shapeId="0" xr:uid="{BAB8E3E2-A602-42C0-B756-A220BF41C811}">
      <text>
        <r>
          <rPr>
            <b/>
            <sz val="9"/>
            <color indexed="81"/>
            <rFont val="Tahoma"/>
            <family val="2"/>
          </rPr>
          <t>&lt;[[TCDeals] - [TC Property Current Stage (Seq: 1)] - [Buildings (Seq: 52)] PVC Est Qual Basis - Both]&gt;</t>
        </r>
      </text>
    </comment>
    <comment ref="I1239" authorId="0" shapeId="0" xr:uid="{24CD181D-BD0D-47AC-91D1-A80841613C76}">
      <text>
        <r>
          <rPr>
            <b/>
            <sz val="9"/>
            <color indexed="81"/>
            <rFont val="Tahoma"/>
            <family val="2"/>
          </rPr>
          <t>&lt;[[TCDeals] - [TC Property Current Stage (Seq: 1)] - [Buildings (Seq: 52)] PVC8609 Basis - Both]&gt;</t>
        </r>
      </text>
    </comment>
    <comment ref="J1239" authorId="0" shapeId="0" xr:uid="{B12EA69C-9B92-4561-8CD4-147722D7A5A1}">
      <text>
        <r>
          <rPr>
            <b/>
            <sz val="9"/>
            <color indexed="81"/>
            <rFont val="Tahoma"/>
            <family val="2"/>
          </rPr>
          <t>&lt;[[TCDeals] - [TC Property Current Stage (Seq: 1)] - [Buildings (Seq: 52)] PVC8609 Credit - Both]&gt;</t>
        </r>
      </text>
    </comment>
    <comment ref="K1239" authorId="0" shapeId="0" xr:uid="{C338FECA-5263-4B30-81D4-5A7F4CFE652F}">
      <text>
        <r>
          <rPr>
            <b/>
            <sz val="9"/>
            <color indexed="81"/>
            <rFont val="Tahoma"/>
            <family val="2"/>
          </rPr>
          <t>&lt;[[TCDeals] - [TC Property Current Stage (Seq: 1)] - [Buildings (Seq: 52)] Constr PIS Date - Both]&gt;</t>
        </r>
      </text>
    </comment>
    <comment ref="L1239" authorId="0" shapeId="0" xr:uid="{688A0D38-4C77-4797-9EB8-694A13EEBB67}">
      <text>
        <r>
          <rPr>
            <b/>
            <sz val="9"/>
            <color indexed="81"/>
            <rFont val="Tahoma"/>
            <family val="2"/>
          </rPr>
          <t>&lt;[[TCDeals] - [TC Property Current Stage (Seq: 1)] - [Buildings (Seq: 52)] Constr Applicable Percentage - Both]&gt;</t>
        </r>
      </text>
    </comment>
    <comment ref="M1239" authorId="0" shapeId="0" xr:uid="{95511623-33F6-498B-990B-C93F1D214D9A}">
      <text>
        <r>
          <rPr>
            <b/>
            <sz val="9"/>
            <color indexed="81"/>
            <rFont val="Tahoma"/>
            <family val="2"/>
          </rPr>
          <t>&lt;[[TCDeals] - [TC Property Current Stage (Seq: 1)] - [Buildings (Seq: 52)] Constr Est Qual Basis - Both]&gt;</t>
        </r>
      </text>
    </comment>
    <comment ref="N1239" authorId="0" shapeId="0" xr:uid="{D4505BAD-18E8-4697-B5CB-8DCBC9F75D79}">
      <text>
        <r>
          <rPr>
            <b/>
            <sz val="9"/>
            <color indexed="81"/>
            <rFont val="Tahoma"/>
            <family val="2"/>
          </rPr>
          <t>&lt;[[TCDeals] - [TC Property Current Stage (Seq: 1)] - [Buildings (Seq: 52)] Constr 8609 Basis - Both]&gt;</t>
        </r>
      </text>
    </comment>
    <comment ref="O1239" authorId="0" shapeId="0" xr:uid="{56057FD5-0284-4A2C-8C07-0603EC7DB5DC}">
      <text>
        <r>
          <rPr>
            <b/>
            <sz val="9"/>
            <color indexed="81"/>
            <rFont val="Tahoma"/>
            <family val="2"/>
          </rPr>
          <t>&lt;[[TCDeals] - [TC Property Current Stage (Seq: 1)] - [Buildings (Seq: 52)] Constr 8609 Credit - Both]&gt;</t>
        </r>
      </text>
    </comment>
    <comment ref="P1239" authorId="0" shapeId="0" xr:uid="{BE55A02A-1B98-4137-A8CB-A59C18D53F96}">
      <text>
        <r>
          <rPr>
            <b/>
            <sz val="9"/>
            <color indexed="81"/>
            <rFont val="Tahoma"/>
            <family val="2"/>
          </rPr>
          <t>&lt;[[TCDeals] - [TC Property Current Stage (Seq: 1)] - [Buildings (Seq: 52)] Acq PIS Date - Both]&gt;</t>
        </r>
      </text>
    </comment>
    <comment ref="Q1239" authorId="0" shapeId="0" xr:uid="{2DC1CF25-78A7-412E-B397-DD6CE9BA0192}">
      <text>
        <r>
          <rPr>
            <b/>
            <sz val="9"/>
            <color indexed="81"/>
            <rFont val="Tahoma"/>
            <family val="2"/>
          </rPr>
          <t>&lt;[[TCDeals] - [TC Property Current Stage (Seq: 1)] - [Buildings (Seq: 52)] Acq Applicable Percentage - Both]&gt;</t>
        </r>
      </text>
    </comment>
    <comment ref="R1239" authorId="0" shapeId="0" xr:uid="{82896B3C-A7BF-4F55-B468-330ADF9C12A5}">
      <text>
        <r>
          <rPr>
            <b/>
            <sz val="9"/>
            <color indexed="81"/>
            <rFont val="Tahoma"/>
            <family val="2"/>
          </rPr>
          <t>&lt;[[TCDeals] - [TC Property Current Stage (Seq: 1)] - [Buildings (Seq: 52)] Acq Est Qual Basis - Both]&gt;</t>
        </r>
      </text>
    </comment>
    <comment ref="S1239" authorId="0" shapeId="0" xr:uid="{40491499-4FCA-4A42-94E5-98CDFDD634D4}">
      <text>
        <r>
          <rPr>
            <b/>
            <sz val="9"/>
            <color indexed="81"/>
            <rFont val="Tahoma"/>
            <family val="2"/>
          </rPr>
          <t>&lt;[[TCDeals] - [TC Property Current Stage (Seq: 1)] - [Buildings (Seq: 52)] Acq 8609 Basis - Both]&gt;</t>
        </r>
      </text>
    </comment>
    <comment ref="T1239" authorId="0" shapeId="0" xr:uid="{E91E7CC8-0237-4276-A873-26AED7A4EEA7}">
      <text>
        <r>
          <rPr>
            <b/>
            <sz val="9"/>
            <color indexed="81"/>
            <rFont val="Tahoma"/>
            <family val="2"/>
          </rPr>
          <t>&lt;[[TCDeals] - [TC Property Current Stage (Seq: 1)] - [Buildings (Seq: 52)] Acq 8609 Credit - Both]&gt;</t>
        </r>
      </text>
    </comment>
    <comment ref="C1240" authorId="0" shapeId="0" xr:uid="{2D91027C-4D16-42AF-AA07-D95FA0B8E449}">
      <text>
        <r>
          <rPr>
            <b/>
            <sz val="9"/>
            <color indexed="81"/>
            <rFont val="Tahoma"/>
            <family val="2"/>
          </rPr>
          <t>&lt;[[TCDeals] - [TC Property Current Stage (Seq: 1)] - [Buildings (Seq: 53)] BIN - Both]&gt;</t>
        </r>
      </text>
    </comment>
    <comment ref="D1240" authorId="0" shapeId="0" xr:uid="{1E033C50-9E24-46CC-A43F-62E59B457580}">
      <text>
        <r>
          <rPr>
            <b/>
            <sz val="9"/>
            <color indexed="81"/>
            <rFont val="Tahoma"/>
            <family val="2"/>
          </rPr>
          <t>&lt;[[TCDeals] - [TC Property Current Stage (Seq: 1)] - [Buildings (Seq: 53)] Address 1 - Both]&gt;</t>
        </r>
      </text>
    </comment>
    <comment ref="E1240" authorId="0" shapeId="0" xr:uid="{DE79309A-C1A7-4D7C-87D6-49C2E51BC408}">
      <text>
        <r>
          <rPr>
            <b/>
            <sz val="9"/>
            <color indexed="81"/>
            <rFont val="Tahoma"/>
            <family val="2"/>
          </rPr>
          <t>&lt;[[TCDeals] - [TC Property Current Stage (Seq: 1)] - [Buildings (Seq: 53)] Num TC Units - Both]&gt;</t>
        </r>
      </text>
    </comment>
    <comment ref="F1240" authorId="0" shapeId="0" xr:uid="{17B65B35-687F-4E48-8B0B-0FFB408C6A0D}">
      <text>
        <r>
          <rPr>
            <b/>
            <sz val="9"/>
            <color indexed="81"/>
            <rFont val="Tahoma"/>
            <family val="2"/>
          </rPr>
          <t>&lt;[[TCDeals] - [TC Property Current Stage (Seq: 1)] - [Buildings (Seq: 53)] PVC PIS Date - Both]&gt;</t>
        </r>
      </text>
    </comment>
    <comment ref="G1240" authorId="0" shapeId="0" xr:uid="{48A30023-7C3A-4C9E-8E63-E54A113CC1F5}">
      <text>
        <r>
          <rPr>
            <b/>
            <sz val="9"/>
            <color indexed="81"/>
            <rFont val="Tahoma"/>
            <family val="2"/>
          </rPr>
          <t>&lt;[[TCDeals] - [TC Property Current Stage (Seq: 1)] - [Buildings (Seq: 53)] PVC Applicable Percentage - Both]&gt;</t>
        </r>
      </text>
    </comment>
    <comment ref="H1240" authorId="0" shapeId="0" xr:uid="{3B11D27E-75C0-490E-A50B-53E910DE55D1}">
      <text>
        <r>
          <rPr>
            <b/>
            <sz val="9"/>
            <color indexed="81"/>
            <rFont val="Tahoma"/>
            <family val="2"/>
          </rPr>
          <t>&lt;[[TCDeals] - [TC Property Current Stage (Seq: 1)] - [Buildings (Seq: 53)] PVC Est Qual Basis - Both]&gt;</t>
        </r>
      </text>
    </comment>
    <comment ref="I1240" authorId="0" shapeId="0" xr:uid="{1E4D2897-A6AF-4A58-97C6-65FEEC0E344E}">
      <text>
        <r>
          <rPr>
            <b/>
            <sz val="9"/>
            <color indexed="81"/>
            <rFont val="Tahoma"/>
            <family val="2"/>
          </rPr>
          <t>&lt;[[TCDeals] - [TC Property Current Stage (Seq: 1)] - [Buildings (Seq: 53)] PVC8609 Basis - Both]&gt;</t>
        </r>
      </text>
    </comment>
    <comment ref="J1240" authorId="0" shapeId="0" xr:uid="{CA7254BC-BE26-484C-B3C7-13E2B5605566}">
      <text>
        <r>
          <rPr>
            <b/>
            <sz val="9"/>
            <color indexed="81"/>
            <rFont val="Tahoma"/>
            <family val="2"/>
          </rPr>
          <t>&lt;[[TCDeals] - [TC Property Current Stage (Seq: 1)] - [Buildings (Seq: 53)] PVC8609 Credit - Both]&gt;</t>
        </r>
      </text>
    </comment>
    <comment ref="K1240" authorId="0" shapeId="0" xr:uid="{3D72E3DD-9DBE-4B7B-85C0-0AE20FE98322}">
      <text>
        <r>
          <rPr>
            <b/>
            <sz val="9"/>
            <color indexed="81"/>
            <rFont val="Tahoma"/>
            <family val="2"/>
          </rPr>
          <t>&lt;[[TCDeals] - [TC Property Current Stage (Seq: 1)] - [Buildings (Seq: 53)] Constr PIS Date - Both]&gt;</t>
        </r>
      </text>
    </comment>
    <comment ref="L1240" authorId="0" shapeId="0" xr:uid="{81D9DE42-4BA7-464C-82AF-E1D7CB6D116E}">
      <text>
        <r>
          <rPr>
            <b/>
            <sz val="9"/>
            <color indexed="81"/>
            <rFont val="Tahoma"/>
            <family val="2"/>
          </rPr>
          <t>&lt;[[TCDeals] - [TC Property Current Stage (Seq: 1)] - [Buildings (Seq: 53)] Constr Applicable Percentage - Both]&gt;</t>
        </r>
      </text>
    </comment>
    <comment ref="M1240" authorId="0" shapeId="0" xr:uid="{38E1602A-5562-4A8D-B5D1-88A2025A3990}">
      <text>
        <r>
          <rPr>
            <b/>
            <sz val="9"/>
            <color indexed="81"/>
            <rFont val="Tahoma"/>
            <family val="2"/>
          </rPr>
          <t>&lt;[[TCDeals] - [TC Property Current Stage (Seq: 1)] - [Buildings (Seq: 53)] Constr Est Qual Basis - Both]&gt;</t>
        </r>
      </text>
    </comment>
    <comment ref="N1240" authorId="0" shapeId="0" xr:uid="{F81CA66D-834F-4D75-BA72-820FF9EB7379}">
      <text>
        <r>
          <rPr>
            <b/>
            <sz val="9"/>
            <color indexed="81"/>
            <rFont val="Tahoma"/>
            <family val="2"/>
          </rPr>
          <t>&lt;[[TCDeals] - [TC Property Current Stage (Seq: 1)] - [Buildings (Seq: 53)] Constr 8609 Basis - Both]&gt;</t>
        </r>
      </text>
    </comment>
    <comment ref="O1240" authorId="0" shapeId="0" xr:uid="{91134E37-2EF4-4576-9C21-FBCF3C15F5C9}">
      <text>
        <r>
          <rPr>
            <b/>
            <sz val="9"/>
            <color indexed="81"/>
            <rFont val="Tahoma"/>
            <family val="2"/>
          </rPr>
          <t>&lt;[[TCDeals] - [TC Property Current Stage (Seq: 1)] - [Buildings (Seq: 53)] Constr 8609 Credit - Both]&gt;</t>
        </r>
      </text>
    </comment>
    <comment ref="P1240" authorId="0" shapeId="0" xr:uid="{0F1C5F1A-D850-4290-8A68-37EDE4EE9E61}">
      <text>
        <r>
          <rPr>
            <b/>
            <sz val="9"/>
            <color indexed="81"/>
            <rFont val="Tahoma"/>
            <family val="2"/>
          </rPr>
          <t>&lt;[[TCDeals] - [TC Property Current Stage (Seq: 1)] - [Buildings (Seq: 53)] Acq PIS Date - Both]&gt;</t>
        </r>
      </text>
    </comment>
    <comment ref="Q1240" authorId="0" shapeId="0" xr:uid="{4A8EC68A-358B-438F-8CF0-A189E46C6F41}">
      <text>
        <r>
          <rPr>
            <b/>
            <sz val="9"/>
            <color indexed="81"/>
            <rFont val="Tahoma"/>
            <family val="2"/>
          </rPr>
          <t>&lt;[[TCDeals] - [TC Property Current Stage (Seq: 1)] - [Buildings (Seq: 53)] Acq Applicable Percentage - Both]&gt;</t>
        </r>
      </text>
    </comment>
    <comment ref="R1240" authorId="0" shapeId="0" xr:uid="{762436B9-B6AD-4CD6-A94E-107EE06AF3DE}">
      <text>
        <r>
          <rPr>
            <b/>
            <sz val="9"/>
            <color indexed="81"/>
            <rFont val="Tahoma"/>
            <family val="2"/>
          </rPr>
          <t>&lt;[[TCDeals] - [TC Property Current Stage (Seq: 1)] - [Buildings (Seq: 53)] Acq Est Qual Basis - Both]&gt;</t>
        </r>
      </text>
    </comment>
    <comment ref="S1240" authorId="0" shapeId="0" xr:uid="{766A61C3-CD39-49A9-A32D-C0CC64C04391}">
      <text>
        <r>
          <rPr>
            <b/>
            <sz val="9"/>
            <color indexed="81"/>
            <rFont val="Tahoma"/>
            <family val="2"/>
          </rPr>
          <t>&lt;[[TCDeals] - [TC Property Current Stage (Seq: 1)] - [Buildings (Seq: 53)] Acq 8609 Basis - Both]&gt;</t>
        </r>
      </text>
    </comment>
    <comment ref="T1240" authorId="0" shapeId="0" xr:uid="{000B4122-0122-4B03-B3A7-AD909C15AAFF}">
      <text>
        <r>
          <rPr>
            <b/>
            <sz val="9"/>
            <color indexed="81"/>
            <rFont val="Tahoma"/>
            <family val="2"/>
          </rPr>
          <t>&lt;[[TCDeals] - [TC Property Current Stage (Seq: 1)] - [Buildings (Seq: 53)] Acq 8609 Credit - Both]&gt;</t>
        </r>
      </text>
    </comment>
    <comment ref="C1241" authorId="0" shapeId="0" xr:uid="{D643B7F3-5A41-40AF-AEF2-9D94348BC0CD}">
      <text>
        <r>
          <rPr>
            <b/>
            <sz val="9"/>
            <color indexed="81"/>
            <rFont val="Tahoma"/>
            <family val="2"/>
          </rPr>
          <t>&lt;[[TCDeals] - [TC Property Current Stage (Seq: 1)] - [Buildings (Seq: 54)] BIN - Both]&gt;</t>
        </r>
      </text>
    </comment>
    <comment ref="D1241" authorId="0" shapeId="0" xr:uid="{FF12E5EE-36D6-4C7E-870B-D26E23561401}">
      <text>
        <r>
          <rPr>
            <b/>
            <sz val="9"/>
            <color indexed="81"/>
            <rFont val="Tahoma"/>
            <family val="2"/>
          </rPr>
          <t>&lt;[[TCDeals] - [TC Property Current Stage (Seq: 1)] - [Buildings (Seq: 54)] Address 1 - Both]&gt;</t>
        </r>
      </text>
    </comment>
    <comment ref="E1241" authorId="0" shapeId="0" xr:uid="{8E632FC3-D67A-48E8-8978-FDD2081FE334}">
      <text>
        <r>
          <rPr>
            <b/>
            <sz val="9"/>
            <color indexed="81"/>
            <rFont val="Tahoma"/>
            <family val="2"/>
          </rPr>
          <t>&lt;[[TCDeals] - [TC Property Current Stage (Seq: 1)] - [Buildings (Seq: 54)] Num TC Units - Both]&gt;</t>
        </r>
      </text>
    </comment>
    <comment ref="F1241" authorId="0" shapeId="0" xr:uid="{2DF17F78-75DA-4DB5-8CB5-8BD575A78800}">
      <text>
        <r>
          <rPr>
            <b/>
            <sz val="9"/>
            <color indexed="81"/>
            <rFont val="Tahoma"/>
            <family val="2"/>
          </rPr>
          <t>&lt;[[TCDeals] - [TC Property Current Stage (Seq: 1)] - [Buildings (Seq: 54)] PVC PIS Date - Both]&gt;</t>
        </r>
      </text>
    </comment>
    <comment ref="G1241" authorId="0" shapeId="0" xr:uid="{D37D3725-30D9-41B5-A94F-9ABC70D72540}">
      <text>
        <r>
          <rPr>
            <b/>
            <sz val="9"/>
            <color indexed="81"/>
            <rFont val="Tahoma"/>
            <family val="2"/>
          </rPr>
          <t>&lt;[[TCDeals] - [TC Property Current Stage (Seq: 1)] - [Buildings (Seq: 54)] PVC Applicable Percentage - Both]&gt;</t>
        </r>
      </text>
    </comment>
    <comment ref="H1241" authorId="0" shapeId="0" xr:uid="{7774E1DC-B8AA-4F88-97E5-64B2D506E620}">
      <text>
        <r>
          <rPr>
            <b/>
            <sz val="9"/>
            <color indexed="81"/>
            <rFont val="Tahoma"/>
            <family val="2"/>
          </rPr>
          <t>&lt;[[TCDeals] - [TC Property Current Stage (Seq: 1)] - [Buildings (Seq: 54)] PVC Est Qual Basis - Both]&gt;</t>
        </r>
      </text>
    </comment>
    <comment ref="I1241" authorId="0" shapeId="0" xr:uid="{33FE3176-BAF0-48B6-A3AB-7EA890A2A1AA}">
      <text>
        <r>
          <rPr>
            <b/>
            <sz val="9"/>
            <color indexed="81"/>
            <rFont val="Tahoma"/>
            <family val="2"/>
          </rPr>
          <t>&lt;[[TCDeals] - [TC Property Current Stage (Seq: 1)] - [Buildings (Seq: 54)] PVC8609 Basis - Both]&gt;</t>
        </r>
      </text>
    </comment>
    <comment ref="J1241" authorId="0" shapeId="0" xr:uid="{51EDD14E-0245-4FBD-A4A6-C4C7F07F6B8E}">
      <text>
        <r>
          <rPr>
            <b/>
            <sz val="9"/>
            <color indexed="81"/>
            <rFont val="Tahoma"/>
            <family val="2"/>
          </rPr>
          <t>&lt;[[TCDeals] - [TC Property Current Stage (Seq: 1)] - [Buildings (Seq: 54)] PVC8609 Credit - Both]&gt;</t>
        </r>
      </text>
    </comment>
    <comment ref="K1241" authorId="0" shapeId="0" xr:uid="{63D911DB-7197-4B18-8DBC-DF574DE58129}">
      <text>
        <r>
          <rPr>
            <b/>
            <sz val="9"/>
            <color indexed="81"/>
            <rFont val="Tahoma"/>
            <family val="2"/>
          </rPr>
          <t>&lt;[[TCDeals] - [TC Property Current Stage (Seq: 1)] - [Buildings (Seq: 54)] Constr PIS Date - Both]&gt;</t>
        </r>
      </text>
    </comment>
    <comment ref="L1241" authorId="0" shapeId="0" xr:uid="{CDFED60F-E329-4651-93B8-2927F3DE2F43}">
      <text>
        <r>
          <rPr>
            <b/>
            <sz val="9"/>
            <color indexed="81"/>
            <rFont val="Tahoma"/>
            <family val="2"/>
          </rPr>
          <t>&lt;[[TCDeals] - [TC Property Current Stage (Seq: 1)] - [Buildings (Seq: 54)] Constr Applicable Percentage - Both]&gt;</t>
        </r>
      </text>
    </comment>
    <comment ref="M1241" authorId="0" shapeId="0" xr:uid="{20B34950-C159-4478-935A-FEE7F70878B3}">
      <text>
        <r>
          <rPr>
            <b/>
            <sz val="9"/>
            <color indexed="81"/>
            <rFont val="Tahoma"/>
            <family val="2"/>
          </rPr>
          <t>&lt;[[TCDeals] - [TC Property Current Stage (Seq: 1)] - [Buildings (Seq: 54)] Constr Est Qual Basis - Both]&gt;</t>
        </r>
      </text>
    </comment>
    <comment ref="N1241" authorId="0" shapeId="0" xr:uid="{ADC89F91-70E8-4E0C-AC70-C95608841148}">
      <text>
        <r>
          <rPr>
            <b/>
            <sz val="9"/>
            <color indexed="81"/>
            <rFont val="Tahoma"/>
            <family val="2"/>
          </rPr>
          <t>&lt;[[TCDeals] - [TC Property Current Stage (Seq: 1)] - [Buildings (Seq: 54)] Constr 8609 Basis - Both]&gt;</t>
        </r>
      </text>
    </comment>
    <comment ref="O1241" authorId="0" shapeId="0" xr:uid="{A1CC07DD-454F-4451-A5EC-E00CE93D73F1}">
      <text>
        <r>
          <rPr>
            <b/>
            <sz val="9"/>
            <color indexed="81"/>
            <rFont val="Tahoma"/>
            <family val="2"/>
          </rPr>
          <t>&lt;[[TCDeals] - [TC Property Current Stage (Seq: 1)] - [Buildings (Seq: 54)] Constr 8609 Credit - Both]&gt;</t>
        </r>
      </text>
    </comment>
    <comment ref="P1241" authorId="0" shapeId="0" xr:uid="{2695EDA7-D008-48EA-A8A0-510A91E0B9D2}">
      <text>
        <r>
          <rPr>
            <b/>
            <sz val="9"/>
            <color indexed="81"/>
            <rFont val="Tahoma"/>
            <family val="2"/>
          </rPr>
          <t>&lt;[[TCDeals] - [TC Property Current Stage (Seq: 1)] - [Buildings (Seq: 54)] Acq PIS Date - Both]&gt;</t>
        </r>
      </text>
    </comment>
    <comment ref="Q1241" authorId="0" shapeId="0" xr:uid="{B8B1B6FD-0CEC-457D-B983-D6C77D4273F5}">
      <text>
        <r>
          <rPr>
            <b/>
            <sz val="9"/>
            <color indexed="81"/>
            <rFont val="Tahoma"/>
            <family val="2"/>
          </rPr>
          <t>&lt;[[TCDeals] - [TC Property Current Stage (Seq: 1)] - [Buildings (Seq: 54)] Acq Applicable Percentage - Both]&gt;</t>
        </r>
      </text>
    </comment>
    <comment ref="R1241" authorId="0" shapeId="0" xr:uid="{41B10243-C15A-4777-9D57-D026EF3F79FF}">
      <text>
        <r>
          <rPr>
            <b/>
            <sz val="9"/>
            <color indexed="81"/>
            <rFont val="Tahoma"/>
            <family val="2"/>
          </rPr>
          <t>&lt;[[TCDeals] - [TC Property Current Stage (Seq: 1)] - [Buildings (Seq: 54)] Acq Est Qual Basis - Both]&gt;</t>
        </r>
      </text>
    </comment>
    <comment ref="S1241" authorId="0" shapeId="0" xr:uid="{F798EB54-B733-468F-A860-9FF61F967D55}">
      <text>
        <r>
          <rPr>
            <b/>
            <sz val="9"/>
            <color indexed="81"/>
            <rFont val="Tahoma"/>
            <family val="2"/>
          </rPr>
          <t>&lt;[[TCDeals] - [TC Property Current Stage (Seq: 1)] - [Buildings (Seq: 54)] Acq 8609 Basis - Both]&gt;</t>
        </r>
      </text>
    </comment>
    <comment ref="T1241" authorId="0" shapeId="0" xr:uid="{565C84A6-9823-4B03-8567-856676404618}">
      <text>
        <r>
          <rPr>
            <b/>
            <sz val="9"/>
            <color indexed="81"/>
            <rFont val="Tahoma"/>
            <family val="2"/>
          </rPr>
          <t>&lt;[[TCDeals] - [TC Property Current Stage (Seq: 1)] - [Buildings (Seq: 54)] Acq 8609 Credit - Both]&gt;</t>
        </r>
      </text>
    </comment>
    <comment ref="C1242" authorId="0" shapeId="0" xr:uid="{42035266-4290-4DF5-AE25-3F35BE21C433}">
      <text>
        <r>
          <rPr>
            <b/>
            <sz val="9"/>
            <color indexed="81"/>
            <rFont val="Tahoma"/>
            <family val="2"/>
          </rPr>
          <t>&lt;[[TCDeals] - [TC Property Current Stage (Seq: 1)] - [Buildings (Seq: 55)] BIN - Both]&gt;</t>
        </r>
      </text>
    </comment>
    <comment ref="D1242" authorId="0" shapeId="0" xr:uid="{15B146B5-FC77-4F9F-97C5-04863033EC64}">
      <text>
        <r>
          <rPr>
            <b/>
            <sz val="9"/>
            <color indexed="81"/>
            <rFont val="Tahoma"/>
            <family val="2"/>
          </rPr>
          <t>&lt;[[TCDeals] - [TC Property Current Stage (Seq: 1)] - [Buildings (Seq: 55)] Address 1 - Both]&gt;</t>
        </r>
      </text>
    </comment>
    <comment ref="E1242" authorId="0" shapeId="0" xr:uid="{DA0EC126-06E1-4C67-8A66-6A4782A19DD8}">
      <text>
        <r>
          <rPr>
            <b/>
            <sz val="9"/>
            <color indexed="81"/>
            <rFont val="Tahoma"/>
            <family val="2"/>
          </rPr>
          <t>&lt;[[TCDeals] - [TC Property Current Stage (Seq: 1)] - [Buildings (Seq: 55)] Num TC Units - Both]&gt;</t>
        </r>
      </text>
    </comment>
    <comment ref="F1242" authorId="0" shapeId="0" xr:uid="{888D6126-1AB3-478A-A168-1606C1503892}">
      <text>
        <r>
          <rPr>
            <b/>
            <sz val="9"/>
            <color indexed="81"/>
            <rFont val="Tahoma"/>
            <family val="2"/>
          </rPr>
          <t>&lt;[[TCDeals] - [TC Property Current Stage (Seq: 1)] - [Buildings (Seq: 55)] PVC PIS Date - Both]&gt;</t>
        </r>
      </text>
    </comment>
    <comment ref="G1242" authorId="0" shapeId="0" xr:uid="{792D932A-0445-4CD5-A9D2-749BF6556B19}">
      <text>
        <r>
          <rPr>
            <b/>
            <sz val="9"/>
            <color indexed="81"/>
            <rFont val="Tahoma"/>
            <family val="2"/>
          </rPr>
          <t>&lt;[[TCDeals] - [TC Property Current Stage (Seq: 1)] - [Buildings (Seq: 55)] PVC Applicable Percentage - Both]&gt;</t>
        </r>
      </text>
    </comment>
    <comment ref="H1242" authorId="0" shapeId="0" xr:uid="{810588EF-AEA0-4630-908B-41585A282B80}">
      <text>
        <r>
          <rPr>
            <b/>
            <sz val="9"/>
            <color indexed="81"/>
            <rFont val="Tahoma"/>
            <family val="2"/>
          </rPr>
          <t>&lt;[[TCDeals] - [TC Property Current Stage (Seq: 1)] - [Buildings (Seq: 55)] PVC Est Qual Basis - Both]&gt;</t>
        </r>
      </text>
    </comment>
    <comment ref="I1242" authorId="0" shapeId="0" xr:uid="{C0D2B8BC-EC91-4838-B868-FAF8A5DED42E}">
      <text>
        <r>
          <rPr>
            <b/>
            <sz val="9"/>
            <color indexed="81"/>
            <rFont val="Tahoma"/>
            <family val="2"/>
          </rPr>
          <t>&lt;[[TCDeals] - [TC Property Current Stage (Seq: 1)] - [Buildings (Seq: 55)] PVC8609 Basis - Both]&gt;</t>
        </r>
      </text>
    </comment>
    <comment ref="J1242" authorId="0" shapeId="0" xr:uid="{0D674CFE-596F-4A69-A8CA-0E18EA1C8F99}">
      <text>
        <r>
          <rPr>
            <b/>
            <sz val="9"/>
            <color indexed="81"/>
            <rFont val="Tahoma"/>
            <family val="2"/>
          </rPr>
          <t>&lt;[[TCDeals] - [TC Property Current Stage (Seq: 1)] - [Buildings (Seq: 55)] PVC8609 Credit - Both]&gt;</t>
        </r>
      </text>
    </comment>
    <comment ref="K1242" authorId="0" shapeId="0" xr:uid="{21FD7B9D-66C5-4E73-97E9-F29B2EB2F39B}">
      <text>
        <r>
          <rPr>
            <b/>
            <sz val="9"/>
            <color indexed="81"/>
            <rFont val="Tahoma"/>
            <family val="2"/>
          </rPr>
          <t>&lt;[[TCDeals] - [TC Property Current Stage (Seq: 1)] - [Buildings (Seq: 55)] Constr PIS Date - Both]&gt;</t>
        </r>
      </text>
    </comment>
    <comment ref="L1242" authorId="0" shapeId="0" xr:uid="{861F06B1-BA58-4D85-B8CB-E98FA6C6A587}">
      <text>
        <r>
          <rPr>
            <b/>
            <sz val="9"/>
            <color indexed="81"/>
            <rFont val="Tahoma"/>
            <family val="2"/>
          </rPr>
          <t>&lt;[[TCDeals] - [TC Property Current Stage (Seq: 1)] - [Buildings (Seq: 55)] Constr Applicable Percentage - Both]&gt;</t>
        </r>
      </text>
    </comment>
    <comment ref="M1242" authorId="0" shapeId="0" xr:uid="{CE5162ED-67C1-40BC-A5A2-9D9F08DF5AE6}">
      <text>
        <r>
          <rPr>
            <b/>
            <sz val="9"/>
            <color indexed="81"/>
            <rFont val="Tahoma"/>
            <family val="2"/>
          </rPr>
          <t>&lt;[[TCDeals] - [TC Property Current Stage (Seq: 1)] - [Buildings (Seq: 55)] Constr Est Qual Basis - Both]&gt;</t>
        </r>
      </text>
    </comment>
    <comment ref="N1242" authorId="0" shapeId="0" xr:uid="{B3076265-0C18-429B-A113-B6A78D4A18C3}">
      <text>
        <r>
          <rPr>
            <b/>
            <sz val="9"/>
            <color indexed="81"/>
            <rFont val="Tahoma"/>
            <family val="2"/>
          </rPr>
          <t>&lt;[[TCDeals] - [TC Property Current Stage (Seq: 1)] - [Buildings (Seq: 55)] Constr 8609 Basis - Both]&gt;</t>
        </r>
      </text>
    </comment>
    <comment ref="O1242" authorId="0" shapeId="0" xr:uid="{2ACB928E-6153-4D65-AF0D-50EF831B391B}">
      <text>
        <r>
          <rPr>
            <b/>
            <sz val="9"/>
            <color indexed="81"/>
            <rFont val="Tahoma"/>
            <family val="2"/>
          </rPr>
          <t>&lt;[[TCDeals] - [TC Property Current Stage (Seq: 1)] - [Buildings (Seq: 55)] Constr 8609 Credit - Both]&gt;</t>
        </r>
      </text>
    </comment>
    <comment ref="P1242" authorId="0" shapeId="0" xr:uid="{53400657-6A77-4790-BD69-91FB13F38131}">
      <text>
        <r>
          <rPr>
            <b/>
            <sz val="9"/>
            <color indexed="81"/>
            <rFont val="Tahoma"/>
            <family val="2"/>
          </rPr>
          <t>&lt;[[TCDeals] - [TC Property Current Stage (Seq: 1)] - [Buildings (Seq: 55)] Acq PIS Date - Both]&gt;</t>
        </r>
      </text>
    </comment>
    <comment ref="Q1242" authorId="0" shapeId="0" xr:uid="{30A3A442-7A1C-4575-8A9C-E74B093061D4}">
      <text>
        <r>
          <rPr>
            <b/>
            <sz val="9"/>
            <color indexed="81"/>
            <rFont val="Tahoma"/>
            <family val="2"/>
          </rPr>
          <t>&lt;[[TCDeals] - [TC Property Current Stage (Seq: 1)] - [Buildings (Seq: 55)] Acq Applicable Percentage - Both]&gt;</t>
        </r>
      </text>
    </comment>
    <comment ref="R1242" authorId="0" shapeId="0" xr:uid="{544B403C-E918-436D-A054-34357D8362C8}">
      <text>
        <r>
          <rPr>
            <b/>
            <sz val="9"/>
            <color indexed="81"/>
            <rFont val="Tahoma"/>
            <family val="2"/>
          </rPr>
          <t>&lt;[[TCDeals] - [TC Property Current Stage (Seq: 1)] - [Buildings (Seq: 55)] Acq Est Qual Basis - Both]&gt;</t>
        </r>
      </text>
    </comment>
    <comment ref="S1242" authorId="0" shapeId="0" xr:uid="{8343CB31-CCCB-435C-B614-6BCC996DECCB}">
      <text>
        <r>
          <rPr>
            <b/>
            <sz val="9"/>
            <color indexed="81"/>
            <rFont val="Tahoma"/>
            <family val="2"/>
          </rPr>
          <t>&lt;[[TCDeals] - [TC Property Current Stage (Seq: 1)] - [Buildings (Seq: 55)] Acq 8609 Basis - Both]&gt;</t>
        </r>
      </text>
    </comment>
    <comment ref="T1242" authorId="0" shapeId="0" xr:uid="{9479B74F-0D73-44A5-90B9-D96716774341}">
      <text>
        <r>
          <rPr>
            <b/>
            <sz val="9"/>
            <color indexed="81"/>
            <rFont val="Tahoma"/>
            <family val="2"/>
          </rPr>
          <t>&lt;[[TCDeals] - [TC Property Current Stage (Seq: 1)] - [Buildings (Seq: 55)] Acq 8609 Credit - Both]&gt;</t>
        </r>
      </text>
    </comment>
    <comment ref="C1243" authorId="0" shapeId="0" xr:uid="{0E937D28-E259-4302-9882-894B0438B1A0}">
      <text>
        <r>
          <rPr>
            <b/>
            <sz val="9"/>
            <color indexed="81"/>
            <rFont val="Tahoma"/>
            <family val="2"/>
          </rPr>
          <t>&lt;[[TCDeals] - [TC Property Current Stage (Seq: 1)] - [Buildings (Seq: 56)] BIN - Both]&gt;</t>
        </r>
      </text>
    </comment>
    <comment ref="D1243" authorId="0" shapeId="0" xr:uid="{2EC73FEE-2947-4F9C-A6A9-E8B72CC24BD3}">
      <text>
        <r>
          <rPr>
            <b/>
            <sz val="9"/>
            <color indexed="81"/>
            <rFont val="Tahoma"/>
            <family val="2"/>
          </rPr>
          <t>&lt;[[TCDeals] - [TC Property Current Stage (Seq: 1)] - [Buildings (Seq: 56)] Address 1 - Both]&gt;</t>
        </r>
      </text>
    </comment>
    <comment ref="E1243" authorId="0" shapeId="0" xr:uid="{1DC24718-B660-42FC-96F4-681A3E9B7264}">
      <text>
        <r>
          <rPr>
            <b/>
            <sz val="9"/>
            <color indexed="81"/>
            <rFont val="Tahoma"/>
            <family val="2"/>
          </rPr>
          <t>&lt;[[TCDeals] - [TC Property Current Stage (Seq: 1)] - [Buildings (Seq: 56)] Num TC Units - Both]&gt;</t>
        </r>
      </text>
    </comment>
    <comment ref="F1243" authorId="0" shapeId="0" xr:uid="{61E06992-D709-4CFF-BB67-57BE43797098}">
      <text>
        <r>
          <rPr>
            <b/>
            <sz val="9"/>
            <color indexed="81"/>
            <rFont val="Tahoma"/>
            <family val="2"/>
          </rPr>
          <t>&lt;[[TCDeals] - [TC Property Current Stage (Seq: 1)] - [Buildings (Seq: 56)] PVC PIS Date - Both]&gt;</t>
        </r>
      </text>
    </comment>
    <comment ref="G1243" authorId="0" shapeId="0" xr:uid="{AE603B41-1CF0-4DB3-9E04-67FB8CFBA6A0}">
      <text>
        <r>
          <rPr>
            <b/>
            <sz val="9"/>
            <color indexed="81"/>
            <rFont val="Tahoma"/>
            <family val="2"/>
          </rPr>
          <t>&lt;[[TCDeals] - [TC Property Current Stage (Seq: 1)] - [Buildings (Seq: 56)] PVC Applicable Percentage - Both]&gt;</t>
        </r>
      </text>
    </comment>
    <comment ref="H1243" authorId="0" shapeId="0" xr:uid="{B7F14F98-C095-41DA-A8BE-25AF25CEE21F}">
      <text>
        <r>
          <rPr>
            <b/>
            <sz val="9"/>
            <color indexed="81"/>
            <rFont val="Tahoma"/>
            <family val="2"/>
          </rPr>
          <t>&lt;[[TCDeals] - [TC Property Current Stage (Seq: 1)] - [Buildings (Seq: 56)] PVC Est Qual Basis - Both]&gt;</t>
        </r>
      </text>
    </comment>
    <comment ref="I1243" authorId="0" shapeId="0" xr:uid="{90162A57-D0B4-4114-8E08-C10647DF38D9}">
      <text>
        <r>
          <rPr>
            <b/>
            <sz val="9"/>
            <color indexed="81"/>
            <rFont val="Tahoma"/>
            <family val="2"/>
          </rPr>
          <t>&lt;[[TCDeals] - [TC Property Current Stage (Seq: 1)] - [Buildings (Seq: 56)] PVC8609 Basis - Both]&gt;</t>
        </r>
      </text>
    </comment>
    <comment ref="J1243" authorId="0" shapeId="0" xr:uid="{3B439C43-EB0E-4312-B5F4-ACBEB7DB0E64}">
      <text>
        <r>
          <rPr>
            <b/>
            <sz val="9"/>
            <color indexed="81"/>
            <rFont val="Tahoma"/>
            <family val="2"/>
          </rPr>
          <t>&lt;[[TCDeals] - [TC Property Current Stage (Seq: 1)] - [Buildings (Seq: 56)] PVC8609 Credit - Both]&gt;</t>
        </r>
      </text>
    </comment>
    <comment ref="K1243" authorId="0" shapeId="0" xr:uid="{B794CF6B-33D5-4DA5-8B11-EDA8E4EDBA13}">
      <text>
        <r>
          <rPr>
            <b/>
            <sz val="9"/>
            <color indexed="81"/>
            <rFont val="Tahoma"/>
            <family val="2"/>
          </rPr>
          <t>&lt;[[TCDeals] - [TC Property Current Stage (Seq: 1)] - [Buildings (Seq: 56)] Constr PIS Date - Both]&gt;</t>
        </r>
      </text>
    </comment>
    <comment ref="L1243" authorId="0" shapeId="0" xr:uid="{20A80480-E2B9-4AF7-AAA7-5F7D9C455DF4}">
      <text>
        <r>
          <rPr>
            <b/>
            <sz val="9"/>
            <color indexed="81"/>
            <rFont val="Tahoma"/>
            <family val="2"/>
          </rPr>
          <t>&lt;[[TCDeals] - [TC Property Current Stage (Seq: 1)] - [Buildings (Seq: 56)] Constr Applicable Percentage - Both]&gt;</t>
        </r>
      </text>
    </comment>
    <comment ref="M1243" authorId="0" shapeId="0" xr:uid="{740A2499-8972-45F7-9A1E-ABBD42AA7E02}">
      <text>
        <r>
          <rPr>
            <b/>
            <sz val="9"/>
            <color indexed="81"/>
            <rFont val="Tahoma"/>
            <family val="2"/>
          </rPr>
          <t>&lt;[[TCDeals] - [TC Property Current Stage (Seq: 1)] - [Buildings (Seq: 56)] Constr Est Qual Basis - Both]&gt;</t>
        </r>
      </text>
    </comment>
    <comment ref="N1243" authorId="0" shapeId="0" xr:uid="{DBCD3793-D5F0-4449-8E8E-7905E47729DC}">
      <text>
        <r>
          <rPr>
            <b/>
            <sz val="9"/>
            <color indexed="81"/>
            <rFont val="Tahoma"/>
            <family val="2"/>
          </rPr>
          <t>&lt;[[TCDeals] - [TC Property Current Stage (Seq: 1)] - [Buildings (Seq: 56)] Constr 8609 Basis - Both]&gt;</t>
        </r>
      </text>
    </comment>
    <comment ref="O1243" authorId="0" shapeId="0" xr:uid="{5A5A5A09-7B86-4CF4-9A0D-84E01CA581D3}">
      <text>
        <r>
          <rPr>
            <b/>
            <sz val="9"/>
            <color indexed="81"/>
            <rFont val="Tahoma"/>
            <family val="2"/>
          </rPr>
          <t>&lt;[[TCDeals] - [TC Property Current Stage (Seq: 1)] - [Buildings (Seq: 56)] Constr 8609 Credit - Both]&gt;</t>
        </r>
      </text>
    </comment>
    <comment ref="P1243" authorId="0" shapeId="0" xr:uid="{053D1354-65F9-4D2F-A57E-C16F78856BD2}">
      <text>
        <r>
          <rPr>
            <b/>
            <sz val="9"/>
            <color indexed="81"/>
            <rFont val="Tahoma"/>
            <family val="2"/>
          </rPr>
          <t>&lt;[[TCDeals] - [TC Property Current Stage (Seq: 1)] - [Buildings (Seq: 56)] Acq PIS Date - Both]&gt;</t>
        </r>
      </text>
    </comment>
    <comment ref="Q1243" authorId="0" shapeId="0" xr:uid="{BD87D593-6131-45AA-AA0B-10E653A28FDE}">
      <text>
        <r>
          <rPr>
            <b/>
            <sz val="9"/>
            <color indexed="81"/>
            <rFont val="Tahoma"/>
            <family val="2"/>
          </rPr>
          <t>&lt;[[TCDeals] - [TC Property Current Stage (Seq: 1)] - [Buildings (Seq: 56)] Acq Applicable Percentage - Both]&gt;</t>
        </r>
      </text>
    </comment>
    <comment ref="R1243" authorId="0" shapeId="0" xr:uid="{B95B7D50-DBC4-452B-8BCA-B55732ADF66A}">
      <text>
        <r>
          <rPr>
            <b/>
            <sz val="9"/>
            <color indexed="81"/>
            <rFont val="Tahoma"/>
            <family val="2"/>
          </rPr>
          <t>&lt;[[TCDeals] - [TC Property Current Stage (Seq: 1)] - [Buildings (Seq: 56)] Acq Est Qual Basis - Both]&gt;</t>
        </r>
      </text>
    </comment>
    <comment ref="S1243" authorId="0" shapeId="0" xr:uid="{1737EBE3-22CB-4149-AFEA-B418B4715080}">
      <text>
        <r>
          <rPr>
            <b/>
            <sz val="9"/>
            <color indexed="81"/>
            <rFont val="Tahoma"/>
            <family val="2"/>
          </rPr>
          <t>&lt;[[TCDeals] - [TC Property Current Stage (Seq: 1)] - [Buildings (Seq: 56)] Acq 8609 Basis - Both]&gt;</t>
        </r>
      </text>
    </comment>
    <comment ref="T1243" authorId="0" shapeId="0" xr:uid="{A7C81F4B-182F-4691-8B42-3BA62E8C7547}">
      <text>
        <r>
          <rPr>
            <b/>
            <sz val="9"/>
            <color indexed="81"/>
            <rFont val="Tahoma"/>
            <family val="2"/>
          </rPr>
          <t>&lt;[[TCDeals] - [TC Property Current Stage (Seq: 1)] - [Buildings (Seq: 56)] Acq 8609 Credit - Both]&gt;</t>
        </r>
      </text>
    </comment>
    <comment ref="C1244" authorId="0" shapeId="0" xr:uid="{E9F4B49D-C0B7-42A2-9E9E-B9C219186D90}">
      <text>
        <r>
          <rPr>
            <b/>
            <sz val="9"/>
            <color indexed="81"/>
            <rFont val="Tahoma"/>
            <family val="2"/>
          </rPr>
          <t>&lt;[[TCDeals] - [TC Property Current Stage (Seq: 1)] - [Buildings (Seq: 57)] BIN - Both]&gt;</t>
        </r>
      </text>
    </comment>
    <comment ref="D1244" authorId="0" shapeId="0" xr:uid="{FAB19020-580E-45F7-9A17-499D280174A9}">
      <text>
        <r>
          <rPr>
            <b/>
            <sz val="9"/>
            <color indexed="81"/>
            <rFont val="Tahoma"/>
            <family val="2"/>
          </rPr>
          <t>&lt;[[TCDeals] - [TC Property Current Stage (Seq: 1)] - [Buildings (Seq: 57)] Address 1 - Both]&gt;</t>
        </r>
      </text>
    </comment>
    <comment ref="E1244" authorId="0" shapeId="0" xr:uid="{D5EF8436-469A-47FA-8910-0BE7099D3D3A}">
      <text>
        <r>
          <rPr>
            <b/>
            <sz val="9"/>
            <color indexed="81"/>
            <rFont val="Tahoma"/>
            <family val="2"/>
          </rPr>
          <t>&lt;[[TCDeals] - [TC Property Current Stage (Seq: 1)] - [Buildings (Seq: 57)] Num TC Units - Both]&gt;</t>
        </r>
      </text>
    </comment>
    <comment ref="F1244" authorId="0" shapeId="0" xr:uid="{1813F6C2-0843-434B-8A19-CFE61570F4E5}">
      <text>
        <r>
          <rPr>
            <b/>
            <sz val="9"/>
            <color indexed="81"/>
            <rFont val="Tahoma"/>
            <family val="2"/>
          </rPr>
          <t>&lt;[[TCDeals] - [TC Property Current Stage (Seq: 1)] - [Buildings (Seq: 57)] PVC PIS Date - Both]&gt;</t>
        </r>
      </text>
    </comment>
    <comment ref="G1244" authorId="0" shapeId="0" xr:uid="{AB1CA971-18DC-4B96-B43C-607AC03B8318}">
      <text>
        <r>
          <rPr>
            <b/>
            <sz val="9"/>
            <color indexed="81"/>
            <rFont val="Tahoma"/>
            <family val="2"/>
          </rPr>
          <t>&lt;[[TCDeals] - [TC Property Current Stage (Seq: 1)] - [Buildings (Seq: 57)] PVC Applicable Percentage - Both]&gt;</t>
        </r>
      </text>
    </comment>
    <comment ref="H1244" authorId="0" shapeId="0" xr:uid="{091E0989-F9FD-430A-9714-3EFACADFAA8B}">
      <text>
        <r>
          <rPr>
            <b/>
            <sz val="9"/>
            <color indexed="81"/>
            <rFont val="Tahoma"/>
            <family val="2"/>
          </rPr>
          <t>&lt;[[TCDeals] - [TC Property Current Stage (Seq: 1)] - [Buildings (Seq: 57)] PVC Est Qual Basis - Both]&gt;</t>
        </r>
      </text>
    </comment>
    <comment ref="I1244" authorId="0" shapeId="0" xr:uid="{8A4DD130-EF2A-4066-ACA8-3EEB5BFA80A9}">
      <text>
        <r>
          <rPr>
            <b/>
            <sz val="9"/>
            <color indexed="81"/>
            <rFont val="Tahoma"/>
            <family val="2"/>
          </rPr>
          <t>&lt;[[TCDeals] - [TC Property Current Stage (Seq: 1)] - [Buildings (Seq: 57)] PVC8609 Basis - Both]&gt;</t>
        </r>
      </text>
    </comment>
    <comment ref="J1244" authorId="0" shapeId="0" xr:uid="{769DD19C-F439-4D97-8A21-A31AD467F317}">
      <text>
        <r>
          <rPr>
            <b/>
            <sz val="9"/>
            <color indexed="81"/>
            <rFont val="Tahoma"/>
            <family val="2"/>
          </rPr>
          <t>&lt;[[TCDeals] - [TC Property Current Stage (Seq: 1)] - [Buildings (Seq: 57)] PVC8609 Credit - Both]&gt;</t>
        </r>
      </text>
    </comment>
    <comment ref="K1244" authorId="0" shapeId="0" xr:uid="{0A5EDC71-2633-4570-9F12-DF02B8CA9038}">
      <text>
        <r>
          <rPr>
            <b/>
            <sz val="9"/>
            <color indexed="81"/>
            <rFont val="Tahoma"/>
            <family val="2"/>
          </rPr>
          <t>&lt;[[TCDeals] - [TC Property Current Stage (Seq: 1)] - [Buildings (Seq: 57)] Constr PIS Date - Both]&gt;</t>
        </r>
      </text>
    </comment>
    <comment ref="L1244" authorId="0" shapeId="0" xr:uid="{00E54E78-2204-4D17-ADCA-B7A347122CDA}">
      <text>
        <r>
          <rPr>
            <b/>
            <sz val="9"/>
            <color indexed="81"/>
            <rFont val="Tahoma"/>
            <family val="2"/>
          </rPr>
          <t>&lt;[[TCDeals] - [TC Property Current Stage (Seq: 1)] - [Buildings (Seq: 57)] Constr Applicable Percentage - Both]&gt;</t>
        </r>
      </text>
    </comment>
    <comment ref="M1244" authorId="0" shapeId="0" xr:uid="{333A0C96-A37E-470C-B6C6-EFB5B2FAB620}">
      <text>
        <r>
          <rPr>
            <b/>
            <sz val="9"/>
            <color indexed="81"/>
            <rFont val="Tahoma"/>
            <family val="2"/>
          </rPr>
          <t>&lt;[[TCDeals] - [TC Property Current Stage (Seq: 1)] - [Buildings (Seq: 57)] Constr Est Qual Basis - Both]&gt;</t>
        </r>
      </text>
    </comment>
    <comment ref="N1244" authorId="0" shapeId="0" xr:uid="{A21D6BE9-99B3-44E9-8B0A-23A6DFE520A2}">
      <text>
        <r>
          <rPr>
            <b/>
            <sz val="9"/>
            <color indexed="81"/>
            <rFont val="Tahoma"/>
            <family val="2"/>
          </rPr>
          <t>&lt;[[TCDeals] - [TC Property Current Stage (Seq: 1)] - [Buildings (Seq: 57)] Constr 8609 Basis - Both]&gt;</t>
        </r>
      </text>
    </comment>
    <comment ref="O1244" authorId="0" shapeId="0" xr:uid="{F31A3E05-C11C-413B-A80D-1D97717AA236}">
      <text>
        <r>
          <rPr>
            <b/>
            <sz val="9"/>
            <color indexed="81"/>
            <rFont val="Tahoma"/>
            <family val="2"/>
          </rPr>
          <t>&lt;[[TCDeals] - [TC Property Current Stage (Seq: 1)] - [Buildings (Seq: 57)] Constr 8609 Credit - Both]&gt;</t>
        </r>
      </text>
    </comment>
    <comment ref="P1244" authorId="0" shapeId="0" xr:uid="{BB2B56D0-DF92-415C-86B4-4F55B8EEAAAD}">
      <text>
        <r>
          <rPr>
            <b/>
            <sz val="9"/>
            <color indexed="81"/>
            <rFont val="Tahoma"/>
            <family val="2"/>
          </rPr>
          <t>&lt;[[TCDeals] - [TC Property Current Stage (Seq: 1)] - [Buildings (Seq: 57)] Acq PIS Date - Both]&gt;</t>
        </r>
      </text>
    </comment>
    <comment ref="Q1244" authorId="0" shapeId="0" xr:uid="{C9891772-0836-4463-82BB-05AD0FC82928}">
      <text>
        <r>
          <rPr>
            <b/>
            <sz val="9"/>
            <color indexed="81"/>
            <rFont val="Tahoma"/>
            <family val="2"/>
          </rPr>
          <t>&lt;[[TCDeals] - [TC Property Current Stage (Seq: 1)] - [Buildings (Seq: 57)] Acq Applicable Percentage - Both]&gt;</t>
        </r>
      </text>
    </comment>
    <comment ref="R1244" authorId="0" shapeId="0" xr:uid="{81541B9C-FAC9-40C5-8F5C-5EF44A1C3806}">
      <text>
        <r>
          <rPr>
            <b/>
            <sz val="9"/>
            <color indexed="81"/>
            <rFont val="Tahoma"/>
            <family val="2"/>
          </rPr>
          <t>&lt;[[TCDeals] - [TC Property Current Stage (Seq: 1)] - [Buildings (Seq: 57)] Acq Est Qual Basis - Both]&gt;</t>
        </r>
      </text>
    </comment>
    <comment ref="S1244" authorId="0" shapeId="0" xr:uid="{085BAEBE-BA07-477C-B294-0BABCC1AA93D}">
      <text>
        <r>
          <rPr>
            <b/>
            <sz val="9"/>
            <color indexed="81"/>
            <rFont val="Tahoma"/>
            <family val="2"/>
          </rPr>
          <t>&lt;[[TCDeals] - [TC Property Current Stage (Seq: 1)] - [Buildings (Seq: 57)] Acq 8609 Basis - Both]&gt;</t>
        </r>
      </text>
    </comment>
    <comment ref="T1244" authorId="0" shapeId="0" xr:uid="{C84DD640-3E80-4E7D-8526-E52330D2257E}">
      <text>
        <r>
          <rPr>
            <b/>
            <sz val="9"/>
            <color indexed="81"/>
            <rFont val="Tahoma"/>
            <family val="2"/>
          </rPr>
          <t>&lt;[[TCDeals] - [TC Property Current Stage (Seq: 1)] - [Buildings (Seq: 57)] Acq 8609 Credit - Both]&gt;</t>
        </r>
      </text>
    </comment>
    <comment ref="C1245" authorId="0" shapeId="0" xr:uid="{E7B1CFF0-B79D-4BD2-9A32-45D4C9335D07}">
      <text>
        <r>
          <rPr>
            <b/>
            <sz val="9"/>
            <color indexed="81"/>
            <rFont val="Tahoma"/>
            <family val="2"/>
          </rPr>
          <t>&lt;[[TCDeals] - [TC Property Current Stage (Seq: 1)] - [Buildings (Seq: 58)] BIN - Both]&gt;</t>
        </r>
      </text>
    </comment>
    <comment ref="D1245" authorId="0" shapeId="0" xr:uid="{49C02776-EA53-4E9E-9F2F-FD2972F93A22}">
      <text>
        <r>
          <rPr>
            <b/>
            <sz val="9"/>
            <color indexed="81"/>
            <rFont val="Tahoma"/>
            <family val="2"/>
          </rPr>
          <t>&lt;[[TCDeals] - [TC Property Current Stage (Seq: 1)] - [Buildings (Seq: 58)] Address 1 - Both]&gt;</t>
        </r>
      </text>
    </comment>
    <comment ref="E1245" authorId="0" shapeId="0" xr:uid="{A78DDC06-5A6A-4AB8-AF1C-7491964FB8CC}">
      <text>
        <r>
          <rPr>
            <b/>
            <sz val="9"/>
            <color indexed="81"/>
            <rFont val="Tahoma"/>
            <family val="2"/>
          </rPr>
          <t>&lt;[[TCDeals] - [TC Property Current Stage (Seq: 1)] - [Buildings (Seq: 58)] Num TC Units - Both]&gt;</t>
        </r>
      </text>
    </comment>
    <comment ref="F1245" authorId="0" shapeId="0" xr:uid="{16C6BFBE-5C6A-4A9E-8A11-4E70B885B448}">
      <text>
        <r>
          <rPr>
            <b/>
            <sz val="9"/>
            <color indexed="81"/>
            <rFont val="Tahoma"/>
            <family val="2"/>
          </rPr>
          <t>&lt;[[TCDeals] - [TC Property Current Stage (Seq: 1)] - [Buildings (Seq: 58)] PVC PIS Date - Both]&gt;</t>
        </r>
      </text>
    </comment>
    <comment ref="G1245" authorId="0" shapeId="0" xr:uid="{62BFE778-E6C1-4B7D-A5D5-B735C26C7AF5}">
      <text>
        <r>
          <rPr>
            <b/>
            <sz val="9"/>
            <color indexed="81"/>
            <rFont val="Tahoma"/>
            <family val="2"/>
          </rPr>
          <t>&lt;[[TCDeals] - [TC Property Current Stage (Seq: 1)] - [Buildings (Seq: 58)] PVC Applicable Percentage - Both]&gt;</t>
        </r>
      </text>
    </comment>
    <comment ref="H1245" authorId="0" shapeId="0" xr:uid="{F4992552-5732-4D87-BEB8-7E46DB7A53AC}">
      <text>
        <r>
          <rPr>
            <b/>
            <sz val="9"/>
            <color indexed="81"/>
            <rFont val="Tahoma"/>
            <family val="2"/>
          </rPr>
          <t>&lt;[[TCDeals] - [TC Property Current Stage (Seq: 1)] - [Buildings (Seq: 58)] PVC Est Qual Basis - Both]&gt;</t>
        </r>
      </text>
    </comment>
    <comment ref="I1245" authorId="0" shapeId="0" xr:uid="{A7B5F719-CA7E-4844-A049-1918E5B46DF1}">
      <text>
        <r>
          <rPr>
            <b/>
            <sz val="9"/>
            <color indexed="81"/>
            <rFont val="Tahoma"/>
            <family val="2"/>
          </rPr>
          <t>&lt;[[TCDeals] - [TC Property Current Stage (Seq: 1)] - [Buildings (Seq: 58)] PVC8609 Basis - Both]&gt;</t>
        </r>
      </text>
    </comment>
    <comment ref="J1245" authorId="0" shapeId="0" xr:uid="{25324CF1-70BB-44E7-880F-FD824570D9F7}">
      <text>
        <r>
          <rPr>
            <b/>
            <sz val="9"/>
            <color indexed="81"/>
            <rFont val="Tahoma"/>
            <family val="2"/>
          </rPr>
          <t>&lt;[[TCDeals] - [TC Property Current Stage (Seq: 1)] - [Buildings (Seq: 58)] PVC8609 Credit - Both]&gt;</t>
        </r>
      </text>
    </comment>
    <comment ref="K1245" authorId="0" shapeId="0" xr:uid="{C2F3EF43-D728-4335-8A75-5BBE64B758D2}">
      <text>
        <r>
          <rPr>
            <b/>
            <sz val="9"/>
            <color indexed="81"/>
            <rFont val="Tahoma"/>
            <family val="2"/>
          </rPr>
          <t>&lt;[[TCDeals] - [TC Property Current Stage (Seq: 1)] - [Buildings (Seq: 58)] Constr PIS Date - Both]&gt;</t>
        </r>
      </text>
    </comment>
    <comment ref="L1245" authorId="0" shapeId="0" xr:uid="{45AAFC7A-3E7C-4CA7-B57E-094F3E3C17A7}">
      <text>
        <r>
          <rPr>
            <b/>
            <sz val="9"/>
            <color indexed="81"/>
            <rFont val="Tahoma"/>
            <family val="2"/>
          </rPr>
          <t>&lt;[[TCDeals] - [TC Property Current Stage (Seq: 1)] - [Buildings (Seq: 58)] Constr Applicable Percentage - Both]&gt;</t>
        </r>
      </text>
    </comment>
    <comment ref="M1245" authorId="0" shapeId="0" xr:uid="{FFDC1A26-8140-4024-B829-FE259B6BAE76}">
      <text>
        <r>
          <rPr>
            <b/>
            <sz val="9"/>
            <color indexed="81"/>
            <rFont val="Tahoma"/>
            <family val="2"/>
          </rPr>
          <t>&lt;[[TCDeals] - [TC Property Current Stage (Seq: 1)] - [Buildings (Seq: 58)] Constr Est Qual Basis - Both]&gt;</t>
        </r>
      </text>
    </comment>
    <comment ref="N1245" authorId="0" shapeId="0" xr:uid="{370FDB3F-2693-4EE4-AEA9-DE202DA3439C}">
      <text>
        <r>
          <rPr>
            <b/>
            <sz val="9"/>
            <color indexed="81"/>
            <rFont val="Tahoma"/>
            <family val="2"/>
          </rPr>
          <t>&lt;[[TCDeals] - [TC Property Current Stage (Seq: 1)] - [Buildings (Seq: 58)] Constr 8609 Basis - Both]&gt;</t>
        </r>
      </text>
    </comment>
    <comment ref="O1245" authorId="0" shapeId="0" xr:uid="{564411A2-7521-4A19-AE8D-E2920E756CD5}">
      <text>
        <r>
          <rPr>
            <b/>
            <sz val="9"/>
            <color indexed="81"/>
            <rFont val="Tahoma"/>
            <family val="2"/>
          </rPr>
          <t>&lt;[[TCDeals] - [TC Property Current Stage (Seq: 1)] - [Buildings (Seq: 58)] Constr 8609 Credit - Both]&gt;</t>
        </r>
      </text>
    </comment>
    <comment ref="P1245" authorId="0" shapeId="0" xr:uid="{1B86003B-5081-4659-B3BE-235590E9D8FB}">
      <text>
        <r>
          <rPr>
            <b/>
            <sz val="9"/>
            <color indexed="81"/>
            <rFont val="Tahoma"/>
            <family val="2"/>
          </rPr>
          <t>&lt;[[TCDeals] - [TC Property Current Stage (Seq: 1)] - [Buildings (Seq: 58)] Acq PIS Date - Both]&gt;</t>
        </r>
      </text>
    </comment>
    <comment ref="Q1245" authorId="0" shapeId="0" xr:uid="{FDEC5563-7A7B-4DDD-A67A-CCE4629918D0}">
      <text>
        <r>
          <rPr>
            <b/>
            <sz val="9"/>
            <color indexed="81"/>
            <rFont val="Tahoma"/>
            <family val="2"/>
          </rPr>
          <t>&lt;[[TCDeals] - [TC Property Current Stage (Seq: 1)] - [Buildings (Seq: 58)] Acq Applicable Percentage - Both]&gt;</t>
        </r>
      </text>
    </comment>
    <comment ref="R1245" authorId="0" shapeId="0" xr:uid="{291A7142-F852-4724-B754-EA2FFF213752}">
      <text>
        <r>
          <rPr>
            <b/>
            <sz val="9"/>
            <color indexed="81"/>
            <rFont val="Tahoma"/>
            <family val="2"/>
          </rPr>
          <t>&lt;[[TCDeals] - [TC Property Current Stage (Seq: 1)] - [Buildings (Seq: 58)] Acq Est Qual Basis - Both]&gt;</t>
        </r>
      </text>
    </comment>
    <comment ref="S1245" authorId="0" shapeId="0" xr:uid="{F5D03102-B429-4300-9FA5-A8DDFEB9C0D1}">
      <text>
        <r>
          <rPr>
            <b/>
            <sz val="9"/>
            <color indexed="81"/>
            <rFont val="Tahoma"/>
            <family val="2"/>
          </rPr>
          <t>&lt;[[TCDeals] - [TC Property Current Stage (Seq: 1)] - [Buildings (Seq: 58)] Acq 8609 Basis - Both]&gt;</t>
        </r>
      </text>
    </comment>
    <comment ref="T1245" authorId="0" shapeId="0" xr:uid="{89AF81EE-2569-46B7-B846-175462561ABF}">
      <text>
        <r>
          <rPr>
            <b/>
            <sz val="9"/>
            <color indexed="81"/>
            <rFont val="Tahoma"/>
            <family val="2"/>
          </rPr>
          <t>&lt;[[TCDeals] - [TC Property Current Stage (Seq: 1)] - [Buildings (Seq: 58)] Acq 8609 Credit - Both]&gt;</t>
        </r>
      </text>
    </comment>
    <comment ref="C1246" authorId="0" shapeId="0" xr:uid="{7A8DC3EC-F1D0-4C96-B44A-16CF7931F169}">
      <text>
        <r>
          <rPr>
            <b/>
            <sz val="9"/>
            <color indexed="81"/>
            <rFont val="Tahoma"/>
            <family val="2"/>
          </rPr>
          <t>&lt;[[TCDeals] - [TC Property Current Stage (Seq: 1)] - [Buildings (Seq: 59)] BIN - Both]&gt;</t>
        </r>
      </text>
    </comment>
    <comment ref="D1246" authorId="0" shapeId="0" xr:uid="{2A643017-B8D9-4D3E-B747-C5B9286D21EE}">
      <text>
        <r>
          <rPr>
            <b/>
            <sz val="9"/>
            <color indexed="81"/>
            <rFont val="Tahoma"/>
            <family val="2"/>
          </rPr>
          <t>&lt;[[TCDeals] - [TC Property Current Stage (Seq: 1)] - [Buildings (Seq: 59)] Address 1 - Both]&gt;</t>
        </r>
      </text>
    </comment>
    <comment ref="E1246" authorId="0" shapeId="0" xr:uid="{C7CDDB53-4549-40D1-BEE1-D4476273CDBE}">
      <text>
        <r>
          <rPr>
            <b/>
            <sz val="9"/>
            <color indexed="81"/>
            <rFont val="Tahoma"/>
            <family val="2"/>
          </rPr>
          <t>&lt;[[TCDeals] - [TC Property Current Stage (Seq: 1)] - [Buildings (Seq: 59)] Num TC Units - Both]&gt;</t>
        </r>
      </text>
    </comment>
    <comment ref="F1246" authorId="0" shapeId="0" xr:uid="{89D7AC3C-8CB0-4ED7-B521-02B4996F67CE}">
      <text>
        <r>
          <rPr>
            <b/>
            <sz val="9"/>
            <color indexed="81"/>
            <rFont val="Tahoma"/>
            <family val="2"/>
          </rPr>
          <t>&lt;[[TCDeals] - [TC Property Current Stage (Seq: 1)] - [Buildings (Seq: 59)] PVC PIS Date - Both]&gt;</t>
        </r>
      </text>
    </comment>
    <comment ref="G1246" authorId="0" shapeId="0" xr:uid="{3E76E47A-D7AF-4C8D-94BF-681BCAE719CB}">
      <text>
        <r>
          <rPr>
            <b/>
            <sz val="9"/>
            <color indexed="81"/>
            <rFont val="Tahoma"/>
            <family val="2"/>
          </rPr>
          <t>&lt;[[TCDeals] - [TC Property Current Stage (Seq: 1)] - [Buildings (Seq: 59)] PVC Applicable Percentage - Both]&gt;</t>
        </r>
      </text>
    </comment>
    <comment ref="H1246" authorId="0" shapeId="0" xr:uid="{983ECD7C-30E2-44C0-99E2-373B43D66DE7}">
      <text>
        <r>
          <rPr>
            <b/>
            <sz val="9"/>
            <color indexed="81"/>
            <rFont val="Tahoma"/>
            <family val="2"/>
          </rPr>
          <t>&lt;[[TCDeals] - [TC Property Current Stage (Seq: 1)] - [Buildings (Seq: 59)] PVC Est Qual Basis - Both]&gt;</t>
        </r>
      </text>
    </comment>
    <comment ref="I1246" authorId="0" shapeId="0" xr:uid="{B7E22F5C-D898-4AC2-964A-1430C4DA9912}">
      <text>
        <r>
          <rPr>
            <b/>
            <sz val="9"/>
            <color indexed="81"/>
            <rFont val="Tahoma"/>
            <family val="2"/>
          </rPr>
          <t>&lt;[[TCDeals] - [TC Property Current Stage (Seq: 1)] - [Buildings (Seq: 59)] PVC8609 Basis - Both]&gt;</t>
        </r>
      </text>
    </comment>
    <comment ref="J1246" authorId="0" shapeId="0" xr:uid="{4D18F53B-DCE4-4596-A23B-CF4E32754E10}">
      <text>
        <r>
          <rPr>
            <b/>
            <sz val="9"/>
            <color indexed="81"/>
            <rFont val="Tahoma"/>
            <family val="2"/>
          </rPr>
          <t>&lt;[[TCDeals] - [TC Property Current Stage (Seq: 1)] - [Buildings (Seq: 59)] PVC8609 Credit - Both]&gt;</t>
        </r>
      </text>
    </comment>
    <comment ref="K1246" authorId="0" shapeId="0" xr:uid="{76624C30-5A4C-42D3-B1D5-D9A85DCA3BEC}">
      <text>
        <r>
          <rPr>
            <b/>
            <sz val="9"/>
            <color indexed="81"/>
            <rFont val="Tahoma"/>
            <family val="2"/>
          </rPr>
          <t>&lt;[[TCDeals] - [TC Property Current Stage (Seq: 1)] - [Buildings (Seq: 59)] Constr PIS Date - Both]&gt;</t>
        </r>
      </text>
    </comment>
    <comment ref="L1246" authorId="0" shapeId="0" xr:uid="{49DA0ACC-8723-4DE0-8BF1-472AA38D30FD}">
      <text>
        <r>
          <rPr>
            <b/>
            <sz val="9"/>
            <color indexed="81"/>
            <rFont val="Tahoma"/>
            <family val="2"/>
          </rPr>
          <t>&lt;[[TCDeals] - [TC Property Current Stage (Seq: 1)] - [Buildings (Seq: 59)] Constr Applicable Percentage - Both]&gt;</t>
        </r>
      </text>
    </comment>
    <comment ref="M1246" authorId="0" shapeId="0" xr:uid="{AAAA164C-3067-4ED3-BB7C-DD4BC342556E}">
      <text>
        <r>
          <rPr>
            <b/>
            <sz val="9"/>
            <color indexed="81"/>
            <rFont val="Tahoma"/>
            <family val="2"/>
          </rPr>
          <t>&lt;[[TCDeals] - [TC Property Current Stage (Seq: 1)] - [Buildings (Seq: 59)] Constr Est Qual Basis - Both]&gt;</t>
        </r>
      </text>
    </comment>
    <comment ref="N1246" authorId="0" shapeId="0" xr:uid="{76924DA7-A22C-4212-8A4F-651B45FC2545}">
      <text>
        <r>
          <rPr>
            <b/>
            <sz val="9"/>
            <color indexed="81"/>
            <rFont val="Tahoma"/>
            <family val="2"/>
          </rPr>
          <t>&lt;[[TCDeals] - [TC Property Current Stage (Seq: 1)] - [Buildings (Seq: 59)] Constr 8609 Basis - Both]&gt;</t>
        </r>
      </text>
    </comment>
    <comment ref="O1246" authorId="0" shapeId="0" xr:uid="{3273E9C0-55C5-4BD4-AF07-997C2F5EF273}">
      <text>
        <r>
          <rPr>
            <b/>
            <sz val="9"/>
            <color indexed="81"/>
            <rFont val="Tahoma"/>
            <family val="2"/>
          </rPr>
          <t>&lt;[[TCDeals] - [TC Property Current Stage (Seq: 1)] - [Buildings (Seq: 59)] Constr 8609 Credit - Both]&gt;</t>
        </r>
      </text>
    </comment>
    <comment ref="P1246" authorId="0" shapeId="0" xr:uid="{A1EB4861-2643-4F84-970B-7B12AF210914}">
      <text>
        <r>
          <rPr>
            <b/>
            <sz val="9"/>
            <color indexed="81"/>
            <rFont val="Tahoma"/>
            <family val="2"/>
          </rPr>
          <t>&lt;[[TCDeals] - [TC Property Current Stage (Seq: 1)] - [Buildings (Seq: 59)] Acq PIS Date - Both]&gt;</t>
        </r>
      </text>
    </comment>
    <comment ref="Q1246" authorId="0" shapeId="0" xr:uid="{F8B21646-6CA0-4EED-88BC-B19EE366CFB7}">
      <text>
        <r>
          <rPr>
            <b/>
            <sz val="9"/>
            <color indexed="81"/>
            <rFont val="Tahoma"/>
            <family val="2"/>
          </rPr>
          <t>&lt;[[TCDeals] - [TC Property Current Stage (Seq: 1)] - [Buildings (Seq: 59)] Acq Applicable Percentage - Both]&gt;</t>
        </r>
      </text>
    </comment>
    <comment ref="R1246" authorId="0" shapeId="0" xr:uid="{4722DCBA-D02A-4653-BBFD-E520846E551E}">
      <text>
        <r>
          <rPr>
            <b/>
            <sz val="9"/>
            <color indexed="81"/>
            <rFont val="Tahoma"/>
            <family val="2"/>
          </rPr>
          <t>&lt;[[TCDeals] - [TC Property Current Stage (Seq: 1)] - [Buildings (Seq: 59)] Acq Est Qual Basis - Both]&gt;</t>
        </r>
      </text>
    </comment>
    <comment ref="S1246" authorId="0" shapeId="0" xr:uid="{C33989A8-A8DA-42D5-959D-E6F59451F95D}">
      <text>
        <r>
          <rPr>
            <b/>
            <sz val="9"/>
            <color indexed="81"/>
            <rFont val="Tahoma"/>
            <family val="2"/>
          </rPr>
          <t>&lt;[[TCDeals] - [TC Property Current Stage (Seq: 1)] - [Buildings (Seq: 59)] Acq 8609 Basis - Both]&gt;</t>
        </r>
      </text>
    </comment>
    <comment ref="T1246" authorId="0" shapeId="0" xr:uid="{4E1AD9B6-496A-4B0A-81DF-1B0E87B22B68}">
      <text>
        <r>
          <rPr>
            <b/>
            <sz val="9"/>
            <color indexed="81"/>
            <rFont val="Tahoma"/>
            <family val="2"/>
          </rPr>
          <t>&lt;[[TCDeals] - [TC Property Current Stage (Seq: 1)] - [Buildings (Seq: 59)] Acq 8609 Credit - Both]&gt;</t>
        </r>
      </text>
    </comment>
    <comment ref="C1247" authorId="0" shapeId="0" xr:uid="{EA0FF37A-77D7-4AEF-AD39-CC295F8D7859}">
      <text>
        <r>
          <rPr>
            <b/>
            <sz val="9"/>
            <color indexed="81"/>
            <rFont val="Tahoma"/>
            <family val="2"/>
          </rPr>
          <t>&lt;[[TCDeals] - [TC Property Current Stage (Seq: 1)] - [Buildings (Seq: 60)] BIN - Both]&gt;</t>
        </r>
      </text>
    </comment>
    <comment ref="D1247" authorId="0" shapeId="0" xr:uid="{81076AE1-25D5-4FB2-9BE1-697B2570D7BA}">
      <text>
        <r>
          <rPr>
            <b/>
            <sz val="9"/>
            <color indexed="81"/>
            <rFont val="Tahoma"/>
            <family val="2"/>
          </rPr>
          <t>&lt;[[TCDeals] - [TC Property Current Stage (Seq: 1)] - [Buildings (Seq: 60)] Address 1 - Both]&gt;</t>
        </r>
      </text>
    </comment>
    <comment ref="E1247" authorId="0" shapeId="0" xr:uid="{28972D36-0ACE-4A15-B966-AC80831AF24C}">
      <text>
        <r>
          <rPr>
            <b/>
            <sz val="9"/>
            <color indexed="81"/>
            <rFont val="Tahoma"/>
            <family val="2"/>
          </rPr>
          <t>&lt;[[TCDeals] - [TC Property Current Stage (Seq: 1)] - [Buildings (Seq: 60)] Num TC Units - Both]&gt;</t>
        </r>
      </text>
    </comment>
    <comment ref="F1247" authorId="0" shapeId="0" xr:uid="{644BC922-C4ED-4E2B-A608-D3AFA6171B06}">
      <text>
        <r>
          <rPr>
            <b/>
            <sz val="9"/>
            <color indexed="81"/>
            <rFont val="Tahoma"/>
            <family val="2"/>
          </rPr>
          <t>&lt;[[TCDeals] - [TC Property Current Stage (Seq: 1)] - [Buildings (Seq: 60)] PVC PIS Date - Both]&gt;</t>
        </r>
      </text>
    </comment>
    <comment ref="G1247" authorId="0" shapeId="0" xr:uid="{B5FF38D7-6CF0-4AB2-919E-313B59BF26C9}">
      <text>
        <r>
          <rPr>
            <b/>
            <sz val="9"/>
            <color indexed="81"/>
            <rFont val="Tahoma"/>
            <family val="2"/>
          </rPr>
          <t>&lt;[[TCDeals] - [TC Property Current Stage (Seq: 1)] - [Buildings (Seq: 60)] PVC Applicable Percentage - Both]&gt;</t>
        </r>
      </text>
    </comment>
    <comment ref="H1247" authorId="0" shapeId="0" xr:uid="{94A77768-361F-41C3-B5A2-20BBEC81FAE2}">
      <text>
        <r>
          <rPr>
            <b/>
            <sz val="9"/>
            <color indexed="81"/>
            <rFont val="Tahoma"/>
            <family val="2"/>
          </rPr>
          <t>&lt;[[TCDeals] - [TC Property Current Stage (Seq: 1)] - [Buildings (Seq: 60)] PVC Est Qual Basis - Both]&gt;</t>
        </r>
      </text>
    </comment>
    <comment ref="I1247" authorId="0" shapeId="0" xr:uid="{0BE43172-291F-4B03-B4B0-C4C3E4B848DF}">
      <text>
        <r>
          <rPr>
            <b/>
            <sz val="9"/>
            <color indexed="81"/>
            <rFont val="Tahoma"/>
            <family val="2"/>
          </rPr>
          <t>&lt;[[TCDeals] - [TC Property Current Stage (Seq: 1)] - [Buildings (Seq: 60)] PVC8609 Basis - Both]&gt;</t>
        </r>
      </text>
    </comment>
    <comment ref="J1247" authorId="0" shapeId="0" xr:uid="{EE41C39E-DDE3-46CA-90E3-F7F8CA21A16E}">
      <text>
        <r>
          <rPr>
            <b/>
            <sz val="9"/>
            <color indexed="81"/>
            <rFont val="Tahoma"/>
            <family val="2"/>
          </rPr>
          <t>&lt;[[TCDeals] - [TC Property Current Stage (Seq: 1)] - [Buildings (Seq: 60)] PVC8609 Credit - Both]&gt;</t>
        </r>
      </text>
    </comment>
    <comment ref="K1247" authorId="0" shapeId="0" xr:uid="{2AD56DFF-3143-45EE-9345-CB2156BD244F}">
      <text>
        <r>
          <rPr>
            <b/>
            <sz val="9"/>
            <color indexed="81"/>
            <rFont val="Tahoma"/>
            <family val="2"/>
          </rPr>
          <t>&lt;[[TCDeals] - [TC Property Current Stage (Seq: 1)] - [Buildings (Seq: 60)] Constr PIS Date - Both]&gt;</t>
        </r>
      </text>
    </comment>
    <comment ref="L1247" authorId="0" shapeId="0" xr:uid="{2AF51B90-F810-4BD9-A7DB-A73E402C1CBF}">
      <text>
        <r>
          <rPr>
            <b/>
            <sz val="9"/>
            <color indexed="81"/>
            <rFont val="Tahoma"/>
            <family val="2"/>
          </rPr>
          <t>&lt;[[TCDeals] - [TC Property Current Stage (Seq: 1)] - [Buildings (Seq: 60)] Constr Applicable Percentage - Both]&gt;</t>
        </r>
      </text>
    </comment>
    <comment ref="M1247" authorId="0" shapeId="0" xr:uid="{07F624E4-7E7B-4021-8725-8F765C425EB6}">
      <text>
        <r>
          <rPr>
            <b/>
            <sz val="9"/>
            <color indexed="81"/>
            <rFont val="Tahoma"/>
            <family val="2"/>
          </rPr>
          <t>&lt;[[TCDeals] - [TC Property Current Stage (Seq: 1)] - [Buildings (Seq: 60)] Constr Est Qual Basis - Both]&gt;</t>
        </r>
      </text>
    </comment>
    <comment ref="N1247" authorId="0" shapeId="0" xr:uid="{144B2BED-0A1A-439D-8E08-240D2DFF401D}">
      <text>
        <r>
          <rPr>
            <b/>
            <sz val="9"/>
            <color indexed="81"/>
            <rFont val="Tahoma"/>
            <family val="2"/>
          </rPr>
          <t>&lt;[[TCDeals] - [TC Property Current Stage (Seq: 1)] - [Buildings (Seq: 60)] Constr 8609 Basis - Both]&gt;</t>
        </r>
      </text>
    </comment>
    <comment ref="O1247" authorId="0" shapeId="0" xr:uid="{5A067AF1-9A39-4B1B-B5F5-7F5BC37FB81C}">
      <text>
        <r>
          <rPr>
            <b/>
            <sz val="9"/>
            <color indexed="81"/>
            <rFont val="Tahoma"/>
            <family val="2"/>
          </rPr>
          <t>&lt;[[TCDeals] - [TC Property Current Stage (Seq: 1)] - [Buildings (Seq: 60)] Constr 8609 Credit - Both]&gt;</t>
        </r>
      </text>
    </comment>
    <comment ref="P1247" authorId="0" shapeId="0" xr:uid="{384D0A96-C4FC-419C-8B10-15C89849F34A}">
      <text>
        <r>
          <rPr>
            <b/>
            <sz val="9"/>
            <color indexed="81"/>
            <rFont val="Tahoma"/>
            <family val="2"/>
          </rPr>
          <t>&lt;[[TCDeals] - [TC Property Current Stage (Seq: 1)] - [Buildings (Seq: 60)] Acq PIS Date - Both]&gt;</t>
        </r>
      </text>
    </comment>
    <comment ref="Q1247" authorId="0" shapeId="0" xr:uid="{7E461366-3231-46A1-A939-BDE1F4959F2F}">
      <text>
        <r>
          <rPr>
            <b/>
            <sz val="9"/>
            <color indexed="81"/>
            <rFont val="Tahoma"/>
            <family val="2"/>
          </rPr>
          <t>&lt;[[TCDeals] - [TC Property Current Stage (Seq: 1)] - [Buildings (Seq: 60)] Acq Applicable Percentage - Both]&gt;</t>
        </r>
      </text>
    </comment>
    <comment ref="R1247" authorId="0" shapeId="0" xr:uid="{8DD90B0F-EBF7-4664-A7B2-19E5754B4C8B}">
      <text>
        <r>
          <rPr>
            <b/>
            <sz val="9"/>
            <color indexed="81"/>
            <rFont val="Tahoma"/>
            <family val="2"/>
          </rPr>
          <t>&lt;[[TCDeals] - [TC Property Current Stage (Seq: 1)] - [Buildings (Seq: 60)] Acq Est Qual Basis - Both]&gt;</t>
        </r>
      </text>
    </comment>
    <comment ref="S1247" authorId="0" shapeId="0" xr:uid="{833C59DC-5702-4F6A-BA73-288840493AC6}">
      <text>
        <r>
          <rPr>
            <b/>
            <sz val="9"/>
            <color indexed="81"/>
            <rFont val="Tahoma"/>
            <family val="2"/>
          </rPr>
          <t>&lt;[[TCDeals] - [TC Property Current Stage (Seq: 1)] - [Buildings (Seq: 60)] Acq 8609 Basis - Both]&gt;</t>
        </r>
      </text>
    </comment>
    <comment ref="T1247" authorId="0" shapeId="0" xr:uid="{B0FA0956-B335-4925-86AF-4F8810080403}">
      <text>
        <r>
          <rPr>
            <b/>
            <sz val="9"/>
            <color indexed="81"/>
            <rFont val="Tahoma"/>
            <family val="2"/>
          </rPr>
          <t>&lt;[[TCDeals] - [TC Property Current Stage (Seq: 1)] - [Buildings (Seq: 60)] Acq 8609 Credit - Both]&gt;</t>
        </r>
      </text>
    </comment>
    <comment ref="C1248" authorId="0" shapeId="0" xr:uid="{0581B0E1-C57B-4E62-BCDC-929140253A26}">
      <text>
        <r>
          <rPr>
            <b/>
            <sz val="9"/>
            <color indexed="81"/>
            <rFont val="Tahoma"/>
            <family val="2"/>
          </rPr>
          <t>&lt;[[TCDeals] - [TC Property Current Stage (Seq: 1)] - [Buildings (Seq: 61)] BIN - Both]&gt;</t>
        </r>
      </text>
    </comment>
    <comment ref="D1248" authorId="0" shapeId="0" xr:uid="{9FDA55E1-0AB0-46DB-A16B-C5D1A80700DF}">
      <text>
        <r>
          <rPr>
            <b/>
            <sz val="9"/>
            <color indexed="81"/>
            <rFont val="Tahoma"/>
            <family val="2"/>
          </rPr>
          <t>&lt;[[TCDeals] - [TC Property Current Stage (Seq: 1)] - [Buildings (Seq: 61)] Address 1 - Both]&gt;</t>
        </r>
      </text>
    </comment>
    <comment ref="E1248" authorId="0" shapeId="0" xr:uid="{595A1A89-6D44-4A7F-8268-605ADBA2300D}">
      <text>
        <r>
          <rPr>
            <b/>
            <sz val="9"/>
            <color indexed="81"/>
            <rFont val="Tahoma"/>
            <family val="2"/>
          </rPr>
          <t>&lt;[[TCDeals] - [TC Property Current Stage (Seq: 1)] - [Buildings (Seq: 61)] Num TC Units - Both]&gt;</t>
        </r>
      </text>
    </comment>
    <comment ref="F1248" authorId="0" shapeId="0" xr:uid="{969D0342-B86F-4482-86CA-44979327012A}">
      <text>
        <r>
          <rPr>
            <b/>
            <sz val="9"/>
            <color indexed="81"/>
            <rFont val="Tahoma"/>
            <family val="2"/>
          </rPr>
          <t>&lt;[[TCDeals] - [TC Property Current Stage (Seq: 1)] - [Buildings (Seq: 61)] PVC PIS Date - Both]&gt;</t>
        </r>
      </text>
    </comment>
    <comment ref="G1248" authorId="0" shapeId="0" xr:uid="{81A672DF-B8EA-4E61-B4A0-446BB3E2F56B}">
      <text>
        <r>
          <rPr>
            <b/>
            <sz val="9"/>
            <color indexed="81"/>
            <rFont val="Tahoma"/>
            <family val="2"/>
          </rPr>
          <t>&lt;[[TCDeals] - [TC Property Current Stage (Seq: 1)] - [Buildings (Seq: 61)] PVC Applicable Percentage - Both]&gt;</t>
        </r>
      </text>
    </comment>
    <comment ref="H1248" authorId="0" shapeId="0" xr:uid="{907927DC-9DB2-4F2F-A9B6-96E4CF806628}">
      <text>
        <r>
          <rPr>
            <b/>
            <sz val="9"/>
            <color indexed="81"/>
            <rFont val="Tahoma"/>
            <family val="2"/>
          </rPr>
          <t>&lt;[[TCDeals] - [TC Property Current Stage (Seq: 1)] - [Buildings (Seq: 61)] PVC Est Qual Basis - Both]&gt;</t>
        </r>
      </text>
    </comment>
    <comment ref="I1248" authorId="0" shapeId="0" xr:uid="{62F6F787-9656-4820-9C4D-313F718EC6E9}">
      <text>
        <r>
          <rPr>
            <b/>
            <sz val="9"/>
            <color indexed="81"/>
            <rFont val="Tahoma"/>
            <family val="2"/>
          </rPr>
          <t>&lt;[[TCDeals] - [TC Property Current Stage (Seq: 1)] - [Buildings (Seq: 61)] PVC8609 Basis - Both]&gt;</t>
        </r>
      </text>
    </comment>
    <comment ref="J1248" authorId="0" shapeId="0" xr:uid="{9B056850-F10C-49C5-AD15-8922F4878852}">
      <text>
        <r>
          <rPr>
            <b/>
            <sz val="9"/>
            <color indexed="81"/>
            <rFont val="Tahoma"/>
            <family val="2"/>
          </rPr>
          <t>&lt;[[TCDeals] - [TC Property Current Stage (Seq: 1)] - [Buildings (Seq: 61)] PVC8609 Credit - Both]&gt;</t>
        </r>
      </text>
    </comment>
    <comment ref="K1248" authorId="0" shapeId="0" xr:uid="{85E99D01-E8F6-48FA-859F-7FC82D6ADD75}">
      <text>
        <r>
          <rPr>
            <b/>
            <sz val="9"/>
            <color indexed="81"/>
            <rFont val="Tahoma"/>
            <family val="2"/>
          </rPr>
          <t>&lt;[[TCDeals] - [TC Property Current Stage (Seq: 1)] - [Buildings (Seq: 61)] Constr PIS Date - Both]&gt;</t>
        </r>
      </text>
    </comment>
    <comment ref="L1248" authorId="0" shapeId="0" xr:uid="{462554FC-CB57-4A07-AB24-1778D68D9340}">
      <text>
        <r>
          <rPr>
            <b/>
            <sz val="9"/>
            <color indexed="81"/>
            <rFont val="Tahoma"/>
            <family val="2"/>
          </rPr>
          <t>&lt;[[TCDeals] - [TC Property Current Stage (Seq: 1)] - [Buildings (Seq: 61)] Constr Applicable Percentage - Both]&gt;</t>
        </r>
      </text>
    </comment>
    <comment ref="M1248" authorId="0" shapeId="0" xr:uid="{B52D1082-01C7-49BE-832B-8BC239E3F898}">
      <text>
        <r>
          <rPr>
            <b/>
            <sz val="9"/>
            <color indexed="81"/>
            <rFont val="Tahoma"/>
            <family val="2"/>
          </rPr>
          <t>&lt;[[TCDeals] - [TC Property Current Stage (Seq: 1)] - [Buildings (Seq: 61)] Constr Est Qual Basis - Both]&gt;</t>
        </r>
      </text>
    </comment>
    <comment ref="N1248" authorId="0" shapeId="0" xr:uid="{508354E0-7E44-4645-B895-85DD60921577}">
      <text>
        <r>
          <rPr>
            <b/>
            <sz val="9"/>
            <color indexed="81"/>
            <rFont val="Tahoma"/>
            <family val="2"/>
          </rPr>
          <t>&lt;[[TCDeals] - [TC Property Current Stage (Seq: 1)] - [Buildings (Seq: 61)] Constr 8609 Basis - Both]&gt;</t>
        </r>
      </text>
    </comment>
    <comment ref="O1248" authorId="0" shapeId="0" xr:uid="{BCDEB321-4142-4525-BE14-DD5710F5C205}">
      <text>
        <r>
          <rPr>
            <b/>
            <sz val="9"/>
            <color indexed="81"/>
            <rFont val="Tahoma"/>
            <family val="2"/>
          </rPr>
          <t>&lt;[[TCDeals] - [TC Property Current Stage (Seq: 1)] - [Buildings (Seq: 61)] Constr 8609 Credit - Both]&gt;</t>
        </r>
      </text>
    </comment>
    <comment ref="P1248" authorId="0" shapeId="0" xr:uid="{3CD9EBC7-600A-42BD-92DE-895B21980828}">
      <text>
        <r>
          <rPr>
            <b/>
            <sz val="9"/>
            <color indexed="81"/>
            <rFont val="Tahoma"/>
            <family val="2"/>
          </rPr>
          <t>&lt;[[TCDeals] - [TC Property Current Stage (Seq: 1)] - [Buildings (Seq: 61)] Acq PIS Date - Both]&gt;</t>
        </r>
      </text>
    </comment>
    <comment ref="Q1248" authorId="0" shapeId="0" xr:uid="{9BF023CD-8E59-4377-9140-92E9384866B9}">
      <text>
        <r>
          <rPr>
            <b/>
            <sz val="9"/>
            <color indexed="81"/>
            <rFont val="Tahoma"/>
            <family val="2"/>
          </rPr>
          <t>&lt;[[TCDeals] - [TC Property Current Stage (Seq: 1)] - [Buildings (Seq: 61)] Acq Applicable Percentage - Both]&gt;</t>
        </r>
      </text>
    </comment>
    <comment ref="R1248" authorId="0" shapeId="0" xr:uid="{2DA9EAB1-49A2-4142-902C-8BCFF7CCBC65}">
      <text>
        <r>
          <rPr>
            <b/>
            <sz val="9"/>
            <color indexed="81"/>
            <rFont val="Tahoma"/>
            <family val="2"/>
          </rPr>
          <t>&lt;[[TCDeals] - [TC Property Current Stage (Seq: 1)] - [Buildings (Seq: 61)] Acq Est Qual Basis - Both]&gt;</t>
        </r>
      </text>
    </comment>
    <comment ref="S1248" authorId="0" shapeId="0" xr:uid="{87530000-082F-452C-9F4D-6BB0C2427B70}">
      <text>
        <r>
          <rPr>
            <b/>
            <sz val="9"/>
            <color indexed="81"/>
            <rFont val="Tahoma"/>
            <family val="2"/>
          </rPr>
          <t>&lt;[[TCDeals] - [TC Property Current Stage (Seq: 1)] - [Buildings (Seq: 61)] Acq 8609 Basis - Both]&gt;</t>
        </r>
      </text>
    </comment>
    <comment ref="T1248" authorId="0" shapeId="0" xr:uid="{E4CE22F9-6F11-4641-AA25-EBF181F55943}">
      <text>
        <r>
          <rPr>
            <b/>
            <sz val="9"/>
            <color indexed="81"/>
            <rFont val="Tahoma"/>
            <family val="2"/>
          </rPr>
          <t>&lt;[[TCDeals] - [TC Property Current Stage (Seq: 1)] - [Buildings (Seq: 61)] Acq 8609 Credit - Both]&gt;</t>
        </r>
      </text>
    </comment>
    <comment ref="C1249" authorId="0" shapeId="0" xr:uid="{FAB64D5A-0DEE-4951-ABF1-9B80C8D8488E}">
      <text>
        <r>
          <rPr>
            <b/>
            <sz val="9"/>
            <color indexed="81"/>
            <rFont val="Tahoma"/>
            <family val="2"/>
          </rPr>
          <t>&lt;[[TCDeals] - [TC Property Current Stage (Seq: 1)] - [Buildings (Seq: 62)] BIN - Both]&gt;</t>
        </r>
      </text>
    </comment>
    <comment ref="D1249" authorId="0" shapeId="0" xr:uid="{E27E5885-023D-4DBD-BDC7-0E4149246604}">
      <text>
        <r>
          <rPr>
            <b/>
            <sz val="9"/>
            <color indexed="81"/>
            <rFont val="Tahoma"/>
            <family val="2"/>
          </rPr>
          <t>&lt;[[TCDeals] - [TC Property Current Stage (Seq: 1)] - [Buildings (Seq: 62)] Address 1 - Both]&gt;</t>
        </r>
      </text>
    </comment>
    <comment ref="E1249" authorId="0" shapeId="0" xr:uid="{A5AD81B8-47DA-4698-9F86-31A07951DD96}">
      <text>
        <r>
          <rPr>
            <b/>
            <sz val="9"/>
            <color indexed="81"/>
            <rFont val="Tahoma"/>
            <family val="2"/>
          </rPr>
          <t>&lt;[[TCDeals] - [TC Property Current Stage (Seq: 1)] - [Buildings (Seq: 62)] Num TC Units - Both]&gt;</t>
        </r>
      </text>
    </comment>
    <comment ref="F1249" authorId="0" shapeId="0" xr:uid="{A1238F16-EB8A-4856-81C7-68FDE4F4C0DD}">
      <text>
        <r>
          <rPr>
            <b/>
            <sz val="9"/>
            <color indexed="81"/>
            <rFont val="Tahoma"/>
            <family val="2"/>
          </rPr>
          <t>&lt;[[TCDeals] - [TC Property Current Stage (Seq: 1)] - [Buildings (Seq: 62)] PVC PIS Date - Both]&gt;</t>
        </r>
      </text>
    </comment>
    <comment ref="G1249" authorId="0" shapeId="0" xr:uid="{C255B2F1-3CC9-458E-A333-F4EAAB4FC25B}">
      <text>
        <r>
          <rPr>
            <b/>
            <sz val="9"/>
            <color indexed="81"/>
            <rFont val="Tahoma"/>
            <family val="2"/>
          </rPr>
          <t>&lt;[[TCDeals] - [TC Property Current Stage (Seq: 1)] - [Buildings (Seq: 62)] PVC Applicable Percentage - Both]&gt;</t>
        </r>
      </text>
    </comment>
    <comment ref="H1249" authorId="0" shapeId="0" xr:uid="{A73B7623-C0CE-49D8-818A-136EB3D3CE16}">
      <text>
        <r>
          <rPr>
            <b/>
            <sz val="9"/>
            <color indexed="81"/>
            <rFont val="Tahoma"/>
            <family val="2"/>
          </rPr>
          <t>&lt;[[TCDeals] - [TC Property Current Stage (Seq: 1)] - [Buildings (Seq: 62)] PVC Est Qual Basis - Both]&gt;</t>
        </r>
      </text>
    </comment>
    <comment ref="I1249" authorId="0" shapeId="0" xr:uid="{E70F8B77-7AD2-4120-A1B0-18788BE3F77A}">
      <text>
        <r>
          <rPr>
            <b/>
            <sz val="9"/>
            <color indexed="81"/>
            <rFont val="Tahoma"/>
            <family val="2"/>
          </rPr>
          <t>&lt;[[TCDeals] - [TC Property Current Stage (Seq: 1)] - [Buildings (Seq: 62)] PVC8609 Basis - Both]&gt;</t>
        </r>
      </text>
    </comment>
    <comment ref="J1249" authorId="0" shapeId="0" xr:uid="{083BD847-7464-44F6-BF2E-CEEA42271E7A}">
      <text>
        <r>
          <rPr>
            <b/>
            <sz val="9"/>
            <color indexed="81"/>
            <rFont val="Tahoma"/>
            <family val="2"/>
          </rPr>
          <t>&lt;[[TCDeals] - [TC Property Current Stage (Seq: 1)] - [Buildings (Seq: 62)] PVC8609 Credit - Both]&gt;</t>
        </r>
      </text>
    </comment>
    <comment ref="K1249" authorId="0" shapeId="0" xr:uid="{E6ED1CD7-43DB-4E6E-821F-61ECB45BD035}">
      <text>
        <r>
          <rPr>
            <b/>
            <sz val="9"/>
            <color indexed="81"/>
            <rFont val="Tahoma"/>
            <family val="2"/>
          </rPr>
          <t>&lt;[[TCDeals] - [TC Property Current Stage (Seq: 1)] - [Buildings (Seq: 62)] Constr PIS Date - Both]&gt;</t>
        </r>
      </text>
    </comment>
    <comment ref="L1249" authorId="0" shapeId="0" xr:uid="{1CFA86F6-1179-4592-B983-65EF1B5121B0}">
      <text>
        <r>
          <rPr>
            <b/>
            <sz val="9"/>
            <color indexed="81"/>
            <rFont val="Tahoma"/>
            <family val="2"/>
          </rPr>
          <t>&lt;[[TCDeals] - [TC Property Current Stage (Seq: 1)] - [Buildings (Seq: 62)] Constr Applicable Percentage - Both]&gt;</t>
        </r>
      </text>
    </comment>
    <comment ref="M1249" authorId="0" shapeId="0" xr:uid="{40E2C443-5C08-4158-954F-86A551098B8B}">
      <text>
        <r>
          <rPr>
            <b/>
            <sz val="9"/>
            <color indexed="81"/>
            <rFont val="Tahoma"/>
            <family val="2"/>
          </rPr>
          <t>&lt;[[TCDeals] - [TC Property Current Stage (Seq: 1)] - [Buildings (Seq: 62)] Constr Est Qual Basis - Both]&gt;</t>
        </r>
      </text>
    </comment>
    <comment ref="N1249" authorId="0" shapeId="0" xr:uid="{43389316-C2D1-4008-9360-98B1DE4BEB34}">
      <text>
        <r>
          <rPr>
            <b/>
            <sz val="9"/>
            <color indexed="81"/>
            <rFont val="Tahoma"/>
            <family val="2"/>
          </rPr>
          <t>&lt;[[TCDeals] - [TC Property Current Stage (Seq: 1)] - [Buildings (Seq: 62)] Constr 8609 Basis - Both]&gt;</t>
        </r>
      </text>
    </comment>
    <comment ref="O1249" authorId="0" shapeId="0" xr:uid="{A911AE5B-23DD-43FE-BFF1-C7433A8D0E01}">
      <text>
        <r>
          <rPr>
            <b/>
            <sz val="9"/>
            <color indexed="81"/>
            <rFont val="Tahoma"/>
            <family val="2"/>
          </rPr>
          <t>&lt;[[TCDeals] - [TC Property Current Stage (Seq: 1)] - [Buildings (Seq: 62)] Constr 8609 Credit - Both]&gt;</t>
        </r>
      </text>
    </comment>
    <comment ref="P1249" authorId="0" shapeId="0" xr:uid="{6B80F9E4-9311-4B71-85EC-832A4D8719D2}">
      <text>
        <r>
          <rPr>
            <b/>
            <sz val="9"/>
            <color indexed="81"/>
            <rFont val="Tahoma"/>
            <family val="2"/>
          </rPr>
          <t>&lt;[[TCDeals] - [TC Property Current Stage (Seq: 1)] - [Buildings (Seq: 62)] Acq PIS Date - Both]&gt;</t>
        </r>
      </text>
    </comment>
    <comment ref="Q1249" authorId="0" shapeId="0" xr:uid="{232B7E67-9659-4B4C-BF72-C9EAEDF5566F}">
      <text>
        <r>
          <rPr>
            <b/>
            <sz val="9"/>
            <color indexed="81"/>
            <rFont val="Tahoma"/>
            <family val="2"/>
          </rPr>
          <t>&lt;[[TCDeals] - [TC Property Current Stage (Seq: 1)] - [Buildings (Seq: 62)] Acq Applicable Percentage - Both]&gt;</t>
        </r>
      </text>
    </comment>
    <comment ref="R1249" authorId="0" shapeId="0" xr:uid="{34326D53-5524-47F4-89ED-BCCA79B399BD}">
      <text>
        <r>
          <rPr>
            <b/>
            <sz val="9"/>
            <color indexed="81"/>
            <rFont val="Tahoma"/>
            <family val="2"/>
          </rPr>
          <t>&lt;[[TCDeals] - [TC Property Current Stage (Seq: 1)] - [Buildings (Seq: 62)] Acq Est Qual Basis - Both]&gt;</t>
        </r>
      </text>
    </comment>
    <comment ref="S1249" authorId="0" shapeId="0" xr:uid="{F851739A-FDD5-4DFA-876D-A165D85397C3}">
      <text>
        <r>
          <rPr>
            <b/>
            <sz val="9"/>
            <color indexed="81"/>
            <rFont val="Tahoma"/>
            <family val="2"/>
          </rPr>
          <t>&lt;[[TCDeals] - [TC Property Current Stage (Seq: 1)] - [Buildings (Seq: 62)] Acq 8609 Basis - Both]&gt;</t>
        </r>
      </text>
    </comment>
    <comment ref="T1249" authorId="0" shapeId="0" xr:uid="{D82DD0C0-5C48-43D6-8EA5-E1F3A25E3436}">
      <text>
        <r>
          <rPr>
            <b/>
            <sz val="9"/>
            <color indexed="81"/>
            <rFont val="Tahoma"/>
            <family val="2"/>
          </rPr>
          <t>&lt;[[TCDeals] - [TC Property Current Stage (Seq: 1)] - [Buildings (Seq: 62)] Acq 8609 Credit - Both]&gt;</t>
        </r>
      </text>
    </comment>
    <comment ref="C1250" authorId="0" shapeId="0" xr:uid="{F2E6518B-C6F4-4EDB-87ED-21CA15870A9C}">
      <text>
        <r>
          <rPr>
            <b/>
            <sz val="9"/>
            <color indexed="81"/>
            <rFont val="Tahoma"/>
            <family val="2"/>
          </rPr>
          <t>&lt;[[TCDeals] - [TC Property Current Stage (Seq: 1)] - [Buildings (Seq: 63)] BIN - Both]&gt;</t>
        </r>
      </text>
    </comment>
    <comment ref="D1250" authorId="0" shapeId="0" xr:uid="{DBAA949F-6F0F-48FD-B2C9-AC7C8D130EFF}">
      <text>
        <r>
          <rPr>
            <b/>
            <sz val="9"/>
            <color indexed="81"/>
            <rFont val="Tahoma"/>
            <family val="2"/>
          </rPr>
          <t>&lt;[[TCDeals] - [TC Property Current Stage (Seq: 1)] - [Buildings (Seq: 63)] Address 1 - Both]&gt;</t>
        </r>
      </text>
    </comment>
    <comment ref="E1250" authorId="0" shapeId="0" xr:uid="{81770BF2-701C-4ADD-AC45-CB70744F6A1B}">
      <text>
        <r>
          <rPr>
            <b/>
            <sz val="9"/>
            <color indexed="81"/>
            <rFont val="Tahoma"/>
            <family val="2"/>
          </rPr>
          <t>&lt;[[TCDeals] - [TC Property Current Stage (Seq: 1)] - [Buildings (Seq: 63)] Num TC Units - Both]&gt;</t>
        </r>
      </text>
    </comment>
    <comment ref="F1250" authorId="0" shapeId="0" xr:uid="{F68FEACD-74A9-4CF1-9B2F-C8128D01FFC0}">
      <text>
        <r>
          <rPr>
            <b/>
            <sz val="9"/>
            <color indexed="81"/>
            <rFont val="Tahoma"/>
            <family val="2"/>
          </rPr>
          <t>&lt;[[TCDeals] - [TC Property Current Stage (Seq: 1)] - [Buildings (Seq: 63)] PVC PIS Date - Both]&gt;</t>
        </r>
      </text>
    </comment>
    <comment ref="G1250" authorId="0" shapeId="0" xr:uid="{69FDFBB3-0A50-4AD2-B78E-FBBE2043E760}">
      <text>
        <r>
          <rPr>
            <b/>
            <sz val="9"/>
            <color indexed="81"/>
            <rFont val="Tahoma"/>
            <family val="2"/>
          </rPr>
          <t>&lt;[[TCDeals] - [TC Property Current Stage (Seq: 1)] - [Buildings (Seq: 63)] PVC Applicable Percentage - Both]&gt;</t>
        </r>
      </text>
    </comment>
    <comment ref="H1250" authorId="0" shapeId="0" xr:uid="{830D35C4-6330-48B6-9895-2FEF30ADF78D}">
      <text>
        <r>
          <rPr>
            <b/>
            <sz val="9"/>
            <color indexed="81"/>
            <rFont val="Tahoma"/>
            <family val="2"/>
          </rPr>
          <t>&lt;[[TCDeals] - [TC Property Current Stage (Seq: 1)] - [Buildings (Seq: 63)] PVC Est Qual Basis - Both]&gt;</t>
        </r>
      </text>
    </comment>
    <comment ref="I1250" authorId="0" shapeId="0" xr:uid="{68D18B3B-9353-4655-8681-0246D25C6DD1}">
      <text>
        <r>
          <rPr>
            <b/>
            <sz val="9"/>
            <color indexed="81"/>
            <rFont val="Tahoma"/>
            <family val="2"/>
          </rPr>
          <t>&lt;[[TCDeals] - [TC Property Current Stage (Seq: 1)] - [Buildings (Seq: 63)] PVC8609 Basis - Both]&gt;</t>
        </r>
      </text>
    </comment>
    <comment ref="J1250" authorId="0" shapeId="0" xr:uid="{6E880308-C67C-4D25-88C2-2D679C34A430}">
      <text>
        <r>
          <rPr>
            <b/>
            <sz val="9"/>
            <color indexed="81"/>
            <rFont val="Tahoma"/>
            <family val="2"/>
          </rPr>
          <t>&lt;[[TCDeals] - [TC Property Current Stage (Seq: 1)] - [Buildings (Seq: 63)] PVC8609 Credit - Both]&gt;</t>
        </r>
      </text>
    </comment>
    <comment ref="K1250" authorId="0" shapeId="0" xr:uid="{76D70ABB-F867-47FB-84A3-F1B588BEF2DC}">
      <text>
        <r>
          <rPr>
            <b/>
            <sz val="9"/>
            <color indexed="81"/>
            <rFont val="Tahoma"/>
            <family val="2"/>
          </rPr>
          <t>&lt;[[TCDeals] - [TC Property Current Stage (Seq: 1)] - [Buildings (Seq: 63)] Constr PIS Date - Both]&gt;</t>
        </r>
      </text>
    </comment>
    <comment ref="L1250" authorId="0" shapeId="0" xr:uid="{F32A7462-BDA5-4C93-A873-B5A8B3829C80}">
      <text>
        <r>
          <rPr>
            <b/>
            <sz val="9"/>
            <color indexed="81"/>
            <rFont val="Tahoma"/>
            <family val="2"/>
          </rPr>
          <t>&lt;[[TCDeals] - [TC Property Current Stage (Seq: 1)] - [Buildings (Seq: 63)] Constr Applicable Percentage - Both]&gt;</t>
        </r>
      </text>
    </comment>
    <comment ref="M1250" authorId="0" shapeId="0" xr:uid="{BDD9ACE6-568C-4FE6-A046-1B967C0C940D}">
      <text>
        <r>
          <rPr>
            <b/>
            <sz val="9"/>
            <color indexed="81"/>
            <rFont val="Tahoma"/>
            <family val="2"/>
          </rPr>
          <t>&lt;[[TCDeals] - [TC Property Current Stage (Seq: 1)] - [Buildings (Seq: 63)] Constr Est Qual Basis - Both]&gt;</t>
        </r>
      </text>
    </comment>
    <comment ref="N1250" authorId="0" shapeId="0" xr:uid="{2105E1D8-5EDD-42A5-BB49-D5F362A125F6}">
      <text>
        <r>
          <rPr>
            <b/>
            <sz val="9"/>
            <color indexed="81"/>
            <rFont val="Tahoma"/>
            <family val="2"/>
          </rPr>
          <t>&lt;[[TCDeals] - [TC Property Current Stage (Seq: 1)] - [Buildings (Seq: 63)] Constr 8609 Basis - Both]&gt;</t>
        </r>
      </text>
    </comment>
    <comment ref="O1250" authorId="0" shapeId="0" xr:uid="{4067D4A7-8F1E-44B4-968E-A9D4A51E54BA}">
      <text>
        <r>
          <rPr>
            <b/>
            <sz val="9"/>
            <color indexed="81"/>
            <rFont val="Tahoma"/>
            <family val="2"/>
          </rPr>
          <t>&lt;[[TCDeals] - [TC Property Current Stage (Seq: 1)] - [Buildings (Seq: 63)] Constr 8609 Credit - Both]&gt;</t>
        </r>
      </text>
    </comment>
    <comment ref="P1250" authorId="0" shapeId="0" xr:uid="{C429C629-B99E-489F-892A-2AA2B06C5E48}">
      <text>
        <r>
          <rPr>
            <b/>
            <sz val="9"/>
            <color indexed="81"/>
            <rFont val="Tahoma"/>
            <family val="2"/>
          </rPr>
          <t>&lt;[[TCDeals] - [TC Property Current Stage (Seq: 1)] - [Buildings (Seq: 63)] Acq PIS Date - Both]&gt;</t>
        </r>
      </text>
    </comment>
    <comment ref="Q1250" authorId="0" shapeId="0" xr:uid="{AE7272C0-819C-458C-BE2D-0D5F57604524}">
      <text>
        <r>
          <rPr>
            <b/>
            <sz val="9"/>
            <color indexed="81"/>
            <rFont val="Tahoma"/>
            <family val="2"/>
          </rPr>
          <t>&lt;[[TCDeals] - [TC Property Current Stage (Seq: 1)] - [Buildings (Seq: 63)] Acq Applicable Percentage - Both]&gt;</t>
        </r>
      </text>
    </comment>
    <comment ref="R1250" authorId="0" shapeId="0" xr:uid="{A14A503F-5196-4CD4-B445-E84D1FF2FFDB}">
      <text>
        <r>
          <rPr>
            <b/>
            <sz val="9"/>
            <color indexed="81"/>
            <rFont val="Tahoma"/>
            <family val="2"/>
          </rPr>
          <t>&lt;[[TCDeals] - [TC Property Current Stage (Seq: 1)] - [Buildings (Seq: 63)] Acq Est Qual Basis - Both]&gt;</t>
        </r>
      </text>
    </comment>
    <comment ref="S1250" authorId="0" shapeId="0" xr:uid="{63AAAD7B-F6F9-4CF0-B117-56BEB6502CEC}">
      <text>
        <r>
          <rPr>
            <b/>
            <sz val="9"/>
            <color indexed="81"/>
            <rFont val="Tahoma"/>
            <family val="2"/>
          </rPr>
          <t>&lt;[[TCDeals] - [TC Property Current Stage (Seq: 1)] - [Buildings (Seq: 63)] Acq 8609 Basis - Both]&gt;</t>
        </r>
      </text>
    </comment>
    <comment ref="T1250" authorId="0" shapeId="0" xr:uid="{A0597B9C-0887-4269-AF76-D31170B24934}">
      <text>
        <r>
          <rPr>
            <b/>
            <sz val="9"/>
            <color indexed="81"/>
            <rFont val="Tahoma"/>
            <family val="2"/>
          </rPr>
          <t>&lt;[[TCDeals] - [TC Property Current Stage (Seq: 1)] - [Buildings (Seq: 63)] Acq 8609 Credit - Both]&gt;</t>
        </r>
      </text>
    </comment>
    <comment ref="C1251" authorId="0" shapeId="0" xr:uid="{6BE81AEC-B6FE-4045-A881-96656D6B8EA0}">
      <text>
        <r>
          <rPr>
            <b/>
            <sz val="9"/>
            <color indexed="81"/>
            <rFont val="Tahoma"/>
            <family val="2"/>
          </rPr>
          <t>&lt;[[TCDeals] - [TC Property Current Stage (Seq: 1)] - [Buildings (Seq: 64)] BIN - Both]&gt;</t>
        </r>
      </text>
    </comment>
    <comment ref="D1251" authorId="0" shapeId="0" xr:uid="{7843E9CA-98FA-4EEC-AEE2-662774EE24F9}">
      <text>
        <r>
          <rPr>
            <b/>
            <sz val="9"/>
            <color indexed="81"/>
            <rFont val="Tahoma"/>
            <family val="2"/>
          </rPr>
          <t>&lt;[[TCDeals] - [TC Property Current Stage (Seq: 1)] - [Buildings (Seq: 64)] Address 1 - Both]&gt;</t>
        </r>
      </text>
    </comment>
    <comment ref="E1251" authorId="0" shapeId="0" xr:uid="{FC9A7CC6-C6D9-43EF-B208-E4ACB02F7566}">
      <text>
        <r>
          <rPr>
            <b/>
            <sz val="9"/>
            <color indexed="81"/>
            <rFont val="Tahoma"/>
            <family val="2"/>
          </rPr>
          <t>&lt;[[TCDeals] - [TC Property Current Stage (Seq: 1)] - [Buildings (Seq: 64)] Num TC Units - Both]&gt;</t>
        </r>
      </text>
    </comment>
    <comment ref="F1251" authorId="0" shapeId="0" xr:uid="{AA3A7F57-1DD2-4A17-87D3-6439FEE5C058}">
      <text>
        <r>
          <rPr>
            <b/>
            <sz val="9"/>
            <color indexed="81"/>
            <rFont val="Tahoma"/>
            <family val="2"/>
          </rPr>
          <t>&lt;[[TCDeals] - [TC Property Current Stage (Seq: 1)] - [Buildings (Seq: 64)] PVC PIS Date - Both]&gt;</t>
        </r>
      </text>
    </comment>
    <comment ref="G1251" authorId="0" shapeId="0" xr:uid="{325DA279-E20F-4286-A33D-4C2565B0B63F}">
      <text>
        <r>
          <rPr>
            <b/>
            <sz val="9"/>
            <color indexed="81"/>
            <rFont val="Tahoma"/>
            <family val="2"/>
          </rPr>
          <t>&lt;[[TCDeals] - [TC Property Current Stage (Seq: 1)] - [Buildings (Seq: 64)] PVC Applicable Percentage - Both]&gt;</t>
        </r>
      </text>
    </comment>
    <comment ref="H1251" authorId="0" shapeId="0" xr:uid="{E3849F72-8746-4426-BD3C-9A9B798D43BC}">
      <text>
        <r>
          <rPr>
            <b/>
            <sz val="9"/>
            <color indexed="81"/>
            <rFont val="Tahoma"/>
            <family val="2"/>
          </rPr>
          <t>&lt;[[TCDeals] - [TC Property Current Stage (Seq: 1)] - [Buildings (Seq: 64)] PVC Est Qual Basis - Both]&gt;</t>
        </r>
      </text>
    </comment>
    <comment ref="I1251" authorId="0" shapeId="0" xr:uid="{994646CE-C227-46D5-A589-3DB0CB212A06}">
      <text>
        <r>
          <rPr>
            <b/>
            <sz val="9"/>
            <color indexed="81"/>
            <rFont val="Tahoma"/>
            <family val="2"/>
          </rPr>
          <t>&lt;[[TCDeals] - [TC Property Current Stage (Seq: 1)] - [Buildings (Seq: 64)] PVC8609 Basis - Both]&gt;</t>
        </r>
      </text>
    </comment>
    <comment ref="J1251" authorId="0" shapeId="0" xr:uid="{A1BE7430-95EC-4382-BB2A-4A825BA1ABF6}">
      <text>
        <r>
          <rPr>
            <b/>
            <sz val="9"/>
            <color indexed="81"/>
            <rFont val="Tahoma"/>
            <family val="2"/>
          </rPr>
          <t>&lt;[[TCDeals] - [TC Property Current Stage (Seq: 1)] - [Buildings (Seq: 64)] PVC8609 Credit - Both]&gt;</t>
        </r>
      </text>
    </comment>
    <comment ref="K1251" authorId="0" shapeId="0" xr:uid="{F2F5178D-2CC9-481F-B2AE-143433ABE54F}">
      <text>
        <r>
          <rPr>
            <b/>
            <sz val="9"/>
            <color indexed="81"/>
            <rFont val="Tahoma"/>
            <family val="2"/>
          </rPr>
          <t>&lt;[[TCDeals] - [TC Property Current Stage (Seq: 1)] - [Buildings (Seq: 64)] Constr PIS Date - Both]&gt;</t>
        </r>
      </text>
    </comment>
    <comment ref="L1251" authorId="0" shapeId="0" xr:uid="{CA01E899-03A0-43A5-BCD7-4A277CCDF010}">
      <text>
        <r>
          <rPr>
            <b/>
            <sz val="9"/>
            <color indexed="81"/>
            <rFont val="Tahoma"/>
            <family val="2"/>
          </rPr>
          <t>&lt;[[TCDeals] - [TC Property Current Stage (Seq: 1)] - [Buildings (Seq: 64)] Constr Applicable Percentage - Both]&gt;</t>
        </r>
      </text>
    </comment>
    <comment ref="M1251" authorId="0" shapeId="0" xr:uid="{6A9FFFB0-501D-40BE-8E0E-82A447735ECA}">
      <text>
        <r>
          <rPr>
            <b/>
            <sz val="9"/>
            <color indexed="81"/>
            <rFont val="Tahoma"/>
            <family val="2"/>
          </rPr>
          <t>&lt;[[TCDeals] - [TC Property Current Stage (Seq: 1)] - [Buildings (Seq: 64)] Constr Est Qual Basis - Both]&gt;</t>
        </r>
      </text>
    </comment>
    <comment ref="N1251" authorId="0" shapeId="0" xr:uid="{FDA304E3-DD55-47FB-9FAA-71103B8B7557}">
      <text>
        <r>
          <rPr>
            <b/>
            <sz val="9"/>
            <color indexed="81"/>
            <rFont val="Tahoma"/>
            <family val="2"/>
          </rPr>
          <t>&lt;[[TCDeals] - [TC Property Current Stage (Seq: 1)] - [Buildings (Seq: 64)] Constr 8609 Basis - Both]&gt;</t>
        </r>
      </text>
    </comment>
    <comment ref="O1251" authorId="0" shapeId="0" xr:uid="{0203D58A-AD43-465A-ADC2-90CC723FC89C}">
      <text>
        <r>
          <rPr>
            <b/>
            <sz val="9"/>
            <color indexed="81"/>
            <rFont val="Tahoma"/>
            <family val="2"/>
          </rPr>
          <t>&lt;[[TCDeals] - [TC Property Current Stage (Seq: 1)] - [Buildings (Seq: 64)] Constr 8609 Credit - Both]&gt;</t>
        </r>
      </text>
    </comment>
    <comment ref="P1251" authorId="0" shapeId="0" xr:uid="{4D946F0E-94EB-4213-AF52-27EB358B218D}">
      <text>
        <r>
          <rPr>
            <b/>
            <sz val="9"/>
            <color indexed="81"/>
            <rFont val="Tahoma"/>
            <family val="2"/>
          </rPr>
          <t>&lt;[[TCDeals] - [TC Property Current Stage (Seq: 1)] - [Buildings (Seq: 64)] Acq PIS Date - Both]&gt;</t>
        </r>
      </text>
    </comment>
    <comment ref="Q1251" authorId="0" shapeId="0" xr:uid="{7B7A701E-E2F3-4AE0-86F7-2FC56AEF5ECC}">
      <text>
        <r>
          <rPr>
            <b/>
            <sz val="9"/>
            <color indexed="81"/>
            <rFont val="Tahoma"/>
            <family val="2"/>
          </rPr>
          <t>&lt;[[TCDeals] - [TC Property Current Stage (Seq: 1)] - [Buildings (Seq: 64)] Acq Applicable Percentage - Both]&gt;</t>
        </r>
      </text>
    </comment>
    <comment ref="R1251" authorId="0" shapeId="0" xr:uid="{F42BFC36-B89A-4227-8B56-61332E4BC3B5}">
      <text>
        <r>
          <rPr>
            <b/>
            <sz val="9"/>
            <color indexed="81"/>
            <rFont val="Tahoma"/>
            <family val="2"/>
          </rPr>
          <t>&lt;[[TCDeals] - [TC Property Current Stage (Seq: 1)] - [Buildings (Seq: 64)] Acq Est Qual Basis - Both]&gt;</t>
        </r>
      </text>
    </comment>
    <comment ref="S1251" authorId="0" shapeId="0" xr:uid="{5E2491AD-990E-410E-9509-9F42A0862198}">
      <text>
        <r>
          <rPr>
            <b/>
            <sz val="9"/>
            <color indexed="81"/>
            <rFont val="Tahoma"/>
            <family val="2"/>
          </rPr>
          <t>&lt;[[TCDeals] - [TC Property Current Stage (Seq: 1)] - [Buildings (Seq: 64)] Acq 8609 Basis - Both]&gt;</t>
        </r>
      </text>
    </comment>
    <comment ref="T1251" authorId="0" shapeId="0" xr:uid="{866CA530-62DB-4FAF-B8F0-9A1BBFC40434}">
      <text>
        <r>
          <rPr>
            <b/>
            <sz val="9"/>
            <color indexed="81"/>
            <rFont val="Tahoma"/>
            <family val="2"/>
          </rPr>
          <t>&lt;[[TCDeals] - [TC Property Current Stage (Seq: 1)] - [Buildings (Seq: 64)] Acq 8609 Credit - Both]&gt;</t>
        </r>
      </text>
    </comment>
    <comment ref="C1252" authorId="0" shapeId="0" xr:uid="{7675B47E-2013-49F7-AEE8-BF5E297502EA}">
      <text>
        <r>
          <rPr>
            <b/>
            <sz val="9"/>
            <color indexed="81"/>
            <rFont val="Tahoma"/>
            <family val="2"/>
          </rPr>
          <t>&lt;[[TCDeals] - [TC Property Current Stage (Seq: 1)] - [Buildings (Seq: 65)] BIN - Both]&gt;</t>
        </r>
      </text>
    </comment>
    <comment ref="D1252" authorId="0" shapeId="0" xr:uid="{6F0B5466-1D8B-41F0-BA40-4B5D9221D62A}">
      <text>
        <r>
          <rPr>
            <b/>
            <sz val="9"/>
            <color indexed="81"/>
            <rFont val="Tahoma"/>
            <family val="2"/>
          </rPr>
          <t>&lt;[[TCDeals] - [TC Property Current Stage (Seq: 1)] - [Buildings (Seq: 65)] Address 1 - Both]&gt;</t>
        </r>
      </text>
    </comment>
    <comment ref="E1252" authorId="0" shapeId="0" xr:uid="{1A1F24A0-DCB0-4074-90C3-4C3870F4C85E}">
      <text>
        <r>
          <rPr>
            <b/>
            <sz val="9"/>
            <color indexed="81"/>
            <rFont val="Tahoma"/>
            <family val="2"/>
          </rPr>
          <t>&lt;[[TCDeals] - [TC Property Current Stage (Seq: 1)] - [Buildings (Seq: 65)] Num TC Units - Both]&gt;</t>
        </r>
      </text>
    </comment>
    <comment ref="F1252" authorId="0" shapeId="0" xr:uid="{0BB85FF3-3C3A-4906-9692-B6A649EB422B}">
      <text>
        <r>
          <rPr>
            <b/>
            <sz val="9"/>
            <color indexed="81"/>
            <rFont val="Tahoma"/>
            <family val="2"/>
          </rPr>
          <t>&lt;[[TCDeals] - [TC Property Current Stage (Seq: 1)] - [Buildings (Seq: 65)] PVC PIS Date - Both]&gt;</t>
        </r>
      </text>
    </comment>
    <comment ref="G1252" authorId="0" shapeId="0" xr:uid="{3DA125F9-F41A-49E6-947E-EB537596CD6C}">
      <text>
        <r>
          <rPr>
            <b/>
            <sz val="9"/>
            <color indexed="81"/>
            <rFont val="Tahoma"/>
            <family val="2"/>
          </rPr>
          <t>&lt;[[TCDeals] - [TC Property Current Stage (Seq: 1)] - [Buildings (Seq: 65)] PVC Applicable Percentage - Both]&gt;</t>
        </r>
      </text>
    </comment>
    <comment ref="H1252" authorId="0" shapeId="0" xr:uid="{D574F5EF-B089-4F88-AB83-B3B7ECE2C644}">
      <text>
        <r>
          <rPr>
            <b/>
            <sz val="9"/>
            <color indexed="81"/>
            <rFont val="Tahoma"/>
            <family val="2"/>
          </rPr>
          <t>&lt;[[TCDeals] - [TC Property Current Stage (Seq: 1)] - [Buildings (Seq: 65)] PVC Est Qual Basis - Both]&gt;</t>
        </r>
      </text>
    </comment>
    <comment ref="I1252" authorId="0" shapeId="0" xr:uid="{4645278E-5128-45A4-8B18-C7EA9EEA15F5}">
      <text>
        <r>
          <rPr>
            <b/>
            <sz val="9"/>
            <color indexed="81"/>
            <rFont val="Tahoma"/>
            <family val="2"/>
          </rPr>
          <t>&lt;[[TCDeals] - [TC Property Current Stage (Seq: 1)] - [Buildings (Seq: 65)] PVC8609 Basis - Both]&gt;</t>
        </r>
      </text>
    </comment>
    <comment ref="J1252" authorId="0" shapeId="0" xr:uid="{EFD1B963-E939-431E-AB21-04E37B12699A}">
      <text>
        <r>
          <rPr>
            <b/>
            <sz val="9"/>
            <color indexed="81"/>
            <rFont val="Tahoma"/>
            <family val="2"/>
          </rPr>
          <t>&lt;[[TCDeals] - [TC Property Current Stage (Seq: 1)] - [Buildings (Seq: 65)] PVC8609 Credit - Both]&gt;</t>
        </r>
      </text>
    </comment>
    <comment ref="K1252" authorId="0" shapeId="0" xr:uid="{3E558637-9926-4EB7-919D-6D785798F9E8}">
      <text>
        <r>
          <rPr>
            <b/>
            <sz val="9"/>
            <color indexed="81"/>
            <rFont val="Tahoma"/>
            <family val="2"/>
          </rPr>
          <t>&lt;[[TCDeals] - [TC Property Current Stage (Seq: 1)] - [Buildings (Seq: 65)] Constr PIS Date - Both]&gt;</t>
        </r>
      </text>
    </comment>
    <comment ref="L1252" authorId="0" shapeId="0" xr:uid="{452379E6-4C5E-4E67-B4CF-BE5EA95A8A05}">
      <text>
        <r>
          <rPr>
            <b/>
            <sz val="9"/>
            <color indexed="81"/>
            <rFont val="Tahoma"/>
            <family val="2"/>
          </rPr>
          <t>&lt;[[TCDeals] - [TC Property Current Stage (Seq: 1)] - [Buildings (Seq: 65)] Constr Applicable Percentage - Both]&gt;</t>
        </r>
      </text>
    </comment>
    <comment ref="M1252" authorId="0" shapeId="0" xr:uid="{BEE0A392-D57C-463C-99D1-54B83ED3371F}">
      <text>
        <r>
          <rPr>
            <b/>
            <sz val="9"/>
            <color indexed="81"/>
            <rFont val="Tahoma"/>
            <family val="2"/>
          </rPr>
          <t>&lt;[[TCDeals] - [TC Property Current Stage (Seq: 1)] - [Buildings (Seq: 65)] Constr Est Qual Basis - Both]&gt;</t>
        </r>
      </text>
    </comment>
    <comment ref="N1252" authorId="0" shapeId="0" xr:uid="{51B80BE2-0B78-4777-BC1F-B46DAE6188D0}">
      <text>
        <r>
          <rPr>
            <b/>
            <sz val="9"/>
            <color indexed="81"/>
            <rFont val="Tahoma"/>
            <family val="2"/>
          </rPr>
          <t>&lt;[[TCDeals] - [TC Property Current Stage (Seq: 1)] - [Buildings (Seq: 65)] Constr 8609 Basis - Both]&gt;</t>
        </r>
      </text>
    </comment>
    <comment ref="O1252" authorId="0" shapeId="0" xr:uid="{8AB8D857-9090-4404-A8B1-D768B71D3875}">
      <text>
        <r>
          <rPr>
            <b/>
            <sz val="9"/>
            <color indexed="81"/>
            <rFont val="Tahoma"/>
            <family val="2"/>
          </rPr>
          <t>&lt;[[TCDeals] - [TC Property Current Stage (Seq: 1)] - [Buildings (Seq: 65)] Constr 8609 Credit - Both]&gt;</t>
        </r>
      </text>
    </comment>
    <comment ref="P1252" authorId="0" shapeId="0" xr:uid="{CF44AD1C-FEB9-46D2-A345-71CA93174F03}">
      <text>
        <r>
          <rPr>
            <b/>
            <sz val="9"/>
            <color indexed="81"/>
            <rFont val="Tahoma"/>
            <family val="2"/>
          </rPr>
          <t>&lt;[[TCDeals] - [TC Property Current Stage (Seq: 1)] - [Buildings (Seq: 65)] Acq PIS Date - Both]&gt;</t>
        </r>
      </text>
    </comment>
    <comment ref="Q1252" authorId="0" shapeId="0" xr:uid="{5B94EF95-3AD2-4316-A65F-74714F673895}">
      <text>
        <r>
          <rPr>
            <b/>
            <sz val="9"/>
            <color indexed="81"/>
            <rFont val="Tahoma"/>
            <family val="2"/>
          </rPr>
          <t>&lt;[[TCDeals] - [TC Property Current Stage (Seq: 1)] - [Buildings (Seq: 65)] Acq Applicable Percentage - Both]&gt;</t>
        </r>
      </text>
    </comment>
    <comment ref="R1252" authorId="0" shapeId="0" xr:uid="{4E47F4F0-2F3A-439F-ADF8-54552978E981}">
      <text>
        <r>
          <rPr>
            <b/>
            <sz val="9"/>
            <color indexed="81"/>
            <rFont val="Tahoma"/>
            <family val="2"/>
          </rPr>
          <t>&lt;[[TCDeals] - [TC Property Current Stage (Seq: 1)] - [Buildings (Seq: 65)] Acq Est Qual Basis - Both]&gt;</t>
        </r>
      </text>
    </comment>
    <comment ref="S1252" authorId="0" shapeId="0" xr:uid="{FB26F415-9F81-4BA4-85EC-59F5BD018AEB}">
      <text>
        <r>
          <rPr>
            <b/>
            <sz val="9"/>
            <color indexed="81"/>
            <rFont val="Tahoma"/>
            <family val="2"/>
          </rPr>
          <t>&lt;[[TCDeals] - [TC Property Current Stage (Seq: 1)] - [Buildings (Seq: 65)] Acq 8609 Basis - Both]&gt;</t>
        </r>
      </text>
    </comment>
    <comment ref="T1252" authorId="0" shapeId="0" xr:uid="{E784413E-3B82-408B-86F6-69453A1E3C72}">
      <text>
        <r>
          <rPr>
            <b/>
            <sz val="9"/>
            <color indexed="81"/>
            <rFont val="Tahoma"/>
            <family val="2"/>
          </rPr>
          <t>&lt;[[TCDeals] - [TC Property Current Stage (Seq: 1)] - [Buildings (Seq: 65)] Acq 8609 Credit - Both]&gt;</t>
        </r>
      </text>
    </comment>
    <comment ref="C1253" authorId="0" shapeId="0" xr:uid="{1E2C918E-0972-432A-887A-9E2ACB702F78}">
      <text>
        <r>
          <rPr>
            <b/>
            <sz val="9"/>
            <color indexed="81"/>
            <rFont val="Tahoma"/>
            <family val="2"/>
          </rPr>
          <t>&lt;[[TCDeals] - [TC Property Current Stage (Seq: 1)] - [Buildings (Seq: 66)] BIN - Both]&gt;</t>
        </r>
      </text>
    </comment>
    <comment ref="D1253" authorId="0" shapeId="0" xr:uid="{2B72CD1E-BECF-4915-9F31-601D97088294}">
      <text>
        <r>
          <rPr>
            <b/>
            <sz val="9"/>
            <color indexed="81"/>
            <rFont val="Tahoma"/>
            <family val="2"/>
          </rPr>
          <t>&lt;[[TCDeals] - [TC Property Current Stage (Seq: 1)] - [Buildings (Seq: 66)] Address 1 - Both]&gt;</t>
        </r>
      </text>
    </comment>
    <comment ref="E1253" authorId="0" shapeId="0" xr:uid="{CB95FC08-CB5C-419F-BFDF-17D5C34D4307}">
      <text>
        <r>
          <rPr>
            <b/>
            <sz val="9"/>
            <color indexed="81"/>
            <rFont val="Tahoma"/>
            <family val="2"/>
          </rPr>
          <t>&lt;[[TCDeals] - [TC Property Current Stage (Seq: 1)] - [Buildings (Seq: 66)] Num TC Units - Both]&gt;</t>
        </r>
      </text>
    </comment>
    <comment ref="F1253" authorId="0" shapeId="0" xr:uid="{FC0F61EB-1834-4E24-81D4-C1D714096DFA}">
      <text>
        <r>
          <rPr>
            <b/>
            <sz val="9"/>
            <color indexed="81"/>
            <rFont val="Tahoma"/>
            <family val="2"/>
          </rPr>
          <t>&lt;[[TCDeals] - [TC Property Current Stage (Seq: 1)] - [Buildings (Seq: 66)] PVC PIS Date - Both]&gt;</t>
        </r>
      </text>
    </comment>
    <comment ref="G1253" authorId="0" shapeId="0" xr:uid="{152B5E6E-20B3-4EE0-A7BC-24E360D46A5D}">
      <text>
        <r>
          <rPr>
            <b/>
            <sz val="9"/>
            <color indexed="81"/>
            <rFont val="Tahoma"/>
            <family val="2"/>
          </rPr>
          <t>&lt;[[TCDeals] - [TC Property Current Stage (Seq: 1)] - [Buildings (Seq: 66)] PVC Applicable Percentage - Both]&gt;</t>
        </r>
      </text>
    </comment>
    <comment ref="H1253" authorId="0" shapeId="0" xr:uid="{90F360F8-E6B9-4B09-9E14-3556F66FB362}">
      <text>
        <r>
          <rPr>
            <b/>
            <sz val="9"/>
            <color indexed="81"/>
            <rFont val="Tahoma"/>
            <family val="2"/>
          </rPr>
          <t>&lt;[[TCDeals] - [TC Property Current Stage (Seq: 1)] - [Buildings (Seq: 66)] PVC Est Qual Basis - Both]&gt;</t>
        </r>
      </text>
    </comment>
    <comment ref="I1253" authorId="0" shapeId="0" xr:uid="{F2443602-FF8F-47FE-BB62-D0AA8AE49758}">
      <text>
        <r>
          <rPr>
            <b/>
            <sz val="9"/>
            <color indexed="81"/>
            <rFont val="Tahoma"/>
            <family val="2"/>
          </rPr>
          <t>&lt;[[TCDeals] - [TC Property Current Stage (Seq: 1)] - [Buildings (Seq: 66)] PVC8609 Basis - Both]&gt;</t>
        </r>
      </text>
    </comment>
    <comment ref="J1253" authorId="0" shapeId="0" xr:uid="{B9178B4B-2C1B-415C-9739-033571A7A84B}">
      <text>
        <r>
          <rPr>
            <b/>
            <sz val="9"/>
            <color indexed="81"/>
            <rFont val="Tahoma"/>
            <family val="2"/>
          </rPr>
          <t>&lt;[[TCDeals] - [TC Property Current Stage (Seq: 1)] - [Buildings (Seq: 66)] PVC8609 Credit - Both]&gt;</t>
        </r>
      </text>
    </comment>
    <comment ref="K1253" authorId="0" shapeId="0" xr:uid="{C1244F5C-F9BA-450B-BB5A-56B0FA3E89C8}">
      <text>
        <r>
          <rPr>
            <b/>
            <sz val="9"/>
            <color indexed="81"/>
            <rFont val="Tahoma"/>
            <family val="2"/>
          </rPr>
          <t>&lt;[[TCDeals] - [TC Property Current Stage (Seq: 1)] - [Buildings (Seq: 66)] Constr PIS Date - Both]&gt;</t>
        </r>
      </text>
    </comment>
    <comment ref="L1253" authorId="0" shapeId="0" xr:uid="{2A5C9E9B-72DC-4072-8980-186C12EC84DB}">
      <text>
        <r>
          <rPr>
            <b/>
            <sz val="9"/>
            <color indexed="81"/>
            <rFont val="Tahoma"/>
            <family val="2"/>
          </rPr>
          <t>&lt;[[TCDeals] - [TC Property Current Stage (Seq: 1)] - [Buildings (Seq: 66)] Constr Applicable Percentage - Both]&gt;</t>
        </r>
      </text>
    </comment>
    <comment ref="M1253" authorId="0" shapeId="0" xr:uid="{9A6200AA-EDA3-4C92-9400-B15BD595596B}">
      <text>
        <r>
          <rPr>
            <b/>
            <sz val="9"/>
            <color indexed="81"/>
            <rFont val="Tahoma"/>
            <family val="2"/>
          </rPr>
          <t>&lt;[[TCDeals] - [TC Property Current Stage (Seq: 1)] - [Buildings (Seq: 66)] Constr Est Qual Basis - Both]&gt;</t>
        </r>
      </text>
    </comment>
    <comment ref="N1253" authorId="0" shapeId="0" xr:uid="{6AF291C5-6B48-4D7A-BF89-9D5FD4642251}">
      <text>
        <r>
          <rPr>
            <b/>
            <sz val="9"/>
            <color indexed="81"/>
            <rFont val="Tahoma"/>
            <family val="2"/>
          </rPr>
          <t>&lt;[[TCDeals] - [TC Property Current Stage (Seq: 1)] - [Buildings (Seq: 66)] Constr 8609 Basis - Both]&gt;</t>
        </r>
      </text>
    </comment>
    <comment ref="O1253" authorId="0" shapeId="0" xr:uid="{78C879A7-65D7-4817-BA02-93040AE7CEEC}">
      <text>
        <r>
          <rPr>
            <b/>
            <sz val="9"/>
            <color indexed="81"/>
            <rFont val="Tahoma"/>
            <family val="2"/>
          </rPr>
          <t>&lt;[[TCDeals] - [TC Property Current Stage (Seq: 1)] - [Buildings (Seq: 66)] Constr 8609 Credit - Both]&gt;</t>
        </r>
      </text>
    </comment>
    <comment ref="P1253" authorId="0" shapeId="0" xr:uid="{5F0C7056-6CEB-4511-9CFD-17BC24750129}">
      <text>
        <r>
          <rPr>
            <b/>
            <sz val="9"/>
            <color indexed="81"/>
            <rFont val="Tahoma"/>
            <family val="2"/>
          </rPr>
          <t>&lt;[[TCDeals] - [TC Property Current Stage (Seq: 1)] - [Buildings (Seq: 66)] Acq PIS Date - Both]&gt;</t>
        </r>
      </text>
    </comment>
    <comment ref="Q1253" authorId="0" shapeId="0" xr:uid="{20797B74-12FD-4FD8-BF40-E500D70079F3}">
      <text>
        <r>
          <rPr>
            <b/>
            <sz val="9"/>
            <color indexed="81"/>
            <rFont val="Tahoma"/>
            <family val="2"/>
          </rPr>
          <t>&lt;[[TCDeals] - [TC Property Current Stage (Seq: 1)] - [Buildings (Seq: 66)] Acq Applicable Percentage - Both]&gt;</t>
        </r>
      </text>
    </comment>
    <comment ref="R1253" authorId="0" shapeId="0" xr:uid="{B6657C97-DD1A-45DF-A3B8-4A5DA72C0C5B}">
      <text>
        <r>
          <rPr>
            <b/>
            <sz val="9"/>
            <color indexed="81"/>
            <rFont val="Tahoma"/>
            <family val="2"/>
          </rPr>
          <t>&lt;[[TCDeals] - [TC Property Current Stage (Seq: 1)] - [Buildings (Seq: 66)] Acq Est Qual Basis - Both]&gt;</t>
        </r>
      </text>
    </comment>
    <comment ref="S1253" authorId="0" shapeId="0" xr:uid="{68CBE255-8018-42FA-A0A0-CB97A9813B55}">
      <text>
        <r>
          <rPr>
            <b/>
            <sz val="9"/>
            <color indexed="81"/>
            <rFont val="Tahoma"/>
            <family val="2"/>
          </rPr>
          <t>&lt;[[TCDeals] - [TC Property Current Stage (Seq: 1)] - [Buildings (Seq: 66)] Acq 8609 Basis - Both]&gt;</t>
        </r>
      </text>
    </comment>
    <comment ref="T1253" authorId="0" shapeId="0" xr:uid="{F2411C1C-C9AE-4263-A339-ED554688FBDA}">
      <text>
        <r>
          <rPr>
            <b/>
            <sz val="9"/>
            <color indexed="81"/>
            <rFont val="Tahoma"/>
            <family val="2"/>
          </rPr>
          <t>&lt;[[TCDeals] - [TC Property Current Stage (Seq: 1)] - [Buildings (Seq: 66)] Acq 8609 Credit - Both]&gt;</t>
        </r>
      </text>
    </comment>
    <comment ref="C1254" authorId="0" shapeId="0" xr:uid="{A19D86F1-9947-4BFD-B2FB-A5A876CD0E31}">
      <text>
        <r>
          <rPr>
            <b/>
            <sz val="9"/>
            <color indexed="81"/>
            <rFont val="Tahoma"/>
            <family val="2"/>
          </rPr>
          <t>&lt;[[TCDeals] - [TC Property Current Stage (Seq: 1)] - [Buildings (Seq: 67)] BIN - Both]&gt;</t>
        </r>
      </text>
    </comment>
    <comment ref="D1254" authorId="0" shapeId="0" xr:uid="{A3A5E06D-DD2B-4133-867C-07BEBD02BBFA}">
      <text>
        <r>
          <rPr>
            <b/>
            <sz val="9"/>
            <color indexed="81"/>
            <rFont val="Tahoma"/>
            <family val="2"/>
          </rPr>
          <t>&lt;[[TCDeals] - [TC Property Current Stage (Seq: 1)] - [Buildings (Seq: 67)] Address 1 - Both]&gt;</t>
        </r>
      </text>
    </comment>
    <comment ref="E1254" authorId="0" shapeId="0" xr:uid="{5A0F2188-4418-4545-8285-954A667EF2DC}">
      <text>
        <r>
          <rPr>
            <b/>
            <sz val="9"/>
            <color indexed="81"/>
            <rFont val="Tahoma"/>
            <family val="2"/>
          </rPr>
          <t>&lt;[[TCDeals] - [TC Property Current Stage (Seq: 1)] - [Buildings (Seq: 67)] Num TC Units - Both]&gt;</t>
        </r>
      </text>
    </comment>
    <comment ref="F1254" authorId="0" shapeId="0" xr:uid="{D1422307-582B-4338-B283-3A22630D2277}">
      <text>
        <r>
          <rPr>
            <b/>
            <sz val="9"/>
            <color indexed="81"/>
            <rFont val="Tahoma"/>
            <family val="2"/>
          </rPr>
          <t>&lt;[[TCDeals] - [TC Property Current Stage (Seq: 1)] - [Buildings (Seq: 67)] PVC PIS Date - Both]&gt;</t>
        </r>
      </text>
    </comment>
    <comment ref="G1254" authorId="0" shapeId="0" xr:uid="{E970119B-BCA1-4399-A0DD-BDCD3BD85A91}">
      <text>
        <r>
          <rPr>
            <b/>
            <sz val="9"/>
            <color indexed="81"/>
            <rFont val="Tahoma"/>
            <family val="2"/>
          </rPr>
          <t>&lt;[[TCDeals] - [TC Property Current Stage (Seq: 1)] - [Buildings (Seq: 67)] PVC Applicable Percentage - Both]&gt;</t>
        </r>
      </text>
    </comment>
    <comment ref="H1254" authorId="0" shapeId="0" xr:uid="{45390287-8D22-400C-BE27-77589B7D7471}">
      <text>
        <r>
          <rPr>
            <b/>
            <sz val="9"/>
            <color indexed="81"/>
            <rFont val="Tahoma"/>
            <family val="2"/>
          </rPr>
          <t>&lt;[[TCDeals] - [TC Property Current Stage (Seq: 1)] - [Buildings (Seq: 67)] PVC Est Qual Basis - Both]&gt;</t>
        </r>
      </text>
    </comment>
    <comment ref="I1254" authorId="0" shapeId="0" xr:uid="{D4C5DE0D-166B-463D-8BC2-724F0934D994}">
      <text>
        <r>
          <rPr>
            <b/>
            <sz val="9"/>
            <color indexed="81"/>
            <rFont val="Tahoma"/>
            <family val="2"/>
          </rPr>
          <t>&lt;[[TCDeals] - [TC Property Current Stage (Seq: 1)] - [Buildings (Seq: 67)] PVC8609 Basis - Both]&gt;</t>
        </r>
      </text>
    </comment>
    <comment ref="J1254" authorId="0" shapeId="0" xr:uid="{397CE042-6709-44D5-9F46-8FEC582C1B94}">
      <text>
        <r>
          <rPr>
            <b/>
            <sz val="9"/>
            <color indexed="81"/>
            <rFont val="Tahoma"/>
            <family val="2"/>
          </rPr>
          <t>&lt;[[TCDeals] - [TC Property Current Stage (Seq: 1)] - [Buildings (Seq: 67)] PVC8609 Credit - Both]&gt;</t>
        </r>
      </text>
    </comment>
    <comment ref="K1254" authorId="0" shapeId="0" xr:uid="{EFFB5F49-AE05-4977-963D-4D9F39DED1F4}">
      <text>
        <r>
          <rPr>
            <b/>
            <sz val="9"/>
            <color indexed="81"/>
            <rFont val="Tahoma"/>
            <family val="2"/>
          </rPr>
          <t>&lt;[[TCDeals] - [TC Property Current Stage (Seq: 1)] - [Buildings (Seq: 67)] Constr PIS Date - Both]&gt;</t>
        </r>
      </text>
    </comment>
    <comment ref="L1254" authorId="0" shapeId="0" xr:uid="{F27D0F6C-0E97-4058-9172-E3C9D9C8C329}">
      <text>
        <r>
          <rPr>
            <b/>
            <sz val="9"/>
            <color indexed="81"/>
            <rFont val="Tahoma"/>
            <family val="2"/>
          </rPr>
          <t>&lt;[[TCDeals] - [TC Property Current Stage (Seq: 1)] - [Buildings (Seq: 67)] Constr Applicable Percentage - Both]&gt;</t>
        </r>
      </text>
    </comment>
    <comment ref="M1254" authorId="0" shapeId="0" xr:uid="{ED40EEC0-F5B9-457D-9391-2547B81E80A9}">
      <text>
        <r>
          <rPr>
            <b/>
            <sz val="9"/>
            <color indexed="81"/>
            <rFont val="Tahoma"/>
            <family val="2"/>
          </rPr>
          <t>&lt;[[TCDeals] - [TC Property Current Stage (Seq: 1)] - [Buildings (Seq: 67)] Constr Est Qual Basis - Both]&gt;</t>
        </r>
      </text>
    </comment>
    <comment ref="N1254" authorId="0" shapeId="0" xr:uid="{FF884903-97FC-4B05-9C23-CAFF4E14FF6B}">
      <text>
        <r>
          <rPr>
            <b/>
            <sz val="9"/>
            <color indexed="81"/>
            <rFont val="Tahoma"/>
            <family val="2"/>
          </rPr>
          <t>&lt;[[TCDeals] - [TC Property Current Stage (Seq: 1)] - [Buildings (Seq: 67)] Constr 8609 Basis - Both]&gt;</t>
        </r>
      </text>
    </comment>
    <comment ref="O1254" authorId="0" shapeId="0" xr:uid="{9A3845A9-42F2-451C-9674-415116927C5B}">
      <text>
        <r>
          <rPr>
            <b/>
            <sz val="9"/>
            <color indexed="81"/>
            <rFont val="Tahoma"/>
            <family val="2"/>
          </rPr>
          <t>&lt;[[TCDeals] - [TC Property Current Stage (Seq: 1)] - [Buildings (Seq: 67)] Constr 8609 Credit - Both]&gt;</t>
        </r>
      </text>
    </comment>
    <comment ref="P1254" authorId="0" shapeId="0" xr:uid="{178EE099-57F9-4FDA-AD29-1147EC190E8F}">
      <text>
        <r>
          <rPr>
            <b/>
            <sz val="9"/>
            <color indexed="81"/>
            <rFont val="Tahoma"/>
            <family val="2"/>
          </rPr>
          <t>&lt;[[TCDeals] - [TC Property Current Stage (Seq: 1)] - [Buildings (Seq: 67)] Acq PIS Date - Both]&gt;</t>
        </r>
      </text>
    </comment>
    <comment ref="Q1254" authorId="0" shapeId="0" xr:uid="{A284B4FC-F105-49D7-9179-FB9FF199700C}">
      <text>
        <r>
          <rPr>
            <b/>
            <sz val="9"/>
            <color indexed="81"/>
            <rFont val="Tahoma"/>
            <family val="2"/>
          </rPr>
          <t>&lt;[[TCDeals] - [TC Property Current Stage (Seq: 1)] - [Buildings (Seq: 67)] Acq Applicable Percentage - Both]&gt;</t>
        </r>
      </text>
    </comment>
    <comment ref="R1254" authorId="0" shapeId="0" xr:uid="{D52EF203-8225-436F-BAAB-A0279B4B31B6}">
      <text>
        <r>
          <rPr>
            <b/>
            <sz val="9"/>
            <color indexed="81"/>
            <rFont val="Tahoma"/>
            <family val="2"/>
          </rPr>
          <t>&lt;[[TCDeals] - [TC Property Current Stage (Seq: 1)] - [Buildings (Seq: 67)] Acq Est Qual Basis - Both]&gt;</t>
        </r>
      </text>
    </comment>
    <comment ref="S1254" authorId="0" shapeId="0" xr:uid="{BA669EAF-EE6A-457F-A6DC-14758309B1B8}">
      <text>
        <r>
          <rPr>
            <b/>
            <sz val="9"/>
            <color indexed="81"/>
            <rFont val="Tahoma"/>
            <family val="2"/>
          </rPr>
          <t>&lt;[[TCDeals] - [TC Property Current Stage (Seq: 1)] - [Buildings (Seq: 67)] Acq 8609 Basis - Both]&gt;</t>
        </r>
      </text>
    </comment>
    <comment ref="T1254" authorId="0" shapeId="0" xr:uid="{99B9A6F7-E90E-4EA9-8B7D-AEFBDFED01B0}">
      <text>
        <r>
          <rPr>
            <b/>
            <sz val="9"/>
            <color indexed="81"/>
            <rFont val="Tahoma"/>
            <family val="2"/>
          </rPr>
          <t>&lt;[[TCDeals] - [TC Property Current Stage (Seq: 1)] - [Buildings (Seq: 67)] Acq 8609 Credit - Both]&gt;</t>
        </r>
      </text>
    </comment>
    <comment ref="C1255" authorId="0" shapeId="0" xr:uid="{CB8F17B2-6510-467E-A63E-78375BE4004D}">
      <text>
        <r>
          <rPr>
            <b/>
            <sz val="9"/>
            <color indexed="81"/>
            <rFont val="Tahoma"/>
            <family val="2"/>
          </rPr>
          <t>&lt;[[TCDeals] - [TC Property Current Stage (Seq: 1)] - [Buildings (Seq: 68)] BIN - Both]&gt;</t>
        </r>
      </text>
    </comment>
    <comment ref="D1255" authorId="0" shapeId="0" xr:uid="{0AC41F90-42BD-497A-AD2B-C74AB029F2B5}">
      <text>
        <r>
          <rPr>
            <b/>
            <sz val="9"/>
            <color indexed="81"/>
            <rFont val="Tahoma"/>
            <family val="2"/>
          </rPr>
          <t>&lt;[[TCDeals] - [TC Property Current Stage (Seq: 1)] - [Buildings (Seq: 68)] Address 1 - Both]&gt;</t>
        </r>
      </text>
    </comment>
    <comment ref="E1255" authorId="0" shapeId="0" xr:uid="{6139E3BC-414B-4254-B97E-0580B28DED17}">
      <text>
        <r>
          <rPr>
            <b/>
            <sz val="9"/>
            <color indexed="81"/>
            <rFont val="Tahoma"/>
            <family val="2"/>
          </rPr>
          <t>&lt;[[TCDeals] - [TC Property Current Stage (Seq: 1)] - [Buildings (Seq: 68)] Num TC Units - Both]&gt;</t>
        </r>
      </text>
    </comment>
    <comment ref="F1255" authorId="0" shapeId="0" xr:uid="{9E75FA56-ADBB-4250-AD1B-C1D8A787AEBF}">
      <text>
        <r>
          <rPr>
            <b/>
            <sz val="9"/>
            <color indexed="81"/>
            <rFont val="Tahoma"/>
            <family val="2"/>
          </rPr>
          <t>&lt;[[TCDeals] - [TC Property Current Stage (Seq: 1)] - [Buildings (Seq: 68)] PVC PIS Date - Both]&gt;</t>
        </r>
      </text>
    </comment>
    <comment ref="G1255" authorId="0" shapeId="0" xr:uid="{A169E2F6-2B18-4CA9-BA00-856B228F838C}">
      <text>
        <r>
          <rPr>
            <b/>
            <sz val="9"/>
            <color indexed="81"/>
            <rFont val="Tahoma"/>
            <family val="2"/>
          </rPr>
          <t>&lt;[[TCDeals] - [TC Property Current Stage (Seq: 1)] - [Buildings (Seq: 68)] PVC Applicable Percentage - Both]&gt;</t>
        </r>
      </text>
    </comment>
    <comment ref="H1255" authorId="0" shapeId="0" xr:uid="{5DE61EA3-860A-4C6F-BFEA-5FAC33BDAC8F}">
      <text>
        <r>
          <rPr>
            <b/>
            <sz val="9"/>
            <color indexed="81"/>
            <rFont val="Tahoma"/>
            <family val="2"/>
          </rPr>
          <t>&lt;[[TCDeals] - [TC Property Current Stage (Seq: 1)] - [Buildings (Seq: 68)] PVC Est Qual Basis - Both]&gt;</t>
        </r>
      </text>
    </comment>
    <comment ref="I1255" authorId="0" shapeId="0" xr:uid="{50CF4D74-F3D1-487C-9E13-A9271824BDF0}">
      <text>
        <r>
          <rPr>
            <b/>
            <sz val="9"/>
            <color indexed="81"/>
            <rFont val="Tahoma"/>
            <family val="2"/>
          </rPr>
          <t>&lt;[[TCDeals] - [TC Property Current Stage (Seq: 1)] - [Buildings (Seq: 68)] PVC8609 Basis - Both]&gt;</t>
        </r>
      </text>
    </comment>
    <comment ref="J1255" authorId="0" shapeId="0" xr:uid="{5A88B82F-8346-42AE-A270-BB24C75C0AFE}">
      <text>
        <r>
          <rPr>
            <b/>
            <sz val="9"/>
            <color indexed="81"/>
            <rFont val="Tahoma"/>
            <family val="2"/>
          </rPr>
          <t>&lt;[[TCDeals] - [TC Property Current Stage (Seq: 1)] - [Buildings (Seq: 68)] PVC8609 Credit - Both]&gt;</t>
        </r>
      </text>
    </comment>
    <comment ref="K1255" authorId="0" shapeId="0" xr:uid="{4BBCC7EE-EC74-45F8-90FC-A4E877756312}">
      <text>
        <r>
          <rPr>
            <b/>
            <sz val="9"/>
            <color indexed="81"/>
            <rFont val="Tahoma"/>
            <family val="2"/>
          </rPr>
          <t>&lt;[[TCDeals] - [TC Property Current Stage (Seq: 1)] - [Buildings (Seq: 68)] Constr PIS Date - Both]&gt;</t>
        </r>
      </text>
    </comment>
    <comment ref="L1255" authorId="0" shapeId="0" xr:uid="{0B73C9AA-C9D3-4129-B749-7C66B211944E}">
      <text>
        <r>
          <rPr>
            <b/>
            <sz val="9"/>
            <color indexed="81"/>
            <rFont val="Tahoma"/>
            <family val="2"/>
          </rPr>
          <t>&lt;[[TCDeals] - [TC Property Current Stage (Seq: 1)] - [Buildings (Seq: 68)] Constr Applicable Percentage - Both]&gt;</t>
        </r>
      </text>
    </comment>
    <comment ref="M1255" authorId="0" shapeId="0" xr:uid="{6438610C-C836-43BF-8063-654B0F0FD044}">
      <text>
        <r>
          <rPr>
            <b/>
            <sz val="9"/>
            <color indexed="81"/>
            <rFont val="Tahoma"/>
            <family val="2"/>
          </rPr>
          <t>&lt;[[TCDeals] - [TC Property Current Stage (Seq: 1)] - [Buildings (Seq: 68)] Constr Est Qual Basis - Both]&gt;</t>
        </r>
      </text>
    </comment>
    <comment ref="N1255" authorId="0" shapeId="0" xr:uid="{26F69F63-A24A-4017-AF93-E4C31978204D}">
      <text>
        <r>
          <rPr>
            <b/>
            <sz val="9"/>
            <color indexed="81"/>
            <rFont val="Tahoma"/>
            <family val="2"/>
          </rPr>
          <t>&lt;[[TCDeals] - [TC Property Current Stage (Seq: 1)] - [Buildings (Seq: 68)] Constr 8609 Basis - Both]&gt;</t>
        </r>
      </text>
    </comment>
    <comment ref="O1255" authorId="0" shapeId="0" xr:uid="{B37E1589-114A-4E16-B74E-C2B9EE812907}">
      <text>
        <r>
          <rPr>
            <b/>
            <sz val="9"/>
            <color indexed="81"/>
            <rFont val="Tahoma"/>
            <family val="2"/>
          </rPr>
          <t>&lt;[[TCDeals] - [TC Property Current Stage (Seq: 1)] - [Buildings (Seq: 68)] Constr 8609 Credit - Both]&gt;</t>
        </r>
      </text>
    </comment>
    <comment ref="P1255" authorId="0" shapeId="0" xr:uid="{68F7B9DF-19B5-484E-975E-28CB64AD4291}">
      <text>
        <r>
          <rPr>
            <b/>
            <sz val="9"/>
            <color indexed="81"/>
            <rFont val="Tahoma"/>
            <family val="2"/>
          </rPr>
          <t>&lt;[[TCDeals] - [TC Property Current Stage (Seq: 1)] - [Buildings (Seq: 68)] Acq PIS Date - Both]&gt;</t>
        </r>
      </text>
    </comment>
    <comment ref="Q1255" authorId="0" shapeId="0" xr:uid="{48B96295-C96F-4CB2-B6CD-09569BFF87F9}">
      <text>
        <r>
          <rPr>
            <b/>
            <sz val="9"/>
            <color indexed="81"/>
            <rFont val="Tahoma"/>
            <family val="2"/>
          </rPr>
          <t>&lt;[[TCDeals] - [TC Property Current Stage (Seq: 1)] - [Buildings (Seq: 68)] Acq Applicable Percentage - Both]&gt;</t>
        </r>
      </text>
    </comment>
    <comment ref="R1255" authorId="0" shapeId="0" xr:uid="{DA0EE3F3-671E-40DE-9D83-075B3864F1A9}">
      <text>
        <r>
          <rPr>
            <b/>
            <sz val="9"/>
            <color indexed="81"/>
            <rFont val="Tahoma"/>
            <family val="2"/>
          </rPr>
          <t>&lt;[[TCDeals] - [TC Property Current Stage (Seq: 1)] - [Buildings (Seq: 68)] Acq Est Qual Basis - Both]&gt;</t>
        </r>
      </text>
    </comment>
    <comment ref="S1255" authorId="0" shapeId="0" xr:uid="{7BBF76B2-ECFD-481C-AFF3-E6CF02BE9091}">
      <text>
        <r>
          <rPr>
            <b/>
            <sz val="9"/>
            <color indexed="81"/>
            <rFont val="Tahoma"/>
            <family val="2"/>
          </rPr>
          <t>&lt;[[TCDeals] - [TC Property Current Stage (Seq: 1)] - [Buildings (Seq: 68)] Acq 8609 Basis - Both]&gt;</t>
        </r>
      </text>
    </comment>
    <comment ref="T1255" authorId="0" shapeId="0" xr:uid="{68B9F648-7F2E-481E-9CF4-9503C729BBC1}">
      <text>
        <r>
          <rPr>
            <b/>
            <sz val="9"/>
            <color indexed="81"/>
            <rFont val="Tahoma"/>
            <family val="2"/>
          </rPr>
          <t>&lt;[[TCDeals] - [TC Property Current Stage (Seq: 1)] - [Buildings (Seq: 68)] Acq 8609 Credit - Both]&gt;</t>
        </r>
      </text>
    </comment>
    <comment ref="C1256" authorId="0" shapeId="0" xr:uid="{8EE63763-C024-4F74-BB9C-11DD2ADD2531}">
      <text>
        <r>
          <rPr>
            <b/>
            <sz val="9"/>
            <color indexed="81"/>
            <rFont val="Tahoma"/>
            <family val="2"/>
          </rPr>
          <t>&lt;[[TCDeals] - [TC Property Current Stage (Seq: 1)] - [Buildings (Seq: 69)] BIN - Both]&gt;</t>
        </r>
      </text>
    </comment>
    <comment ref="D1256" authorId="0" shapeId="0" xr:uid="{AE0FCE71-3D54-4C91-86ED-BEEB1D7216AD}">
      <text>
        <r>
          <rPr>
            <b/>
            <sz val="9"/>
            <color indexed="81"/>
            <rFont val="Tahoma"/>
            <family val="2"/>
          </rPr>
          <t>&lt;[[TCDeals] - [TC Property Current Stage (Seq: 1)] - [Buildings (Seq: 69)] Address 1 - Both]&gt;</t>
        </r>
      </text>
    </comment>
    <comment ref="E1256" authorId="0" shapeId="0" xr:uid="{99FDF3FD-681B-490A-923F-5078D1FD42C0}">
      <text>
        <r>
          <rPr>
            <b/>
            <sz val="9"/>
            <color indexed="81"/>
            <rFont val="Tahoma"/>
            <family val="2"/>
          </rPr>
          <t>&lt;[[TCDeals] - [TC Property Current Stage (Seq: 1)] - [Buildings (Seq: 69)] Num TC Units - Both]&gt;</t>
        </r>
      </text>
    </comment>
    <comment ref="F1256" authorId="0" shapeId="0" xr:uid="{63225BDB-FC9A-464C-A8F9-7CCA05F825F9}">
      <text>
        <r>
          <rPr>
            <b/>
            <sz val="9"/>
            <color indexed="81"/>
            <rFont val="Tahoma"/>
            <family val="2"/>
          </rPr>
          <t>&lt;[[TCDeals] - [TC Property Current Stage (Seq: 1)] - [Buildings (Seq: 69)] PVC PIS Date - Both]&gt;</t>
        </r>
      </text>
    </comment>
    <comment ref="G1256" authorId="0" shapeId="0" xr:uid="{EF840A51-CBBC-4375-955D-6482D90567B5}">
      <text>
        <r>
          <rPr>
            <b/>
            <sz val="9"/>
            <color indexed="81"/>
            <rFont val="Tahoma"/>
            <family val="2"/>
          </rPr>
          <t>&lt;[[TCDeals] - [TC Property Current Stage (Seq: 1)] - [Buildings (Seq: 69)] PVC Applicable Percentage - Both]&gt;</t>
        </r>
      </text>
    </comment>
    <comment ref="H1256" authorId="0" shapeId="0" xr:uid="{18DA7AB1-D48C-4319-89D6-BA020D838F59}">
      <text>
        <r>
          <rPr>
            <b/>
            <sz val="9"/>
            <color indexed="81"/>
            <rFont val="Tahoma"/>
            <family val="2"/>
          </rPr>
          <t>&lt;[[TCDeals] - [TC Property Current Stage (Seq: 1)] - [Buildings (Seq: 69)] PVC Est Qual Basis - Both]&gt;</t>
        </r>
      </text>
    </comment>
    <comment ref="I1256" authorId="0" shapeId="0" xr:uid="{BDA3550E-1ACB-42EA-9D1E-48FB60ED2759}">
      <text>
        <r>
          <rPr>
            <b/>
            <sz val="9"/>
            <color indexed="81"/>
            <rFont val="Tahoma"/>
            <family val="2"/>
          </rPr>
          <t>&lt;[[TCDeals] - [TC Property Current Stage (Seq: 1)] - [Buildings (Seq: 69)] PVC8609 Basis - Both]&gt;</t>
        </r>
      </text>
    </comment>
    <comment ref="J1256" authorId="0" shapeId="0" xr:uid="{5C60EB04-2CA0-4F1E-8720-5DC906B42521}">
      <text>
        <r>
          <rPr>
            <b/>
            <sz val="9"/>
            <color indexed="81"/>
            <rFont val="Tahoma"/>
            <family val="2"/>
          </rPr>
          <t>&lt;[[TCDeals] - [TC Property Current Stage (Seq: 1)] - [Buildings (Seq: 69)] PVC8609 Credit - Both]&gt;</t>
        </r>
      </text>
    </comment>
    <comment ref="K1256" authorId="0" shapeId="0" xr:uid="{70CE90E5-40C7-4143-98F4-EA0FD48C96ED}">
      <text>
        <r>
          <rPr>
            <b/>
            <sz val="9"/>
            <color indexed="81"/>
            <rFont val="Tahoma"/>
            <family val="2"/>
          </rPr>
          <t>&lt;[[TCDeals] - [TC Property Current Stage (Seq: 1)] - [Buildings (Seq: 69)] Constr PIS Date - Both]&gt;</t>
        </r>
      </text>
    </comment>
    <comment ref="L1256" authorId="0" shapeId="0" xr:uid="{582ED7DD-0A05-4FE2-985E-8859F803D3D7}">
      <text>
        <r>
          <rPr>
            <b/>
            <sz val="9"/>
            <color indexed="81"/>
            <rFont val="Tahoma"/>
            <family val="2"/>
          </rPr>
          <t>&lt;[[TCDeals] - [TC Property Current Stage (Seq: 1)] - [Buildings (Seq: 69)] Constr Applicable Percentage - Both]&gt;</t>
        </r>
      </text>
    </comment>
    <comment ref="M1256" authorId="0" shapeId="0" xr:uid="{552FD912-522D-42CB-BD9C-584F4E342F2F}">
      <text>
        <r>
          <rPr>
            <b/>
            <sz val="9"/>
            <color indexed="81"/>
            <rFont val="Tahoma"/>
            <family val="2"/>
          </rPr>
          <t>&lt;[[TCDeals] - [TC Property Current Stage (Seq: 1)] - [Buildings (Seq: 69)] Constr Est Qual Basis - Both]&gt;</t>
        </r>
      </text>
    </comment>
    <comment ref="N1256" authorId="0" shapeId="0" xr:uid="{D7634DBC-6F14-46C2-8493-F96E953293D0}">
      <text>
        <r>
          <rPr>
            <b/>
            <sz val="9"/>
            <color indexed="81"/>
            <rFont val="Tahoma"/>
            <family val="2"/>
          </rPr>
          <t>&lt;[[TCDeals] - [TC Property Current Stage (Seq: 1)] - [Buildings (Seq: 69)] Constr 8609 Basis - Both]&gt;</t>
        </r>
      </text>
    </comment>
    <comment ref="O1256" authorId="0" shapeId="0" xr:uid="{C43BD01D-0FE8-42B7-9C0A-A10A965DB4F8}">
      <text>
        <r>
          <rPr>
            <b/>
            <sz val="9"/>
            <color indexed="81"/>
            <rFont val="Tahoma"/>
            <family val="2"/>
          </rPr>
          <t>&lt;[[TCDeals] - [TC Property Current Stage (Seq: 1)] - [Buildings (Seq: 69)] Constr 8609 Credit - Both]&gt;</t>
        </r>
      </text>
    </comment>
    <comment ref="P1256" authorId="0" shapeId="0" xr:uid="{013875B8-40F3-4EB6-A007-3EFFB5699506}">
      <text>
        <r>
          <rPr>
            <b/>
            <sz val="9"/>
            <color indexed="81"/>
            <rFont val="Tahoma"/>
            <family val="2"/>
          </rPr>
          <t>&lt;[[TCDeals] - [TC Property Current Stage (Seq: 1)] - [Buildings (Seq: 69)] Acq PIS Date - Both]&gt;</t>
        </r>
      </text>
    </comment>
    <comment ref="Q1256" authorId="0" shapeId="0" xr:uid="{7B484020-823E-4E90-B0A7-DDA24C067D39}">
      <text>
        <r>
          <rPr>
            <b/>
            <sz val="9"/>
            <color indexed="81"/>
            <rFont val="Tahoma"/>
            <family val="2"/>
          </rPr>
          <t>&lt;[[TCDeals] - [TC Property Current Stage (Seq: 1)] - [Buildings (Seq: 69)] Acq Applicable Percentage - Both]&gt;</t>
        </r>
      </text>
    </comment>
    <comment ref="R1256" authorId="0" shapeId="0" xr:uid="{C96C86D6-6B38-4292-BD62-9DA0EF74BBDC}">
      <text>
        <r>
          <rPr>
            <b/>
            <sz val="9"/>
            <color indexed="81"/>
            <rFont val="Tahoma"/>
            <family val="2"/>
          </rPr>
          <t>&lt;[[TCDeals] - [TC Property Current Stage (Seq: 1)] - [Buildings (Seq: 69)] Acq Est Qual Basis - Both]&gt;</t>
        </r>
      </text>
    </comment>
    <comment ref="S1256" authorId="0" shapeId="0" xr:uid="{0680AF43-5024-4A81-841E-2AD25DEF656F}">
      <text>
        <r>
          <rPr>
            <b/>
            <sz val="9"/>
            <color indexed="81"/>
            <rFont val="Tahoma"/>
            <family val="2"/>
          </rPr>
          <t>&lt;[[TCDeals] - [TC Property Current Stage (Seq: 1)] - [Buildings (Seq: 69)] Acq 8609 Basis - Both]&gt;</t>
        </r>
      </text>
    </comment>
    <comment ref="T1256" authorId="0" shapeId="0" xr:uid="{251FB8CB-D8BC-461A-9EB2-5D6CF0979815}">
      <text>
        <r>
          <rPr>
            <b/>
            <sz val="9"/>
            <color indexed="81"/>
            <rFont val="Tahoma"/>
            <family val="2"/>
          </rPr>
          <t>&lt;[[TCDeals] - [TC Property Current Stage (Seq: 1)] - [Buildings (Seq: 69)] Acq 8609 Credit - Both]&gt;</t>
        </r>
      </text>
    </comment>
    <comment ref="C1257" authorId="0" shapeId="0" xr:uid="{9AC2CDE2-1748-4E23-A3F7-5E1CCFA7D981}">
      <text>
        <r>
          <rPr>
            <b/>
            <sz val="9"/>
            <color indexed="81"/>
            <rFont val="Tahoma"/>
            <family val="2"/>
          </rPr>
          <t>&lt;[[TCDeals] - [TC Property Current Stage (Seq: 1)] - [Buildings (Seq: 70)] BIN - Both]&gt;</t>
        </r>
      </text>
    </comment>
    <comment ref="D1257" authorId="0" shapeId="0" xr:uid="{8DE55C86-F6EC-456F-A48B-45D2C4299867}">
      <text>
        <r>
          <rPr>
            <b/>
            <sz val="9"/>
            <color indexed="81"/>
            <rFont val="Tahoma"/>
            <family val="2"/>
          </rPr>
          <t>&lt;[[TCDeals] - [TC Property Current Stage (Seq: 1)] - [Buildings (Seq: 70)] Address 1 - Both]&gt;</t>
        </r>
      </text>
    </comment>
    <comment ref="E1257" authorId="0" shapeId="0" xr:uid="{3B73F39F-A4EC-495D-8B57-B4FB0E296C35}">
      <text>
        <r>
          <rPr>
            <b/>
            <sz val="9"/>
            <color indexed="81"/>
            <rFont val="Tahoma"/>
            <family val="2"/>
          </rPr>
          <t>&lt;[[TCDeals] - [TC Property Current Stage (Seq: 1)] - [Buildings (Seq: 70)] Num TC Units - Both]&gt;</t>
        </r>
      </text>
    </comment>
    <comment ref="F1257" authorId="0" shapeId="0" xr:uid="{4E01FC08-692B-4E81-9B45-EF1E41E03236}">
      <text>
        <r>
          <rPr>
            <b/>
            <sz val="9"/>
            <color indexed="81"/>
            <rFont val="Tahoma"/>
            <family val="2"/>
          </rPr>
          <t>&lt;[[TCDeals] - [TC Property Current Stage (Seq: 1)] - [Buildings (Seq: 70)] PVC PIS Date - Both]&gt;</t>
        </r>
      </text>
    </comment>
    <comment ref="G1257" authorId="0" shapeId="0" xr:uid="{B4313D55-5508-4D9D-92F2-F62DE177B266}">
      <text>
        <r>
          <rPr>
            <b/>
            <sz val="9"/>
            <color indexed="81"/>
            <rFont val="Tahoma"/>
            <family val="2"/>
          </rPr>
          <t>&lt;[[TCDeals] - [TC Property Current Stage (Seq: 1)] - [Buildings (Seq: 70)] PVC Applicable Percentage - Both]&gt;</t>
        </r>
      </text>
    </comment>
    <comment ref="H1257" authorId="0" shapeId="0" xr:uid="{79886BBD-0543-49B7-87F0-FFF0CB59B8E1}">
      <text>
        <r>
          <rPr>
            <b/>
            <sz val="9"/>
            <color indexed="81"/>
            <rFont val="Tahoma"/>
            <family val="2"/>
          </rPr>
          <t>&lt;[[TCDeals] - [TC Property Current Stage (Seq: 1)] - [Buildings (Seq: 70)] PVC Est Qual Basis - Both]&gt;</t>
        </r>
      </text>
    </comment>
    <comment ref="I1257" authorId="0" shapeId="0" xr:uid="{4B6B5AFA-C936-47E6-9802-76828E8F5B4A}">
      <text>
        <r>
          <rPr>
            <b/>
            <sz val="9"/>
            <color indexed="81"/>
            <rFont val="Tahoma"/>
            <family val="2"/>
          </rPr>
          <t>&lt;[[TCDeals] - [TC Property Current Stage (Seq: 1)] - [Buildings (Seq: 70)] PVC8609 Basis - Both]&gt;</t>
        </r>
      </text>
    </comment>
    <comment ref="J1257" authorId="0" shapeId="0" xr:uid="{9C354791-CEEA-4F2F-87BD-174772511174}">
      <text>
        <r>
          <rPr>
            <b/>
            <sz val="9"/>
            <color indexed="81"/>
            <rFont val="Tahoma"/>
            <family val="2"/>
          </rPr>
          <t>&lt;[[TCDeals] - [TC Property Current Stage (Seq: 1)] - [Buildings (Seq: 70)] PVC8609 Credit - Both]&gt;</t>
        </r>
      </text>
    </comment>
    <comment ref="K1257" authorId="0" shapeId="0" xr:uid="{D2949C6C-10AA-4682-9FFB-E93E90543FAA}">
      <text>
        <r>
          <rPr>
            <b/>
            <sz val="9"/>
            <color indexed="81"/>
            <rFont val="Tahoma"/>
            <family val="2"/>
          </rPr>
          <t>&lt;[[TCDeals] - [TC Property Current Stage (Seq: 1)] - [Buildings (Seq: 70)] Constr PIS Date - Both]&gt;</t>
        </r>
      </text>
    </comment>
    <comment ref="L1257" authorId="0" shapeId="0" xr:uid="{555B15CA-48BA-44CE-8C8E-40B0F2DE54F8}">
      <text>
        <r>
          <rPr>
            <b/>
            <sz val="9"/>
            <color indexed="81"/>
            <rFont val="Tahoma"/>
            <family val="2"/>
          </rPr>
          <t>&lt;[[TCDeals] - [TC Property Current Stage (Seq: 1)] - [Buildings (Seq: 70)] Constr Applicable Percentage - Both]&gt;</t>
        </r>
      </text>
    </comment>
    <comment ref="M1257" authorId="0" shapeId="0" xr:uid="{8A5B3BE0-9088-46DC-B1E6-0162EA1872AA}">
      <text>
        <r>
          <rPr>
            <b/>
            <sz val="9"/>
            <color indexed="81"/>
            <rFont val="Tahoma"/>
            <family val="2"/>
          </rPr>
          <t>&lt;[[TCDeals] - [TC Property Current Stage (Seq: 1)] - [Buildings (Seq: 70)] Constr Est Qual Basis - Both]&gt;</t>
        </r>
      </text>
    </comment>
    <comment ref="N1257" authorId="0" shapeId="0" xr:uid="{E4576A9D-C81E-487C-810E-24321B0304DA}">
      <text>
        <r>
          <rPr>
            <b/>
            <sz val="9"/>
            <color indexed="81"/>
            <rFont val="Tahoma"/>
            <family val="2"/>
          </rPr>
          <t>&lt;[[TCDeals] - [TC Property Current Stage (Seq: 1)] - [Buildings (Seq: 70)] Constr 8609 Basis - Both]&gt;</t>
        </r>
      </text>
    </comment>
    <comment ref="O1257" authorId="0" shapeId="0" xr:uid="{BB90700D-FC57-42EC-83F4-1BB210F0497D}">
      <text>
        <r>
          <rPr>
            <b/>
            <sz val="9"/>
            <color indexed="81"/>
            <rFont val="Tahoma"/>
            <family val="2"/>
          </rPr>
          <t>&lt;[[TCDeals] - [TC Property Current Stage (Seq: 1)] - [Buildings (Seq: 70)] Constr 8609 Credit - Both]&gt;</t>
        </r>
      </text>
    </comment>
    <comment ref="P1257" authorId="0" shapeId="0" xr:uid="{7E206453-1DF7-480F-A179-E88D4515CAA9}">
      <text>
        <r>
          <rPr>
            <b/>
            <sz val="9"/>
            <color indexed="81"/>
            <rFont val="Tahoma"/>
            <family val="2"/>
          </rPr>
          <t>&lt;[[TCDeals] - [TC Property Current Stage (Seq: 1)] - [Buildings (Seq: 70)] Acq PIS Date - Both]&gt;</t>
        </r>
      </text>
    </comment>
    <comment ref="Q1257" authorId="0" shapeId="0" xr:uid="{CB9594C5-BBFE-4DE6-A931-D1773623F862}">
      <text>
        <r>
          <rPr>
            <b/>
            <sz val="9"/>
            <color indexed="81"/>
            <rFont val="Tahoma"/>
            <family val="2"/>
          </rPr>
          <t>&lt;[[TCDeals] - [TC Property Current Stage (Seq: 1)] - [Buildings (Seq: 70)] Acq Applicable Percentage - Both]&gt;</t>
        </r>
      </text>
    </comment>
    <comment ref="R1257" authorId="0" shapeId="0" xr:uid="{DFDD83BB-B45F-4405-A126-5B0E1E7DC6EF}">
      <text>
        <r>
          <rPr>
            <b/>
            <sz val="9"/>
            <color indexed="81"/>
            <rFont val="Tahoma"/>
            <family val="2"/>
          </rPr>
          <t>&lt;[[TCDeals] - [TC Property Current Stage (Seq: 1)] - [Buildings (Seq: 70)] Acq Est Qual Basis - Both]&gt;</t>
        </r>
      </text>
    </comment>
    <comment ref="S1257" authorId="0" shapeId="0" xr:uid="{9A7D45D9-50FC-4F82-AF03-C1D013018C77}">
      <text>
        <r>
          <rPr>
            <b/>
            <sz val="9"/>
            <color indexed="81"/>
            <rFont val="Tahoma"/>
            <family val="2"/>
          </rPr>
          <t>&lt;[[TCDeals] - [TC Property Current Stage (Seq: 1)] - [Buildings (Seq: 70)] Acq 8609 Basis - Both]&gt;</t>
        </r>
      </text>
    </comment>
    <comment ref="T1257" authorId="0" shapeId="0" xr:uid="{A24C930B-8C41-43A8-8EF4-0A2A48B4A937}">
      <text>
        <r>
          <rPr>
            <b/>
            <sz val="9"/>
            <color indexed="81"/>
            <rFont val="Tahoma"/>
            <family val="2"/>
          </rPr>
          <t>&lt;[[TCDeals] - [TC Property Current Stage (Seq: 1)] - [Buildings (Seq: 70)] Acq 8609 Credit - Both]&gt;</t>
        </r>
      </text>
    </comment>
    <comment ref="C1258" authorId="0" shapeId="0" xr:uid="{CE930F26-7BF2-4C0E-BD9A-170EB00B4C26}">
      <text>
        <r>
          <rPr>
            <b/>
            <sz val="9"/>
            <color indexed="81"/>
            <rFont val="Tahoma"/>
            <family val="2"/>
          </rPr>
          <t>&lt;[[TCDeals] - [TC Property Current Stage (Seq: 1)] - [Buildings (Seq: 71)] BIN - Both]&gt;</t>
        </r>
      </text>
    </comment>
    <comment ref="D1258" authorId="0" shapeId="0" xr:uid="{4D997CF3-C758-4C0A-AD68-B1C2C76498D0}">
      <text>
        <r>
          <rPr>
            <b/>
            <sz val="9"/>
            <color indexed="81"/>
            <rFont val="Tahoma"/>
            <family val="2"/>
          </rPr>
          <t>&lt;[[TCDeals] - [TC Property Current Stage (Seq: 1)] - [Buildings (Seq: 71)] Address 1 - Both]&gt;</t>
        </r>
      </text>
    </comment>
    <comment ref="E1258" authorId="0" shapeId="0" xr:uid="{00EEEE1F-8FBB-4BAB-A23D-C7C6993F82C8}">
      <text>
        <r>
          <rPr>
            <b/>
            <sz val="9"/>
            <color indexed="81"/>
            <rFont val="Tahoma"/>
            <family val="2"/>
          </rPr>
          <t>&lt;[[TCDeals] - [TC Property Current Stage (Seq: 1)] - [Buildings (Seq: 71)] Num TC Units - Both]&gt;</t>
        </r>
      </text>
    </comment>
    <comment ref="F1258" authorId="0" shapeId="0" xr:uid="{B5064B68-B3FF-4C49-B302-D6F7295D0CD1}">
      <text>
        <r>
          <rPr>
            <b/>
            <sz val="9"/>
            <color indexed="81"/>
            <rFont val="Tahoma"/>
            <family val="2"/>
          </rPr>
          <t>&lt;[[TCDeals] - [TC Property Current Stage (Seq: 1)] - [Buildings (Seq: 71)] PVC PIS Date - Both]&gt;</t>
        </r>
      </text>
    </comment>
    <comment ref="G1258" authorId="0" shapeId="0" xr:uid="{FCD19520-F4BE-4002-B0EA-85E1045982B3}">
      <text>
        <r>
          <rPr>
            <b/>
            <sz val="9"/>
            <color indexed="81"/>
            <rFont val="Tahoma"/>
            <family val="2"/>
          </rPr>
          <t>&lt;[[TCDeals] - [TC Property Current Stage (Seq: 1)] - [Buildings (Seq: 71)] PVC Applicable Percentage - Both]&gt;</t>
        </r>
      </text>
    </comment>
    <comment ref="H1258" authorId="0" shapeId="0" xr:uid="{9BA87CA2-2322-4DD9-A1BE-F9F0C55F594B}">
      <text>
        <r>
          <rPr>
            <b/>
            <sz val="9"/>
            <color indexed="81"/>
            <rFont val="Tahoma"/>
            <family val="2"/>
          </rPr>
          <t>&lt;[[TCDeals] - [TC Property Current Stage (Seq: 1)] - [Buildings (Seq: 71)] PVC Est Qual Basis - Both]&gt;</t>
        </r>
      </text>
    </comment>
    <comment ref="I1258" authorId="0" shapeId="0" xr:uid="{F7713A95-ED00-4020-B2CD-9D9D89B2C17C}">
      <text>
        <r>
          <rPr>
            <b/>
            <sz val="9"/>
            <color indexed="81"/>
            <rFont val="Tahoma"/>
            <family val="2"/>
          </rPr>
          <t>&lt;[[TCDeals] - [TC Property Current Stage (Seq: 1)] - [Buildings (Seq: 71)] PVC8609 Basis - Both]&gt;</t>
        </r>
      </text>
    </comment>
    <comment ref="J1258" authorId="0" shapeId="0" xr:uid="{621B6494-49D8-42A0-B96E-674BA14EAA1C}">
      <text>
        <r>
          <rPr>
            <b/>
            <sz val="9"/>
            <color indexed="81"/>
            <rFont val="Tahoma"/>
            <family val="2"/>
          </rPr>
          <t>&lt;[[TCDeals] - [TC Property Current Stage (Seq: 1)] - [Buildings (Seq: 71)] PVC8609 Credit - Both]&gt;</t>
        </r>
      </text>
    </comment>
    <comment ref="K1258" authorId="0" shapeId="0" xr:uid="{3E5EE371-E4BD-4B9F-8984-5A567DD755AE}">
      <text>
        <r>
          <rPr>
            <b/>
            <sz val="9"/>
            <color indexed="81"/>
            <rFont val="Tahoma"/>
            <family val="2"/>
          </rPr>
          <t>&lt;[[TCDeals] - [TC Property Current Stage (Seq: 1)] - [Buildings (Seq: 71)] Constr PIS Date - Both]&gt;</t>
        </r>
      </text>
    </comment>
    <comment ref="L1258" authorId="0" shapeId="0" xr:uid="{0512659D-0D64-467A-B84E-40B0BE8DA6DA}">
      <text>
        <r>
          <rPr>
            <b/>
            <sz val="9"/>
            <color indexed="81"/>
            <rFont val="Tahoma"/>
            <family val="2"/>
          </rPr>
          <t>&lt;[[TCDeals] - [TC Property Current Stage (Seq: 1)] - [Buildings (Seq: 71)] Constr Applicable Percentage - Both]&gt;</t>
        </r>
      </text>
    </comment>
    <comment ref="M1258" authorId="0" shapeId="0" xr:uid="{5326BE41-1530-49A7-8A21-549A5B91D051}">
      <text>
        <r>
          <rPr>
            <b/>
            <sz val="9"/>
            <color indexed="81"/>
            <rFont val="Tahoma"/>
            <family val="2"/>
          </rPr>
          <t>&lt;[[TCDeals] - [TC Property Current Stage (Seq: 1)] - [Buildings (Seq: 71)] Constr Est Qual Basis - Both]&gt;</t>
        </r>
      </text>
    </comment>
    <comment ref="N1258" authorId="0" shapeId="0" xr:uid="{F035C938-7D43-4A67-977E-37C5ADEA19C8}">
      <text>
        <r>
          <rPr>
            <b/>
            <sz val="9"/>
            <color indexed="81"/>
            <rFont val="Tahoma"/>
            <family val="2"/>
          </rPr>
          <t>&lt;[[TCDeals] - [TC Property Current Stage (Seq: 1)] - [Buildings (Seq: 71)] Constr 8609 Basis - Both]&gt;</t>
        </r>
      </text>
    </comment>
    <comment ref="O1258" authorId="0" shapeId="0" xr:uid="{27566C10-A9EE-4534-8044-0C37D1B6A45D}">
      <text>
        <r>
          <rPr>
            <b/>
            <sz val="9"/>
            <color indexed="81"/>
            <rFont val="Tahoma"/>
            <family val="2"/>
          </rPr>
          <t>&lt;[[TCDeals] - [TC Property Current Stage (Seq: 1)] - [Buildings (Seq: 71)] Constr 8609 Credit - Both]&gt;</t>
        </r>
      </text>
    </comment>
    <comment ref="P1258" authorId="0" shapeId="0" xr:uid="{A68E43FD-59CE-4FE9-948C-DEDE1E81D629}">
      <text>
        <r>
          <rPr>
            <b/>
            <sz val="9"/>
            <color indexed="81"/>
            <rFont val="Tahoma"/>
            <family val="2"/>
          </rPr>
          <t>&lt;[[TCDeals] - [TC Property Current Stage (Seq: 1)] - [Buildings (Seq: 71)] Acq PIS Date - Both]&gt;</t>
        </r>
      </text>
    </comment>
    <comment ref="Q1258" authorId="0" shapeId="0" xr:uid="{DCCF93C3-725A-45FF-96E1-36590962280B}">
      <text>
        <r>
          <rPr>
            <b/>
            <sz val="9"/>
            <color indexed="81"/>
            <rFont val="Tahoma"/>
            <family val="2"/>
          </rPr>
          <t>&lt;[[TCDeals] - [TC Property Current Stage (Seq: 1)] - [Buildings (Seq: 71)] Acq Applicable Percentage - Both]&gt;</t>
        </r>
      </text>
    </comment>
    <comment ref="R1258" authorId="0" shapeId="0" xr:uid="{E5F00E96-5E5B-4B2F-B6A3-F40BD3A6AB8E}">
      <text>
        <r>
          <rPr>
            <b/>
            <sz val="9"/>
            <color indexed="81"/>
            <rFont val="Tahoma"/>
            <family val="2"/>
          </rPr>
          <t>&lt;[[TCDeals] - [TC Property Current Stage (Seq: 1)] - [Buildings (Seq: 71)] Acq Est Qual Basis - Both]&gt;</t>
        </r>
      </text>
    </comment>
    <comment ref="S1258" authorId="0" shapeId="0" xr:uid="{840B849F-3B3C-4530-B7BE-A192A98E2181}">
      <text>
        <r>
          <rPr>
            <b/>
            <sz val="9"/>
            <color indexed="81"/>
            <rFont val="Tahoma"/>
            <family val="2"/>
          </rPr>
          <t>&lt;[[TCDeals] - [TC Property Current Stage (Seq: 1)] - [Buildings (Seq: 71)] Acq 8609 Basis - Both]&gt;</t>
        </r>
      </text>
    </comment>
    <comment ref="T1258" authorId="0" shapeId="0" xr:uid="{B807EF63-79BA-408B-A40D-B265B72F9A5F}">
      <text>
        <r>
          <rPr>
            <b/>
            <sz val="9"/>
            <color indexed="81"/>
            <rFont val="Tahoma"/>
            <family val="2"/>
          </rPr>
          <t>&lt;[[TCDeals] - [TC Property Current Stage (Seq: 1)] - [Buildings (Seq: 71)] Acq 8609 Credit - Both]&gt;</t>
        </r>
      </text>
    </comment>
    <comment ref="C1259" authorId="0" shapeId="0" xr:uid="{28CA3412-CD70-4BEB-90D2-EFDC3DED4D07}">
      <text>
        <r>
          <rPr>
            <b/>
            <sz val="9"/>
            <color indexed="81"/>
            <rFont val="Tahoma"/>
            <family val="2"/>
          </rPr>
          <t>&lt;[[TCDeals] - [TC Property Current Stage (Seq: 1)] - [Buildings (Seq: 72)] BIN - Both]&gt;</t>
        </r>
      </text>
    </comment>
    <comment ref="D1259" authorId="0" shapeId="0" xr:uid="{F86FF0FF-434B-4CD4-8116-D5DDB9624FF8}">
      <text>
        <r>
          <rPr>
            <b/>
            <sz val="9"/>
            <color indexed="81"/>
            <rFont val="Tahoma"/>
            <family val="2"/>
          </rPr>
          <t>&lt;[[TCDeals] - [TC Property Current Stage (Seq: 1)] - [Buildings (Seq: 72)] Address 1 - Both]&gt;</t>
        </r>
      </text>
    </comment>
    <comment ref="E1259" authorId="0" shapeId="0" xr:uid="{5E49CD76-B710-4182-8DF3-AE5D5C600EC0}">
      <text>
        <r>
          <rPr>
            <b/>
            <sz val="9"/>
            <color indexed="81"/>
            <rFont val="Tahoma"/>
            <family val="2"/>
          </rPr>
          <t>&lt;[[TCDeals] - [TC Property Current Stage (Seq: 1)] - [Buildings (Seq: 72)] Num TC Units - Both]&gt;</t>
        </r>
      </text>
    </comment>
    <comment ref="F1259" authorId="0" shapeId="0" xr:uid="{71EE48C1-6D99-418D-A322-0B7B33566161}">
      <text>
        <r>
          <rPr>
            <b/>
            <sz val="9"/>
            <color indexed="81"/>
            <rFont val="Tahoma"/>
            <family val="2"/>
          </rPr>
          <t>&lt;[[TCDeals] - [TC Property Current Stage (Seq: 1)] - [Buildings (Seq: 72)] PVC PIS Date - Both]&gt;</t>
        </r>
      </text>
    </comment>
    <comment ref="G1259" authorId="0" shapeId="0" xr:uid="{D8EB5E4A-7E2D-4E2F-AE2F-F126C39891CD}">
      <text>
        <r>
          <rPr>
            <b/>
            <sz val="9"/>
            <color indexed="81"/>
            <rFont val="Tahoma"/>
            <family val="2"/>
          </rPr>
          <t>&lt;[[TCDeals] - [TC Property Current Stage (Seq: 1)] - [Buildings (Seq: 72)] PVC Applicable Percentage - Both]&gt;</t>
        </r>
      </text>
    </comment>
    <comment ref="H1259" authorId="0" shapeId="0" xr:uid="{D523F837-8979-4E88-94EE-F186E146A5C2}">
      <text>
        <r>
          <rPr>
            <b/>
            <sz val="9"/>
            <color indexed="81"/>
            <rFont val="Tahoma"/>
            <family val="2"/>
          </rPr>
          <t>&lt;[[TCDeals] - [TC Property Current Stage (Seq: 1)] - [Buildings (Seq: 72)] PVC Est Qual Basis - Both]&gt;</t>
        </r>
      </text>
    </comment>
    <comment ref="I1259" authorId="0" shapeId="0" xr:uid="{A0E7C82F-7AA8-4C91-99DB-FF91ABF48A01}">
      <text>
        <r>
          <rPr>
            <b/>
            <sz val="9"/>
            <color indexed="81"/>
            <rFont val="Tahoma"/>
            <family val="2"/>
          </rPr>
          <t>&lt;[[TCDeals] - [TC Property Current Stage (Seq: 1)] - [Buildings (Seq: 72)] PVC8609 Basis - Both]&gt;</t>
        </r>
      </text>
    </comment>
    <comment ref="J1259" authorId="0" shapeId="0" xr:uid="{65E28CF3-77C4-427F-BAA8-A681AC5E8D15}">
      <text>
        <r>
          <rPr>
            <b/>
            <sz val="9"/>
            <color indexed="81"/>
            <rFont val="Tahoma"/>
            <family val="2"/>
          </rPr>
          <t>&lt;[[TCDeals] - [TC Property Current Stage (Seq: 1)] - [Buildings (Seq: 72)] PVC8609 Credit - Both]&gt;</t>
        </r>
      </text>
    </comment>
    <comment ref="K1259" authorId="0" shapeId="0" xr:uid="{15D2D87A-5044-45B7-A8BA-8713420E5804}">
      <text>
        <r>
          <rPr>
            <b/>
            <sz val="9"/>
            <color indexed="81"/>
            <rFont val="Tahoma"/>
            <family val="2"/>
          </rPr>
          <t>&lt;[[TCDeals] - [TC Property Current Stage (Seq: 1)] - [Buildings (Seq: 72)] Constr PIS Date - Both]&gt;</t>
        </r>
      </text>
    </comment>
    <comment ref="L1259" authorId="0" shapeId="0" xr:uid="{FF420260-7FE8-421D-BD4A-73D74EA66569}">
      <text>
        <r>
          <rPr>
            <b/>
            <sz val="9"/>
            <color indexed="81"/>
            <rFont val="Tahoma"/>
            <family val="2"/>
          </rPr>
          <t>&lt;[[TCDeals] - [TC Property Current Stage (Seq: 1)] - [Buildings (Seq: 72)] Constr Applicable Percentage - Both]&gt;</t>
        </r>
      </text>
    </comment>
    <comment ref="M1259" authorId="0" shapeId="0" xr:uid="{DEFBEAE1-A64A-4CB7-BB86-0C524C9374E7}">
      <text>
        <r>
          <rPr>
            <b/>
            <sz val="9"/>
            <color indexed="81"/>
            <rFont val="Tahoma"/>
            <family val="2"/>
          </rPr>
          <t>&lt;[[TCDeals] - [TC Property Current Stage (Seq: 1)] - [Buildings (Seq: 72)] Constr Est Qual Basis - Both]&gt;</t>
        </r>
      </text>
    </comment>
    <comment ref="N1259" authorId="0" shapeId="0" xr:uid="{8652338F-A38C-4974-AA4A-052EF0DB92DB}">
      <text>
        <r>
          <rPr>
            <b/>
            <sz val="9"/>
            <color indexed="81"/>
            <rFont val="Tahoma"/>
            <family val="2"/>
          </rPr>
          <t>&lt;[[TCDeals] - [TC Property Current Stage (Seq: 1)] - [Buildings (Seq: 72)] Constr 8609 Basis - Both]&gt;</t>
        </r>
      </text>
    </comment>
    <comment ref="O1259" authorId="0" shapeId="0" xr:uid="{321B7BE0-DA88-4C9C-8EC8-BBFC4B286C41}">
      <text>
        <r>
          <rPr>
            <b/>
            <sz val="9"/>
            <color indexed="81"/>
            <rFont val="Tahoma"/>
            <family val="2"/>
          </rPr>
          <t>&lt;[[TCDeals] - [TC Property Current Stage (Seq: 1)] - [Buildings (Seq: 72)] Constr 8609 Credit - Both]&gt;</t>
        </r>
      </text>
    </comment>
    <comment ref="P1259" authorId="0" shapeId="0" xr:uid="{8F7CECBF-69B5-4271-89F7-8F8D4651A5A8}">
      <text>
        <r>
          <rPr>
            <b/>
            <sz val="9"/>
            <color indexed="81"/>
            <rFont val="Tahoma"/>
            <family val="2"/>
          </rPr>
          <t>&lt;[[TCDeals] - [TC Property Current Stage (Seq: 1)] - [Buildings (Seq: 72)] Acq PIS Date - Both]&gt;</t>
        </r>
      </text>
    </comment>
    <comment ref="Q1259" authorId="0" shapeId="0" xr:uid="{E4AC72ED-2F43-4642-8EE6-B2D923FBA6A5}">
      <text>
        <r>
          <rPr>
            <b/>
            <sz val="9"/>
            <color indexed="81"/>
            <rFont val="Tahoma"/>
            <family val="2"/>
          </rPr>
          <t>&lt;[[TCDeals] - [TC Property Current Stage (Seq: 1)] - [Buildings (Seq: 72)] Acq Applicable Percentage - Both]&gt;</t>
        </r>
      </text>
    </comment>
    <comment ref="R1259" authorId="0" shapeId="0" xr:uid="{C9534613-0E59-4B0F-B0D6-C01F71AB9F91}">
      <text>
        <r>
          <rPr>
            <b/>
            <sz val="9"/>
            <color indexed="81"/>
            <rFont val="Tahoma"/>
            <family val="2"/>
          </rPr>
          <t>&lt;[[TCDeals] - [TC Property Current Stage (Seq: 1)] - [Buildings (Seq: 72)] Acq Est Qual Basis - Both]&gt;</t>
        </r>
      </text>
    </comment>
    <comment ref="S1259" authorId="0" shapeId="0" xr:uid="{72523B7C-DD7C-4B76-AD75-FFA989C86F1F}">
      <text>
        <r>
          <rPr>
            <b/>
            <sz val="9"/>
            <color indexed="81"/>
            <rFont val="Tahoma"/>
            <family val="2"/>
          </rPr>
          <t>&lt;[[TCDeals] - [TC Property Current Stage (Seq: 1)] - [Buildings (Seq: 72)] Acq 8609 Basis - Both]&gt;</t>
        </r>
      </text>
    </comment>
    <comment ref="T1259" authorId="0" shapeId="0" xr:uid="{EE6CAED8-6C55-4B6D-AEDA-9BC3E8700803}">
      <text>
        <r>
          <rPr>
            <b/>
            <sz val="9"/>
            <color indexed="81"/>
            <rFont val="Tahoma"/>
            <family val="2"/>
          </rPr>
          <t>&lt;[[TCDeals] - [TC Property Current Stage (Seq: 1)] - [Buildings (Seq: 72)] Acq 8609 Credit - Both]&gt;</t>
        </r>
      </text>
    </comment>
    <comment ref="C1260" authorId="0" shapeId="0" xr:uid="{E1DAE7E2-1F7C-4C59-8812-619BB24D99A8}">
      <text>
        <r>
          <rPr>
            <b/>
            <sz val="9"/>
            <color indexed="81"/>
            <rFont val="Tahoma"/>
            <family val="2"/>
          </rPr>
          <t>&lt;[[TCDeals] - [TC Property Current Stage (Seq: 1)] - [Buildings (Seq: 73)] BIN - Both]&gt;</t>
        </r>
      </text>
    </comment>
    <comment ref="D1260" authorId="0" shapeId="0" xr:uid="{93323E19-93BF-4FF7-9BDD-1715DF08DD5A}">
      <text>
        <r>
          <rPr>
            <b/>
            <sz val="9"/>
            <color indexed="81"/>
            <rFont val="Tahoma"/>
            <family val="2"/>
          </rPr>
          <t>&lt;[[TCDeals] - [TC Property Current Stage (Seq: 1)] - [Buildings (Seq: 73)] Address 1 - Both]&gt;</t>
        </r>
      </text>
    </comment>
    <comment ref="E1260" authorId="0" shapeId="0" xr:uid="{7DB909D6-6D2E-404B-9537-BEEFE1E815A4}">
      <text>
        <r>
          <rPr>
            <b/>
            <sz val="9"/>
            <color indexed="81"/>
            <rFont val="Tahoma"/>
            <family val="2"/>
          </rPr>
          <t>&lt;[[TCDeals] - [TC Property Current Stage (Seq: 1)] - [Buildings (Seq: 73)] Num TC Units - Both]&gt;</t>
        </r>
      </text>
    </comment>
    <comment ref="F1260" authorId="0" shapeId="0" xr:uid="{7222EF56-4231-4AE1-8E62-1168EFDF8ACA}">
      <text>
        <r>
          <rPr>
            <b/>
            <sz val="9"/>
            <color indexed="81"/>
            <rFont val="Tahoma"/>
            <family val="2"/>
          </rPr>
          <t>&lt;[[TCDeals] - [TC Property Current Stage (Seq: 1)] - [Buildings (Seq: 73)] PVC PIS Date - Both]&gt;</t>
        </r>
      </text>
    </comment>
    <comment ref="G1260" authorId="0" shapeId="0" xr:uid="{248B5437-4D83-41D2-8D23-F24C18E39B91}">
      <text>
        <r>
          <rPr>
            <b/>
            <sz val="9"/>
            <color indexed="81"/>
            <rFont val="Tahoma"/>
            <family val="2"/>
          </rPr>
          <t>&lt;[[TCDeals] - [TC Property Current Stage (Seq: 1)] - [Buildings (Seq: 73)] PVC Applicable Percentage - Both]&gt;</t>
        </r>
      </text>
    </comment>
    <comment ref="H1260" authorId="0" shapeId="0" xr:uid="{FF05BDA8-C3A2-47D1-ACFA-210DBAE6A3A4}">
      <text>
        <r>
          <rPr>
            <b/>
            <sz val="9"/>
            <color indexed="81"/>
            <rFont val="Tahoma"/>
            <family val="2"/>
          </rPr>
          <t>&lt;[[TCDeals] - [TC Property Current Stage (Seq: 1)] - [Buildings (Seq: 73)] PVC Est Qual Basis - Both]&gt;</t>
        </r>
      </text>
    </comment>
    <comment ref="I1260" authorId="0" shapeId="0" xr:uid="{CC43C60F-C189-4202-9A5B-9EA4CA004086}">
      <text>
        <r>
          <rPr>
            <b/>
            <sz val="9"/>
            <color indexed="81"/>
            <rFont val="Tahoma"/>
            <family val="2"/>
          </rPr>
          <t>&lt;[[TCDeals] - [TC Property Current Stage (Seq: 1)] - [Buildings (Seq: 73)] PVC8609 Basis - Both]&gt;</t>
        </r>
      </text>
    </comment>
    <comment ref="J1260" authorId="0" shapeId="0" xr:uid="{8463F011-2CAD-4EBF-B3EB-18881DA44B43}">
      <text>
        <r>
          <rPr>
            <b/>
            <sz val="9"/>
            <color indexed="81"/>
            <rFont val="Tahoma"/>
            <family val="2"/>
          </rPr>
          <t>&lt;[[TCDeals] - [TC Property Current Stage (Seq: 1)] - [Buildings (Seq: 73)] PVC8609 Credit - Both]&gt;</t>
        </r>
      </text>
    </comment>
    <comment ref="K1260" authorId="0" shapeId="0" xr:uid="{2A99293D-AE6C-4E9F-9F6F-0B8DF95B3317}">
      <text>
        <r>
          <rPr>
            <b/>
            <sz val="9"/>
            <color indexed="81"/>
            <rFont val="Tahoma"/>
            <family val="2"/>
          </rPr>
          <t>&lt;[[TCDeals] - [TC Property Current Stage (Seq: 1)] - [Buildings (Seq: 73)] Constr PIS Date - Both]&gt;</t>
        </r>
      </text>
    </comment>
    <comment ref="L1260" authorId="0" shapeId="0" xr:uid="{9B201CBF-106A-420B-8374-EE55C417E9B7}">
      <text>
        <r>
          <rPr>
            <b/>
            <sz val="9"/>
            <color indexed="81"/>
            <rFont val="Tahoma"/>
            <family val="2"/>
          </rPr>
          <t>&lt;[[TCDeals] - [TC Property Current Stage (Seq: 1)] - [Buildings (Seq: 73)] Constr Applicable Percentage - Both]&gt;</t>
        </r>
      </text>
    </comment>
    <comment ref="M1260" authorId="0" shapeId="0" xr:uid="{59E20ADF-976F-458D-A4DD-18873D7865CC}">
      <text>
        <r>
          <rPr>
            <b/>
            <sz val="9"/>
            <color indexed="81"/>
            <rFont val="Tahoma"/>
            <family val="2"/>
          </rPr>
          <t>&lt;[[TCDeals] - [TC Property Current Stage (Seq: 1)] - [Buildings (Seq: 73)] Constr Est Qual Basis - Both]&gt;</t>
        </r>
      </text>
    </comment>
    <comment ref="N1260" authorId="0" shapeId="0" xr:uid="{A36A338F-46FC-4EA7-BE2C-E5539C0F5AA9}">
      <text>
        <r>
          <rPr>
            <b/>
            <sz val="9"/>
            <color indexed="81"/>
            <rFont val="Tahoma"/>
            <family val="2"/>
          </rPr>
          <t>&lt;[[TCDeals] - [TC Property Current Stage (Seq: 1)] - [Buildings (Seq: 73)] Constr 8609 Basis - Both]&gt;</t>
        </r>
      </text>
    </comment>
    <comment ref="O1260" authorId="0" shapeId="0" xr:uid="{F4F7C263-65C7-4BA6-A8A9-B77869A6BCE1}">
      <text>
        <r>
          <rPr>
            <b/>
            <sz val="9"/>
            <color indexed="81"/>
            <rFont val="Tahoma"/>
            <family val="2"/>
          </rPr>
          <t>&lt;[[TCDeals] - [TC Property Current Stage (Seq: 1)] - [Buildings (Seq: 73)] Constr 8609 Credit - Both]&gt;</t>
        </r>
      </text>
    </comment>
    <comment ref="P1260" authorId="0" shapeId="0" xr:uid="{B8DA81BD-5121-4EBE-A308-FE58EA26E1B8}">
      <text>
        <r>
          <rPr>
            <b/>
            <sz val="9"/>
            <color indexed="81"/>
            <rFont val="Tahoma"/>
            <family val="2"/>
          </rPr>
          <t>&lt;[[TCDeals] - [TC Property Current Stage (Seq: 1)] - [Buildings (Seq: 73)] Acq PIS Date - Both]&gt;</t>
        </r>
      </text>
    </comment>
    <comment ref="Q1260" authorId="0" shapeId="0" xr:uid="{23CD8180-6BC5-4688-90EC-05BD51491EE2}">
      <text>
        <r>
          <rPr>
            <b/>
            <sz val="9"/>
            <color indexed="81"/>
            <rFont val="Tahoma"/>
            <family val="2"/>
          </rPr>
          <t>&lt;[[TCDeals] - [TC Property Current Stage (Seq: 1)] - [Buildings (Seq: 73)] Acq Applicable Percentage - Both]&gt;</t>
        </r>
      </text>
    </comment>
    <comment ref="R1260" authorId="0" shapeId="0" xr:uid="{FF591E40-EAB4-4D18-951B-1F509258D562}">
      <text>
        <r>
          <rPr>
            <b/>
            <sz val="9"/>
            <color indexed="81"/>
            <rFont val="Tahoma"/>
            <family val="2"/>
          </rPr>
          <t>&lt;[[TCDeals] - [TC Property Current Stage (Seq: 1)] - [Buildings (Seq: 73)] Acq Est Qual Basis - Both]&gt;</t>
        </r>
      </text>
    </comment>
    <comment ref="S1260" authorId="0" shapeId="0" xr:uid="{DFA52BE5-839F-41A3-BD45-CE364F6C3382}">
      <text>
        <r>
          <rPr>
            <b/>
            <sz val="9"/>
            <color indexed="81"/>
            <rFont val="Tahoma"/>
            <family val="2"/>
          </rPr>
          <t>&lt;[[TCDeals] - [TC Property Current Stage (Seq: 1)] - [Buildings (Seq: 73)] Acq 8609 Basis - Both]&gt;</t>
        </r>
      </text>
    </comment>
    <comment ref="T1260" authorId="0" shapeId="0" xr:uid="{87E5B4E9-A34F-4479-87DE-74EB8E6D98DA}">
      <text>
        <r>
          <rPr>
            <b/>
            <sz val="9"/>
            <color indexed="81"/>
            <rFont val="Tahoma"/>
            <family val="2"/>
          </rPr>
          <t>&lt;[[TCDeals] - [TC Property Current Stage (Seq: 1)] - [Buildings (Seq: 73)] Acq 8609 Credit - Both]&gt;</t>
        </r>
      </text>
    </comment>
    <comment ref="C1261" authorId="0" shapeId="0" xr:uid="{C34E4947-72A9-4E9A-AE72-FF1DC4E06D25}">
      <text>
        <r>
          <rPr>
            <b/>
            <sz val="9"/>
            <color indexed="81"/>
            <rFont val="Tahoma"/>
            <family val="2"/>
          </rPr>
          <t>&lt;[[TCDeals] - [TC Property Current Stage (Seq: 1)] - [Buildings (Seq: 74)] BIN - Both]&gt;</t>
        </r>
      </text>
    </comment>
    <comment ref="D1261" authorId="0" shapeId="0" xr:uid="{BA3055CA-0196-4C55-BA51-72B7D9C2ED95}">
      <text>
        <r>
          <rPr>
            <b/>
            <sz val="9"/>
            <color indexed="81"/>
            <rFont val="Tahoma"/>
            <family val="2"/>
          </rPr>
          <t>&lt;[[TCDeals] - [TC Property Current Stage (Seq: 1)] - [Buildings (Seq: 74)] Address 1 - Both]&gt;</t>
        </r>
      </text>
    </comment>
    <comment ref="E1261" authorId="0" shapeId="0" xr:uid="{03FA06EA-FCF7-4587-849A-A868364A749C}">
      <text>
        <r>
          <rPr>
            <b/>
            <sz val="9"/>
            <color indexed="81"/>
            <rFont val="Tahoma"/>
            <family val="2"/>
          </rPr>
          <t>&lt;[[TCDeals] - [TC Property Current Stage (Seq: 1)] - [Buildings (Seq: 74)] Num TC Units - Both]&gt;</t>
        </r>
      </text>
    </comment>
    <comment ref="F1261" authorId="0" shapeId="0" xr:uid="{B14E91A4-F8B1-43E5-8039-B86B673F28BC}">
      <text>
        <r>
          <rPr>
            <b/>
            <sz val="9"/>
            <color indexed="81"/>
            <rFont val="Tahoma"/>
            <family val="2"/>
          </rPr>
          <t>&lt;[[TCDeals] - [TC Property Current Stage (Seq: 1)] - [Buildings (Seq: 74)] PVC PIS Date - Both]&gt;</t>
        </r>
      </text>
    </comment>
    <comment ref="G1261" authorId="0" shapeId="0" xr:uid="{8F6B9C06-9483-48D2-BFC4-04E41B6A0DEA}">
      <text>
        <r>
          <rPr>
            <b/>
            <sz val="9"/>
            <color indexed="81"/>
            <rFont val="Tahoma"/>
            <family val="2"/>
          </rPr>
          <t>&lt;[[TCDeals] - [TC Property Current Stage (Seq: 1)] - [Buildings (Seq: 74)] PVC Applicable Percentage - Both]&gt;</t>
        </r>
      </text>
    </comment>
    <comment ref="H1261" authorId="0" shapeId="0" xr:uid="{68BDDBFF-46AA-4C1F-89AD-1A260C22AA18}">
      <text>
        <r>
          <rPr>
            <b/>
            <sz val="9"/>
            <color indexed="81"/>
            <rFont val="Tahoma"/>
            <family val="2"/>
          </rPr>
          <t>&lt;[[TCDeals] - [TC Property Current Stage (Seq: 1)] - [Buildings (Seq: 74)] PVC Est Qual Basis - Both]&gt;</t>
        </r>
      </text>
    </comment>
    <comment ref="I1261" authorId="0" shapeId="0" xr:uid="{EBF97BE0-46AA-4515-8E6B-7B682C15A1D6}">
      <text>
        <r>
          <rPr>
            <b/>
            <sz val="9"/>
            <color indexed="81"/>
            <rFont val="Tahoma"/>
            <family val="2"/>
          </rPr>
          <t>&lt;[[TCDeals] - [TC Property Current Stage (Seq: 1)] - [Buildings (Seq: 74)] PVC8609 Basis - Both]&gt;</t>
        </r>
      </text>
    </comment>
    <comment ref="J1261" authorId="0" shapeId="0" xr:uid="{CE575A68-2FD9-4A54-B7EF-ED0469D749E6}">
      <text>
        <r>
          <rPr>
            <b/>
            <sz val="9"/>
            <color indexed="81"/>
            <rFont val="Tahoma"/>
            <family val="2"/>
          </rPr>
          <t>&lt;[[TCDeals] - [TC Property Current Stage (Seq: 1)] - [Buildings (Seq: 74)] PVC8609 Credit - Both]&gt;</t>
        </r>
      </text>
    </comment>
    <comment ref="K1261" authorId="0" shapeId="0" xr:uid="{F99A1F4D-45B3-4641-BBCF-BABFF2E97EF3}">
      <text>
        <r>
          <rPr>
            <b/>
            <sz val="9"/>
            <color indexed="81"/>
            <rFont val="Tahoma"/>
            <family val="2"/>
          </rPr>
          <t>&lt;[[TCDeals] - [TC Property Current Stage (Seq: 1)] - [Buildings (Seq: 74)] Constr PIS Date - Both]&gt;</t>
        </r>
      </text>
    </comment>
    <comment ref="L1261" authorId="0" shapeId="0" xr:uid="{9E34E4B2-F5C3-413F-A5CA-FE6D3D3EA17F}">
      <text>
        <r>
          <rPr>
            <b/>
            <sz val="9"/>
            <color indexed="81"/>
            <rFont val="Tahoma"/>
            <family val="2"/>
          </rPr>
          <t>&lt;[[TCDeals] - [TC Property Current Stage (Seq: 1)] - [Buildings (Seq: 74)] Constr Applicable Percentage - Both]&gt;</t>
        </r>
      </text>
    </comment>
    <comment ref="M1261" authorId="0" shapeId="0" xr:uid="{D1FC3128-5A2B-48BA-A7BB-0112AECD406A}">
      <text>
        <r>
          <rPr>
            <b/>
            <sz val="9"/>
            <color indexed="81"/>
            <rFont val="Tahoma"/>
            <family val="2"/>
          </rPr>
          <t>&lt;[[TCDeals] - [TC Property Current Stage (Seq: 1)] - [Buildings (Seq: 74)] Constr Est Qual Basis - Both]&gt;</t>
        </r>
      </text>
    </comment>
    <comment ref="N1261" authorId="0" shapeId="0" xr:uid="{90B4C8E5-C3C5-45FC-8772-3F1783D84748}">
      <text>
        <r>
          <rPr>
            <b/>
            <sz val="9"/>
            <color indexed="81"/>
            <rFont val="Tahoma"/>
            <family val="2"/>
          </rPr>
          <t>&lt;[[TCDeals] - [TC Property Current Stage (Seq: 1)] - [Buildings (Seq: 74)] Constr 8609 Basis - Both]&gt;</t>
        </r>
      </text>
    </comment>
    <comment ref="O1261" authorId="0" shapeId="0" xr:uid="{9C6E72FC-46A4-454E-B231-F0FE37940059}">
      <text>
        <r>
          <rPr>
            <b/>
            <sz val="9"/>
            <color indexed="81"/>
            <rFont val="Tahoma"/>
            <family val="2"/>
          </rPr>
          <t>&lt;[[TCDeals] - [TC Property Current Stage (Seq: 1)] - [Buildings (Seq: 74)] Constr 8609 Credit - Both]&gt;</t>
        </r>
      </text>
    </comment>
    <comment ref="P1261" authorId="0" shapeId="0" xr:uid="{46D8CC68-A9FF-4E63-8AC6-D1FAEE66835B}">
      <text>
        <r>
          <rPr>
            <b/>
            <sz val="9"/>
            <color indexed="81"/>
            <rFont val="Tahoma"/>
            <family val="2"/>
          </rPr>
          <t>&lt;[[TCDeals] - [TC Property Current Stage (Seq: 1)] - [Buildings (Seq: 74)] Acq PIS Date - Both]&gt;</t>
        </r>
      </text>
    </comment>
    <comment ref="Q1261" authorId="0" shapeId="0" xr:uid="{A9703C13-356E-4A49-BDA4-8F938B469B03}">
      <text>
        <r>
          <rPr>
            <b/>
            <sz val="9"/>
            <color indexed="81"/>
            <rFont val="Tahoma"/>
            <family val="2"/>
          </rPr>
          <t>&lt;[[TCDeals] - [TC Property Current Stage (Seq: 1)] - [Buildings (Seq: 74)] Acq Applicable Percentage - Both]&gt;</t>
        </r>
      </text>
    </comment>
    <comment ref="R1261" authorId="0" shapeId="0" xr:uid="{ACE9A1D1-08B0-4002-BCE2-216D21DF11CE}">
      <text>
        <r>
          <rPr>
            <b/>
            <sz val="9"/>
            <color indexed="81"/>
            <rFont val="Tahoma"/>
            <family val="2"/>
          </rPr>
          <t>&lt;[[TCDeals] - [TC Property Current Stage (Seq: 1)] - [Buildings (Seq: 74)] Acq Est Qual Basis - Both]&gt;</t>
        </r>
      </text>
    </comment>
    <comment ref="S1261" authorId="0" shapeId="0" xr:uid="{1BF65143-3830-4060-BCD3-BBB541B14506}">
      <text>
        <r>
          <rPr>
            <b/>
            <sz val="9"/>
            <color indexed="81"/>
            <rFont val="Tahoma"/>
            <family val="2"/>
          </rPr>
          <t>&lt;[[TCDeals] - [TC Property Current Stage (Seq: 1)] - [Buildings (Seq: 74)] Acq 8609 Basis - Both]&gt;</t>
        </r>
      </text>
    </comment>
    <comment ref="T1261" authorId="0" shapeId="0" xr:uid="{076B4EFA-0C51-463E-A955-2EDB9778AE0B}">
      <text>
        <r>
          <rPr>
            <b/>
            <sz val="9"/>
            <color indexed="81"/>
            <rFont val="Tahoma"/>
            <family val="2"/>
          </rPr>
          <t>&lt;[[TCDeals] - [TC Property Current Stage (Seq: 1)] - [Buildings (Seq: 74)] Acq 8609 Credit - Both]&gt;</t>
        </r>
      </text>
    </comment>
    <comment ref="C1262" authorId="0" shapeId="0" xr:uid="{5CE19D0B-5D95-481C-B872-68657CDE0FDC}">
      <text>
        <r>
          <rPr>
            <b/>
            <sz val="9"/>
            <color indexed="81"/>
            <rFont val="Tahoma"/>
            <family val="2"/>
          </rPr>
          <t>&lt;[[TCDeals] - [TC Property Current Stage (Seq: 1)] - [Buildings (Seq: 75)] BIN - Both]&gt;</t>
        </r>
      </text>
    </comment>
    <comment ref="D1262" authorId="0" shapeId="0" xr:uid="{EAB4767A-D02C-428B-AA62-39FF9F53F23F}">
      <text>
        <r>
          <rPr>
            <b/>
            <sz val="9"/>
            <color indexed="81"/>
            <rFont val="Tahoma"/>
            <family val="2"/>
          </rPr>
          <t>&lt;[[TCDeals] - [TC Property Current Stage (Seq: 1)] - [Buildings (Seq: 75)] Address 1 - Both]&gt;</t>
        </r>
      </text>
    </comment>
    <comment ref="E1262" authorId="0" shapeId="0" xr:uid="{318F5B32-6BB4-4389-9257-9EF0740970B9}">
      <text>
        <r>
          <rPr>
            <b/>
            <sz val="9"/>
            <color indexed="81"/>
            <rFont val="Tahoma"/>
            <family val="2"/>
          </rPr>
          <t>&lt;[[TCDeals] - [TC Property Current Stage (Seq: 1)] - [Buildings (Seq: 75)] Num TC Units - Both]&gt;</t>
        </r>
      </text>
    </comment>
    <comment ref="F1262" authorId="0" shapeId="0" xr:uid="{7E3736D5-9F36-4BD5-814A-44A74A419A71}">
      <text>
        <r>
          <rPr>
            <b/>
            <sz val="9"/>
            <color indexed="81"/>
            <rFont val="Tahoma"/>
            <family val="2"/>
          </rPr>
          <t>&lt;[[TCDeals] - [TC Property Current Stage (Seq: 1)] - [Buildings (Seq: 75)] PVC PIS Date - Both]&gt;</t>
        </r>
      </text>
    </comment>
    <comment ref="G1262" authorId="0" shapeId="0" xr:uid="{BC3033ED-956B-43CB-8141-80EDC23382E3}">
      <text>
        <r>
          <rPr>
            <b/>
            <sz val="9"/>
            <color indexed="81"/>
            <rFont val="Tahoma"/>
            <family val="2"/>
          </rPr>
          <t>&lt;[[TCDeals] - [TC Property Current Stage (Seq: 1)] - [Buildings (Seq: 75)] PVC Applicable Percentage - Both]&gt;</t>
        </r>
      </text>
    </comment>
    <comment ref="H1262" authorId="0" shapeId="0" xr:uid="{077709E9-7A21-4894-BCF1-A4FC96C90139}">
      <text>
        <r>
          <rPr>
            <b/>
            <sz val="9"/>
            <color indexed="81"/>
            <rFont val="Tahoma"/>
            <family val="2"/>
          </rPr>
          <t>&lt;[[TCDeals] - [TC Property Current Stage (Seq: 1)] - [Buildings (Seq: 75)] PVC Est Qual Basis - Both]&gt;</t>
        </r>
      </text>
    </comment>
    <comment ref="I1262" authorId="0" shapeId="0" xr:uid="{04299DBD-37E7-476E-BB0E-8816B45F472A}">
      <text>
        <r>
          <rPr>
            <b/>
            <sz val="9"/>
            <color indexed="81"/>
            <rFont val="Tahoma"/>
            <family val="2"/>
          </rPr>
          <t>&lt;[[TCDeals] - [TC Property Current Stage (Seq: 1)] - [Buildings (Seq: 75)] PVC8609 Basis - Both]&gt;</t>
        </r>
      </text>
    </comment>
    <comment ref="J1262" authorId="0" shapeId="0" xr:uid="{8436EE64-5E35-445C-8767-E54310B88069}">
      <text>
        <r>
          <rPr>
            <b/>
            <sz val="9"/>
            <color indexed="81"/>
            <rFont val="Tahoma"/>
            <family val="2"/>
          </rPr>
          <t>&lt;[[TCDeals] - [TC Property Current Stage (Seq: 1)] - [Buildings (Seq: 75)] PVC8609 Credit - Both]&gt;</t>
        </r>
      </text>
    </comment>
    <comment ref="K1262" authorId="0" shapeId="0" xr:uid="{307224B3-23C6-40E4-8198-BDED6638D34C}">
      <text>
        <r>
          <rPr>
            <b/>
            <sz val="9"/>
            <color indexed="81"/>
            <rFont val="Tahoma"/>
            <family val="2"/>
          </rPr>
          <t>&lt;[[TCDeals] - [TC Property Current Stage (Seq: 1)] - [Buildings (Seq: 75)] Constr PIS Date - Both]&gt;</t>
        </r>
      </text>
    </comment>
    <comment ref="L1262" authorId="0" shapeId="0" xr:uid="{0C8A4C27-8EFC-47E0-8FBD-860945952C26}">
      <text>
        <r>
          <rPr>
            <b/>
            <sz val="9"/>
            <color indexed="81"/>
            <rFont val="Tahoma"/>
            <family val="2"/>
          </rPr>
          <t>&lt;[[TCDeals] - [TC Property Current Stage (Seq: 1)] - [Buildings (Seq: 75)] Constr Applicable Percentage - Both]&gt;</t>
        </r>
      </text>
    </comment>
    <comment ref="M1262" authorId="0" shapeId="0" xr:uid="{9356BF89-AEEA-4E04-9021-6FECE85A5C51}">
      <text>
        <r>
          <rPr>
            <b/>
            <sz val="9"/>
            <color indexed="81"/>
            <rFont val="Tahoma"/>
            <family val="2"/>
          </rPr>
          <t>&lt;[[TCDeals] - [TC Property Current Stage (Seq: 1)] - [Buildings (Seq: 75)] Constr Est Qual Basis - Both]&gt;</t>
        </r>
      </text>
    </comment>
    <comment ref="N1262" authorId="0" shapeId="0" xr:uid="{14F59EA5-AFE0-4B20-A3B3-3FB629C45A8E}">
      <text>
        <r>
          <rPr>
            <b/>
            <sz val="9"/>
            <color indexed="81"/>
            <rFont val="Tahoma"/>
            <family val="2"/>
          </rPr>
          <t>&lt;[[TCDeals] - [TC Property Current Stage (Seq: 1)] - [Buildings (Seq: 75)] Constr 8609 Basis - Both]&gt;</t>
        </r>
      </text>
    </comment>
    <comment ref="O1262" authorId="0" shapeId="0" xr:uid="{0818A855-96C0-484C-B500-8BB0F5A9D090}">
      <text>
        <r>
          <rPr>
            <b/>
            <sz val="9"/>
            <color indexed="81"/>
            <rFont val="Tahoma"/>
            <family val="2"/>
          </rPr>
          <t>&lt;[[TCDeals] - [TC Property Current Stage (Seq: 1)] - [Buildings (Seq: 75)] Constr 8609 Credit - Both]&gt;</t>
        </r>
      </text>
    </comment>
    <comment ref="P1262" authorId="0" shapeId="0" xr:uid="{4FF04E6A-BBAB-46AD-94DC-15A016AE84EF}">
      <text>
        <r>
          <rPr>
            <b/>
            <sz val="9"/>
            <color indexed="81"/>
            <rFont val="Tahoma"/>
            <family val="2"/>
          </rPr>
          <t>&lt;[[TCDeals] - [TC Property Current Stage (Seq: 1)] - [Buildings (Seq: 75)] Acq PIS Date - Both]&gt;</t>
        </r>
      </text>
    </comment>
    <comment ref="Q1262" authorId="0" shapeId="0" xr:uid="{62DE6A0D-E8A9-4ACD-9A2B-048AE83227C3}">
      <text>
        <r>
          <rPr>
            <b/>
            <sz val="9"/>
            <color indexed="81"/>
            <rFont val="Tahoma"/>
            <family val="2"/>
          </rPr>
          <t>&lt;[[TCDeals] - [TC Property Current Stage (Seq: 1)] - [Buildings (Seq: 75)] Acq Applicable Percentage - Both]&gt;</t>
        </r>
      </text>
    </comment>
    <comment ref="R1262" authorId="0" shapeId="0" xr:uid="{777AAE02-4D3D-441A-BE1C-41D6FE26A452}">
      <text>
        <r>
          <rPr>
            <b/>
            <sz val="9"/>
            <color indexed="81"/>
            <rFont val="Tahoma"/>
            <family val="2"/>
          </rPr>
          <t>&lt;[[TCDeals] - [TC Property Current Stage (Seq: 1)] - [Buildings (Seq: 75)] Acq Est Qual Basis - Both]&gt;</t>
        </r>
      </text>
    </comment>
    <comment ref="S1262" authorId="0" shapeId="0" xr:uid="{E0B9E59F-8953-49CC-AA3A-F2DB48D72F09}">
      <text>
        <r>
          <rPr>
            <b/>
            <sz val="9"/>
            <color indexed="81"/>
            <rFont val="Tahoma"/>
            <family val="2"/>
          </rPr>
          <t>&lt;[[TCDeals] - [TC Property Current Stage (Seq: 1)] - [Buildings (Seq: 75)] Acq 8609 Basis - Both]&gt;</t>
        </r>
      </text>
    </comment>
    <comment ref="T1262" authorId="0" shapeId="0" xr:uid="{0678B409-5AA7-4797-9790-1B08D79D0F62}">
      <text>
        <r>
          <rPr>
            <b/>
            <sz val="9"/>
            <color indexed="81"/>
            <rFont val="Tahoma"/>
            <family val="2"/>
          </rPr>
          <t>&lt;[[TCDeals] - [TC Property Current Stage (Seq: 1)] - [Buildings (Seq: 75)] Acq 8609 Credit - Both]&gt;</t>
        </r>
      </text>
    </comment>
    <comment ref="C1263" authorId="0" shapeId="0" xr:uid="{E3E5DD6F-A915-492B-83FB-CFFCCF79042A}">
      <text>
        <r>
          <rPr>
            <b/>
            <sz val="9"/>
            <color indexed="81"/>
            <rFont val="Tahoma"/>
            <family val="2"/>
          </rPr>
          <t>&lt;[[TCDeals] - [TC Property Current Stage (Seq: 1)] - [Buildings (Seq: 76)] BIN - Both]&gt;</t>
        </r>
      </text>
    </comment>
    <comment ref="D1263" authorId="0" shapeId="0" xr:uid="{6FBC9688-4F9A-4561-A465-277D6CD83F26}">
      <text>
        <r>
          <rPr>
            <b/>
            <sz val="9"/>
            <color indexed="81"/>
            <rFont val="Tahoma"/>
            <family val="2"/>
          </rPr>
          <t>&lt;[[TCDeals] - [TC Property Current Stage (Seq: 1)] - [Buildings (Seq: 76)] Address 1 - Both]&gt;</t>
        </r>
      </text>
    </comment>
    <comment ref="E1263" authorId="0" shapeId="0" xr:uid="{64DF0288-35AE-4893-92C6-A3F3F2AA9CAD}">
      <text>
        <r>
          <rPr>
            <b/>
            <sz val="9"/>
            <color indexed="81"/>
            <rFont val="Tahoma"/>
            <family val="2"/>
          </rPr>
          <t>&lt;[[TCDeals] - [TC Property Current Stage (Seq: 1)] - [Buildings (Seq: 76)] Num TC Units - Both]&gt;</t>
        </r>
      </text>
    </comment>
    <comment ref="F1263" authorId="0" shapeId="0" xr:uid="{1BC4F768-571B-4B06-87A0-1E1921605498}">
      <text>
        <r>
          <rPr>
            <b/>
            <sz val="9"/>
            <color indexed="81"/>
            <rFont val="Tahoma"/>
            <family val="2"/>
          </rPr>
          <t>&lt;[[TCDeals] - [TC Property Current Stage (Seq: 1)] - [Buildings (Seq: 76)] PVC PIS Date - Both]&gt;</t>
        </r>
      </text>
    </comment>
    <comment ref="G1263" authorId="0" shapeId="0" xr:uid="{4C738563-2EB4-43F5-8D00-F8442C4C379A}">
      <text>
        <r>
          <rPr>
            <b/>
            <sz val="9"/>
            <color indexed="81"/>
            <rFont val="Tahoma"/>
            <family val="2"/>
          </rPr>
          <t>&lt;[[TCDeals] - [TC Property Current Stage (Seq: 1)] - [Buildings (Seq: 76)] PVC Applicable Percentage - Both]&gt;</t>
        </r>
      </text>
    </comment>
    <comment ref="H1263" authorId="0" shapeId="0" xr:uid="{418595B9-7890-44CE-8F5C-B586BC39E8A5}">
      <text>
        <r>
          <rPr>
            <b/>
            <sz val="9"/>
            <color indexed="81"/>
            <rFont val="Tahoma"/>
            <family val="2"/>
          </rPr>
          <t>&lt;[[TCDeals] - [TC Property Current Stage (Seq: 1)] - [Buildings (Seq: 76)] PVC Est Qual Basis - Both]&gt;</t>
        </r>
      </text>
    </comment>
    <comment ref="I1263" authorId="0" shapeId="0" xr:uid="{8D6D8863-2967-43C8-AAEE-47049E172E06}">
      <text>
        <r>
          <rPr>
            <b/>
            <sz val="9"/>
            <color indexed="81"/>
            <rFont val="Tahoma"/>
            <family val="2"/>
          </rPr>
          <t>&lt;[[TCDeals] - [TC Property Current Stage (Seq: 1)] - [Buildings (Seq: 76)] PVC8609 Basis - Both]&gt;</t>
        </r>
      </text>
    </comment>
    <comment ref="J1263" authorId="0" shapeId="0" xr:uid="{96576721-3B45-49D3-9E5F-7F1918C0ACE9}">
      <text>
        <r>
          <rPr>
            <b/>
            <sz val="9"/>
            <color indexed="81"/>
            <rFont val="Tahoma"/>
            <family val="2"/>
          </rPr>
          <t>&lt;[[TCDeals] - [TC Property Current Stage (Seq: 1)] - [Buildings (Seq: 76)] PVC8609 Credit - Both]&gt;</t>
        </r>
      </text>
    </comment>
    <comment ref="K1263" authorId="0" shapeId="0" xr:uid="{4CC6A879-A714-4F8E-8123-D2972B8D6672}">
      <text>
        <r>
          <rPr>
            <b/>
            <sz val="9"/>
            <color indexed="81"/>
            <rFont val="Tahoma"/>
            <family val="2"/>
          </rPr>
          <t>&lt;[[TCDeals] - [TC Property Current Stage (Seq: 1)] - [Buildings (Seq: 76)] Constr PIS Date - Both]&gt;</t>
        </r>
      </text>
    </comment>
    <comment ref="L1263" authorId="0" shapeId="0" xr:uid="{996A271C-4532-4F5F-946A-73AB1F584551}">
      <text>
        <r>
          <rPr>
            <b/>
            <sz val="9"/>
            <color indexed="81"/>
            <rFont val="Tahoma"/>
            <family val="2"/>
          </rPr>
          <t>&lt;[[TCDeals] - [TC Property Current Stage (Seq: 1)] - [Buildings (Seq: 76)] Constr Applicable Percentage - Both]&gt;</t>
        </r>
      </text>
    </comment>
    <comment ref="M1263" authorId="0" shapeId="0" xr:uid="{C985C3C7-8BCB-4737-85CD-48A1FA2A4A44}">
      <text>
        <r>
          <rPr>
            <b/>
            <sz val="9"/>
            <color indexed="81"/>
            <rFont val="Tahoma"/>
            <family val="2"/>
          </rPr>
          <t>&lt;[[TCDeals] - [TC Property Current Stage (Seq: 1)] - [Buildings (Seq: 76)] Constr Est Qual Basis - Both]&gt;</t>
        </r>
      </text>
    </comment>
    <comment ref="N1263" authorId="0" shapeId="0" xr:uid="{883B8A9B-5507-4185-8721-4DF6F2951C93}">
      <text>
        <r>
          <rPr>
            <b/>
            <sz val="9"/>
            <color indexed="81"/>
            <rFont val="Tahoma"/>
            <family val="2"/>
          </rPr>
          <t>&lt;[[TCDeals] - [TC Property Current Stage (Seq: 1)] - [Buildings (Seq: 76)] Constr 8609 Basis - Both]&gt;</t>
        </r>
      </text>
    </comment>
    <comment ref="O1263" authorId="0" shapeId="0" xr:uid="{31128BE0-67E4-46EA-B2B4-2BB48D69AA11}">
      <text>
        <r>
          <rPr>
            <b/>
            <sz val="9"/>
            <color indexed="81"/>
            <rFont val="Tahoma"/>
            <family val="2"/>
          </rPr>
          <t>&lt;[[TCDeals] - [TC Property Current Stage (Seq: 1)] - [Buildings (Seq: 76)] Constr 8609 Credit - Both]&gt;</t>
        </r>
      </text>
    </comment>
    <comment ref="P1263" authorId="0" shapeId="0" xr:uid="{14344D49-4FB6-42DE-A3D0-3CDFD3921477}">
      <text>
        <r>
          <rPr>
            <b/>
            <sz val="9"/>
            <color indexed="81"/>
            <rFont val="Tahoma"/>
            <family val="2"/>
          </rPr>
          <t>&lt;[[TCDeals] - [TC Property Current Stage (Seq: 1)] - [Buildings (Seq: 76)] Acq PIS Date - Both]&gt;</t>
        </r>
      </text>
    </comment>
    <comment ref="Q1263" authorId="0" shapeId="0" xr:uid="{37652A7F-4612-4A4A-846E-C7C675F5420D}">
      <text>
        <r>
          <rPr>
            <b/>
            <sz val="9"/>
            <color indexed="81"/>
            <rFont val="Tahoma"/>
            <family val="2"/>
          </rPr>
          <t>&lt;[[TCDeals] - [TC Property Current Stage (Seq: 1)] - [Buildings (Seq: 76)] Acq Applicable Percentage - Both]&gt;</t>
        </r>
      </text>
    </comment>
    <comment ref="R1263" authorId="0" shapeId="0" xr:uid="{DD011C0B-3AAE-4F94-A841-199A5D1FCE19}">
      <text>
        <r>
          <rPr>
            <b/>
            <sz val="9"/>
            <color indexed="81"/>
            <rFont val="Tahoma"/>
            <family val="2"/>
          </rPr>
          <t>&lt;[[TCDeals] - [TC Property Current Stage (Seq: 1)] - [Buildings (Seq: 76)] Acq Est Qual Basis - Both]&gt;</t>
        </r>
      </text>
    </comment>
    <comment ref="S1263" authorId="0" shapeId="0" xr:uid="{15755A9E-7050-4EEA-B2FD-EDD51076F6CB}">
      <text>
        <r>
          <rPr>
            <b/>
            <sz val="9"/>
            <color indexed="81"/>
            <rFont val="Tahoma"/>
            <family val="2"/>
          </rPr>
          <t>&lt;[[TCDeals] - [TC Property Current Stage (Seq: 1)] - [Buildings (Seq: 76)] Acq 8609 Basis - Both]&gt;</t>
        </r>
      </text>
    </comment>
    <comment ref="T1263" authorId="0" shapeId="0" xr:uid="{C514EBC0-C88A-4582-B628-34ED3B96BA1E}">
      <text>
        <r>
          <rPr>
            <b/>
            <sz val="9"/>
            <color indexed="81"/>
            <rFont val="Tahoma"/>
            <family val="2"/>
          </rPr>
          <t>&lt;[[TCDeals] - [TC Property Current Stage (Seq: 1)] - [Buildings (Seq: 76)] Acq 8609 Credit - Both]&gt;</t>
        </r>
      </text>
    </comment>
    <comment ref="C1264" authorId="0" shapeId="0" xr:uid="{399AA9ED-81E1-4CED-ACBC-755CC0F013E8}">
      <text>
        <r>
          <rPr>
            <b/>
            <sz val="9"/>
            <color indexed="81"/>
            <rFont val="Tahoma"/>
            <family val="2"/>
          </rPr>
          <t>&lt;[[TCDeals] - [TC Property Current Stage (Seq: 1)] - [Buildings (Seq: 77)] BIN - Both]&gt;</t>
        </r>
      </text>
    </comment>
    <comment ref="D1264" authorId="0" shapeId="0" xr:uid="{6FD3545F-D96D-4C13-8CB0-19C9701A7D8C}">
      <text>
        <r>
          <rPr>
            <b/>
            <sz val="9"/>
            <color indexed="81"/>
            <rFont val="Tahoma"/>
            <family val="2"/>
          </rPr>
          <t>&lt;[[TCDeals] - [TC Property Current Stage (Seq: 1)] - [Buildings (Seq: 77)] Address 1 - Both]&gt;</t>
        </r>
      </text>
    </comment>
    <comment ref="E1264" authorId="0" shapeId="0" xr:uid="{1F69E6A3-EB31-4979-9611-33F940A6A719}">
      <text>
        <r>
          <rPr>
            <b/>
            <sz val="9"/>
            <color indexed="81"/>
            <rFont val="Tahoma"/>
            <family val="2"/>
          </rPr>
          <t>&lt;[[TCDeals] - [TC Property Current Stage (Seq: 1)] - [Buildings (Seq: 77)] Num TC Units - Both]&gt;</t>
        </r>
      </text>
    </comment>
    <comment ref="F1264" authorId="0" shapeId="0" xr:uid="{E19F67C7-4EB5-4D87-9F6E-416B8212B1CD}">
      <text>
        <r>
          <rPr>
            <b/>
            <sz val="9"/>
            <color indexed="81"/>
            <rFont val="Tahoma"/>
            <family val="2"/>
          </rPr>
          <t>&lt;[[TCDeals] - [TC Property Current Stage (Seq: 1)] - [Buildings (Seq: 77)] PVC PIS Date - Both]&gt;</t>
        </r>
      </text>
    </comment>
    <comment ref="G1264" authorId="0" shapeId="0" xr:uid="{1A37A3E7-C755-4A09-8DF6-898E568A1B9F}">
      <text>
        <r>
          <rPr>
            <b/>
            <sz val="9"/>
            <color indexed="81"/>
            <rFont val="Tahoma"/>
            <family val="2"/>
          </rPr>
          <t>&lt;[[TCDeals] - [TC Property Current Stage (Seq: 1)] - [Buildings (Seq: 77)] PVC Applicable Percentage - Both]&gt;</t>
        </r>
      </text>
    </comment>
    <comment ref="H1264" authorId="0" shapeId="0" xr:uid="{E55B15D2-EA2F-4501-8CC9-BC7362B369FB}">
      <text>
        <r>
          <rPr>
            <b/>
            <sz val="9"/>
            <color indexed="81"/>
            <rFont val="Tahoma"/>
            <family val="2"/>
          </rPr>
          <t>&lt;[[TCDeals] - [TC Property Current Stage (Seq: 1)] - [Buildings (Seq: 77)] PVC Est Qual Basis - Both]&gt;</t>
        </r>
      </text>
    </comment>
    <comment ref="I1264" authorId="0" shapeId="0" xr:uid="{408BCE56-AE2B-4FC8-858D-E1FD080630E8}">
      <text>
        <r>
          <rPr>
            <b/>
            <sz val="9"/>
            <color indexed="81"/>
            <rFont val="Tahoma"/>
            <family val="2"/>
          </rPr>
          <t>&lt;[[TCDeals] - [TC Property Current Stage (Seq: 1)] - [Buildings (Seq: 77)] PVC8609 Basis - Both]&gt;</t>
        </r>
      </text>
    </comment>
    <comment ref="J1264" authorId="0" shapeId="0" xr:uid="{9A9BC22F-1CEA-4DB1-BB53-9BEBBB2F9226}">
      <text>
        <r>
          <rPr>
            <b/>
            <sz val="9"/>
            <color indexed="81"/>
            <rFont val="Tahoma"/>
            <family val="2"/>
          </rPr>
          <t>&lt;[[TCDeals] - [TC Property Current Stage (Seq: 1)] - [Buildings (Seq: 77)] PVC8609 Credit - Both]&gt;</t>
        </r>
      </text>
    </comment>
    <comment ref="K1264" authorId="0" shapeId="0" xr:uid="{7159D64E-DE55-475B-8D92-03224920CFCA}">
      <text>
        <r>
          <rPr>
            <b/>
            <sz val="9"/>
            <color indexed="81"/>
            <rFont val="Tahoma"/>
            <family val="2"/>
          </rPr>
          <t>&lt;[[TCDeals] - [TC Property Current Stage (Seq: 1)] - [Buildings (Seq: 77)] Constr PIS Date - Both]&gt;</t>
        </r>
      </text>
    </comment>
    <comment ref="L1264" authorId="0" shapeId="0" xr:uid="{0D3D8616-D686-40AE-979A-39E39C4A22B7}">
      <text>
        <r>
          <rPr>
            <b/>
            <sz val="9"/>
            <color indexed="81"/>
            <rFont val="Tahoma"/>
            <family val="2"/>
          </rPr>
          <t>&lt;[[TCDeals] - [TC Property Current Stage (Seq: 1)] - [Buildings (Seq: 77)] Constr Applicable Percentage - Both]&gt;</t>
        </r>
      </text>
    </comment>
    <comment ref="M1264" authorId="0" shapeId="0" xr:uid="{19B6AA9C-41FA-422B-83C3-64BE4BC32348}">
      <text>
        <r>
          <rPr>
            <b/>
            <sz val="9"/>
            <color indexed="81"/>
            <rFont val="Tahoma"/>
            <family val="2"/>
          </rPr>
          <t>&lt;[[TCDeals] - [TC Property Current Stage (Seq: 1)] - [Buildings (Seq: 77)] Constr Est Qual Basis - Both]&gt;</t>
        </r>
      </text>
    </comment>
    <comment ref="N1264" authorId="0" shapeId="0" xr:uid="{8A23931E-AF53-4478-94BB-6E43D50FCC56}">
      <text>
        <r>
          <rPr>
            <b/>
            <sz val="9"/>
            <color indexed="81"/>
            <rFont val="Tahoma"/>
            <family val="2"/>
          </rPr>
          <t>&lt;[[TCDeals] - [TC Property Current Stage (Seq: 1)] - [Buildings (Seq: 77)] Constr 8609 Basis - Both]&gt;</t>
        </r>
      </text>
    </comment>
    <comment ref="O1264" authorId="0" shapeId="0" xr:uid="{CB51BE3B-0A67-4A20-8DFA-AA7531E47FB0}">
      <text>
        <r>
          <rPr>
            <b/>
            <sz val="9"/>
            <color indexed="81"/>
            <rFont val="Tahoma"/>
            <family val="2"/>
          </rPr>
          <t>&lt;[[TCDeals] - [TC Property Current Stage (Seq: 1)] - [Buildings (Seq: 77)] Constr 8609 Credit - Both]&gt;</t>
        </r>
      </text>
    </comment>
    <comment ref="P1264" authorId="0" shapeId="0" xr:uid="{1D53409E-5C22-4750-8FF1-86FCA6F61D1B}">
      <text>
        <r>
          <rPr>
            <b/>
            <sz val="9"/>
            <color indexed="81"/>
            <rFont val="Tahoma"/>
            <family val="2"/>
          </rPr>
          <t>&lt;[[TCDeals] - [TC Property Current Stage (Seq: 1)] - [Buildings (Seq: 77)] Acq PIS Date - Both]&gt;</t>
        </r>
      </text>
    </comment>
    <comment ref="Q1264" authorId="0" shapeId="0" xr:uid="{1A149AA2-32C6-4489-8143-489284459F8C}">
      <text>
        <r>
          <rPr>
            <b/>
            <sz val="9"/>
            <color indexed="81"/>
            <rFont val="Tahoma"/>
            <family val="2"/>
          </rPr>
          <t>&lt;[[TCDeals] - [TC Property Current Stage (Seq: 1)] - [Buildings (Seq: 77)] Acq Applicable Percentage - Both]&gt;</t>
        </r>
      </text>
    </comment>
    <comment ref="R1264" authorId="0" shapeId="0" xr:uid="{32B75125-BB48-4663-82EB-1FF22412D41C}">
      <text>
        <r>
          <rPr>
            <b/>
            <sz val="9"/>
            <color indexed="81"/>
            <rFont val="Tahoma"/>
            <family val="2"/>
          </rPr>
          <t>&lt;[[TCDeals] - [TC Property Current Stage (Seq: 1)] - [Buildings (Seq: 77)] Acq Est Qual Basis - Both]&gt;</t>
        </r>
      </text>
    </comment>
    <comment ref="S1264" authorId="0" shapeId="0" xr:uid="{B263CAF3-7BD0-4B49-953C-ACAB1BB4040B}">
      <text>
        <r>
          <rPr>
            <b/>
            <sz val="9"/>
            <color indexed="81"/>
            <rFont val="Tahoma"/>
            <family val="2"/>
          </rPr>
          <t>&lt;[[TCDeals] - [TC Property Current Stage (Seq: 1)] - [Buildings (Seq: 77)] Acq 8609 Basis - Both]&gt;</t>
        </r>
      </text>
    </comment>
    <comment ref="T1264" authorId="0" shapeId="0" xr:uid="{AC3A7A51-6215-417E-86C1-320303A91DFF}">
      <text>
        <r>
          <rPr>
            <b/>
            <sz val="9"/>
            <color indexed="81"/>
            <rFont val="Tahoma"/>
            <family val="2"/>
          </rPr>
          <t>&lt;[[TCDeals] - [TC Property Current Stage (Seq: 1)] - [Buildings (Seq: 77)] Acq 8609 Credit - Both]&gt;</t>
        </r>
      </text>
    </comment>
    <comment ref="C1265" authorId="0" shapeId="0" xr:uid="{267A07C4-5F4B-4325-BB15-78C1B03278A4}">
      <text>
        <r>
          <rPr>
            <b/>
            <sz val="9"/>
            <color indexed="81"/>
            <rFont val="Tahoma"/>
            <family val="2"/>
          </rPr>
          <t>&lt;[[TCDeals] - [TC Property Current Stage (Seq: 1)] - [Buildings (Seq: 78)] BIN - Both]&gt;</t>
        </r>
      </text>
    </comment>
    <comment ref="D1265" authorId="0" shapeId="0" xr:uid="{38B7F7A6-E48E-483B-BBE9-F5793F85FF37}">
      <text>
        <r>
          <rPr>
            <b/>
            <sz val="9"/>
            <color indexed="81"/>
            <rFont val="Tahoma"/>
            <family val="2"/>
          </rPr>
          <t>&lt;[[TCDeals] - [TC Property Current Stage (Seq: 1)] - [Buildings (Seq: 78)] Address 1 - Both]&gt;</t>
        </r>
      </text>
    </comment>
    <comment ref="E1265" authorId="0" shapeId="0" xr:uid="{A25B8877-0183-4366-905E-63BE713D7C88}">
      <text>
        <r>
          <rPr>
            <b/>
            <sz val="9"/>
            <color indexed="81"/>
            <rFont val="Tahoma"/>
            <family val="2"/>
          </rPr>
          <t>&lt;[[TCDeals] - [TC Property Current Stage (Seq: 1)] - [Buildings (Seq: 78)] Num TC Units - Both]&gt;</t>
        </r>
      </text>
    </comment>
    <comment ref="F1265" authorId="0" shapeId="0" xr:uid="{720788CE-9ABE-4E4F-BF44-2F05C9C60044}">
      <text>
        <r>
          <rPr>
            <b/>
            <sz val="9"/>
            <color indexed="81"/>
            <rFont val="Tahoma"/>
            <family val="2"/>
          </rPr>
          <t>&lt;[[TCDeals] - [TC Property Current Stage (Seq: 1)] - [Buildings (Seq: 78)] PVC PIS Date - Both]&gt;</t>
        </r>
      </text>
    </comment>
    <comment ref="G1265" authorId="0" shapeId="0" xr:uid="{359467D4-3334-4B96-A7A8-81B769CA17F4}">
      <text>
        <r>
          <rPr>
            <b/>
            <sz val="9"/>
            <color indexed="81"/>
            <rFont val="Tahoma"/>
            <family val="2"/>
          </rPr>
          <t>&lt;[[TCDeals] - [TC Property Current Stage (Seq: 1)] - [Buildings (Seq: 78)] PVC Applicable Percentage - Both]&gt;</t>
        </r>
      </text>
    </comment>
    <comment ref="H1265" authorId="0" shapeId="0" xr:uid="{B8C17EC5-D312-4D76-9997-AB4BD5CB8132}">
      <text>
        <r>
          <rPr>
            <b/>
            <sz val="9"/>
            <color indexed="81"/>
            <rFont val="Tahoma"/>
            <family val="2"/>
          </rPr>
          <t>&lt;[[TCDeals] - [TC Property Current Stage (Seq: 1)] - [Buildings (Seq: 78)] PVC Est Qual Basis - Both]&gt;</t>
        </r>
      </text>
    </comment>
    <comment ref="I1265" authorId="0" shapeId="0" xr:uid="{40B3722F-D7D8-452E-8AB2-F8017662B947}">
      <text>
        <r>
          <rPr>
            <b/>
            <sz val="9"/>
            <color indexed="81"/>
            <rFont val="Tahoma"/>
            <family val="2"/>
          </rPr>
          <t>&lt;[[TCDeals] - [TC Property Current Stage (Seq: 1)] - [Buildings (Seq: 78)] PVC8609 Basis - Both]&gt;</t>
        </r>
      </text>
    </comment>
    <comment ref="J1265" authorId="0" shapeId="0" xr:uid="{255671B2-12BA-4453-8B15-7FEBB8502413}">
      <text>
        <r>
          <rPr>
            <b/>
            <sz val="9"/>
            <color indexed="81"/>
            <rFont val="Tahoma"/>
            <family val="2"/>
          </rPr>
          <t>&lt;[[TCDeals] - [TC Property Current Stage (Seq: 1)] - [Buildings (Seq: 78)] PVC8609 Credit - Both]&gt;</t>
        </r>
      </text>
    </comment>
    <comment ref="K1265" authorId="0" shapeId="0" xr:uid="{B7141D1D-E5B7-4195-BDCF-B166499A21ED}">
      <text>
        <r>
          <rPr>
            <b/>
            <sz val="9"/>
            <color indexed="81"/>
            <rFont val="Tahoma"/>
            <family val="2"/>
          </rPr>
          <t>&lt;[[TCDeals] - [TC Property Current Stage (Seq: 1)] - [Buildings (Seq: 78)] Constr PIS Date - Both]&gt;</t>
        </r>
      </text>
    </comment>
    <comment ref="L1265" authorId="0" shapeId="0" xr:uid="{85112CCC-3A97-4FFC-9D43-46529F2914EB}">
      <text>
        <r>
          <rPr>
            <b/>
            <sz val="9"/>
            <color indexed="81"/>
            <rFont val="Tahoma"/>
            <family val="2"/>
          </rPr>
          <t>&lt;[[TCDeals] - [TC Property Current Stage (Seq: 1)] - [Buildings (Seq: 78)] Constr Applicable Percentage - Both]&gt;</t>
        </r>
      </text>
    </comment>
    <comment ref="M1265" authorId="0" shapeId="0" xr:uid="{7FE78B84-519F-4A85-93B4-AEBF4601DB6F}">
      <text>
        <r>
          <rPr>
            <b/>
            <sz val="9"/>
            <color indexed="81"/>
            <rFont val="Tahoma"/>
            <family val="2"/>
          </rPr>
          <t>&lt;[[TCDeals] - [TC Property Current Stage (Seq: 1)] - [Buildings (Seq: 78)] Constr Est Qual Basis - Both]&gt;</t>
        </r>
      </text>
    </comment>
    <comment ref="N1265" authorId="0" shapeId="0" xr:uid="{DE004345-6BE7-4975-9BC8-690481B832AE}">
      <text>
        <r>
          <rPr>
            <b/>
            <sz val="9"/>
            <color indexed="81"/>
            <rFont val="Tahoma"/>
            <family val="2"/>
          </rPr>
          <t>&lt;[[TCDeals] - [TC Property Current Stage (Seq: 1)] - [Buildings (Seq: 78)] Constr 8609 Basis - Both]&gt;</t>
        </r>
      </text>
    </comment>
    <comment ref="O1265" authorId="0" shapeId="0" xr:uid="{534B05A7-80FF-4849-B18C-8D71247F5D55}">
      <text>
        <r>
          <rPr>
            <b/>
            <sz val="9"/>
            <color indexed="81"/>
            <rFont val="Tahoma"/>
            <family val="2"/>
          </rPr>
          <t>&lt;[[TCDeals] - [TC Property Current Stage (Seq: 1)] - [Buildings (Seq: 78)] Constr 8609 Credit - Both]&gt;</t>
        </r>
      </text>
    </comment>
    <comment ref="P1265" authorId="0" shapeId="0" xr:uid="{35792CB8-EF27-48D5-92E2-8D13257E3C0B}">
      <text>
        <r>
          <rPr>
            <b/>
            <sz val="9"/>
            <color indexed="81"/>
            <rFont val="Tahoma"/>
            <family val="2"/>
          </rPr>
          <t>&lt;[[TCDeals] - [TC Property Current Stage (Seq: 1)] - [Buildings (Seq: 78)] Acq PIS Date - Both]&gt;</t>
        </r>
      </text>
    </comment>
    <comment ref="Q1265" authorId="0" shapeId="0" xr:uid="{20BBB67A-9FAE-42E1-A45A-F03DDAC59BC4}">
      <text>
        <r>
          <rPr>
            <b/>
            <sz val="9"/>
            <color indexed="81"/>
            <rFont val="Tahoma"/>
            <family val="2"/>
          </rPr>
          <t>&lt;[[TCDeals] - [TC Property Current Stage (Seq: 1)] - [Buildings (Seq: 78)] Acq Applicable Percentage - Both]&gt;</t>
        </r>
      </text>
    </comment>
    <comment ref="R1265" authorId="0" shapeId="0" xr:uid="{B08125B6-E791-4391-B8DA-2C5BAF88C668}">
      <text>
        <r>
          <rPr>
            <b/>
            <sz val="9"/>
            <color indexed="81"/>
            <rFont val="Tahoma"/>
            <family val="2"/>
          </rPr>
          <t>&lt;[[TCDeals] - [TC Property Current Stage (Seq: 1)] - [Buildings (Seq: 78)] Acq Est Qual Basis - Both]&gt;</t>
        </r>
      </text>
    </comment>
    <comment ref="S1265" authorId="0" shapeId="0" xr:uid="{6D8D2251-255C-418F-9DF7-E4AA14BBD9B9}">
      <text>
        <r>
          <rPr>
            <b/>
            <sz val="9"/>
            <color indexed="81"/>
            <rFont val="Tahoma"/>
            <family val="2"/>
          </rPr>
          <t>&lt;[[TCDeals] - [TC Property Current Stage (Seq: 1)] - [Buildings (Seq: 78)] Acq 8609 Basis - Both]&gt;</t>
        </r>
      </text>
    </comment>
    <comment ref="T1265" authorId="0" shapeId="0" xr:uid="{FA148F26-B961-4A75-A5F7-DE398CEC9317}">
      <text>
        <r>
          <rPr>
            <b/>
            <sz val="9"/>
            <color indexed="81"/>
            <rFont val="Tahoma"/>
            <family val="2"/>
          </rPr>
          <t>&lt;[[TCDeals] - [TC Property Current Stage (Seq: 1)] - [Buildings (Seq: 78)] Acq 8609 Credit - Both]&gt;</t>
        </r>
      </text>
    </comment>
    <comment ref="C1266" authorId="0" shapeId="0" xr:uid="{ECA67149-C651-4AD0-84AE-24C235EDB29C}">
      <text>
        <r>
          <rPr>
            <b/>
            <sz val="9"/>
            <color indexed="81"/>
            <rFont val="Tahoma"/>
            <family val="2"/>
          </rPr>
          <t>&lt;[[TCDeals] - [TC Property Current Stage (Seq: 1)] - [Buildings (Seq: 79)] BIN - Both]&gt;</t>
        </r>
      </text>
    </comment>
    <comment ref="D1266" authorId="0" shapeId="0" xr:uid="{8ECEB10B-871D-49BC-8C3D-23714A86A280}">
      <text>
        <r>
          <rPr>
            <b/>
            <sz val="9"/>
            <color indexed="81"/>
            <rFont val="Tahoma"/>
            <family val="2"/>
          </rPr>
          <t>&lt;[[TCDeals] - [TC Property Current Stage (Seq: 1)] - [Buildings (Seq: 79)] Address 1 - Both]&gt;</t>
        </r>
      </text>
    </comment>
    <comment ref="E1266" authorId="0" shapeId="0" xr:uid="{7BE999BE-C6B2-480C-99A8-8854889EA772}">
      <text>
        <r>
          <rPr>
            <b/>
            <sz val="9"/>
            <color indexed="81"/>
            <rFont val="Tahoma"/>
            <family val="2"/>
          </rPr>
          <t>&lt;[[TCDeals] - [TC Property Current Stage (Seq: 1)] - [Buildings (Seq: 79)] Num TC Units - Both]&gt;</t>
        </r>
      </text>
    </comment>
    <comment ref="F1266" authorId="0" shapeId="0" xr:uid="{726224CD-9048-4659-87CB-C65103C0283E}">
      <text>
        <r>
          <rPr>
            <b/>
            <sz val="9"/>
            <color indexed="81"/>
            <rFont val="Tahoma"/>
            <family val="2"/>
          </rPr>
          <t>&lt;[[TCDeals] - [TC Property Current Stage (Seq: 1)] - [Buildings (Seq: 79)] PVC PIS Date - Both]&gt;</t>
        </r>
      </text>
    </comment>
    <comment ref="G1266" authorId="0" shapeId="0" xr:uid="{B2957FE4-F9F8-4D01-A9BB-94650DE1D906}">
      <text>
        <r>
          <rPr>
            <b/>
            <sz val="9"/>
            <color indexed="81"/>
            <rFont val="Tahoma"/>
            <family val="2"/>
          </rPr>
          <t>&lt;[[TCDeals] - [TC Property Current Stage (Seq: 1)] - [Buildings (Seq: 79)] PVC Applicable Percentage - Both]&gt;</t>
        </r>
      </text>
    </comment>
    <comment ref="H1266" authorId="0" shapeId="0" xr:uid="{21E296E0-4271-4CBA-819F-7FF56AE63C7D}">
      <text>
        <r>
          <rPr>
            <b/>
            <sz val="9"/>
            <color indexed="81"/>
            <rFont val="Tahoma"/>
            <family val="2"/>
          </rPr>
          <t>&lt;[[TCDeals] - [TC Property Current Stage (Seq: 1)] - [Buildings (Seq: 79)] PVC Est Qual Basis - Both]&gt;</t>
        </r>
      </text>
    </comment>
    <comment ref="I1266" authorId="0" shapeId="0" xr:uid="{A24F6612-2213-4BA8-806E-514E01473364}">
      <text>
        <r>
          <rPr>
            <b/>
            <sz val="9"/>
            <color indexed="81"/>
            <rFont val="Tahoma"/>
            <family val="2"/>
          </rPr>
          <t>&lt;[[TCDeals] - [TC Property Current Stage (Seq: 1)] - [Buildings (Seq: 79)] PVC8609 Basis - Both]&gt;</t>
        </r>
      </text>
    </comment>
    <comment ref="J1266" authorId="0" shapeId="0" xr:uid="{9FCE3598-4C36-4872-A131-3B1D96FF94F5}">
      <text>
        <r>
          <rPr>
            <b/>
            <sz val="9"/>
            <color indexed="81"/>
            <rFont val="Tahoma"/>
            <family val="2"/>
          </rPr>
          <t>&lt;[[TCDeals] - [TC Property Current Stage (Seq: 1)] - [Buildings (Seq: 79)] PVC8609 Credit - Both]&gt;</t>
        </r>
      </text>
    </comment>
    <comment ref="K1266" authorId="0" shapeId="0" xr:uid="{9EB47AD1-DF18-4FE5-96F4-1B66E790FFDF}">
      <text>
        <r>
          <rPr>
            <b/>
            <sz val="9"/>
            <color indexed="81"/>
            <rFont val="Tahoma"/>
            <family val="2"/>
          </rPr>
          <t>&lt;[[TCDeals] - [TC Property Current Stage (Seq: 1)] - [Buildings (Seq: 79)] Constr PIS Date - Both]&gt;</t>
        </r>
      </text>
    </comment>
    <comment ref="L1266" authorId="0" shapeId="0" xr:uid="{44832D02-7C08-4B43-819A-8F87C3D61052}">
      <text>
        <r>
          <rPr>
            <b/>
            <sz val="9"/>
            <color indexed="81"/>
            <rFont val="Tahoma"/>
            <family val="2"/>
          </rPr>
          <t>&lt;[[TCDeals] - [TC Property Current Stage (Seq: 1)] - [Buildings (Seq: 79)] Constr Applicable Percentage - Both]&gt;</t>
        </r>
      </text>
    </comment>
    <comment ref="M1266" authorId="0" shapeId="0" xr:uid="{7EAF8130-0A0F-44C4-ADD7-E583416D21DD}">
      <text>
        <r>
          <rPr>
            <b/>
            <sz val="9"/>
            <color indexed="81"/>
            <rFont val="Tahoma"/>
            <family val="2"/>
          </rPr>
          <t>&lt;[[TCDeals] - [TC Property Current Stage (Seq: 1)] - [Buildings (Seq: 79)] Constr Est Qual Basis - Both]&gt;</t>
        </r>
      </text>
    </comment>
    <comment ref="N1266" authorId="0" shapeId="0" xr:uid="{57C730EB-E602-4508-A58C-C6402128F25D}">
      <text>
        <r>
          <rPr>
            <b/>
            <sz val="9"/>
            <color indexed="81"/>
            <rFont val="Tahoma"/>
            <family val="2"/>
          </rPr>
          <t>&lt;[[TCDeals] - [TC Property Current Stage (Seq: 1)] - [Buildings (Seq: 79)] Constr 8609 Basis - Both]&gt;</t>
        </r>
      </text>
    </comment>
    <comment ref="O1266" authorId="0" shapeId="0" xr:uid="{D9189EB2-B88F-4782-8F61-C487D7DEF6E3}">
      <text>
        <r>
          <rPr>
            <b/>
            <sz val="9"/>
            <color indexed="81"/>
            <rFont val="Tahoma"/>
            <family val="2"/>
          </rPr>
          <t>&lt;[[TCDeals] - [TC Property Current Stage (Seq: 1)] - [Buildings (Seq: 79)] Constr 8609 Credit - Both]&gt;</t>
        </r>
      </text>
    </comment>
    <comment ref="P1266" authorId="0" shapeId="0" xr:uid="{C30E78BD-73ED-4CB2-985B-3F67B0E949F6}">
      <text>
        <r>
          <rPr>
            <b/>
            <sz val="9"/>
            <color indexed="81"/>
            <rFont val="Tahoma"/>
            <family val="2"/>
          </rPr>
          <t>&lt;[[TCDeals] - [TC Property Current Stage (Seq: 1)] - [Buildings (Seq: 79)] Acq PIS Date - Both]&gt;</t>
        </r>
      </text>
    </comment>
    <comment ref="Q1266" authorId="0" shapeId="0" xr:uid="{C23D7B84-3DAF-4AC8-BA99-6678FCEFED92}">
      <text>
        <r>
          <rPr>
            <b/>
            <sz val="9"/>
            <color indexed="81"/>
            <rFont val="Tahoma"/>
            <family val="2"/>
          </rPr>
          <t>&lt;[[TCDeals] - [TC Property Current Stage (Seq: 1)] - [Buildings (Seq: 79)] Acq Applicable Percentage - Both]&gt;</t>
        </r>
      </text>
    </comment>
    <comment ref="R1266" authorId="0" shapeId="0" xr:uid="{8F05EDF1-7A12-4720-A5E6-995C1F5F7879}">
      <text>
        <r>
          <rPr>
            <b/>
            <sz val="9"/>
            <color indexed="81"/>
            <rFont val="Tahoma"/>
            <family val="2"/>
          </rPr>
          <t>&lt;[[TCDeals] - [TC Property Current Stage (Seq: 1)] - [Buildings (Seq: 79)] Acq Est Qual Basis - Both]&gt;</t>
        </r>
      </text>
    </comment>
    <comment ref="S1266" authorId="0" shapeId="0" xr:uid="{A7B48835-EE9E-411F-A252-038487EC08B8}">
      <text>
        <r>
          <rPr>
            <b/>
            <sz val="9"/>
            <color indexed="81"/>
            <rFont val="Tahoma"/>
            <family val="2"/>
          </rPr>
          <t>&lt;[[TCDeals] - [TC Property Current Stage (Seq: 1)] - [Buildings (Seq: 79)] Acq 8609 Basis - Both]&gt;</t>
        </r>
      </text>
    </comment>
    <comment ref="T1266" authorId="0" shapeId="0" xr:uid="{3E4036C2-6867-481A-BA8A-12F794A9E86C}">
      <text>
        <r>
          <rPr>
            <b/>
            <sz val="9"/>
            <color indexed="81"/>
            <rFont val="Tahoma"/>
            <family val="2"/>
          </rPr>
          <t>&lt;[[TCDeals] - [TC Property Current Stage (Seq: 1)] - [Buildings (Seq: 79)] Acq 8609 Credit - Both]&gt;</t>
        </r>
      </text>
    </comment>
    <comment ref="C1267" authorId="0" shapeId="0" xr:uid="{DB7306E6-E83D-425B-8ACD-A098D55B0594}">
      <text>
        <r>
          <rPr>
            <b/>
            <sz val="9"/>
            <color indexed="81"/>
            <rFont val="Tahoma"/>
            <family val="2"/>
          </rPr>
          <t>&lt;[[TCDeals] - [TC Property Current Stage (Seq: 1)] - [Buildings (Seq: 80)] BIN - Both]&gt;</t>
        </r>
      </text>
    </comment>
    <comment ref="D1267" authorId="0" shapeId="0" xr:uid="{5F868DE8-9C44-452F-8CF0-FF1BE6922563}">
      <text>
        <r>
          <rPr>
            <b/>
            <sz val="9"/>
            <color indexed="81"/>
            <rFont val="Tahoma"/>
            <family val="2"/>
          </rPr>
          <t>&lt;[[TCDeals] - [TC Property Current Stage (Seq: 1)] - [Buildings (Seq: 80)] Address 1 - Both]&gt;</t>
        </r>
      </text>
    </comment>
    <comment ref="E1267" authorId="0" shapeId="0" xr:uid="{482F1B98-028E-49EF-B7BD-77B8B274FA2A}">
      <text>
        <r>
          <rPr>
            <b/>
            <sz val="9"/>
            <color indexed="81"/>
            <rFont val="Tahoma"/>
            <family val="2"/>
          </rPr>
          <t>&lt;[[TCDeals] - [TC Property Current Stage (Seq: 1)] - [Buildings (Seq: 80)] Num TC Units - Both]&gt;</t>
        </r>
      </text>
    </comment>
    <comment ref="F1267" authorId="0" shapeId="0" xr:uid="{5D3C3F71-D978-452F-B2A9-80B6365764B2}">
      <text>
        <r>
          <rPr>
            <b/>
            <sz val="9"/>
            <color indexed="81"/>
            <rFont val="Tahoma"/>
            <family val="2"/>
          </rPr>
          <t>&lt;[[TCDeals] - [TC Property Current Stage (Seq: 1)] - [Buildings (Seq: 80)] PVC PIS Date - Both]&gt;</t>
        </r>
      </text>
    </comment>
    <comment ref="G1267" authorId="0" shapeId="0" xr:uid="{EA3DEB3B-8647-4334-9045-E3BAD8FF653F}">
      <text>
        <r>
          <rPr>
            <b/>
            <sz val="9"/>
            <color indexed="81"/>
            <rFont val="Tahoma"/>
            <family val="2"/>
          </rPr>
          <t>&lt;[[TCDeals] - [TC Property Current Stage (Seq: 1)] - [Buildings (Seq: 80)] PVC Applicable Percentage - Both]&gt;</t>
        </r>
      </text>
    </comment>
    <comment ref="H1267" authorId="0" shapeId="0" xr:uid="{042A3497-8E92-4E47-9028-F873D3841A03}">
      <text>
        <r>
          <rPr>
            <b/>
            <sz val="9"/>
            <color indexed="81"/>
            <rFont val="Tahoma"/>
            <family val="2"/>
          </rPr>
          <t>&lt;[[TCDeals] - [TC Property Current Stage (Seq: 1)] - [Buildings (Seq: 80)] PVC Est Qual Basis - Both]&gt;</t>
        </r>
      </text>
    </comment>
    <comment ref="I1267" authorId="0" shapeId="0" xr:uid="{C164FAFC-81C4-4BE0-818A-C376F750F551}">
      <text>
        <r>
          <rPr>
            <b/>
            <sz val="9"/>
            <color indexed="81"/>
            <rFont val="Tahoma"/>
            <family val="2"/>
          </rPr>
          <t>&lt;[[TCDeals] - [TC Property Current Stage (Seq: 1)] - [Buildings (Seq: 80)] PVC8609 Basis - Both]&gt;</t>
        </r>
      </text>
    </comment>
    <comment ref="J1267" authorId="0" shapeId="0" xr:uid="{6604724B-C44A-4F9A-8CE6-DCE671B06DF6}">
      <text>
        <r>
          <rPr>
            <b/>
            <sz val="9"/>
            <color indexed="81"/>
            <rFont val="Tahoma"/>
            <family val="2"/>
          </rPr>
          <t>&lt;[[TCDeals] - [TC Property Current Stage (Seq: 1)] - [Buildings (Seq: 80)] PVC8609 Credit - Both]&gt;</t>
        </r>
      </text>
    </comment>
    <comment ref="K1267" authorId="0" shapeId="0" xr:uid="{080B8974-52AE-4AB8-AFF9-5A2E2A6E65A3}">
      <text>
        <r>
          <rPr>
            <b/>
            <sz val="9"/>
            <color indexed="81"/>
            <rFont val="Tahoma"/>
            <family val="2"/>
          </rPr>
          <t>&lt;[[TCDeals] - [TC Property Current Stage (Seq: 1)] - [Buildings (Seq: 80)] Constr PIS Date - Both]&gt;</t>
        </r>
      </text>
    </comment>
    <comment ref="L1267" authorId="0" shapeId="0" xr:uid="{96513334-4E8D-4086-AB30-567341447D26}">
      <text>
        <r>
          <rPr>
            <b/>
            <sz val="9"/>
            <color indexed="81"/>
            <rFont val="Tahoma"/>
            <family val="2"/>
          </rPr>
          <t>&lt;[[TCDeals] - [TC Property Current Stage (Seq: 1)] - [Buildings (Seq: 80)] Constr Applicable Percentage - Both]&gt;</t>
        </r>
      </text>
    </comment>
    <comment ref="M1267" authorId="0" shapeId="0" xr:uid="{00C5072D-5863-4290-B21B-DE064A228FFC}">
      <text>
        <r>
          <rPr>
            <b/>
            <sz val="9"/>
            <color indexed="81"/>
            <rFont val="Tahoma"/>
            <family val="2"/>
          </rPr>
          <t>&lt;[[TCDeals] - [TC Property Current Stage (Seq: 1)] - [Buildings (Seq: 80)] Constr Est Qual Basis - Both]&gt;</t>
        </r>
      </text>
    </comment>
    <comment ref="N1267" authorId="0" shapeId="0" xr:uid="{23780628-7D68-4B41-A363-B38B3ED83067}">
      <text>
        <r>
          <rPr>
            <b/>
            <sz val="9"/>
            <color indexed="81"/>
            <rFont val="Tahoma"/>
            <family val="2"/>
          </rPr>
          <t>&lt;[[TCDeals] - [TC Property Current Stage (Seq: 1)] - [Buildings (Seq: 80)] Constr 8609 Basis - Both]&gt;</t>
        </r>
      </text>
    </comment>
    <comment ref="O1267" authorId="0" shapeId="0" xr:uid="{2A2B96B8-A089-4829-8EAC-DB18894613B5}">
      <text>
        <r>
          <rPr>
            <b/>
            <sz val="9"/>
            <color indexed="81"/>
            <rFont val="Tahoma"/>
            <family val="2"/>
          </rPr>
          <t>&lt;[[TCDeals] - [TC Property Current Stage (Seq: 1)] - [Buildings (Seq: 80)] Constr 8609 Credit - Both]&gt;</t>
        </r>
      </text>
    </comment>
    <comment ref="P1267" authorId="0" shapeId="0" xr:uid="{A243F25D-010B-4F9B-8255-9E4F1EF532EF}">
      <text>
        <r>
          <rPr>
            <b/>
            <sz val="9"/>
            <color indexed="81"/>
            <rFont val="Tahoma"/>
            <family val="2"/>
          </rPr>
          <t>&lt;[[TCDeals] - [TC Property Current Stage (Seq: 1)] - [Buildings (Seq: 80)] Acq PIS Date - Both]&gt;</t>
        </r>
      </text>
    </comment>
    <comment ref="Q1267" authorId="0" shapeId="0" xr:uid="{4F63CD5F-7509-4901-A03A-DDF99410B5EC}">
      <text>
        <r>
          <rPr>
            <b/>
            <sz val="9"/>
            <color indexed="81"/>
            <rFont val="Tahoma"/>
            <family val="2"/>
          </rPr>
          <t>&lt;[[TCDeals] - [TC Property Current Stage (Seq: 1)] - [Buildings (Seq: 80)] Acq Applicable Percentage - Both]&gt;</t>
        </r>
      </text>
    </comment>
    <comment ref="R1267" authorId="0" shapeId="0" xr:uid="{4047029E-4694-412B-870E-02A34752D526}">
      <text>
        <r>
          <rPr>
            <b/>
            <sz val="9"/>
            <color indexed="81"/>
            <rFont val="Tahoma"/>
            <family val="2"/>
          </rPr>
          <t>&lt;[[TCDeals] - [TC Property Current Stage (Seq: 1)] - [Buildings (Seq: 80)] Acq Est Qual Basis - Both]&gt;</t>
        </r>
      </text>
    </comment>
    <comment ref="S1267" authorId="0" shapeId="0" xr:uid="{4F0B7EBF-7549-4400-90F3-D607FA365AE6}">
      <text>
        <r>
          <rPr>
            <b/>
            <sz val="9"/>
            <color indexed="81"/>
            <rFont val="Tahoma"/>
            <family val="2"/>
          </rPr>
          <t>&lt;[[TCDeals] - [TC Property Current Stage (Seq: 1)] - [Buildings (Seq: 80)] Acq 8609 Basis - Both]&gt;</t>
        </r>
      </text>
    </comment>
    <comment ref="T1267" authorId="0" shapeId="0" xr:uid="{1009FED5-793D-4227-9D91-72AFC0F9B8D2}">
      <text>
        <r>
          <rPr>
            <b/>
            <sz val="9"/>
            <color indexed="81"/>
            <rFont val="Tahoma"/>
            <family val="2"/>
          </rPr>
          <t>&lt;[[TCDeals] - [TC Property Current Stage (Seq: 1)] - [Buildings (Seq: 80)] Acq 8609 Credit - Both]&gt;</t>
        </r>
      </text>
    </comment>
    <comment ref="C1268" authorId="0" shapeId="0" xr:uid="{EA2FE7A9-5F04-4900-A3AD-F79FB4D88286}">
      <text>
        <r>
          <rPr>
            <b/>
            <sz val="9"/>
            <color indexed="81"/>
            <rFont val="Tahoma"/>
            <family val="2"/>
          </rPr>
          <t>&lt;[[TCDeals] - [TC Property Current Stage (Seq: 1)] - [Buildings (Seq: 81)] BIN - Both]&gt;</t>
        </r>
      </text>
    </comment>
    <comment ref="D1268" authorId="0" shapeId="0" xr:uid="{AD3AC514-0A01-49A4-9D2B-CDFA21F79D0D}">
      <text>
        <r>
          <rPr>
            <b/>
            <sz val="9"/>
            <color indexed="81"/>
            <rFont val="Tahoma"/>
            <family val="2"/>
          </rPr>
          <t>&lt;[[TCDeals] - [TC Property Current Stage (Seq: 1)] - [Buildings (Seq: 81)] Address 1 - Both]&gt;</t>
        </r>
      </text>
    </comment>
    <comment ref="E1268" authorId="0" shapeId="0" xr:uid="{8079DB4C-529A-401C-A42F-EAC6C0119601}">
      <text>
        <r>
          <rPr>
            <b/>
            <sz val="9"/>
            <color indexed="81"/>
            <rFont val="Tahoma"/>
            <family val="2"/>
          </rPr>
          <t>&lt;[[TCDeals] - [TC Property Current Stage (Seq: 1)] - [Buildings (Seq: 81)] Num TC Units - Both]&gt;</t>
        </r>
      </text>
    </comment>
    <comment ref="F1268" authorId="0" shapeId="0" xr:uid="{A93DEE1B-2C9F-4FE8-A8E7-C6307A03AE24}">
      <text>
        <r>
          <rPr>
            <b/>
            <sz val="9"/>
            <color indexed="81"/>
            <rFont val="Tahoma"/>
            <family val="2"/>
          </rPr>
          <t>&lt;[[TCDeals] - [TC Property Current Stage (Seq: 1)] - [Buildings (Seq: 81)] PVC PIS Date - Both]&gt;</t>
        </r>
      </text>
    </comment>
    <comment ref="G1268" authorId="0" shapeId="0" xr:uid="{763AF112-5B70-4379-9889-85479B31C4EF}">
      <text>
        <r>
          <rPr>
            <b/>
            <sz val="9"/>
            <color indexed="81"/>
            <rFont val="Tahoma"/>
            <family val="2"/>
          </rPr>
          <t>&lt;[[TCDeals] - [TC Property Current Stage (Seq: 1)] - [Buildings (Seq: 81)] PVC Applicable Percentage - Both]&gt;</t>
        </r>
      </text>
    </comment>
    <comment ref="H1268" authorId="0" shapeId="0" xr:uid="{0561BB52-031B-4661-B3F7-6F8CD0602CC0}">
      <text>
        <r>
          <rPr>
            <b/>
            <sz val="9"/>
            <color indexed="81"/>
            <rFont val="Tahoma"/>
            <family val="2"/>
          </rPr>
          <t>&lt;[[TCDeals] - [TC Property Current Stage (Seq: 1)] - [Buildings (Seq: 81)] PVC Est Qual Basis - Both]&gt;</t>
        </r>
      </text>
    </comment>
    <comment ref="I1268" authorId="0" shapeId="0" xr:uid="{31FFB210-F43C-4C16-A079-4C46BFF8F662}">
      <text>
        <r>
          <rPr>
            <b/>
            <sz val="9"/>
            <color indexed="81"/>
            <rFont val="Tahoma"/>
            <family val="2"/>
          </rPr>
          <t>&lt;[[TCDeals] - [TC Property Current Stage (Seq: 1)] - [Buildings (Seq: 81)] PVC8609 Basis - Both]&gt;</t>
        </r>
      </text>
    </comment>
    <comment ref="J1268" authorId="0" shapeId="0" xr:uid="{205EF2BE-4CB0-4EC6-934D-EBB6BEDCA08F}">
      <text>
        <r>
          <rPr>
            <b/>
            <sz val="9"/>
            <color indexed="81"/>
            <rFont val="Tahoma"/>
            <family val="2"/>
          </rPr>
          <t>&lt;[[TCDeals] - [TC Property Current Stage (Seq: 1)] - [Buildings (Seq: 81)] PVC8609 Credit - Both]&gt;</t>
        </r>
      </text>
    </comment>
    <comment ref="K1268" authorId="0" shapeId="0" xr:uid="{56BF929B-EA49-4F1F-83C8-1B32ADEB60D0}">
      <text>
        <r>
          <rPr>
            <b/>
            <sz val="9"/>
            <color indexed="81"/>
            <rFont val="Tahoma"/>
            <family val="2"/>
          </rPr>
          <t>&lt;[[TCDeals] - [TC Property Current Stage (Seq: 1)] - [Buildings (Seq: 81)] Constr PIS Date - Both]&gt;</t>
        </r>
      </text>
    </comment>
    <comment ref="L1268" authorId="0" shapeId="0" xr:uid="{8ABED022-6F35-4089-8C48-BB11B6841570}">
      <text>
        <r>
          <rPr>
            <b/>
            <sz val="9"/>
            <color indexed="81"/>
            <rFont val="Tahoma"/>
            <family val="2"/>
          </rPr>
          <t>&lt;[[TCDeals] - [TC Property Current Stage (Seq: 1)] - [Buildings (Seq: 81)] Constr Applicable Percentage - Both]&gt;</t>
        </r>
      </text>
    </comment>
    <comment ref="M1268" authorId="0" shapeId="0" xr:uid="{57987F20-B0DF-456A-8825-358A8034C62F}">
      <text>
        <r>
          <rPr>
            <b/>
            <sz val="9"/>
            <color indexed="81"/>
            <rFont val="Tahoma"/>
            <family val="2"/>
          </rPr>
          <t>&lt;[[TCDeals] - [TC Property Current Stage (Seq: 1)] - [Buildings (Seq: 81)] Constr Est Qual Basis - Both]&gt;</t>
        </r>
      </text>
    </comment>
    <comment ref="N1268" authorId="0" shapeId="0" xr:uid="{A8D51E64-A91C-4609-87B8-46EE9186A0F3}">
      <text>
        <r>
          <rPr>
            <b/>
            <sz val="9"/>
            <color indexed="81"/>
            <rFont val="Tahoma"/>
            <family val="2"/>
          </rPr>
          <t>&lt;[[TCDeals] - [TC Property Current Stage (Seq: 1)] - [Buildings (Seq: 81)] Constr 8609 Basis - Both]&gt;</t>
        </r>
      </text>
    </comment>
    <comment ref="O1268" authorId="0" shapeId="0" xr:uid="{943E1973-2382-4334-9754-D695521678B3}">
      <text>
        <r>
          <rPr>
            <b/>
            <sz val="9"/>
            <color indexed="81"/>
            <rFont val="Tahoma"/>
            <family val="2"/>
          </rPr>
          <t>&lt;[[TCDeals] - [TC Property Current Stage (Seq: 1)] - [Buildings (Seq: 81)] Constr 8609 Credit - Both]&gt;</t>
        </r>
      </text>
    </comment>
    <comment ref="P1268" authorId="0" shapeId="0" xr:uid="{EBE3B441-8A11-4643-A4A3-8DE546C60ED4}">
      <text>
        <r>
          <rPr>
            <b/>
            <sz val="9"/>
            <color indexed="81"/>
            <rFont val="Tahoma"/>
            <family val="2"/>
          </rPr>
          <t>&lt;[[TCDeals] - [TC Property Current Stage (Seq: 1)] - [Buildings (Seq: 81)] Acq PIS Date - Both]&gt;</t>
        </r>
      </text>
    </comment>
    <comment ref="Q1268" authorId="0" shapeId="0" xr:uid="{5301802A-3649-4A20-8911-D5450D7FBEAA}">
      <text>
        <r>
          <rPr>
            <b/>
            <sz val="9"/>
            <color indexed="81"/>
            <rFont val="Tahoma"/>
            <family val="2"/>
          </rPr>
          <t>&lt;[[TCDeals] - [TC Property Current Stage (Seq: 1)] - [Buildings (Seq: 81)] Acq Applicable Percentage - Both]&gt;</t>
        </r>
      </text>
    </comment>
    <comment ref="R1268" authorId="0" shapeId="0" xr:uid="{0BDB1DA3-7D39-4579-997B-64774699CA09}">
      <text>
        <r>
          <rPr>
            <b/>
            <sz val="9"/>
            <color indexed="81"/>
            <rFont val="Tahoma"/>
            <family val="2"/>
          </rPr>
          <t>&lt;[[TCDeals] - [TC Property Current Stage (Seq: 1)] - [Buildings (Seq: 81)] Acq Est Qual Basis - Both]&gt;</t>
        </r>
      </text>
    </comment>
    <comment ref="S1268" authorId="0" shapeId="0" xr:uid="{6FF843BB-DB93-413C-AAC0-F876B9600736}">
      <text>
        <r>
          <rPr>
            <b/>
            <sz val="9"/>
            <color indexed="81"/>
            <rFont val="Tahoma"/>
            <family val="2"/>
          </rPr>
          <t>&lt;[[TCDeals] - [TC Property Current Stage (Seq: 1)] - [Buildings (Seq: 81)] Acq 8609 Basis - Both]&gt;</t>
        </r>
      </text>
    </comment>
    <comment ref="T1268" authorId="0" shapeId="0" xr:uid="{7757F212-02A7-4842-A485-725E6998C764}">
      <text>
        <r>
          <rPr>
            <b/>
            <sz val="9"/>
            <color indexed="81"/>
            <rFont val="Tahoma"/>
            <family val="2"/>
          </rPr>
          <t>&lt;[[TCDeals] - [TC Property Current Stage (Seq: 1)] - [Buildings (Seq: 81)] Acq 8609 Credit - Both]&gt;</t>
        </r>
      </text>
    </comment>
    <comment ref="C1269" authorId="0" shapeId="0" xr:uid="{E2A9EA74-580D-4659-A570-CC76F72F59E3}">
      <text>
        <r>
          <rPr>
            <b/>
            <sz val="9"/>
            <color indexed="81"/>
            <rFont val="Tahoma"/>
            <family val="2"/>
          </rPr>
          <t>&lt;[[TCDeals] - [TC Property Current Stage (Seq: 1)] - [Buildings (Seq: 82)] BIN - Both]&gt;</t>
        </r>
      </text>
    </comment>
    <comment ref="D1269" authorId="0" shapeId="0" xr:uid="{8968F1FC-224A-4618-A36F-09730E772E37}">
      <text>
        <r>
          <rPr>
            <b/>
            <sz val="9"/>
            <color indexed="81"/>
            <rFont val="Tahoma"/>
            <family val="2"/>
          </rPr>
          <t>&lt;[[TCDeals] - [TC Property Current Stage (Seq: 1)] - [Buildings (Seq: 82)] Address 1 - Both]&gt;</t>
        </r>
      </text>
    </comment>
    <comment ref="E1269" authorId="0" shapeId="0" xr:uid="{E9EBC9C6-76E9-4A9C-95CD-5FBCA934F83B}">
      <text>
        <r>
          <rPr>
            <b/>
            <sz val="9"/>
            <color indexed="81"/>
            <rFont val="Tahoma"/>
            <family val="2"/>
          </rPr>
          <t>&lt;[[TCDeals] - [TC Property Current Stage (Seq: 1)] - [Buildings (Seq: 82)] Num TC Units - Both]&gt;</t>
        </r>
      </text>
    </comment>
    <comment ref="F1269" authorId="0" shapeId="0" xr:uid="{B13434F1-163E-43B5-A6AA-D987BE9C24A1}">
      <text>
        <r>
          <rPr>
            <b/>
            <sz val="9"/>
            <color indexed="81"/>
            <rFont val="Tahoma"/>
            <family val="2"/>
          </rPr>
          <t>&lt;[[TCDeals] - [TC Property Current Stage (Seq: 1)] - [Buildings (Seq: 82)] PVC PIS Date - Both]&gt;</t>
        </r>
      </text>
    </comment>
    <comment ref="G1269" authorId="0" shapeId="0" xr:uid="{C42BC24B-1049-4B6B-95AB-7961F8D69150}">
      <text>
        <r>
          <rPr>
            <b/>
            <sz val="9"/>
            <color indexed="81"/>
            <rFont val="Tahoma"/>
            <family val="2"/>
          </rPr>
          <t>&lt;[[TCDeals] - [TC Property Current Stage (Seq: 1)] - [Buildings (Seq: 82)] PVC Applicable Percentage - Both]&gt;</t>
        </r>
      </text>
    </comment>
    <comment ref="H1269" authorId="0" shapeId="0" xr:uid="{3335BF24-5C9B-4909-8CBA-C2B09D430F88}">
      <text>
        <r>
          <rPr>
            <b/>
            <sz val="9"/>
            <color indexed="81"/>
            <rFont val="Tahoma"/>
            <family val="2"/>
          </rPr>
          <t>&lt;[[TCDeals] - [TC Property Current Stage (Seq: 1)] - [Buildings (Seq: 82)] PVC Est Qual Basis - Both]&gt;</t>
        </r>
      </text>
    </comment>
    <comment ref="I1269" authorId="0" shapeId="0" xr:uid="{5FBCB315-42F1-4BD1-82CA-DB4E8B368767}">
      <text>
        <r>
          <rPr>
            <b/>
            <sz val="9"/>
            <color indexed="81"/>
            <rFont val="Tahoma"/>
            <family val="2"/>
          </rPr>
          <t>&lt;[[TCDeals] - [TC Property Current Stage (Seq: 1)] - [Buildings (Seq: 82)] PVC8609 Basis - Both]&gt;</t>
        </r>
      </text>
    </comment>
    <comment ref="J1269" authorId="0" shapeId="0" xr:uid="{BD723E50-3087-40BD-A7E2-BC8EB26D5C68}">
      <text>
        <r>
          <rPr>
            <b/>
            <sz val="9"/>
            <color indexed="81"/>
            <rFont val="Tahoma"/>
            <family val="2"/>
          </rPr>
          <t>&lt;[[TCDeals] - [TC Property Current Stage (Seq: 1)] - [Buildings (Seq: 82)] PVC8609 Credit - Both]&gt;</t>
        </r>
      </text>
    </comment>
    <comment ref="K1269" authorId="0" shapeId="0" xr:uid="{3D8D6BBB-389D-4DE7-B66B-89DE9FB6DF64}">
      <text>
        <r>
          <rPr>
            <b/>
            <sz val="9"/>
            <color indexed="81"/>
            <rFont val="Tahoma"/>
            <family val="2"/>
          </rPr>
          <t>&lt;[[TCDeals] - [TC Property Current Stage (Seq: 1)] - [Buildings (Seq: 82)] Constr PIS Date - Both]&gt;</t>
        </r>
      </text>
    </comment>
    <comment ref="L1269" authorId="0" shapeId="0" xr:uid="{01751385-4A02-48EB-A89D-F105D728CD7D}">
      <text>
        <r>
          <rPr>
            <b/>
            <sz val="9"/>
            <color indexed="81"/>
            <rFont val="Tahoma"/>
            <family val="2"/>
          </rPr>
          <t>&lt;[[TCDeals] - [TC Property Current Stage (Seq: 1)] - [Buildings (Seq: 82)] Constr Applicable Percentage - Both]&gt;</t>
        </r>
      </text>
    </comment>
    <comment ref="M1269" authorId="0" shapeId="0" xr:uid="{178A27D7-B481-4A19-8EF5-B98664DF7D0D}">
      <text>
        <r>
          <rPr>
            <b/>
            <sz val="9"/>
            <color indexed="81"/>
            <rFont val="Tahoma"/>
            <family val="2"/>
          </rPr>
          <t>&lt;[[TCDeals] - [TC Property Current Stage (Seq: 1)] - [Buildings (Seq: 82)] Constr Est Qual Basis - Both]&gt;</t>
        </r>
      </text>
    </comment>
    <comment ref="N1269" authorId="0" shapeId="0" xr:uid="{B2B22E1D-9D38-48DF-9D6D-D43825F776FD}">
      <text>
        <r>
          <rPr>
            <b/>
            <sz val="9"/>
            <color indexed="81"/>
            <rFont val="Tahoma"/>
            <family val="2"/>
          </rPr>
          <t>&lt;[[TCDeals] - [TC Property Current Stage (Seq: 1)] - [Buildings (Seq: 82)] Constr 8609 Basis - Both]&gt;</t>
        </r>
      </text>
    </comment>
    <comment ref="O1269" authorId="0" shapeId="0" xr:uid="{6CBF81DA-D51C-4250-A108-994A6BA80C2D}">
      <text>
        <r>
          <rPr>
            <b/>
            <sz val="9"/>
            <color indexed="81"/>
            <rFont val="Tahoma"/>
            <family val="2"/>
          </rPr>
          <t>&lt;[[TCDeals] - [TC Property Current Stage (Seq: 1)] - [Buildings (Seq: 82)] Constr 8609 Credit - Both]&gt;</t>
        </r>
      </text>
    </comment>
    <comment ref="P1269" authorId="0" shapeId="0" xr:uid="{A3D2DCD5-8259-46F4-817F-AD558CB6FDC0}">
      <text>
        <r>
          <rPr>
            <b/>
            <sz val="9"/>
            <color indexed="81"/>
            <rFont val="Tahoma"/>
            <family val="2"/>
          </rPr>
          <t>&lt;[[TCDeals] - [TC Property Current Stage (Seq: 1)] - [Buildings (Seq: 82)] Acq PIS Date - Both]&gt;</t>
        </r>
      </text>
    </comment>
    <comment ref="Q1269" authorId="0" shapeId="0" xr:uid="{66244D1A-8B90-43CB-8AD3-5EDD81746236}">
      <text>
        <r>
          <rPr>
            <b/>
            <sz val="9"/>
            <color indexed="81"/>
            <rFont val="Tahoma"/>
            <family val="2"/>
          </rPr>
          <t>&lt;[[TCDeals] - [TC Property Current Stage (Seq: 1)] - [Buildings (Seq: 82)] Acq Applicable Percentage - Both]&gt;</t>
        </r>
      </text>
    </comment>
    <comment ref="R1269" authorId="0" shapeId="0" xr:uid="{1F409D56-DE02-4E8D-B5B7-963D3656F3F7}">
      <text>
        <r>
          <rPr>
            <b/>
            <sz val="9"/>
            <color indexed="81"/>
            <rFont val="Tahoma"/>
            <family val="2"/>
          </rPr>
          <t>&lt;[[TCDeals] - [TC Property Current Stage (Seq: 1)] - [Buildings (Seq: 82)] Acq Est Qual Basis - Both]&gt;</t>
        </r>
      </text>
    </comment>
    <comment ref="S1269" authorId="0" shapeId="0" xr:uid="{4EF29E36-B53F-4D58-BC6E-B30662C7BB6E}">
      <text>
        <r>
          <rPr>
            <b/>
            <sz val="9"/>
            <color indexed="81"/>
            <rFont val="Tahoma"/>
            <family val="2"/>
          </rPr>
          <t>&lt;[[TCDeals] - [TC Property Current Stage (Seq: 1)] - [Buildings (Seq: 82)] Acq 8609 Basis - Both]&gt;</t>
        </r>
      </text>
    </comment>
    <comment ref="T1269" authorId="0" shapeId="0" xr:uid="{1634227D-9686-4F1B-842C-C30F3DE4A632}">
      <text>
        <r>
          <rPr>
            <b/>
            <sz val="9"/>
            <color indexed="81"/>
            <rFont val="Tahoma"/>
            <family val="2"/>
          </rPr>
          <t>&lt;[[TCDeals] - [TC Property Current Stage (Seq: 1)] - [Buildings (Seq: 82)] Acq 8609 Credit - Both]&gt;</t>
        </r>
      </text>
    </comment>
    <comment ref="C1270" authorId="0" shapeId="0" xr:uid="{FCAF752B-B9C0-4666-A922-A32927B3577B}">
      <text>
        <r>
          <rPr>
            <b/>
            <sz val="9"/>
            <color indexed="81"/>
            <rFont val="Tahoma"/>
            <family val="2"/>
          </rPr>
          <t>&lt;[[TCDeals] - [TC Property Current Stage (Seq: 1)] - [Buildings (Seq: 83)] BIN - Both]&gt;</t>
        </r>
      </text>
    </comment>
    <comment ref="D1270" authorId="0" shapeId="0" xr:uid="{CA36CFEB-4C6F-4198-A707-0F13EFFD3C0A}">
      <text>
        <r>
          <rPr>
            <b/>
            <sz val="9"/>
            <color indexed="81"/>
            <rFont val="Tahoma"/>
            <family val="2"/>
          </rPr>
          <t>&lt;[[TCDeals] - [TC Property Current Stage (Seq: 1)] - [Buildings (Seq: 83)] Address 1 - Both]&gt;</t>
        </r>
      </text>
    </comment>
    <comment ref="E1270" authorId="0" shapeId="0" xr:uid="{498CF05A-E9D9-435C-B703-4E2B5F6CACF5}">
      <text>
        <r>
          <rPr>
            <b/>
            <sz val="9"/>
            <color indexed="81"/>
            <rFont val="Tahoma"/>
            <family val="2"/>
          </rPr>
          <t>&lt;[[TCDeals] - [TC Property Current Stage (Seq: 1)] - [Buildings (Seq: 83)] Num TC Units - Both]&gt;</t>
        </r>
      </text>
    </comment>
    <comment ref="F1270" authorId="0" shapeId="0" xr:uid="{91E72592-5A33-4F8F-BD93-AE5E737A0B8D}">
      <text>
        <r>
          <rPr>
            <b/>
            <sz val="9"/>
            <color indexed="81"/>
            <rFont val="Tahoma"/>
            <family val="2"/>
          </rPr>
          <t>&lt;[[TCDeals] - [TC Property Current Stage (Seq: 1)] - [Buildings (Seq: 83)] PVC PIS Date - Both]&gt;</t>
        </r>
      </text>
    </comment>
    <comment ref="G1270" authorId="0" shapeId="0" xr:uid="{2F643ACD-829F-486D-A763-2B2837BE68DC}">
      <text>
        <r>
          <rPr>
            <b/>
            <sz val="9"/>
            <color indexed="81"/>
            <rFont val="Tahoma"/>
            <family val="2"/>
          </rPr>
          <t>&lt;[[TCDeals] - [TC Property Current Stage (Seq: 1)] - [Buildings (Seq: 83)] PVC Applicable Percentage - Both]&gt;</t>
        </r>
      </text>
    </comment>
    <comment ref="H1270" authorId="0" shapeId="0" xr:uid="{1624A2C9-8B24-44AD-9F66-9DE489AA8ADF}">
      <text>
        <r>
          <rPr>
            <b/>
            <sz val="9"/>
            <color indexed="81"/>
            <rFont val="Tahoma"/>
            <family val="2"/>
          </rPr>
          <t>&lt;[[TCDeals] - [TC Property Current Stage (Seq: 1)] - [Buildings (Seq: 83)] PVC Est Qual Basis - Both]&gt;</t>
        </r>
      </text>
    </comment>
    <comment ref="I1270" authorId="0" shapeId="0" xr:uid="{766F7D42-1D24-4C78-B34D-93C7D42C41D4}">
      <text>
        <r>
          <rPr>
            <b/>
            <sz val="9"/>
            <color indexed="81"/>
            <rFont val="Tahoma"/>
            <family val="2"/>
          </rPr>
          <t>&lt;[[TCDeals] - [TC Property Current Stage (Seq: 1)] - [Buildings (Seq: 83)] PVC8609 Basis - Both]&gt;</t>
        </r>
      </text>
    </comment>
    <comment ref="J1270" authorId="0" shapeId="0" xr:uid="{35851522-0BC2-4316-A226-5986BA2A8047}">
      <text>
        <r>
          <rPr>
            <b/>
            <sz val="9"/>
            <color indexed="81"/>
            <rFont val="Tahoma"/>
            <family val="2"/>
          </rPr>
          <t>&lt;[[TCDeals] - [TC Property Current Stage (Seq: 1)] - [Buildings (Seq: 83)] PVC8609 Credit - Both]&gt;</t>
        </r>
      </text>
    </comment>
    <comment ref="K1270" authorId="0" shapeId="0" xr:uid="{45558760-DC18-48D5-9665-0B0A0DEB9E8B}">
      <text>
        <r>
          <rPr>
            <b/>
            <sz val="9"/>
            <color indexed="81"/>
            <rFont val="Tahoma"/>
            <family val="2"/>
          </rPr>
          <t>&lt;[[TCDeals] - [TC Property Current Stage (Seq: 1)] - [Buildings (Seq: 83)] Constr PIS Date - Both]&gt;</t>
        </r>
      </text>
    </comment>
    <comment ref="L1270" authorId="0" shapeId="0" xr:uid="{B81A2115-4A63-4E7C-BCD8-4F23E8F8B43C}">
      <text>
        <r>
          <rPr>
            <b/>
            <sz val="9"/>
            <color indexed="81"/>
            <rFont val="Tahoma"/>
            <family val="2"/>
          </rPr>
          <t>&lt;[[TCDeals] - [TC Property Current Stage (Seq: 1)] - [Buildings (Seq: 83)] Constr Applicable Percentage - Both]&gt;</t>
        </r>
      </text>
    </comment>
    <comment ref="M1270" authorId="0" shapeId="0" xr:uid="{BCD5D965-A0FB-455D-8B7D-C234E825BC12}">
      <text>
        <r>
          <rPr>
            <b/>
            <sz val="9"/>
            <color indexed="81"/>
            <rFont val="Tahoma"/>
            <family val="2"/>
          </rPr>
          <t>&lt;[[TCDeals] - [TC Property Current Stage (Seq: 1)] - [Buildings (Seq: 83)] Constr Est Qual Basis - Both]&gt;</t>
        </r>
      </text>
    </comment>
    <comment ref="N1270" authorId="0" shapeId="0" xr:uid="{C720470D-60C6-46AC-87E3-C778CC9A5632}">
      <text>
        <r>
          <rPr>
            <b/>
            <sz val="9"/>
            <color indexed="81"/>
            <rFont val="Tahoma"/>
            <family val="2"/>
          </rPr>
          <t>&lt;[[TCDeals] - [TC Property Current Stage (Seq: 1)] - [Buildings (Seq: 83)] Constr 8609 Basis - Both]&gt;</t>
        </r>
      </text>
    </comment>
    <comment ref="O1270" authorId="0" shapeId="0" xr:uid="{A26FED62-BB13-45F9-9B86-51DA4C2BAD94}">
      <text>
        <r>
          <rPr>
            <b/>
            <sz val="9"/>
            <color indexed="81"/>
            <rFont val="Tahoma"/>
            <family val="2"/>
          </rPr>
          <t>&lt;[[TCDeals] - [TC Property Current Stage (Seq: 1)] - [Buildings (Seq: 83)] Constr 8609 Credit - Both]&gt;</t>
        </r>
      </text>
    </comment>
    <comment ref="P1270" authorId="0" shapeId="0" xr:uid="{D7070137-7DF1-4CA1-9C80-26EFD2ECF8A2}">
      <text>
        <r>
          <rPr>
            <b/>
            <sz val="9"/>
            <color indexed="81"/>
            <rFont val="Tahoma"/>
            <family val="2"/>
          </rPr>
          <t>&lt;[[TCDeals] - [TC Property Current Stage (Seq: 1)] - [Buildings (Seq: 83)] Acq PIS Date - Both]&gt;</t>
        </r>
      </text>
    </comment>
    <comment ref="Q1270" authorId="0" shapeId="0" xr:uid="{BA70D0C8-6A23-457B-9759-4DC254AC42CE}">
      <text>
        <r>
          <rPr>
            <b/>
            <sz val="9"/>
            <color indexed="81"/>
            <rFont val="Tahoma"/>
            <family val="2"/>
          </rPr>
          <t>&lt;[[TCDeals] - [TC Property Current Stage (Seq: 1)] - [Buildings (Seq: 83)] Acq Applicable Percentage - Both]&gt;</t>
        </r>
      </text>
    </comment>
    <comment ref="R1270" authorId="0" shapeId="0" xr:uid="{EE997EFF-DF30-46AA-A471-3F2B1D4FACE0}">
      <text>
        <r>
          <rPr>
            <b/>
            <sz val="9"/>
            <color indexed="81"/>
            <rFont val="Tahoma"/>
            <family val="2"/>
          </rPr>
          <t>&lt;[[TCDeals] - [TC Property Current Stage (Seq: 1)] - [Buildings (Seq: 83)] Acq Est Qual Basis - Both]&gt;</t>
        </r>
      </text>
    </comment>
    <comment ref="S1270" authorId="0" shapeId="0" xr:uid="{B10337F6-7469-467A-924D-3570F694E015}">
      <text>
        <r>
          <rPr>
            <b/>
            <sz val="9"/>
            <color indexed="81"/>
            <rFont val="Tahoma"/>
            <family val="2"/>
          </rPr>
          <t>&lt;[[TCDeals] - [TC Property Current Stage (Seq: 1)] - [Buildings (Seq: 83)] Acq 8609 Basis - Both]&gt;</t>
        </r>
      </text>
    </comment>
    <comment ref="T1270" authorId="0" shapeId="0" xr:uid="{DD80C213-D616-4B24-8AF4-9DFD0F861272}">
      <text>
        <r>
          <rPr>
            <b/>
            <sz val="9"/>
            <color indexed="81"/>
            <rFont val="Tahoma"/>
            <family val="2"/>
          </rPr>
          <t>&lt;[[TCDeals] - [TC Property Current Stage (Seq: 1)] - [Buildings (Seq: 83)] Acq 8609 Credit - Both]&gt;</t>
        </r>
      </text>
    </comment>
    <comment ref="C1271" authorId="0" shapeId="0" xr:uid="{4DE7A9AC-A6AC-41FA-A34D-BFD81828EF0C}">
      <text>
        <r>
          <rPr>
            <b/>
            <sz val="9"/>
            <color indexed="81"/>
            <rFont val="Tahoma"/>
            <family val="2"/>
          </rPr>
          <t>&lt;[[TCDeals] - [TC Property Current Stage (Seq: 1)] - [Buildings (Seq: 84)] BIN - Both]&gt;</t>
        </r>
      </text>
    </comment>
    <comment ref="D1271" authorId="0" shapeId="0" xr:uid="{D3790A2A-ACC1-43A3-B825-C03E92D96BF6}">
      <text>
        <r>
          <rPr>
            <b/>
            <sz val="9"/>
            <color indexed="81"/>
            <rFont val="Tahoma"/>
            <family val="2"/>
          </rPr>
          <t>&lt;[[TCDeals] - [TC Property Current Stage (Seq: 1)] - [Buildings (Seq: 84)] Address 1 - Both]&gt;</t>
        </r>
      </text>
    </comment>
    <comment ref="E1271" authorId="0" shapeId="0" xr:uid="{AE2AB957-A64C-443B-80C4-2EBA4C3E9876}">
      <text>
        <r>
          <rPr>
            <b/>
            <sz val="9"/>
            <color indexed="81"/>
            <rFont val="Tahoma"/>
            <family val="2"/>
          </rPr>
          <t>&lt;[[TCDeals] - [TC Property Current Stage (Seq: 1)] - [Buildings (Seq: 84)] Num TC Units - Both]&gt;</t>
        </r>
      </text>
    </comment>
    <comment ref="F1271" authorId="0" shapeId="0" xr:uid="{C67D76B7-621D-4EBD-A341-83868A6C334E}">
      <text>
        <r>
          <rPr>
            <b/>
            <sz val="9"/>
            <color indexed="81"/>
            <rFont val="Tahoma"/>
            <family val="2"/>
          </rPr>
          <t>&lt;[[TCDeals] - [TC Property Current Stage (Seq: 1)] - [Buildings (Seq: 84)] PVC PIS Date - Both]&gt;</t>
        </r>
      </text>
    </comment>
    <comment ref="G1271" authorId="0" shapeId="0" xr:uid="{C199B483-CFD0-43C2-BCF8-9E74AC0A7450}">
      <text>
        <r>
          <rPr>
            <b/>
            <sz val="9"/>
            <color indexed="81"/>
            <rFont val="Tahoma"/>
            <family val="2"/>
          </rPr>
          <t>&lt;[[TCDeals] - [TC Property Current Stage (Seq: 1)] - [Buildings (Seq: 84)] PVC Applicable Percentage - Both]&gt;</t>
        </r>
      </text>
    </comment>
    <comment ref="H1271" authorId="0" shapeId="0" xr:uid="{C398D1E4-DD11-4373-A745-25FDDD7F5C15}">
      <text>
        <r>
          <rPr>
            <b/>
            <sz val="9"/>
            <color indexed="81"/>
            <rFont val="Tahoma"/>
            <family val="2"/>
          </rPr>
          <t>&lt;[[TCDeals] - [TC Property Current Stage (Seq: 1)] - [Buildings (Seq: 84)] PVC Est Qual Basis - Both]&gt;</t>
        </r>
      </text>
    </comment>
    <comment ref="I1271" authorId="0" shapeId="0" xr:uid="{3E6ACE38-A187-4BEC-B481-B3318AD0DB33}">
      <text>
        <r>
          <rPr>
            <b/>
            <sz val="9"/>
            <color indexed="81"/>
            <rFont val="Tahoma"/>
            <family val="2"/>
          </rPr>
          <t>&lt;[[TCDeals] - [TC Property Current Stage (Seq: 1)] - [Buildings (Seq: 84)] PVC8609 Basis - Both]&gt;</t>
        </r>
      </text>
    </comment>
    <comment ref="J1271" authorId="0" shapeId="0" xr:uid="{80A64E25-2B7B-4BA3-9E43-81DFD634959B}">
      <text>
        <r>
          <rPr>
            <b/>
            <sz val="9"/>
            <color indexed="81"/>
            <rFont val="Tahoma"/>
            <family val="2"/>
          </rPr>
          <t>&lt;[[TCDeals] - [TC Property Current Stage (Seq: 1)] - [Buildings (Seq: 84)] PVC8609 Credit - Both]&gt;</t>
        </r>
      </text>
    </comment>
    <comment ref="K1271" authorId="0" shapeId="0" xr:uid="{3254DC25-E2FC-40E3-B19B-FD459DEFB091}">
      <text>
        <r>
          <rPr>
            <b/>
            <sz val="9"/>
            <color indexed="81"/>
            <rFont val="Tahoma"/>
            <family val="2"/>
          </rPr>
          <t>&lt;[[TCDeals] - [TC Property Current Stage (Seq: 1)] - [Buildings (Seq: 84)] Constr PIS Date - Both]&gt;</t>
        </r>
      </text>
    </comment>
    <comment ref="L1271" authorId="0" shapeId="0" xr:uid="{C9A664F6-BF0E-4F3D-B1C8-516877923AE7}">
      <text>
        <r>
          <rPr>
            <b/>
            <sz val="9"/>
            <color indexed="81"/>
            <rFont val="Tahoma"/>
            <family val="2"/>
          </rPr>
          <t>&lt;[[TCDeals] - [TC Property Current Stage (Seq: 1)] - [Buildings (Seq: 84)] Constr Applicable Percentage - Both]&gt;</t>
        </r>
      </text>
    </comment>
    <comment ref="M1271" authorId="0" shapeId="0" xr:uid="{FDE551BE-5C1A-4E92-9852-7C53972B552A}">
      <text>
        <r>
          <rPr>
            <b/>
            <sz val="9"/>
            <color indexed="81"/>
            <rFont val="Tahoma"/>
            <family val="2"/>
          </rPr>
          <t>&lt;[[TCDeals] - [TC Property Current Stage (Seq: 1)] - [Buildings (Seq: 84)] Constr Est Qual Basis - Both]&gt;</t>
        </r>
      </text>
    </comment>
    <comment ref="N1271" authorId="0" shapeId="0" xr:uid="{556CD3CF-7E40-471C-B13F-DD86082BE437}">
      <text>
        <r>
          <rPr>
            <b/>
            <sz val="9"/>
            <color indexed="81"/>
            <rFont val="Tahoma"/>
            <family val="2"/>
          </rPr>
          <t>&lt;[[TCDeals] - [TC Property Current Stage (Seq: 1)] - [Buildings (Seq: 84)] Constr 8609 Basis - Both]&gt;</t>
        </r>
      </text>
    </comment>
    <comment ref="O1271" authorId="0" shapeId="0" xr:uid="{F21B2847-1624-4FD6-A31F-EAEC91C54397}">
      <text>
        <r>
          <rPr>
            <b/>
            <sz val="9"/>
            <color indexed="81"/>
            <rFont val="Tahoma"/>
            <family val="2"/>
          </rPr>
          <t>&lt;[[TCDeals] - [TC Property Current Stage (Seq: 1)] - [Buildings (Seq: 84)] Constr 8609 Credit - Both]&gt;</t>
        </r>
      </text>
    </comment>
    <comment ref="P1271" authorId="0" shapeId="0" xr:uid="{7D5B09E8-21B1-4DA2-9424-17BB8423FB65}">
      <text>
        <r>
          <rPr>
            <b/>
            <sz val="9"/>
            <color indexed="81"/>
            <rFont val="Tahoma"/>
            <family val="2"/>
          </rPr>
          <t>&lt;[[TCDeals] - [TC Property Current Stage (Seq: 1)] - [Buildings (Seq: 84)] Acq PIS Date - Both]&gt;</t>
        </r>
      </text>
    </comment>
    <comment ref="Q1271" authorId="0" shapeId="0" xr:uid="{B79710C1-FCE9-4314-BE96-1751FC9217A9}">
      <text>
        <r>
          <rPr>
            <b/>
            <sz val="9"/>
            <color indexed="81"/>
            <rFont val="Tahoma"/>
            <family val="2"/>
          </rPr>
          <t>&lt;[[TCDeals] - [TC Property Current Stage (Seq: 1)] - [Buildings (Seq: 84)] Acq Applicable Percentage - Both]&gt;</t>
        </r>
      </text>
    </comment>
    <comment ref="R1271" authorId="0" shapeId="0" xr:uid="{2CD9C3A3-9214-44CE-9397-248847C78A1D}">
      <text>
        <r>
          <rPr>
            <b/>
            <sz val="9"/>
            <color indexed="81"/>
            <rFont val="Tahoma"/>
            <family val="2"/>
          </rPr>
          <t>&lt;[[TCDeals] - [TC Property Current Stage (Seq: 1)] - [Buildings (Seq: 84)] Acq Est Qual Basis - Both]&gt;</t>
        </r>
      </text>
    </comment>
    <comment ref="S1271" authorId="0" shapeId="0" xr:uid="{E33AEA79-EB90-4D2E-B1E5-7D270FAC85E3}">
      <text>
        <r>
          <rPr>
            <b/>
            <sz val="9"/>
            <color indexed="81"/>
            <rFont val="Tahoma"/>
            <family val="2"/>
          </rPr>
          <t>&lt;[[TCDeals] - [TC Property Current Stage (Seq: 1)] - [Buildings (Seq: 84)] Acq 8609 Basis - Both]&gt;</t>
        </r>
      </text>
    </comment>
    <comment ref="T1271" authorId="0" shapeId="0" xr:uid="{E6D68CC3-34C2-4983-BF9F-760D16C0B9FD}">
      <text>
        <r>
          <rPr>
            <b/>
            <sz val="9"/>
            <color indexed="81"/>
            <rFont val="Tahoma"/>
            <family val="2"/>
          </rPr>
          <t>&lt;[[TCDeals] - [TC Property Current Stage (Seq: 1)] - [Buildings (Seq: 84)] Acq 8609 Credit - Both]&gt;</t>
        </r>
      </text>
    </comment>
    <comment ref="C1272" authorId="0" shapeId="0" xr:uid="{8DBD2B3C-07B3-401C-91B7-D93A8E11C391}">
      <text>
        <r>
          <rPr>
            <b/>
            <sz val="9"/>
            <color indexed="81"/>
            <rFont val="Tahoma"/>
            <family val="2"/>
          </rPr>
          <t>&lt;[[TCDeals] - [TC Property Current Stage (Seq: 1)] - [Buildings (Seq: 85)] BIN - Both]&gt;</t>
        </r>
      </text>
    </comment>
    <comment ref="D1272" authorId="0" shapeId="0" xr:uid="{81E96449-96AF-408C-934E-71C1AE253E4D}">
      <text>
        <r>
          <rPr>
            <b/>
            <sz val="9"/>
            <color indexed="81"/>
            <rFont val="Tahoma"/>
            <family val="2"/>
          </rPr>
          <t>&lt;[[TCDeals] - [TC Property Current Stage (Seq: 1)] - [Buildings (Seq: 85)] Address 1 - Both]&gt;</t>
        </r>
      </text>
    </comment>
    <comment ref="E1272" authorId="0" shapeId="0" xr:uid="{4CDD945D-3853-467D-913D-75A4F81CC017}">
      <text>
        <r>
          <rPr>
            <b/>
            <sz val="9"/>
            <color indexed="81"/>
            <rFont val="Tahoma"/>
            <family val="2"/>
          </rPr>
          <t>&lt;[[TCDeals] - [TC Property Current Stage (Seq: 1)] - [Buildings (Seq: 85)] Num TC Units - Both]&gt;</t>
        </r>
      </text>
    </comment>
    <comment ref="F1272" authorId="0" shapeId="0" xr:uid="{2869BC8C-1CD1-4EA7-B125-C309D05F8AA7}">
      <text>
        <r>
          <rPr>
            <b/>
            <sz val="9"/>
            <color indexed="81"/>
            <rFont val="Tahoma"/>
            <family val="2"/>
          </rPr>
          <t>&lt;[[TCDeals] - [TC Property Current Stage (Seq: 1)] - [Buildings (Seq: 85)] PVC PIS Date - Both]&gt;</t>
        </r>
      </text>
    </comment>
    <comment ref="G1272" authorId="0" shapeId="0" xr:uid="{C65B3AD5-9BD8-4CC1-A8F3-15DF493F46D7}">
      <text>
        <r>
          <rPr>
            <b/>
            <sz val="9"/>
            <color indexed="81"/>
            <rFont val="Tahoma"/>
            <family val="2"/>
          </rPr>
          <t>&lt;[[TCDeals] - [TC Property Current Stage (Seq: 1)] - [Buildings (Seq: 85)] PVC Applicable Percentage - Both]&gt;</t>
        </r>
      </text>
    </comment>
    <comment ref="H1272" authorId="0" shapeId="0" xr:uid="{7CA41F64-B729-4D55-AD85-DE6120D00DB2}">
      <text>
        <r>
          <rPr>
            <b/>
            <sz val="9"/>
            <color indexed="81"/>
            <rFont val="Tahoma"/>
            <family val="2"/>
          </rPr>
          <t>&lt;[[TCDeals] - [TC Property Current Stage (Seq: 1)] - [Buildings (Seq: 85)] PVC Est Qual Basis - Both]&gt;</t>
        </r>
      </text>
    </comment>
    <comment ref="I1272" authorId="0" shapeId="0" xr:uid="{1BA1944C-CC30-4640-B829-390CA4217553}">
      <text>
        <r>
          <rPr>
            <b/>
            <sz val="9"/>
            <color indexed="81"/>
            <rFont val="Tahoma"/>
            <family val="2"/>
          </rPr>
          <t>&lt;[[TCDeals] - [TC Property Current Stage (Seq: 1)] - [Buildings (Seq: 85)] PVC8609 Basis - Both]&gt;</t>
        </r>
      </text>
    </comment>
    <comment ref="J1272" authorId="0" shapeId="0" xr:uid="{7C14607F-D729-409E-AEDD-A0615934F08F}">
      <text>
        <r>
          <rPr>
            <b/>
            <sz val="9"/>
            <color indexed="81"/>
            <rFont val="Tahoma"/>
            <family val="2"/>
          </rPr>
          <t>&lt;[[TCDeals] - [TC Property Current Stage (Seq: 1)] - [Buildings (Seq: 85)] PVC8609 Credit - Both]&gt;</t>
        </r>
      </text>
    </comment>
    <comment ref="K1272" authorId="0" shapeId="0" xr:uid="{E5CB2873-92FF-431F-ABA1-936714D0E9F0}">
      <text>
        <r>
          <rPr>
            <b/>
            <sz val="9"/>
            <color indexed="81"/>
            <rFont val="Tahoma"/>
            <family val="2"/>
          </rPr>
          <t>&lt;[[TCDeals] - [TC Property Current Stage (Seq: 1)] - [Buildings (Seq: 85)] Constr PIS Date - Both]&gt;</t>
        </r>
      </text>
    </comment>
    <comment ref="L1272" authorId="0" shapeId="0" xr:uid="{01135FF5-D2C4-42C5-B03C-7CC9AE389BB0}">
      <text>
        <r>
          <rPr>
            <b/>
            <sz val="9"/>
            <color indexed="81"/>
            <rFont val="Tahoma"/>
            <family val="2"/>
          </rPr>
          <t>&lt;[[TCDeals] - [TC Property Current Stage (Seq: 1)] - [Buildings (Seq: 85)] Constr Applicable Percentage - Both]&gt;</t>
        </r>
      </text>
    </comment>
    <comment ref="M1272" authorId="0" shapeId="0" xr:uid="{681FD2FF-0164-4B41-8A63-73B126531B66}">
      <text>
        <r>
          <rPr>
            <b/>
            <sz val="9"/>
            <color indexed="81"/>
            <rFont val="Tahoma"/>
            <family val="2"/>
          </rPr>
          <t>&lt;[[TCDeals] - [TC Property Current Stage (Seq: 1)] - [Buildings (Seq: 85)] Constr Est Qual Basis - Both]&gt;</t>
        </r>
      </text>
    </comment>
    <comment ref="N1272" authorId="0" shapeId="0" xr:uid="{D3F88820-BA24-402E-8FE9-0225526352EE}">
      <text>
        <r>
          <rPr>
            <b/>
            <sz val="9"/>
            <color indexed="81"/>
            <rFont val="Tahoma"/>
            <family val="2"/>
          </rPr>
          <t>&lt;[[TCDeals] - [TC Property Current Stage (Seq: 1)] - [Buildings (Seq: 85)] Constr 8609 Basis - Both]&gt;</t>
        </r>
      </text>
    </comment>
    <comment ref="O1272" authorId="0" shapeId="0" xr:uid="{86D090BC-EE95-4EA8-BC2B-B88C6499D9F6}">
      <text>
        <r>
          <rPr>
            <b/>
            <sz val="9"/>
            <color indexed="81"/>
            <rFont val="Tahoma"/>
            <family val="2"/>
          </rPr>
          <t>&lt;[[TCDeals] - [TC Property Current Stage (Seq: 1)] - [Buildings (Seq: 85)] Constr 8609 Credit - Both]&gt;</t>
        </r>
      </text>
    </comment>
    <comment ref="P1272" authorId="0" shapeId="0" xr:uid="{C8D0EE24-417C-40AB-9403-95FF85A99055}">
      <text>
        <r>
          <rPr>
            <b/>
            <sz val="9"/>
            <color indexed="81"/>
            <rFont val="Tahoma"/>
            <family val="2"/>
          </rPr>
          <t>&lt;[[TCDeals] - [TC Property Current Stage (Seq: 1)] - [Buildings (Seq: 85)] Acq PIS Date - Both]&gt;</t>
        </r>
      </text>
    </comment>
    <comment ref="Q1272" authorId="0" shapeId="0" xr:uid="{51F768E7-0DA4-40F1-BBFC-0D239368F3B7}">
      <text>
        <r>
          <rPr>
            <b/>
            <sz val="9"/>
            <color indexed="81"/>
            <rFont val="Tahoma"/>
            <family val="2"/>
          </rPr>
          <t>&lt;[[TCDeals] - [TC Property Current Stage (Seq: 1)] - [Buildings (Seq: 85)] Acq Applicable Percentage - Both]&gt;</t>
        </r>
      </text>
    </comment>
    <comment ref="R1272" authorId="0" shapeId="0" xr:uid="{71DE61F3-101D-4CAC-A4C5-AC79F7A1A72C}">
      <text>
        <r>
          <rPr>
            <b/>
            <sz val="9"/>
            <color indexed="81"/>
            <rFont val="Tahoma"/>
            <family val="2"/>
          </rPr>
          <t>&lt;[[TCDeals] - [TC Property Current Stage (Seq: 1)] - [Buildings (Seq: 85)] Acq Est Qual Basis - Both]&gt;</t>
        </r>
      </text>
    </comment>
    <comment ref="S1272" authorId="0" shapeId="0" xr:uid="{20946C3E-C8FF-42ED-BA89-B4F9DBA94B18}">
      <text>
        <r>
          <rPr>
            <b/>
            <sz val="9"/>
            <color indexed="81"/>
            <rFont val="Tahoma"/>
            <family val="2"/>
          </rPr>
          <t>&lt;[[TCDeals] - [TC Property Current Stage (Seq: 1)] - [Buildings (Seq: 85)] Acq 8609 Basis - Both]&gt;</t>
        </r>
      </text>
    </comment>
    <comment ref="T1272" authorId="0" shapeId="0" xr:uid="{2F8035E9-0ED2-4E6B-8A7D-9B8776F48FCE}">
      <text>
        <r>
          <rPr>
            <b/>
            <sz val="9"/>
            <color indexed="81"/>
            <rFont val="Tahoma"/>
            <family val="2"/>
          </rPr>
          <t>&lt;[[TCDeals] - [TC Property Current Stage (Seq: 1)] - [Buildings (Seq: 85)] Acq 8609 Credit - Both]&gt;</t>
        </r>
      </text>
    </comment>
    <comment ref="C1273" authorId="0" shapeId="0" xr:uid="{F901D05A-F658-4688-84AA-798408F9C3EE}">
      <text>
        <r>
          <rPr>
            <b/>
            <sz val="9"/>
            <color indexed="81"/>
            <rFont val="Tahoma"/>
            <family val="2"/>
          </rPr>
          <t>&lt;[[TCDeals] - [TC Property Current Stage (Seq: 1)] - [Buildings (Seq: 86)] BIN - Both]&gt;</t>
        </r>
      </text>
    </comment>
    <comment ref="D1273" authorId="0" shapeId="0" xr:uid="{E4035017-C428-4A70-AE55-14F93B32B879}">
      <text>
        <r>
          <rPr>
            <b/>
            <sz val="9"/>
            <color indexed="81"/>
            <rFont val="Tahoma"/>
            <family val="2"/>
          </rPr>
          <t>&lt;[[TCDeals] - [TC Property Current Stage (Seq: 1)] - [Buildings (Seq: 86)] Address 1 - Both]&gt;</t>
        </r>
      </text>
    </comment>
    <comment ref="E1273" authorId="0" shapeId="0" xr:uid="{1023C85E-8827-4E8C-9328-B1224491322E}">
      <text>
        <r>
          <rPr>
            <b/>
            <sz val="9"/>
            <color indexed="81"/>
            <rFont val="Tahoma"/>
            <family val="2"/>
          </rPr>
          <t>&lt;[[TCDeals] - [TC Property Current Stage (Seq: 1)] - [Buildings (Seq: 86)] Num TC Units - Both]&gt;</t>
        </r>
      </text>
    </comment>
    <comment ref="F1273" authorId="0" shapeId="0" xr:uid="{7ECA636C-58CF-4A98-8FB9-07264C189154}">
      <text>
        <r>
          <rPr>
            <b/>
            <sz val="9"/>
            <color indexed="81"/>
            <rFont val="Tahoma"/>
            <family val="2"/>
          </rPr>
          <t>&lt;[[TCDeals] - [TC Property Current Stage (Seq: 1)] - [Buildings (Seq: 86)] PVC PIS Date - Both]&gt;</t>
        </r>
      </text>
    </comment>
    <comment ref="G1273" authorId="0" shapeId="0" xr:uid="{38A8F25A-4116-4551-A5BA-150F3538B0E6}">
      <text>
        <r>
          <rPr>
            <b/>
            <sz val="9"/>
            <color indexed="81"/>
            <rFont val="Tahoma"/>
            <family val="2"/>
          </rPr>
          <t>&lt;[[TCDeals] - [TC Property Current Stage (Seq: 1)] - [Buildings (Seq: 86)] PVC Applicable Percentage - Both]&gt;</t>
        </r>
      </text>
    </comment>
    <comment ref="H1273" authorId="0" shapeId="0" xr:uid="{898A3A88-5FD7-429D-A8F7-5C3184FA7206}">
      <text>
        <r>
          <rPr>
            <b/>
            <sz val="9"/>
            <color indexed="81"/>
            <rFont val="Tahoma"/>
            <family val="2"/>
          </rPr>
          <t>&lt;[[TCDeals] - [TC Property Current Stage (Seq: 1)] - [Buildings (Seq: 86)] PVC Est Qual Basis - Both]&gt;</t>
        </r>
      </text>
    </comment>
    <comment ref="I1273" authorId="0" shapeId="0" xr:uid="{7C908E84-E452-4C80-A573-6B41F0C45F83}">
      <text>
        <r>
          <rPr>
            <b/>
            <sz val="9"/>
            <color indexed="81"/>
            <rFont val="Tahoma"/>
            <family val="2"/>
          </rPr>
          <t>&lt;[[TCDeals] - [TC Property Current Stage (Seq: 1)] - [Buildings (Seq: 86)] PVC8609 Basis - Both]&gt;</t>
        </r>
      </text>
    </comment>
    <comment ref="J1273" authorId="0" shapeId="0" xr:uid="{CF6796DF-3784-429E-B21F-19EC3BFD3926}">
      <text>
        <r>
          <rPr>
            <b/>
            <sz val="9"/>
            <color indexed="81"/>
            <rFont val="Tahoma"/>
            <family val="2"/>
          </rPr>
          <t>&lt;[[TCDeals] - [TC Property Current Stage (Seq: 1)] - [Buildings (Seq: 86)] PVC8609 Credit - Both]&gt;</t>
        </r>
      </text>
    </comment>
    <comment ref="K1273" authorId="0" shapeId="0" xr:uid="{3253A68E-CD61-414A-AC24-79B95374F849}">
      <text>
        <r>
          <rPr>
            <b/>
            <sz val="9"/>
            <color indexed="81"/>
            <rFont val="Tahoma"/>
            <family val="2"/>
          </rPr>
          <t>&lt;[[TCDeals] - [TC Property Current Stage (Seq: 1)] - [Buildings (Seq: 86)] Constr PIS Date - Both]&gt;</t>
        </r>
      </text>
    </comment>
    <comment ref="L1273" authorId="0" shapeId="0" xr:uid="{20F3B6A3-F458-4613-BB72-E72958963207}">
      <text>
        <r>
          <rPr>
            <b/>
            <sz val="9"/>
            <color indexed="81"/>
            <rFont val="Tahoma"/>
            <family val="2"/>
          </rPr>
          <t>&lt;[[TCDeals] - [TC Property Current Stage (Seq: 1)] - [Buildings (Seq: 86)] Constr Applicable Percentage - Both]&gt;</t>
        </r>
      </text>
    </comment>
    <comment ref="M1273" authorId="0" shapeId="0" xr:uid="{551EC164-AEDC-4FFB-8BEB-887018A68B29}">
      <text>
        <r>
          <rPr>
            <b/>
            <sz val="9"/>
            <color indexed="81"/>
            <rFont val="Tahoma"/>
            <family val="2"/>
          </rPr>
          <t>&lt;[[TCDeals] - [TC Property Current Stage (Seq: 1)] - [Buildings (Seq: 86)] Constr Est Qual Basis - Both]&gt;</t>
        </r>
      </text>
    </comment>
    <comment ref="N1273" authorId="0" shapeId="0" xr:uid="{C605F82A-8BC3-4B41-BA49-B7E9AA8C0643}">
      <text>
        <r>
          <rPr>
            <b/>
            <sz val="9"/>
            <color indexed="81"/>
            <rFont val="Tahoma"/>
            <family val="2"/>
          </rPr>
          <t>&lt;[[TCDeals] - [TC Property Current Stage (Seq: 1)] - [Buildings (Seq: 86)] Constr 8609 Basis - Both]&gt;</t>
        </r>
      </text>
    </comment>
    <comment ref="O1273" authorId="0" shapeId="0" xr:uid="{6414B88D-3F7E-4FDF-BAF4-894B2D5C7986}">
      <text>
        <r>
          <rPr>
            <b/>
            <sz val="9"/>
            <color indexed="81"/>
            <rFont val="Tahoma"/>
            <family val="2"/>
          </rPr>
          <t>&lt;[[TCDeals] - [TC Property Current Stage (Seq: 1)] - [Buildings (Seq: 86)] Constr 8609 Credit - Both]&gt;</t>
        </r>
      </text>
    </comment>
    <comment ref="P1273" authorId="0" shapeId="0" xr:uid="{64386039-800A-4ECB-A124-0C10AF116839}">
      <text>
        <r>
          <rPr>
            <b/>
            <sz val="9"/>
            <color indexed="81"/>
            <rFont val="Tahoma"/>
            <family val="2"/>
          </rPr>
          <t>&lt;[[TCDeals] - [TC Property Current Stage (Seq: 1)] - [Buildings (Seq: 86)] Acq PIS Date - Both]&gt;</t>
        </r>
      </text>
    </comment>
    <comment ref="Q1273" authorId="0" shapeId="0" xr:uid="{65AC6AAA-3B21-4ED8-A3CB-3172AD6F571D}">
      <text>
        <r>
          <rPr>
            <b/>
            <sz val="9"/>
            <color indexed="81"/>
            <rFont val="Tahoma"/>
            <family val="2"/>
          </rPr>
          <t>&lt;[[TCDeals] - [TC Property Current Stage (Seq: 1)] - [Buildings (Seq: 86)] Acq Applicable Percentage - Both]&gt;</t>
        </r>
      </text>
    </comment>
    <comment ref="R1273" authorId="0" shapeId="0" xr:uid="{4B27F09D-30EF-4369-A9F7-ECA0E1CC5FF0}">
      <text>
        <r>
          <rPr>
            <b/>
            <sz val="9"/>
            <color indexed="81"/>
            <rFont val="Tahoma"/>
            <family val="2"/>
          </rPr>
          <t>&lt;[[TCDeals] - [TC Property Current Stage (Seq: 1)] - [Buildings (Seq: 86)] Acq Est Qual Basis - Both]&gt;</t>
        </r>
      </text>
    </comment>
    <comment ref="S1273" authorId="0" shapeId="0" xr:uid="{9C3537CC-E0A1-4975-98A2-8EA8080623B8}">
      <text>
        <r>
          <rPr>
            <b/>
            <sz val="9"/>
            <color indexed="81"/>
            <rFont val="Tahoma"/>
            <family val="2"/>
          </rPr>
          <t>&lt;[[TCDeals] - [TC Property Current Stage (Seq: 1)] - [Buildings (Seq: 86)] Acq 8609 Basis - Both]&gt;</t>
        </r>
      </text>
    </comment>
    <comment ref="T1273" authorId="0" shapeId="0" xr:uid="{2BF2B91B-727D-4EA5-BF41-BAF4C9E48D54}">
      <text>
        <r>
          <rPr>
            <b/>
            <sz val="9"/>
            <color indexed="81"/>
            <rFont val="Tahoma"/>
            <family val="2"/>
          </rPr>
          <t>&lt;[[TCDeals] - [TC Property Current Stage (Seq: 1)] - [Buildings (Seq: 86)] Acq 8609 Credit - Both]&gt;</t>
        </r>
      </text>
    </comment>
    <comment ref="C1274" authorId="0" shapeId="0" xr:uid="{E127BC37-208E-45DE-99AA-517FD7ADCF6B}">
      <text>
        <r>
          <rPr>
            <b/>
            <sz val="9"/>
            <color indexed="81"/>
            <rFont val="Tahoma"/>
            <family val="2"/>
          </rPr>
          <t>&lt;[[TCDeals] - [TC Property Current Stage (Seq: 1)] - [Buildings (Seq: 87)] BIN - Both]&gt;</t>
        </r>
      </text>
    </comment>
    <comment ref="D1274" authorId="0" shapeId="0" xr:uid="{7D448C59-CAF6-4702-8FB7-34C8A89B211A}">
      <text>
        <r>
          <rPr>
            <b/>
            <sz val="9"/>
            <color indexed="81"/>
            <rFont val="Tahoma"/>
            <family val="2"/>
          </rPr>
          <t>&lt;[[TCDeals] - [TC Property Current Stage (Seq: 1)] - [Buildings (Seq: 87)] Address 1 - Both]&gt;</t>
        </r>
      </text>
    </comment>
    <comment ref="E1274" authorId="0" shapeId="0" xr:uid="{59C351A0-9292-421D-9133-FFCE3B91DE2F}">
      <text>
        <r>
          <rPr>
            <b/>
            <sz val="9"/>
            <color indexed="81"/>
            <rFont val="Tahoma"/>
            <family val="2"/>
          </rPr>
          <t>&lt;[[TCDeals] - [TC Property Current Stage (Seq: 1)] - [Buildings (Seq: 87)] Num TC Units - Both]&gt;</t>
        </r>
      </text>
    </comment>
    <comment ref="F1274" authorId="0" shapeId="0" xr:uid="{B348D5E0-54DC-4025-BF74-B6DC1CFB8DAE}">
      <text>
        <r>
          <rPr>
            <b/>
            <sz val="9"/>
            <color indexed="81"/>
            <rFont val="Tahoma"/>
            <family val="2"/>
          </rPr>
          <t>&lt;[[TCDeals] - [TC Property Current Stage (Seq: 1)] - [Buildings (Seq: 87)] PVC PIS Date - Both]&gt;</t>
        </r>
      </text>
    </comment>
    <comment ref="G1274" authorId="0" shapeId="0" xr:uid="{F0B09347-F5C1-46D6-B7D3-660967736238}">
      <text>
        <r>
          <rPr>
            <b/>
            <sz val="9"/>
            <color indexed="81"/>
            <rFont val="Tahoma"/>
            <family val="2"/>
          </rPr>
          <t>&lt;[[TCDeals] - [TC Property Current Stage (Seq: 1)] - [Buildings (Seq: 87)] PVC Applicable Percentage - Both]&gt;</t>
        </r>
      </text>
    </comment>
    <comment ref="H1274" authorId="0" shapeId="0" xr:uid="{2CF0E5C5-C6F0-46B9-95FA-2D5F116BFF38}">
      <text>
        <r>
          <rPr>
            <b/>
            <sz val="9"/>
            <color indexed="81"/>
            <rFont val="Tahoma"/>
            <family val="2"/>
          </rPr>
          <t>&lt;[[TCDeals] - [TC Property Current Stage (Seq: 1)] - [Buildings (Seq: 87)] PVC Est Qual Basis - Both]&gt;</t>
        </r>
      </text>
    </comment>
    <comment ref="I1274" authorId="0" shapeId="0" xr:uid="{063B800B-89BB-4A96-B67D-5966CD6D6BC2}">
      <text>
        <r>
          <rPr>
            <b/>
            <sz val="9"/>
            <color indexed="81"/>
            <rFont val="Tahoma"/>
            <family val="2"/>
          </rPr>
          <t>&lt;[[TCDeals] - [TC Property Current Stage (Seq: 1)] - [Buildings (Seq: 87)] PVC8609 Basis - Both]&gt;</t>
        </r>
      </text>
    </comment>
    <comment ref="J1274" authorId="0" shapeId="0" xr:uid="{21A93B2B-8717-4BD9-9A04-545A0E895830}">
      <text>
        <r>
          <rPr>
            <b/>
            <sz val="9"/>
            <color indexed="81"/>
            <rFont val="Tahoma"/>
            <family val="2"/>
          </rPr>
          <t>&lt;[[TCDeals] - [TC Property Current Stage (Seq: 1)] - [Buildings (Seq: 87)] PVC8609 Credit - Both]&gt;</t>
        </r>
      </text>
    </comment>
    <comment ref="K1274" authorId="0" shapeId="0" xr:uid="{87068E4D-7D44-4533-B9D3-D59096D80647}">
      <text>
        <r>
          <rPr>
            <b/>
            <sz val="9"/>
            <color indexed="81"/>
            <rFont val="Tahoma"/>
            <family val="2"/>
          </rPr>
          <t>&lt;[[TCDeals] - [TC Property Current Stage (Seq: 1)] - [Buildings (Seq: 87)] Constr PIS Date - Both]&gt;</t>
        </r>
      </text>
    </comment>
    <comment ref="L1274" authorId="0" shapeId="0" xr:uid="{E1940F46-5FEF-4212-AAD0-4193B1CE9255}">
      <text>
        <r>
          <rPr>
            <b/>
            <sz val="9"/>
            <color indexed="81"/>
            <rFont val="Tahoma"/>
            <family val="2"/>
          </rPr>
          <t>&lt;[[TCDeals] - [TC Property Current Stage (Seq: 1)] - [Buildings (Seq: 87)] Constr Applicable Percentage - Both]&gt;</t>
        </r>
      </text>
    </comment>
    <comment ref="M1274" authorId="0" shapeId="0" xr:uid="{A8485A7F-86CB-4E14-89B7-3AEA1F334F41}">
      <text>
        <r>
          <rPr>
            <b/>
            <sz val="9"/>
            <color indexed="81"/>
            <rFont val="Tahoma"/>
            <family val="2"/>
          </rPr>
          <t>&lt;[[TCDeals] - [TC Property Current Stage (Seq: 1)] - [Buildings (Seq: 87)] Constr Est Qual Basis - Both]&gt;</t>
        </r>
      </text>
    </comment>
    <comment ref="N1274" authorId="0" shapeId="0" xr:uid="{7FDA5EDC-3EB3-46D3-885C-1C76A7CA9E07}">
      <text>
        <r>
          <rPr>
            <b/>
            <sz val="9"/>
            <color indexed="81"/>
            <rFont val="Tahoma"/>
            <family val="2"/>
          </rPr>
          <t>&lt;[[TCDeals] - [TC Property Current Stage (Seq: 1)] - [Buildings (Seq: 87)] Constr 8609 Basis - Both]&gt;</t>
        </r>
      </text>
    </comment>
    <comment ref="O1274" authorId="0" shapeId="0" xr:uid="{9C3ABD5C-C428-4012-B718-751B3882E39B}">
      <text>
        <r>
          <rPr>
            <b/>
            <sz val="9"/>
            <color indexed="81"/>
            <rFont val="Tahoma"/>
            <family val="2"/>
          </rPr>
          <t>&lt;[[TCDeals] - [TC Property Current Stage (Seq: 1)] - [Buildings (Seq: 87)] Constr 8609 Credit - Both]&gt;</t>
        </r>
      </text>
    </comment>
    <comment ref="P1274" authorId="0" shapeId="0" xr:uid="{D16E5CD9-411F-4179-B6DC-C9F82344DD47}">
      <text>
        <r>
          <rPr>
            <b/>
            <sz val="9"/>
            <color indexed="81"/>
            <rFont val="Tahoma"/>
            <family val="2"/>
          </rPr>
          <t>&lt;[[TCDeals] - [TC Property Current Stage (Seq: 1)] - [Buildings (Seq: 87)] Acq PIS Date - Both]&gt;</t>
        </r>
      </text>
    </comment>
    <comment ref="Q1274" authorId="0" shapeId="0" xr:uid="{0B5ACEB4-221F-4D74-B9D6-C67CFA96B0BE}">
      <text>
        <r>
          <rPr>
            <b/>
            <sz val="9"/>
            <color indexed="81"/>
            <rFont val="Tahoma"/>
            <family val="2"/>
          </rPr>
          <t>&lt;[[TCDeals] - [TC Property Current Stage (Seq: 1)] - [Buildings (Seq: 87)] Acq Applicable Percentage - Both]&gt;</t>
        </r>
      </text>
    </comment>
    <comment ref="R1274" authorId="0" shapeId="0" xr:uid="{AB0EEBA1-B2CE-4D38-935E-A02A54F00F92}">
      <text>
        <r>
          <rPr>
            <b/>
            <sz val="9"/>
            <color indexed="81"/>
            <rFont val="Tahoma"/>
            <family val="2"/>
          </rPr>
          <t>&lt;[[TCDeals] - [TC Property Current Stage (Seq: 1)] - [Buildings (Seq: 87)] Acq Est Qual Basis - Both]&gt;</t>
        </r>
      </text>
    </comment>
    <comment ref="S1274" authorId="0" shapeId="0" xr:uid="{2ED0F8B9-7D59-4C36-9D84-7B4FDFC443F5}">
      <text>
        <r>
          <rPr>
            <b/>
            <sz val="9"/>
            <color indexed="81"/>
            <rFont val="Tahoma"/>
            <family val="2"/>
          </rPr>
          <t>&lt;[[TCDeals] - [TC Property Current Stage (Seq: 1)] - [Buildings (Seq: 87)] Acq 8609 Basis - Both]&gt;</t>
        </r>
      </text>
    </comment>
    <comment ref="T1274" authorId="0" shapeId="0" xr:uid="{F5597D03-95DC-45D4-9AA6-76BC9F5811E8}">
      <text>
        <r>
          <rPr>
            <b/>
            <sz val="9"/>
            <color indexed="81"/>
            <rFont val="Tahoma"/>
            <family val="2"/>
          </rPr>
          <t>&lt;[[TCDeals] - [TC Property Current Stage (Seq: 1)] - [Buildings (Seq: 87)] Acq 8609 Credit - Both]&gt;</t>
        </r>
      </text>
    </comment>
    <comment ref="C1275" authorId="0" shapeId="0" xr:uid="{EB7A2224-DFDA-415D-80D3-7190DB31C092}">
      <text>
        <r>
          <rPr>
            <b/>
            <sz val="9"/>
            <color indexed="81"/>
            <rFont val="Tahoma"/>
            <family val="2"/>
          </rPr>
          <t>&lt;[[TCDeals] - [TC Property Current Stage (Seq: 1)] - [Buildings (Seq: 88)] BIN - Both]&gt;</t>
        </r>
      </text>
    </comment>
    <comment ref="D1275" authorId="0" shapeId="0" xr:uid="{D97493E4-5488-44A0-ABC7-535FAB1013E6}">
      <text>
        <r>
          <rPr>
            <b/>
            <sz val="9"/>
            <color indexed="81"/>
            <rFont val="Tahoma"/>
            <family val="2"/>
          </rPr>
          <t>&lt;[[TCDeals] - [TC Property Current Stage (Seq: 1)] - [Buildings (Seq: 88)] Address 1 - Both]&gt;</t>
        </r>
      </text>
    </comment>
    <comment ref="E1275" authorId="0" shapeId="0" xr:uid="{C8B172EE-AA87-4886-9886-39EF31DF97CC}">
      <text>
        <r>
          <rPr>
            <b/>
            <sz val="9"/>
            <color indexed="81"/>
            <rFont val="Tahoma"/>
            <family val="2"/>
          </rPr>
          <t>&lt;[[TCDeals] - [TC Property Current Stage (Seq: 1)] - [Buildings (Seq: 88)] Num TC Units - Both]&gt;</t>
        </r>
      </text>
    </comment>
    <comment ref="F1275" authorId="0" shapeId="0" xr:uid="{84C6FAE7-24FD-4395-9F26-0B8BA31D1B4C}">
      <text>
        <r>
          <rPr>
            <b/>
            <sz val="9"/>
            <color indexed="81"/>
            <rFont val="Tahoma"/>
            <family val="2"/>
          </rPr>
          <t>&lt;[[TCDeals] - [TC Property Current Stage (Seq: 1)] - [Buildings (Seq: 88)] PVC PIS Date - Both]&gt;</t>
        </r>
      </text>
    </comment>
    <comment ref="G1275" authorId="0" shapeId="0" xr:uid="{012D48F0-4A4D-4F78-9A76-8748ABC41844}">
      <text>
        <r>
          <rPr>
            <b/>
            <sz val="9"/>
            <color indexed="81"/>
            <rFont val="Tahoma"/>
            <family val="2"/>
          </rPr>
          <t>&lt;[[TCDeals] - [TC Property Current Stage (Seq: 1)] - [Buildings (Seq: 88)] PVC Applicable Percentage - Both]&gt;</t>
        </r>
      </text>
    </comment>
    <comment ref="H1275" authorId="0" shapeId="0" xr:uid="{EAD692E5-BA7F-4347-9697-1F4662F5887D}">
      <text>
        <r>
          <rPr>
            <b/>
            <sz val="9"/>
            <color indexed="81"/>
            <rFont val="Tahoma"/>
            <family val="2"/>
          </rPr>
          <t>&lt;[[TCDeals] - [TC Property Current Stage (Seq: 1)] - [Buildings (Seq: 88)] PVC Est Qual Basis - Both]&gt;</t>
        </r>
      </text>
    </comment>
    <comment ref="I1275" authorId="0" shapeId="0" xr:uid="{17688E08-FBFF-451F-8088-441B191BE62A}">
      <text>
        <r>
          <rPr>
            <b/>
            <sz val="9"/>
            <color indexed="81"/>
            <rFont val="Tahoma"/>
            <family val="2"/>
          </rPr>
          <t>&lt;[[TCDeals] - [TC Property Current Stage (Seq: 1)] - [Buildings (Seq: 88)] PVC8609 Basis - Both]&gt;</t>
        </r>
      </text>
    </comment>
    <comment ref="J1275" authorId="0" shapeId="0" xr:uid="{05F640E1-D0BC-4809-AEFB-E92496590F7D}">
      <text>
        <r>
          <rPr>
            <b/>
            <sz val="9"/>
            <color indexed="81"/>
            <rFont val="Tahoma"/>
            <family val="2"/>
          </rPr>
          <t>&lt;[[TCDeals] - [TC Property Current Stage (Seq: 1)] - [Buildings (Seq: 88)] PVC8609 Credit - Both]&gt;</t>
        </r>
      </text>
    </comment>
    <comment ref="K1275" authorId="0" shapeId="0" xr:uid="{92848728-1B01-46FE-B515-B0E7F319015C}">
      <text>
        <r>
          <rPr>
            <b/>
            <sz val="9"/>
            <color indexed="81"/>
            <rFont val="Tahoma"/>
            <family val="2"/>
          </rPr>
          <t>&lt;[[TCDeals] - [TC Property Current Stage (Seq: 1)] - [Buildings (Seq: 88)] Constr PIS Date - Both]&gt;</t>
        </r>
      </text>
    </comment>
    <comment ref="L1275" authorId="0" shapeId="0" xr:uid="{4FB80CD4-E668-4443-B5BF-D3A8D47924E9}">
      <text>
        <r>
          <rPr>
            <b/>
            <sz val="9"/>
            <color indexed="81"/>
            <rFont val="Tahoma"/>
            <family val="2"/>
          </rPr>
          <t>&lt;[[TCDeals] - [TC Property Current Stage (Seq: 1)] - [Buildings (Seq: 88)] Constr Applicable Percentage - Both]&gt;</t>
        </r>
      </text>
    </comment>
    <comment ref="M1275" authorId="0" shapeId="0" xr:uid="{95CB4D51-8EA6-44DB-879A-0BF7C316F547}">
      <text>
        <r>
          <rPr>
            <b/>
            <sz val="9"/>
            <color indexed="81"/>
            <rFont val="Tahoma"/>
            <family val="2"/>
          </rPr>
          <t>&lt;[[TCDeals] - [TC Property Current Stage (Seq: 1)] - [Buildings (Seq: 88)] Constr Est Qual Basis - Both]&gt;</t>
        </r>
      </text>
    </comment>
    <comment ref="N1275" authorId="0" shapeId="0" xr:uid="{5D3F23CA-9E3B-435F-AAB1-3D18FB899E44}">
      <text>
        <r>
          <rPr>
            <b/>
            <sz val="9"/>
            <color indexed="81"/>
            <rFont val="Tahoma"/>
            <family val="2"/>
          </rPr>
          <t>&lt;[[TCDeals] - [TC Property Current Stage (Seq: 1)] - [Buildings (Seq: 88)] Constr 8609 Basis - Both]&gt;</t>
        </r>
      </text>
    </comment>
    <comment ref="O1275" authorId="0" shapeId="0" xr:uid="{3B92B827-63E2-46AA-B8FE-97125C408FFF}">
      <text>
        <r>
          <rPr>
            <b/>
            <sz val="9"/>
            <color indexed="81"/>
            <rFont val="Tahoma"/>
            <family val="2"/>
          </rPr>
          <t>&lt;[[TCDeals] - [TC Property Current Stage (Seq: 1)] - [Buildings (Seq: 88)] Constr 8609 Credit - Both]&gt;</t>
        </r>
      </text>
    </comment>
    <comment ref="P1275" authorId="0" shapeId="0" xr:uid="{559F05A8-50FB-46B7-8489-ED2F1D13A5FC}">
      <text>
        <r>
          <rPr>
            <b/>
            <sz val="9"/>
            <color indexed="81"/>
            <rFont val="Tahoma"/>
            <family val="2"/>
          </rPr>
          <t>&lt;[[TCDeals] - [TC Property Current Stage (Seq: 1)] - [Buildings (Seq: 88)] Acq PIS Date - Both]&gt;</t>
        </r>
      </text>
    </comment>
    <comment ref="Q1275" authorId="0" shapeId="0" xr:uid="{D478C8AA-B128-4089-9CF6-EAC5A25FE13D}">
      <text>
        <r>
          <rPr>
            <b/>
            <sz val="9"/>
            <color indexed="81"/>
            <rFont val="Tahoma"/>
            <family val="2"/>
          </rPr>
          <t>&lt;[[TCDeals] - [TC Property Current Stage (Seq: 1)] - [Buildings (Seq: 88)] Acq Applicable Percentage - Both]&gt;</t>
        </r>
      </text>
    </comment>
    <comment ref="R1275" authorId="0" shapeId="0" xr:uid="{81713430-8CD4-4368-BA73-EB6EA8AE3CD7}">
      <text>
        <r>
          <rPr>
            <b/>
            <sz val="9"/>
            <color indexed="81"/>
            <rFont val="Tahoma"/>
            <family val="2"/>
          </rPr>
          <t>&lt;[[TCDeals] - [TC Property Current Stage (Seq: 1)] - [Buildings (Seq: 88)] Acq Est Qual Basis - Both]&gt;</t>
        </r>
      </text>
    </comment>
    <comment ref="S1275" authorId="0" shapeId="0" xr:uid="{1B3D4C67-D752-4D98-BA8F-34EC9A188B64}">
      <text>
        <r>
          <rPr>
            <b/>
            <sz val="9"/>
            <color indexed="81"/>
            <rFont val="Tahoma"/>
            <family val="2"/>
          </rPr>
          <t>&lt;[[TCDeals] - [TC Property Current Stage (Seq: 1)] - [Buildings (Seq: 88)] Acq 8609 Basis - Both]&gt;</t>
        </r>
      </text>
    </comment>
    <comment ref="T1275" authorId="0" shapeId="0" xr:uid="{67D73430-E76A-44D9-952F-747237EDD9EF}">
      <text>
        <r>
          <rPr>
            <b/>
            <sz val="9"/>
            <color indexed="81"/>
            <rFont val="Tahoma"/>
            <family val="2"/>
          </rPr>
          <t>&lt;[[TCDeals] - [TC Property Current Stage (Seq: 1)] - [Buildings (Seq: 88)] Acq 8609 Credit - Both]&gt;</t>
        </r>
      </text>
    </comment>
    <comment ref="C1276" authorId="0" shapeId="0" xr:uid="{3EB38E23-7344-4306-ABF0-3580C7B1687B}">
      <text>
        <r>
          <rPr>
            <b/>
            <sz val="9"/>
            <color indexed="81"/>
            <rFont val="Tahoma"/>
            <family val="2"/>
          </rPr>
          <t>&lt;[[TCDeals] - [TC Property Current Stage (Seq: 1)] - [Buildings (Seq: 89)] BIN - Both]&gt;</t>
        </r>
      </text>
    </comment>
    <comment ref="D1276" authorId="0" shapeId="0" xr:uid="{63007EDC-6885-46F0-8613-3CEC375691FA}">
      <text>
        <r>
          <rPr>
            <b/>
            <sz val="9"/>
            <color indexed="81"/>
            <rFont val="Tahoma"/>
            <family val="2"/>
          </rPr>
          <t>&lt;[[TCDeals] - [TC Property Current Stage (Seq: 1)] - [Buildings (Seq: 89)] Address 1 - Both]&gt;</t>
        </r>
      </text>
    </comment>
    <comment ref="E1276" authorId="0" shapeId="0" xr:uid="{B6B8D8AB-E97A-41AC-B64B-235D1A3EAA78}">
      <text>
        <r>
          <rPr>
            <b/>
            <sz val="9"/>
            <color indexed="81"/>
            <rFont val="Tahoma"/>
            <family val="2"/>
          </rPr>
          <t>&lt;[[TCDeals] - [TC Property Current Stage (Seq: 1)] - [Buildings (Seq: 89)] Num TC Units - Both]&gt;</t>
        </r>
      </text>
    </comment>
    <comment ref="F1276" authorId="0" shapeId="0" xr:uid="{C5C7DD28-3E19-4C2D-A36F-B891FC5AFA5D}">
      <text>
        <r>
          <rPr>
            <b/>
            <sz val="9"/>
            <color indexed="81"/>
            <rFont val="Tahoma"/>
            <family val="2"/>
          </rPr>
          <t>&lt;[[TCDeals] - [TC Property Current Stage (Seq: 1)] - [Buildings (Seq: 89)] PVC PIS Date - Both]&gt;</t>
        </r>
      </text>
    </comment>
    <comment ref="G1276" authorId="0" shapeId="0" xr:uid="{5CEDB06E-37D9-41A7-9015-94C7ED003F28}">
      <text>
        <r>
          <rPr>
            <b/>
            <sz val="9"/>
            <color indexed="81"/>
            <rFont val="Tahoma"/>
            <family val="2"/>
          </rPr>
          <t>&lt;[[TCDeals] - [TC Property Current Stage (Seq: 1)] - [Buildings (Seq: 89)] PVC Applicable Percentage - Both]&gt;</t>
        </r>
      </text>
    </comment>
    <comment ref="H1276" authorId="0" shapeId="0" xr:uid="{7F6830FB-73DB-466F-B54F-82040762CCFA}">
      <text>
        <r>
          <rPr>
            <b/>
            <sz val="9"/>
            <color indexed="81"/>
            <rFont val="Tahoma"/>
            <family val="2"/>
          </rPr>
          <t>&lt;[[TCDeals] - [TC Property Current Stage (Seq: 1)] - [Buildings (Seq: 89)] PVC Est Qual Basis - Both]&gt;</t>
        </r>
      </text>
    </comment>
    <comment ref="I1276" authorId="0" shapeId="0" xr:uid="{4E447410-C4CC-4DD9-A833-3C70ADFAA862}">
      <text>
        <r>
          <rPr>
            <b/>
            <sz val="9"/>
            <color indexed="81"/>
            <rFont val="Tahoma"/>
            <family val="2"/>
          </rPr>
          <t>&lt;[[TCDeals] - [TC Property Current Stage (Seq: 1)] - [Buildings (Seq: 89)] PVC8609 Basis - Both]&gt;</t>
        </r>
      </text>
    </comment>
    <comment ref="J1276" authorId="0" shapeId="0" xr:uid="{65157996-B111-4BB7-87A5-D8EFCBB58377}">
      <text>
        <r>
          <rPr>
            <b/>
            <sz val="9"/>
            <color indexed="81"/>
            <rFont val="Tahoma"/>
            <family val="2"/>
          </rPr>
          <t>&lt;[[TCDeals] - [TC Property Current Stage (Seq: 1)] - [Buildings (Seq: 89)] PVC8609 Credit - Both]&gt;</t>
        </r>
      </text>
    </comment>
    <comment ref="K1276" authorId="0" shapeId="0" xr:uid="{20381A84-2BA2-4B4A-A2AC-5845DAB4DE71}">
      <text>
        <r>
          <rPr>
            <b/>
            <sz val="9"/>
            <color indexed="81"/>
            <rFont val="Tahoma"/>
            <family val="2"/>
          </rPr>
          <t>&lt;[[TCDeals] - [TC Property Current Stage (Seq: 1)] - [Buildings (Seq: 89)] Constr PIS Date - Both]&gt;</t>
        </r>
      </text>
    </comment>
    <comment ref="L1276" authorId="0" shapeId="0" xr:uid="{B910CFDB-9F84-4DC1-B0A9-6A8FEF7339E1}">
      <text>
        <r>
          <rPr>
            <b/>
            <sz val="9"/>
            <color indexed="81"/>
            <rFont val="Tahoma"/>
            <family val="2"/>
          </rPr>
          <t>&lt;[[TCDeals] - [TC Property Current Stage (Seq: 1)] - [Buildings (Seq: 89)] Constr Applicable Percentage - Both]&gt;</t>
        </r>
      </text>
    </comment>
    <comment ref="M1276" authorId="0" shapeId="0" xr:uid="{59628DBB-5630-4B44-8D0E-5C5AD11ED750}">
      <text>
        <r>
          <rPr>
            <b/>
            <sz val="9"/>
            <color indexed="81"/>
            <rFont val="Tahoma"/>
            <family val="2"/>
          </rPr>
          <t>&lt;[[TCDeals] - [TC Property Current Stage (Seq: 1)] - [Buildings (Seq: 89)] Constr Est Qual Basis - Both]&gt;</t>
        </r>
      </text>
    </comment>
    <comment ref="N1276" authorId="0" shapeId="0" xr:uid="{C0A3E015-B353-426A-BFC9-84310C4664A1}">
      <text>
        <r>
          <rPr>
            <b/>
            <sz val="9"/>
            <color indexed="81"/>
            <rFont val="Tahoma"/>
            <family val="2"/>
          </rPr>
          <t>&lt;[[TCDeals] - [TC Property Current Stage (Seq: 1)] - [Buildings (Seq: 89)] Constr 8609 Basis - Both]&gt;</t>
        </r>
      </text>
    </comment>
    <comment ref="O1276" authorId="0" shapeId="0" xr:uid="{67215241-FB69-44A7-9B65-DACA78A70494}">
      <text>
        <r>
          <rPr>
            <b/>
            <sz val="9"/>
            <color indexed="81"/>
            <rFont val="Tahoma"/>
            <family val="2"/>
          </rPr>
          <t>&lt;[[TCDeals] - [TC Property Current Stage (Seq: 1)] - [Buildings (Seq: 89)] Constr 8609 Credit - Both]&gt;</t>
        </r>
      </text>
    </comment>
    <comment ref="P1276" authorId="0" shapeId="0" xr:uid="{D18FBF6C-AB84-4BAA-A618-8A8643D0FC09}">
      <text>
        <r>
          <rPr>
            <b/>
            <sz val="9"/>
            <color indexed="81"/>
            <rFont val="Tahoma"/>
            <family val="2"/>
          </rPr>
          <t>&lt;[[TCDeals] - [TC Property Current Stage (Seq: 1)] - [Buildings (Seq: 89)] Acq PIS Date - Both]&gt;</t>
        </r>
      </text>
    </comment>
    <comment ref="Q1276" authorId="0" shapeId="0" xr:uid="{5C628FEE-1085-43FA-8428-28FBB70F62F3}">
      <text>
        <r>
          <rPr>
            <b/>
            <sz val="9"/>
            <color indexed="81"/>
            <rFont val="Tahoma"/>
            <family val="2"/>
          </rPr>
          <t>&lt;[[TCDeals] - [TC Property Current Stage (Seq: 1)] - [Buildings (Seq: 89)] Acq Applicable Percentage - Both]&gt;</t>
        </r>
      </text>
    </comment>
    <comment ref="R1276" authorId="0" shapeId="0" xr:uid="{45E72957-F600-4C8F-9603-3C6533439348}">
      <text>
        <r>
          <rPr>
            <b/>
            <sz val="9"/>
            <color indexed="81"/>
            <rFont val="Tahoma"/>
            <family val="2"/>
          </rPr>
          <t>&lt;[[TCDeals] - [TC Property Current Stage (Seq: 1)] - [Buildings (Seq: 89)] Acq Est Qual Basis - Both]&gt;</t>
        </r>
      </text>
    </comment>
    <comment ref="S1276" authorId="0" shapeId="0" xr:uid="{3CFC4D0F-27A2-4144-8665-392611BB4A9C}">
      <text>
        <r>
          <rPr>
            <b/>
            <sz val="9"/>
            <color indexed="81"/>
            <rFont val="Tahoma"/>
            <family val="2"/>
          </rPr>
          <t>&lt;[[TCDeals] - [TC Property Current Stage (Seq: 1)] - [Buildings (Seq: 89)] Acq 8609 Basis - Both]&gt;</t>
        </r>
      </text>
    </comment>
    <comment ref="T1276" authorId="0" shapeId="0" xr:uid="{76B2D24F-C057-4F70-9C57-D3C3E1E2ADF3}">
      <text>
        <r>
          <rPr>
            <b/>
            <sz val="9"/>
            <color indexed="81"/>
            <rFont val="Tahoma"/>
            <family val="2"/>
          </rPr>
          <t>&lt;[[TCDeals] - [TC Property Current Stage (Seq: 1)] - [Buildings (Seq: 89)] Acq 8609 Credit - Both]&gt;</t>
        </r>
      </text>
    </comment>
    <comment ref="C1277" authorId="0" shapeId="0" xr:uid="{94625E14-DCC1-4365-AC73-D8DFF01CE84C}">
      <text>
        <r>
          <rPr>
            <b/>
            <sz val="9"/>
            <color indexed="81"/>
            <rFont val="Tahoma"/>
            <family val="2"/>
          </rPr>
          <t>&lt;[[TCDeals] - [TC Property Current Stage (Seq: 1)] - [Buildings (Seq: 90)] BIN - Both]&gt;</t>
        </r>
      </text>
    </comment>
    <comment ref="D1277" authorId="0" shapeId="0" xr:uid="{4D1C91AB-C6D8-4388-9D3A-6D5ED2433319}">
      <text>
        <r>
          <rPr>
            <b/>
            <sz val="9"/>
            <color indexed="81"/>
            <rFont val="Tahoma"/>
            <family val="2"/>
          </rPr>
          <t>&lt;[[TCDeals] - [TC Property Current Stage (Seq: 1)] - [Buildings (Seq: 90)] Address 1 - Both]&gt;</t>
        </r>
      </text>
    </comment>
    <comment ref="E1277" authorId="0" shapeId="0" xr:uid="{4DD4BC51-DFC0-4DCA-8A72-70ADB18B34FE}">
      <text>
        <r>
          <rPr>
            <b/>
            <sz val="9"/>
            <color indexed="81"/>
            <rFont val="Tahoma"/>
            <family val="2"/>
          </rPr>
          <t>&lt;[[TCDeals] - [TC Property Current Stage (Seq: 1)] - [Buildings (Seq: 90)] Num TC Units - Both]&gt;</t>
        </r>
      </text>
    </comment>
    <comment ref="F1277" authorId="0" shapeId="0" xr:uid="{3B8FBFFB-75E1-4A4B-8698-60A12BF7C0DF}">
      <text>
        <r>
          <rPr>
            <b/>
            <sz val="9"/>
            <color indexed="81"/>
            <rFont val="Tahoma"/>
            <family val="2"/>
          </rPr>
          <t>&lt;[[TCDeals] - [TC Property Current Stage (Seq: 1)] - [Buildings (Seq: 90)] PVC PIS Date - Both]&gt;</t>
        </r>
      </text>
    </comment>
    <comment ref="G1277" authorId="0" shapeId="0" xr:uid="{9CC0276F-8B91-4437-9A91-C127AE8459D9}">
      <text>
        <r>
          <rPr>
            <b/>
            <sz val="9"/>
            <color indexed="81"/>
            <rFont val="Tahoma"/>
            <family val="2"/>
          </rPr>
          <t>&lt;[[TCDeals] - [TC Property Current Stage (Seq: 1)] - [Buildings (Seq: 90)] PVC Applicable Percentage - Both]&gt;</t>
        </r>
      </text>
    </comment>
    <comment ref="H1277" authorId="0" shapeId="0" xr:uid="{7864A3BC-9E05-4631-BFC4-69A0401584DC}">
      <text>
        <r>
          <rPr>
            <b/>
            <sz val="9"/>
            <color indexed="81"/>
            <rFont val="Tahoma"/>
            <family val="2"/>
          </rPr>
          <t>&lt;[[TCDeals] - [TC Property Current Stage (Seq: 1)] - [Buildings (Seq: 90)] PVC Est Qual Basis - Both]&gt;</t>
        </r>
      </text>
    </comment>
    <comment ref="I1277" authorId="0" shapeId="0" xr:uid="{5CC9967F-64EE-4AAB-A69C-1C488FE31071}">
      <text>
        <r>
          <rPr>
            <b/>
            <sz val="9"/>
            <color indexed="81"/>
            <rFont val="Tahoma"/>
            <family val="2"/>
          </rPr>
          <t>&lt;[[TCDeals] - [TC Property Current Stage (Seq: 1)] - [Buildings (Seq: 90)] PVC8609 Basis - Both]&gt;</t>
        </r>
      </text>
    </comment>
    <comment ref="J1277" authorId="0" shapeId="0" xr:uid="{6F6079BD-5E3C-46F7-BF7A-A1139B2A7B6F}">
      <text>
        <r>
          <rPr>
            <b/>
            <sz val="9"/>
            <color indexed="81"/>
            <rFont val="Tahoma"/>
            <family val="2"/>
          </rPr>
          <t>&lt;[[TCDeals] - [TC Property Current Stage (Seq: 1)] - [Buildings (Seq: 90)] PVC8609 Credit - Both]&gt;</t>
        </r>
      </text>
    </comment>
    <comment ref="K1277" authorId="0" shapeId="0" xr:uid="{917B5103-638B-4D6D-BC4C-6BF79EDA4176}">
      <text>
        <r>
          <rPr>
            <b/>
            <sz val="9"/>
            <color indexed="81"/>
            <rFont val="Tahoma"/>
            <family val="2"/>
          </rPr>
          <t>&lt;[[TCDeals] - [TC Property Current Stage (Seq: 1)] - [Buildings (Seq: 90)] Constr PIS Date - Both]&gt;</t>
        </r>
      </text>
    </comment>
    <comment ref="L1277" authorId="0" shapeId="0" xr:uid="{2A9B8271-0B1A-4B4D-8DAF-94F03A4F0BE7}">
      <text>
        <r>
          <rPr>
            <b/>
            <sz val="9"/>
            <color indexed="81"/>
            <rFont val="Tahoma"/>
            <family val="2"/>
          </rPr>
          <t>&lt;[[TCDeals] - [TC Property Current Stage (Seq: 1)] - [Buildings (Seq: 90)] Constr Applicable Percentage - Both]&gt;</t>
        </r>
      </text>
    </comment>
    <comment ref="M1277" authorId="0" shapeId="0" xr:uid="{8530CF49-5F3C-4672-A54F-E789EBCFEC89}">
      <text>
        <r>
          <rPr>
            <b/>
            <sz val="9"/>
            <color indexed="81"/>
            <rFont val="Tahoma"/>
            <family val="2"/>
          </rPr>
          <t>&lt;[[TCDeals] - [TC Property Current Stage (Seq: 1)] - [Buildings (Seq: 90)] Constr Est Qual Basis - Both]&gt;</t>
        </r>
      </text>
    </comment>
    <comment ref="N1277" authorId="0" shapeId="0" xr:uid="{1EB51E03-CA10-4431-858B-441CE18A3F9A}">
      <text>
        <r>
          <rPr>
            <b/>
            <sz val="9"/>
            <color indexed="81"/>
            <rFont val="Tahoma"/>
            <family val="2"/>
          </rPr>
          <t>&lt;[[TCDeals] - [TC Property Current Stage (Seq: 1)] - [Buildings (Seq: 90)] Constr 8609 Basis - Both]&gt;</t>
        </r>
      </text>
    </comment>
    <comment ref="O1277" authorId="0" shapeId="0" xr:uid="{154BA934-DC2F-46B4-BB85-E99E002B6EAC}">
      <text>
        <r>
          <rPr>
            <b/>
            <sz val="9"/>
            <color indexed="81"/>
            <rFont val="Tahoma"/>
            <family val="2"/>
          </rPr>
          <t>&lt;[[TCDeals] - [TC Property Current Stage (Seq: 1)] - [Buildings (Seq: 90)] Constr 8609 Credit - Both]&gt;</t>
        </r>
      </text>
    </comment>
    <comment ref="P1277" authorId="0" shapeId="0" xr:uid="{878A6C8E-794B-4974-AFED-69A9E4E2375C}">
      <text>
        <r>
          <rPr>
            <b/>
            <sz val="9"/>
            <color indexed="81"/>
            <rFont val="Tahoma"/>
            <family val="2"/>
          </rPr>
          <t>&lt;[[TCDeals] - [TC Property Current Stage (Seq: 1)] - [Buildings (Seq: 90)] Acq PIS Date - Both]&gt;</t>
        </r>
      </text>
    </comment>
    <comment ref="Q1277" authorId="0" shapeId="0" xr:uid="{2EB5D714-91B1-4493-92BC-D9EA1B4E8085}">
      <text>
        <r>
          <rPr>
            <b/>
            <sz val="9"/>
            <color indexed="81"/>
            <rFont val="Tahoma"/>
            <family val="2"/>
          </rPr>
          <t>&lt;[[TCDeals] - [TC Property Current Stage (Seq: 1)] - [Buildings (Seq: 90)] Acq Applicable Percentage - Both]&gt;</t>
        </r>
      </text>
    </comment>
    <comment ref="R1277" authorId="0" shapeId="0" xr:uid="{648F9B42-8226-4008-85EA-4B2D2C771969}">
      <text>
        <r>
          <rPr>
            <b/>
            <sz val="9"/>
            <color indexed="81"/>
            <rFont val="Tahoma"/>
            <family val="2"/>
          </rPr>
          <t>&lt;[[TCDeals] - [TC Property Current Stage (Seq: 1)] - [Buildings (Seq: 90)] Acq Est Qual Basis - Both]&gt;</t>
        </r>
      </text>
    </comment>
    <comment ref="S1277" authorId="0" shapeId="0" xr:uid="{1F364D05-7DB5-4CCE-AC80-744FEF678D82}">
      <text>
        <r>
          <rPr>
            <b/>
            <sz val="9"/>
            <color indexed="81"/>
            <rFont val="Tahoma"/>
            <family val="2"/>
          </rPr>
          <t>&lt;[[TCDeals] - [TC Property Current Stage (Seq: 1)] - [Buildings (Seq: 90)] Acq 8609 Basis - Both]&gt;</t>
        </r>
      </text>
    </comment>
    <comment ref="T1277" authorId="0" shapeId="0" xr:uid="{152A6F50-BB13-45E6-8960-4950927A33A8}">
      <text>
        <r>
          <rPr>
            <b/>
            <sz val="9"/>
            <color indexed="81"/>
            <rFont val="Tahoma"/>
            <family val="2"/>
          </rPr>
          <t>&lt;[[TCDeals] - [TC Property Current Stage (Seq: 1)] - [Buildings (Seq: 90)] Acq 8609 Credit - Both]&gt;</t>
        </r>
      </text>
    </comment>
    <comment ref="C1278" authorId="0" shapeId="0" xr:uid="{1EE60B07-9F67-46CE-9F1B-F3DBD6E478FC}">
      <text>
        <r>
          <rPr>
            <b/>
            <sz val="9"/>
            <color indexed="81"/>
            <rFont val="Tahoma"/>
            <family val="2"/>
          </rPr>
          <t>&lt;[[TCDeals] - [TC Property Current Stage (Seq: 1)] - [Buildings (Seq: 91)] BIN - Both]&gt;</t>
        </r>
      </text>
    </comment>
    <comment ref="D1278" authorId="0" shapeId="0" xr:uid="{FFDE5714-3DBB-4A3C-9099-D6BEAEF5DC69}">
      <text>
        <r>
          <rPr>
            <b/>
            <sz val="9"/>
            <color indexed="81"/>
            <rFont val="Tahoma"/>
            <family val="2"/>
          </rPr>
          <t>&lt;[[TCDeals] - [TC Property Current Stage (Seq: 1)] - [Buildings (Seq: 91)] Address 1 - Both]&gt;</t>
        </r>
      </text>
    </comment>
    <comment ref="E1278" authorId="0" shapeId="0" xr:uid="{FFEE1BC4-4A2B-4B13-B6D7-C4C82DE64EDE}">
      <text>
        <r>
          <rPr>
            <b/>
            <sz val="9"/>
            <color indexed="81"/>
            <rFont val="Tahoma"/>
            <family val="2"/>
          </rPr>
          <t>&lt;[[TCDeals] - [TC Property Current Stage (Seq: 1)] - [Buildings (Seq: 91)] Num TC Units - Both]&gt;</t>
        </r>
      </text>
    </comment>
    <comment ref="F1278" authorId="0" shapeId="0" xr:uid="{2751DE9C-CF93-46E1-A432-0F28F45B56C1}">
      <text>
        <r>
          <rPr>
            <b/>
            <sz val="9"/>
            <color indexed="81"/>
            <rFont val="Tahoma"/>
            <family val="2"/>
          </rPr>
          <t>&lt;[[TCDeals] - [TC Property Current Stage (Seq: 1)] - [Buildings (Seq: 91)] PVC PIS Date - Both]&gt;</t>
        </r>
      </text>
    </comment>
    <comment ref="G1278" authorId="0" shapeId="0" xr:uid="{96439C90-96D0-4322-A083-9DF0569F3CCD}">
      <text>
        <r>
          <rPr>
            <b/>
            <sz val="9"/>
            <color indexed="81"/>
            <rFont val="Tahoma"/>
            <family val="2"/>
          </rPr>
          <t>&lt;[[TCDeals] - [TC Property Current Stage (Seq: 1)] - [Buildings (Seq: 91)] PVC Applicable Percentage - Both]&gt;</t>
        </r>
      </text>
    </comment>
    <comment ref="H1278" authorId="0" shapeId="0" xr:uid="{C6F241A6-091C-4ACE-831B-69FE45444776}">
      <text>
        <r>
          <rPr>
            <b/>
            <sz val="9"/>
            <color indexed="81"/>
            <rFont val="Tahoma"/>
            <family val="2"/>
          </rPr>
          <t>&lt;[[TCDeals] - [TC Property Current Stage (Seq: 1)] - [Buildings (Seq: 91)] PVC Est Qual Basis - Both]&gt;</t>
        </r>
      </text>
    </comment>
    <comment ref="I1278" authorId="0" shapeId="0" xr:uid="{C4A2CFF5-6F96-46A4-9341-2E3C035B1E76}">
      <text>
        <r>
          <rPr>
            <b/>
            <sz val="9"/>
            <color indexed="81"/>
            <rFont val="Tahoma"/>
            <family val="2"/>
          </rPr>
          <t>&lt;[[TCDeals] - [TC Property Current Stage (Seq: 1)] - [Buildings (Seq: 91)] PVC8609 Basis - Both]&gt;</t>
        </r>
      </text>
    </comment>
    <comment ref="J1278" authorId="0" shapeId="0" xr:uid="{C7A81ADA-BF66-4F86-8367-4FDE11985C2D}">
      <text>
        <r>
          <rPr>
            <b/>
            <sz val="9"/>
            <color indexed="81"/>
            <rFont val="Tahoma"/>
            <family val="2"/>
          </rPr>
          <t>&lt;[[TCDeals] - [TC Property Current Stage (Seq: 1)] - [Buildings (Seq: 91)] PVC8609 Credit - Both]&gt;</t>
        </r>
      </text>
    </comment>
    <comment ref="K1278" authorId="0" shapeId="0" xr:uid="{6DB83F62-060F-482C-92BD-E3F2F234C895}">
      <text>
        <r>
          <rPr>
            <b/>
            <sz val="9"/>
            <color indexed="81"/>
            <rFont val="Tahoma"/>
            <family val="2"/>
          </rPr>
          <t>&lt;[[TCDeals] - [TC Property Current Stage (Seq: 1)] - [Buildings (Seq: 91)] Constr PIS Date - Both]&gt;</t>
        </r>
      </text>
    </comment>
    <comment ref="L1278" authorId="0" shapeId="0" xr:uid="{0766CF08-0527-4B27-8CE5-DE988101DABA}">
      <text>
        <r>
          <rPr>
            <b/>
            <sz val="9"/>
            <color indexed="81"/>
            <rFont val="Tahoma"/>
            <family val="2"/>
          </rPr>
          <t>&lt;[[TCDeals] - [TC Property Current Stage (Seq: 1)] - [Buildings (Seq: 91)] Constr Applicable Percentage - Both]&gt;</t>
        </r>
      </text>
    </comment>
    <comment ref="M1278" authorId="0" shapeId="0" xr:uid="{C5D9ADBA-ABA2-4732-B25D-AFDB011EFB3F}">
      <text>
        <r>
          <rPr>
            <b/>
            <sz val="9"/>
            <color indexed="81"/>
            <rFont val="Tahoma"/>
            <family val="2"/>
          </rPr>
          <t>&lt;[[TCDeals] - [TC Property Current Stage (Seq: 1)] - [Buildings (Seq: 91)] Constr Est Qual Basis - Both]&gt;</t>
        </r>
      </text>
    </comment>
    <comment ref="N1278" authorId="0" shapeId="0" xr:uid="{FD0BFFE1-D457-4F41-BB71-CC55C245616B}">
      <text>
        <r>
          <rPr>
            <b/>
            <sz val="9"/>
            <color indexed="81"/>
            <rFont val="Tahoma"/>
            <family val="2"/>
          </rPr>
          <t>&lt;[[TCDeals] - [TC Property Current Stage (Seq: 1)] - [Buildings (Seq: 91)] Constr 8609 Basis - Both]&gt;</t>
        </r>
      </text>
    </comment>
    <comment ref="O1278" authorId="0" shapeId="0" xr:uid="{BB098F60-D977-4E2D-8C25-B2ABFDB1CBA7}">
      <text>
        <r>
          <rPr>
            <b/>
            <sz val="9"/>
            <color indexed="81"/>
            <rFont val="Tahoma"/>
            <family val="2"/>
          </rPr>
          <t>&lt;[[TCDeals] - [TC Property Current Stage (Seq: 1)] - [Buildings (Seq: 91)] Constr 8609 Credit - Both]&gt;</t>
        </r>
      </text>
    </comment>
    <comment ref="P1278" authorId="0" shapeId="0" xr:uid="{2DE0C1D3-58B8-496B-B95A-8826BB739833}">
      <text>
        <r>
          <rPr>
            <b/>
            <sz val="9"/>
            <color indexed="81"/>
            <rFont val="Tahoma"/>
            <family val="2"/>
          </rPr>
          <t>&lt;[[TCDeals] - [TC Property Current Stage (Seq: 1)] - [Buildings (Seq: 91)] Acq PIS Date - Both]&gt;</t>
        </r>
      </text>
    </comment>
    <comment ref="Q1278" authorId="0" shapeId="0" xr:uid="{A7B9A92F-C52D-45E8-A691-16EB265E3002}">
      <text>
        <r>
          <rPr>
            <b/>
            <sz val="9"/>
            <color indexed="81"/>
            <rFont val="Tahoma"/>
            <family val="2"/>
          </rPr>
          <t>&lt;[[TCDeals] - [TC Property Current Stage (Seq: 1)] - [Buildings (Seq: 91)] Acq Applicable Percentage - Both]&gt;</t>
        </r>
      </text>
    </comment>
    <comment ref="R1278" authorId="0" shapeId="0" xr:uid="{ACF08FAB-353A-4DD1-8413-B5396DA1D178}">
      <text>
        <r>
          <rPr>
            <b/>
            <sz val="9"/>
            <color indexed="81"/>
            <rFont val="Tahoma"/>
            <family val="2"/>
          </rPr>
          <t>&lt;[[TCDeals] - [TC Property Current Stage (Seq: 1)] - [Buildings (Seq: 91)] Acq Est Qual Basis - Both]&gt;</t>
        </r>
      </text>
    </comment>
    <comment ref="S1278" authorId="0" shapeId="0" xr:uid="{3E3D8422-B687-4B87-8A34-24CF8D660D01}">
      <text>
        <r>
          <rPr>
            <b/>
            <sz val="9"/>
            <color indexed="81"/>
            <rFont val="Tahoma"/>
            <family val="2"/>
          </rPr>
          <t>&lt;[[TCDeals] - [TC Property Current Stage (Seq: 1)] - [Buildings (Seq: 91)] Acq 8609 Basis - Both]&gt;</t>
        </r>
      </text>
    </comment>
    <comment ref="T1278" authorId="0" shapeId="0" xr:uid="{DF323ED5-F098-4C1C-84FF-1BE3C4CF789C}">
      <text>
        <r>
          <rPr>
            <b/>
            <sz val="9"/>
            <color indexed="81"/>
            <rFont val="Tahoma"/>
            <family val="2"/>
          </rPr>
          <t>&lt;[[TCDeals] - [TC Property Current Stage (Seq: 1)] - [Buildings (Seq: 91)] Acq 8609 Credit - Both]&gt;</t>
        </r>
      </text>
    </comment>
    <comment ref="C1279" authorId="0" shapeId="0" xr:uid="{F13B4EEE-5779-465D-ACAE-27EC5CF689A8}">
      <text>
        <r>
          <rPr>
            <b/>
            <sz val="9"/>
            <color indexed="81"/>
            <rFont val="Tahoma"/>
            <family val="2"/>
          </rPr>
          <t>&lt;[[TCDeals] - [TC Property Current Stage (Seq: 1)] - [Buildings (Seq: 92)] BIN - Both]&gt;</t>
        </r>
      </text>
    </comment>
    <comment ref="D1279" authorId="0" shapeId="0" xr:uid="{0DD899AE-595C-4B09-B15F-D8CBC26DEF4F}">
      <text>
        <r>
          <rPr>
            <b/>
            <sz val="9"/>
            <color indexed="81"/>
            <rFont val="Tahoma"/>
            <family val="2"/>
          </rPr>
          <t>&lt;[[TCDeals] - [TC Property Current Stage (Seq: 1)] - [Buildings (Seq: 92)] Address 1 - Both]&gt;</t>
        </r>
      </text>
    </comment>
    <comment ref="E1279" authorId="0" shapeId="0" xr:uid="{1A924A75-19D3-4D8E-885B-53CB889D0809}">
      <text>
        <r>
          <rPr>
            <b/>
            <sz val="9"/>
            <color indexed="81"/>
            <rFont val="Tahoma"/>
            <family val="2"/>
          </rPr>
          <t>&lt;[[TCDeals] - [TC Property Current Stage (Seq: 1)] - [Buildings (Seq: 92)] Num TC Units - Both]&gt;</t>
        </r>
      </text>
    </comment>
    <comment ref="F1279" authorId="0" shapeId="0" xr:uid="{544D7543-861C-4460-AB39-99AB21168F4B}">
      <text>
        <r>
          <rPr>
            <b/>
            <sz val="9"/>
            <color indexed="81"/>
            <rFont val="Tahoma"/>
            <family val="2"/>
          </rPr>
          <t>&lt;[[TCDeals] - [TC Property Current Stage (Seq: 1)] - [Buildings (Seq: 92)] PVC PIS Date - Both]&gt;</t>
        </r>
      </text>
    </comment>
    <comment ref="G1279" authorId="0" shapeId="0" xr:uid="{3095706A-E16A-46F7-9EC4-79A99EB11375}">
      <text>
        <r>
          <rPr>
            <b/>
            <sz val="9"/>
            <color indexed="81"/>
            <rFont val="Tahoma"/>
            <family val="2"/>
          </rPr>
          <t>&lt;[[TCDeals] - [TC Property Current Stage (Seq: 1)] - [Buildings (Seq: 92)] PVC Applicable Percentage - Both]&gt;</t>
        </r>
      </text>
    </comment>
    <comment ref="H1279" authorId="0" shapeId="0" xr:uid="{E1D8ED21-E64D-4CBE-9EB3-0DF4D19B589A}">
      <text>
        <r>
          <rPr>
            <b/>
            <sz val="9"/>
            <color indexed="81"/>
            <rFont val="Tahoma"/>
            <family val="2"/>
          </rPr>
          <t>&lt;[[TCDeals] - [TC Property Current Stage (Seq: 1)] - [Buildings (Seq: 92)] PVC Est Qual Basis - Both]&gt;</t>
        </r>
      </text>
    </comment>
    <comment ref="I1279" authorId="0" shapeId="0" xr:uid="{F2DFBA9D-C460-4887-8BAE-4C84E520A976}">
      <text>
        <r>
          <rPr>
            <b/>
            <sz val="9"/>
            <color indexed="81"/>
            <rFont val="Tahoma"/>
            <family val="2"/>
          </rPr>
          <t>&lt;[[TCDeals] - [TC Property Current Stage (Seq: 1)] - [Buildings (Seq: 92)] PVC8609 Basis - Both]&gt;</t>
        </r>
      </text>
    </comment>
    <comment ref="J1279" authorId="0" shapeId="0" xr:uid="{199AF1F4-6755-4DF9-AD3A-E3518758AF47}">
      <text>
        <r>
          <rPr>
            <b/>
            <sz val="9"/>
            <color indexed="81"/>
            <rFont val="Tahoma"/>
            <family val="2"/>
          </rPr>
          <t>&lt;[[TCDeals] - [TC Property Current Stage (Seq: 1)] - [Buildings (Seq: 92)] PVC8609 Credit - Both]&gt;</t>
        </r>
      </text>
    </comment>
    <comment ref="K1279" authorId="0" shapeId="0" xr:uid="{2904B1E4-C30B-44AC-9ED5-3F2C4A548E12}">
      <text>
        <r>
          <rPr>
            <b/>
            <sz val="9"/>
            <color indexed="81"/>
            <rFont val="Tahoma"/>
            <family val="2"/>
          </rPr>
          <t>&lt;[[TCDeals] - [TC Property Current Stage (Seq: 1)] - [Buildings (Seq: 92)] Constr PIS Date - Both]&gt;</t>
        </r>
      </text>
    </comment>
    <comment ref="L1279" authorId="0" shapeId="0" xr:uid="{22F11456-80B9-4913-B20C-54FAD58BC68C}">
      <text>
        <r>
          <rPr>
            <b/>
            <sz val="9"/>
            <color indexed="81"/>
            <rFont val="Tahoma"/>
            <family val="2"/>
          </rPr>
          <t>&lt;[[TCDeals] - [TC Property Current Stage (Seq: 1)] - [Buildings (Seq: 92)] Constr Applicable Percentage - Both]&gt;</t>
        </r>
      </text>
    </comment>
    <comment ref="M1279" authorId="0" shapeId="0" xr:uid="{87C09018-88B5-4884-A5AF-BF2AC96F5EB1}">
      <text>
        <r>
          <rPr>
            <b/>
            <sz val="9"/>
            <color indexed="81"/>
            <rFont val="Tahoma"/>
            <family val="2"/>
          </rPr>
          <t>&lt;[[TCDeals] - [TC Property Current Stage (Seq: 1)] - [Buildings (Seq: 92)] Constr Est Qual Basis - Both]&gt;</t>
        </r>
      </text>
    </comment>
    <comment ref="N1279" authorId="0" shapeId="0" xr:uid="{0468BBBC-844D-49B3-8DF8-41D832EAC20E}">
      <text>
        <r>
          <rPr>
            <b/>
            <sz val="9"/>
            <color indexed="81"/>
            <rFont val="Tahoma"/>
            <family val="2"/>
          </rPr>
          <t>&lt;[[TCDeals] - [TC Property Current Stage (Seq: 1)] - [Buildings (Seq: 92)] Constr 8609 Basis - Both]&gt;</t>
        </r>
      </text>
    </comment>
    <comment ref="O1279" authorId="0" shapeId="0" xr:uid="{7F9B2352-871F-467B-AAE9-ED4EBD247323}">
      <text>
        <r>
          <rPr>
            <b/>
            <sz val="9"/>
            <color indexed="81"/>
            <rFont val="Tahoma"/>
            <family val="2"/>
          </rPr>
          <t>&lt;[[TCDeals] - [TC Property Current Stage (Seq: 1)] - [Buildings (Seq: 92)] Constr 8609 Credit - Both]&gt;</t>
        </r>
      </text>
    </comment>
    <comment ref="P1279" authorId="0" shapeId="0" xr:uid="{78C584AC-964A-4E3C-AC8B-961EFED462F0}">
      <text>
        <r>
          <rPr>
            <b/>
            <sz val="9"/>
            <color indexed="81"/>
            <rFont val="Tahoma"/>
            <family val="2"/>
          </rPr>
          <t>&lt;[[TCDeals] - [TC Property Current Stage (Seq: 1)] - [Buildings (Seq: 92)] Acq PIS Date - Both]&gt;</t>
        </r>
      </text>
    </comment>
    <comment ref="Q1279" authorId="0" shapeId="0" xr:uid="{853B68B4-8068-40EF-8899-A118B26E93CA}">
      <text>
        <r>
          <rPr>
            <b/>
            <sz val="9"/>
            <color indexed="81"/>
            <rFont val="Tahoma"/>
            <family val="2"/>
          </rPr>
          <t>&lt;[[TCDeals] - [TC Property Current Stage (Seq: 1)] - [Buildings (Seq: 92)] Acq Applicable Percentage - Both]&gt;</t>
        </r>
      </text>
    </comment>
    <comment ref="R1279" authorId="0" shapeId="0" xr:uid="{56B84BFE-76CF-4C57-B644-9DA0B6C5BAF9}">
      <text>
        <r>
          <rPr>
            <b/>
            <sz val="9"/>
            <color indexed="81"/>
            <rFont val="Tahoma"/>
            <family val="2"/>
          </rPr>
          <t>&lt;[[TCDeals] - [TC Property Current Stage (Seq: 1)] - [Buildings (Seq: 92)] Acq Est Qual Basis - Both]&gt;</t>
        </r>
      </text>
    </comment>
    <comment ref="S1279" authorId="0" shapeId="0" xr:uid="{62C2B384-9936-42E6-B0B0-2AA2D992E46A}">
      <text>
        <r>
          <rPr>
            <b/>
            <sz val="9"/>
            <color indexed="81"/>
            <rFont val="Tahoma"/>
            <family val="2"/>
          </rPr>
          <t>&lt;[[TCDeals] - [TC Property Current Stage (Seq: 1)] - [Buildings (Seq: 92)] Acq 8609 Basis - Both]&gt;</t>
        </r>
      </text>
    </comment>
    <comment ref="T1279" authorId="0" shapeId="0" xr:uid="{7E71B847-5E42-4C3E-93DC-0D65BC05757A}">
      <text>
        <r>
          <rPr>
            <b/>
            <sz val="9"/>
            <color indexed="81"/>
            <rFont val="Tahoma"/>
            <family val="2"/>
          </rPr>
          <t>&lt;[[TCDeals] - [TC Property Current Stage (Seq: 1)] - [Buildings (Seq: 92)] Acq 8609 Credit - Both]&gt;</t>
        </r>
      </text>
    </comment>
    <comment ref="C1280" authorId="0" shapeId="0" xr:uid="{A9A048A9-30BC-4744-BFDE-ECBD0D169690}">
      <text>
        <r>
          <rPr>
            <b/>
            <sz val="9"/>
            <color indexed="81"/>
            <rFont val="Tahoma"/>
            <family val="2"/>
          </rPr>
          <t>&lt;[[TCDeals] - [TC Property Current Stage (Seq: 1)] - [Buildings (Seq: 93)] BIN - Both]&gt;</t>
        </r>
      </text>
    </comment>
    <comment ref="D1280" authorId="0" shapeId="0" xr:uid="{D7315EF9-7230-4FC7-97C9-BAAA9EC3F57F}">
      <text>
        <r>
          <rPr>
            <b/>
            <sz val="9"/>
            <color indexed="81"/>
            <rFont val="Tahoma"/>
            <family val="2"/>
          </rPr>
          <t>&lt;[[TCDeals] - [TC Property Current Stage (Seq: 1)] - [Buildings (Seq: 93)] Address 1 - Both]&gt;</t>
        </r>
      </text>
    </comment>
    <comment ref="E1280" authorId="0" shapeId="0" xr:uid="{1DB24936-7F38-4428-846C-2E2706174D87}">
      <text>
        <r>
          <rPr>
            <b/>
            <sz val="9"/>
            <color indexed="81"/>
            <rFont val="Tahoma"/>
            <family val="2"/>
          </rPr>
          <t>&lt;[[TCDeals] - [TC Property Current Stage (Seq: 1)] - [Buildings (Seq: 93)] Num TC Units - Both]&gt;</t>
        </r>
      </text>
    </comment>
    <comment ref="F1280" authorId="0" shapeId="0" xr:uid="{94C9459F-D4FD-44AD-A4FF-CDD1DA2E0D76}">
      <text>
        <r>
          <rPr>
            <b/>
            <sz val="9"/>
            <color indexed="81"/>
            <rFont val="Tahoma"/>
            <family val="2"/>
          </rPr>
          <t>&lt;[[TCDeals] - [TC Property Current Stage (Seq: 1)] - [Buildings (Seq: 93)] PVC PIS Date - Both]&gt;</t>
        </r>
      </text>
    </comment>
    <comment ref="G1280" authorId="0" shapeId="0" xr:uid="{918115D7-841D-49C1-8DFF-FF86110E205F}">
      <text>
        <r>
          <rPr>
            <b/>
            <sz val="9"/>
            <color indexed="81"/>
            <rFont val="Tahoma"/>
            <family val="2"/>
          </rPr>
          <t>&lt;[[TCDeals] - [TC Property Current Stage (Seq: 1)] - [Buildings (Seq: 93)] PVC Applicable Percentage - Both]&gt;</t>
        </r>
      </text>
    </comment>
    <comment ref="H1280" authorId="0" shapeId="0" xr:uid="{3FDCFC41-D8BA-4CA0-9980-B86A1BA51F58}">
      <text>
        <r>
          <rPr>
            <b/>
            <sz val="9"/>
            <color indexed="81"/>
            <rFont val="Tahoma"/>
            <family val="2"/>
          </rPr>
          <t>&lt;[[TCDeals] - [TC Property Current Stage (Seq: 1)] - [Buildings (Seq: 93)] PVC Est Qual Basis - Both]&gt;</t>
        </r>
      </text>
    </comment>
    <comment ref="I1280" authorId="0" shapeId="0" xr:uid="{93E7420B-C9CB-485E-BAA0-562F21F59B29}">
      <text>
        <r>
          <rPr>
            <b/>
            <sz val="9"/>
            <color indexed="81"/>
            <rFont val="Tahoma"/>
            <family val="2"/>
          </rPr>
          <t>&lt;[[TCDeals] - [TC Property Current Stage (Seq: 1)] - [Buildings (Seq: 93)] PVC8609 Basis - Both]&gt;</t>
        </r>
      </text>
    </comment>
    <comment ref="J1280" authorId="0" shapeId="0" xr:uid="{B26A430A-0604-4D89-9D2E-AA7D6A360A3F}">
      <text>
        <r>
          <rPr>
            <b/>
            <sz val="9"/>
            <color indexed="81"/>
            <rFont val="Tahoma"/>
            <family val="2"/>
          </rPr>
          <t>&lt;[[TCDeals] - [TC Property Current Stage (Seq: 1)] - [Buildings (Seq: 93)] PVC8609 Credit - Both]&gt;</t>
        </r>
      </text>
    </comment>
    <comment ref="K1280" authorId="0" shapeId="0" xr:uid="{AD2485DC-BE96-4E78-8118-1DC1C0B37A86}">
      <text>
        <r>
          <rPr>
            <b/>
            <sz val="9"/>
            <color indexed="81"/>
            <rFont val="Tahoma"/>
            <family val="2"/>
          </rPr>
          <t>&lt;[[TCDeals] - [TC Property Current Stage (Seq: 1)] - [Buildings (Seq: 93)] Constr PIS Date - Both]&gt;</t>
        </r>
      </text>
    </comment>
    <comment ref="L1280" authorId="0" shapeId="0" xr:uid="{F1438543-2588-44E7-B345-D4492E7CD8BF}">
      <text>
        <r>
          <rPr>
            <b/>
            <sz val="9"/>
            <color indexed="81"/>
            <rFont val="Tahoma"/>
            <family val="2"/>
          </rPr>
          <t>&lt;[[TCDeals] - [TC Property Current Stage (Seq: 1)] - [Buildings (Seq: 93)] Constr Applicable Percentage - Both]&gt;</t>
        </r>
      </text>
    </comment>
    <comment ref="M1280" authorId="0" shapeId="0" xr:uid="{DF2CBF18-B819-4792-BF8E-039171137BA9}">
      <text>
        <r>
          <rPr>
            <b/>
            <sz val="9"/>
            <color indexed="81"/>
            <rFont val="Tahoma"/>
            <family val="2"/>
          </rPr>
          <t>&lt;[[TCDeals] - [TC Property Current Stage (Seq: 1)] - [Buildings (Seq: 93)] Constr Est Qual Basis - Both]&gt;</t>
        </r>
      </text>
    </comment>
    <comment ref="N1280" authorId="0" shapeId="0" xr:uid="{19A06019-2138-4F62-9B4C-D5EB0BA35A44}">
      <text>
        <r>
          <rPr>
            <b/>
            <sz val="9"/>
            <color indexed="81"/>
            <rFont val="Tahoma"/>
            <family val="2"/>
          </rPr>
          <t>&lt;[[TCDeals] - [TC Property Current Stage (Seq: 1)] - [Buildings (Seq: 93)] Constr 8609 Basis - Both]&gt;</t>
        </r>
      </text>
    </comment>
    <comment ref="O1280" authorId="0" shapeId="0" xr:uid="{4EBE88F8-12A6-4A30-9E86-BA154521DED8}">
      <text>
        <r>
          <rPr>
            <b/>
            <sz val="9"/>
            <color indexed="81"/>
            <rFont val="Tahoma"/>
            <family val="2"/>
          </rPr>
          <t>&lt;[[TCDeals] - [TC Property Current Stage (Seq: 1)] - [Buildings (Seq: 93)] Constr 8609 Credit - Both]&gt;</t>
        </r>
      </text>
    </comment>
    <comment ref="P1280" authorId="0" shapeId="0" xr:uid="{0A114A35-E3B2-4971-B93D-024A2E94EE12}">
      <text>
        <r>
          <rPr>
            <b/>
            <sz val="9"/>
            <color indexed="81"/>
            <rFont val="Tahoma"/>
            <family val="2"/>
          </rPr>
          <t>&lt;[[TCDeals] - [TC Property Current Stage (Seq: 1)] - [Buildings (Seq: 93)] Acq PIS Date - Both]&gt;</t>
        </r>
      </text>
    </comment>
    <comment ref="Q1280" authorId="0" shapeId="0" xr:uid="{B88EBCAD-2097-43DB-A477-AFA25F6E02B7}">
      <text>
        <r>
          <rPr>
            <b/>
            <sz val="9"/>
            <color indexed="81"/>
            <rFont val="Tahoma"/>
            <family val="2"/>
          </rPr>
          <t>&lt;[[TCDeals] - [TC Property Current Stage (Seq: 1)] - [Buildings (Seq: 93)] Acq Applicable Percentage - Both]&gt;</t>
        </r>
      </text>
    </comment>
    <comment ref="R1280" authorId="0" shapeId="0" xr:uid="{55F605F2-99BA-4DA3-B1D8-0715CF50781A}">
      <text>
        <r>
          <rPr>
            <b/>
            <sz val="9"/>
            <color indexed="81"/>
            <rFont val="Tahoma"/>
            <family val="2"/>
          </rPr>
          <t>&lt;[[TCDeals] - [TC Property Current Stage (Seq: 1)] - [Buildings (Seq: 93)] Acq Est Qual Basis - Both]&gt;</t>
        </r>
      </text>
    </comment>
    <comment ref="S1280" authorId="0" shapeId="0" xr:uid="{F6BC8AD7-73C1-4A05-869B-7328FC993DFA}">
      <text>
        <r>
          <rPr>
            <b/>
            <sz val="9"/>
            <color indexed="81"/>
            <rFont val="Tahoma"/>
            <family val="2"/>
          </rPr>
          <t>&lt;[[TCDeals] - [TC Property Current Stage (Seq: 1)] - [Buildings (Seq: 93)] Acq 8609 Basis - Both]&gt;</t>
        </r>
      </text>
    </comment>
    <comment ref="T1280" authorId="0" shapeId="0" xr:uid="{77EEC402-533F-4617-BBAA-BE0577998D7B}">
      <text>
        <r>
          <rPr>
            <b/>
            <sz val="9"/>
            <color indexed="81"/>
            <rFont val="Tahoma"/>
            <family val="2"/>
          </rPr>
          <t>&lt;[[TCDeals] - [TC Property Current Stage (Seq: 1)] - [Buildings (Seq: 93)] Acq 8609 Credit - Both]&gt;</t>
        </r>
      </text>
    </comment>
    <comment ref="C1281" authorId="0" shapeId="0" xr:uid="{0D4CFEE8-877B-440E-B7A1-3E54D6B985BD}">
      <text>
        <r>
          <rPr>
            <b/>
            <sz val="9"/>
            <color indexed="81"/>
            <rFont val="Tahoma"/>
            <family val="2"/>
          </rPr>
          <t>&lt;[[TCDeals] - [TC Property Current Stage (Seq: 1)] - [Buildings (Seq: 94)] BIN - Both]&gt;</t>
        </r>
      </text>
    </comment>
    <comment ref="D1281" authorId="0" shapeId="0" xr:uid="{02E08F0E-E87B-4901-9254-E044FFD7F951}">
      <text>
        <r>
          <rPr>
            <b/>
            <sz val="9"/>
            <color indexed="81"/>
            <rFont val="Tahoma"/>
            <family val="2"/>
          </rPr>
          <t>&lt;[[TCDeals] - [TC Property Current Stage (Seq: 1)] - [Buildings (Seq: 94)] Address 1 - Both]&gt;</t>
        </r>
      </text>
    </comment>
    <comment ref="E1281" authorId="0" shapeId="0" xr:uid="{515329B6-C7CF-4A78-8165-3AF4D2BF2FF3}">
      <text>
        <r>
          <rPr>
            <b/>
            <sz val="9"/>
            <color indexed="81"/>
            <rFont val="Tahoma"/>
            <family val="2"/>
          </rPr>
          <t>&lt;[[TCDeals] - [TC Property Current Stage (Seq: 1)] - [Buildings (Seq: 94)] Num TC Units - Both]&gt;</t>
        </r>
      </text>
    </comment>
    <comment ref="F1281" authorId="0" shapeId="0" xr:uid="{D6150B99-A191-4B73-9060-0E2DCB73EE4F}">
      <text>
        <r>
          <rPr>
            <b/>
            <sz val="9"/>
            <color indexed="81"/>
            <rFont val="Tahoma"/>
            <family val="2"/>
          </rPr>
          <t>&lt;[[TCDeals] - [TC Property Current Stage (Seq: 1)] - [Buildings (Seq: 94)] PVC PIS Date - Both]&gt;</t>
        </r>
      </text>
    </comment>
    <comment ref="G1281" authorId="0" shapeId="0" xr:uid="{E9AF5F0C-5142-4344-B118-B174645CE94A}">
      <text>
        <r>
          <rPr>
            <b/>
            <sz val="9"/>
            <color indexed="81"/>
            <rFont val="Tahoma"/>
            <family val="2"/>
          </rPr>
          <t>&lt;[[TCDeals] - [TC Property Current Stage (Seq: 1)] - [Buildings (Seq: 94)] PVC Applicable Percentage - Both]&gt;</t>
        </r>
      </text>
    </comment>
    <comment ref="H1281" authorId="0" shapeId="0" xr:uid="{ECDF3DFE-6BD4-44A3-B684-0854C5A760EA}">
      <text>
        <r>
          <rPr>
            <b/>
            <sz val="9"/>
            <color indexed="81"/>
            <rFont val="Tahoma"/>
            <family val="2"/>
          </rPr>
          <t>&lt;[[TCDeals] - [TC Property Current Stage (Seq: 1)] - [Buildings (Seq: 94)] PVC Est Qual Basis - Both]&gt;</t>
        </r>
      </text>
    </comment>
    <comment ref="I1281" authorId="0" shapeId="0" xr:uid="{0B4AC87E-1BB0-4F88-B071-598933CA3B01}">
      <text>
        <r>
          <rPr>
            <b/>
            <sz val="9"/>
            <color indexed="81"/>
            <rFont val="Tahoma"/>
            <family val="2"/>
          </rPr>
          <t>&lt;[[TCDeals] - [TC Property Current Stage (Seq: 1)] - [Buildings (Seq: 94)] PVC8609 Basis - Both]&gt;</t>
        </r>
      </text>
    </comment>
    <comment ref="J1281" authorId="0" shapeId="0" xr:uid="{B88C74F6-8A4D-4DDD-9F3F-9A7BC20EE2D1}">
      <text>
        <r>
          <rPr>
            <b/>
            <sz val="9"/>
            <color indexed="81"/>
            <rFont val="Tahoma"/>
            <family val="2"/>
          </rPr>
          <t>&lt;[[TCDeals] - [TC Property Current Stage (Seq: 1)] - [Buildings (Seq: 94)] PVC8609 Credit - Both]&gt;</t>
        </r>
      </text>
    </comment>
    <comment ref="K1281" authorId="0" shapeId="0" xr:uid="{CDED9EC0-3324-49C9-9834-0FDF17BC73E8}">
      <text>
        <r>
          <rPr>
            <b/>
            <sz val="9"/>
            <color indexed="81"/>
            <rFont val="Tahoma"/>
            <family val="2"/>
          </rPr>
          <t>&lt;[[TCDeals] - [TC Property Current Stage (Seq: 1)] - [Buildings (Seq: 94)] Constr PIS Date - Both]&gt;</t>
        </r>
      </text>
    </comment>
    <comment ref="L1281" authorId="0" shapeId="0" xr:uid="{84F1CEB5-B8C7-4A33-90C6-D2C7A75D6109}">
      <text>
        <r>
          <rPr>
            <b/>
            <sz val="9"/>
            <color indexed="81"/>
            <rFont val="Tahoma"/>
            <family val="2"/>
          </rPr>
          <t>&lt;[[TCDeals] - [TC Property Current Stage (Seq: 1)] - [Buildings (Seq: 94)] Constr Applicable Percentage - Both]&gt;</t>
        </r>
      </text>
    </comment>
    <comment ref="M1281" authorId="0" shapeId="0" xr:uid="{4966B184-3D3B-4F7C-95BC-E6185697A848}">
      <text>
        <r>
          <rPr>
            <b/>
            <sz val="9"/>
            <color indexed="81"/>
            <rFont val="Tahoma"/>
            <family val="2"/>
          </rPr>
          <t>&lt;[[TCDeals] - [TC Property Current Stage (Seq: 1)] - [Buildings (Seq: 94)] Constr Est Qual Basis - Both]&gt;</t>
        </r>
      </text>
    </comment>
    <comment ref="N1281" authorId="0" shapeId="0" xr:uid="{EC0CD307-A3D9-4E30-B4D0-3291BFDE5BA8}">
      <text>
        <r>
          <rPr>
            <b/>
            <sz val="9"/>
            <color indexed="81"/>
            <rFont val="Tahoma"/>
            <family val="2"/>
          </rPr>
          <t>&lt;[[TCDeals] - [TC Property Current Stage (Seq: 1)] - [Buildings (Seq: 94)] Constr 8609 Basis - Both]&gt;</t>
        </r>
      </text>
    </comment>
    <comment ref="O1281" authorId="0" shapeId="0" xr:uid="{B4AEB952-21A9-4320-8615-69A1BDAD6E5D}">
      <text>
        <r>
          <rPr>
            <b/>
            <sz val="9"/>
            <color indexed="81"/>
            <rFont val="Tahoma"/>
            <family val="2"/>
          </rPr>
          <t>&lt;[[TCDeals] - [TC Property Current Stage (Seq: 1)] - [Buildings (Seq: 94)] Constr 8609 Credit - Both]&gt;</t>
        </r>
      </text>
    </comment>
    <comment ref="P1281" authorId="0" shapeId="0" xr:uid="{27225D8E-521E-42BA-A4EA-D1397F4EBC7C}">
      <text>
        <r>
          <rPr>
            <b/>
            <sz val="9"/>
            <color indexed="81"/>
            <rFont val="Tahoma"/>
            <family val="2"/>
          </rPr>
          <t>&lt;[[TCDeals] - [TC Property Current Stage (Seq: 1)] - [Buildings (Seq: 94)] Acq PIS Date - Both]&gt;</t>
        </r>
      </text>
    </comment>
    <comment ref="Q1281" authorId="0" shapeId="0" xr:uid="{D696493E-06B9-4938-A015-74ADC19757A7}">
      <text>
        <r>
          <rPr>
            <b/>
            <sz val="9"/>
            <color indexed="81"/>
            <rFont val="Tahoma"/>
            <family val="2"/>
          </rPr>
          <t>&lt;[[TCDeals] - [TC Property Current Stage (Seq: 1)] - [Buildings (Seq: 94)] Acq Applicable Percentage - Both]&gt;</t>
        </r>
      </text>
    </comment>
    <comment ref="R1281" authorId="0" shapeId="0" xr:uid="{499F86A3-CD04-43FF-A191-DA32B8130916}">
      <text>
        <r>
          <rPr>
            <b/>
            <sz val="9"/>
            <color indexed="81"/>
            <rFont val="Tahoma"/>
            <family val="2"/>
          </rPr>
          <t>&lt;[[TCDeals] - [TC Property Current Stage (Seq: 1)] - [Buildings (Seq: 94)] Acq Est Qual Basis - Both]&gt;</t>
        </r>
      </text>
    </comment>
    <comment ref="S1281" authorId="0" shapeId="0" xr:uid="{7AEEB7AA-6022-47AD-8480-AC1CC31F6F07}">
      <text>
        <r>
          <rPr>
            <b/>
            <sz val="9"/>
            <color indexed="81"/>
            <rFont val="Tahoma"/>
            <family val="2"/>
          </rPr>
          <t>&lt;[[TCDeals] - [TC Property Current Stage (Seq: 1)] - [Buildings (Seq: 94)] Acq 8609 Basis - Both]&gt;</t>
        </r>
      </text>
    </comment>
    <comment ref="T1281" authorId="0" shapeId="0" xr:uid="{61FAB5FB-7265-4B07-9C9A-33DF675729CE}">
      <text>
        <r>
          <rPr>
            <b/>
            <sz val="9"/>
            <color indexed="81"/>
            <rFont val="Tahoma"/>
            <family val="2"/>
          </rPr>
          <t>&lt;[[TCDeals] - [TC Property Current Stage (Seq: 1)] - [Buildings (Seq: 94)] Acq 8609 Credit - Both]&gt;</t>
        </r>
      </text>
    </comment>
    <comment ref="C1282" authorId="0" shapeId="0" xr:uid="{803E3B02-A4FE-4A8E-A030-D3FF380CCD21}">
      <text>
        <r>
          <rPr>
            <b/>
            <sz val="9"/>
            <color indexed="81"/>
            <rFont val="Tahoma"/>
            <family val="2"/>
          </rPr>
          <t>&lt;[[TCDeals] - [TC Property Current Stage (Seq: 1)] - [Buildings (Seq: 95)] BIN - Both]&gt;</t>
        </r>
      </text>
    </comment>
    <comment ref="D1282" authorId="0" shapeId="0" xr:uid="{3D1E478D-3A31-4A95-8E64-0F97EB5B16B9}">
      <text>
        <r>
          <rPr>
            <b/>
            <sz val="9"/>
            <color indexed="81"/>
            <rFont val="Tahoma"/>
            <family val="2"/>
          </rPr>
          <t>&lt;[[TCDeals] - [TC Property Current Stage (Seq: 1)] - [Buildings (Seq: 95)] Address 1 - Both]&gt;</t>
        </r>
      </text>
    </comment>
    <comment ref="E1282" authorId="0" shapeId="0" xr:uid="{1933D158-CF8B-4355-985A-6C173ECE4FC1}">
      <text>
        <r>
          <rPr>
            <b/>
            <sz val="9"/>
            <color indexed="81"/>
            <rFont val="Tahoma"/>
            <family val="2"/>
          </rPr>
          <t>&lt;[[TCDeals] - [TC Property Current Stage (Seq: 1)] - [Buildings (Seq: 95)] Num TC Units - Both]&gt;</t>
        </r>
      </text>
    </comment>
    <comment ref="F1282" authorId="0" shapeId="0" xr:uid="{E2B00684-EA7E-4111-9EDA-70AEAD8EC08C}">
      <text>
        <r>
          <rPr>
            <b/>
            <sz val="9"/>
            <color indexed="81"/>
            <rFont val="Tahoma"/>
            <family val="2"/>
          </rPr>
          <t>&lt;[[TCDeals] - [TC Property Current Stage (Seq: 1)] - [Buildings (Seq: 95)] PVC PIS Date - Both]&gt;</t>
        </r>
      </text>
    </comment>
    <comment ref="G1282" authorId="0" shapeId="0" xr:uid="{C235EF55-924A-4F45-B4B1-5E0F51FF9519}">
      <text>
        <r>
          <rPr>
            <b/>
            <sz val="9"/>
            <color indexed="81"/>
            <rFont val="Tahoma"/>
            <family val="2"/>
          </rPr>
          <t>&lt;[[TCDeals] - [TC Property Current Stage (Seq: 1)] - [Buildings (Seq: 95)] PVC Applicable Percentage - Both]&gt;</t>
        </r>
      </text>
    </comment>
    <comment ref="H1282" authorId="0" shapeId="0" xr:uid="{D5381186-D2A1-4BC6-8FDE-D874B0CC16EB}">
      <text>
        <r>
          <rPr>
            <b/>
            <sz val="9"/>
            <color indexed="81"/>
            <rFont val="Tahoma"/>
            <family val="2"/>
          </rPr>
          <t>&lt;[[TCDeals] - [TC Property Current Stage (Seq: 1)] - [Buildings (Seq: 95)] PVC Est Qual Basis - Both]&gt;</t>
        </r>
      </text>
    </comment>
    <comment ref="I1282" authorId="0" shapeId="0" xr:uid="{0EB3A952-D408-44BB-9435-993FDC0F5274}">
      <text>
        <r>
          <rPr>
            <b/>
            <sz val="9"/>
            <color indexed="81"/>
            <rFont val="Tahoma"/>
            <family val="2"/>
          </rPr>
          <t>&lt;[[TCDeals] - [TC Property Current Stage (Seq: 1)] - [Buildings (Seq: 95)] PVC8609 Basis - Both]&gt;</t>
        </r>
      </text>
    </comment>
    <comment ref="J1282" authorId="0" shapeId="0" xr:uid="{E346362E-1B8F-4E2A-B19F-38B07D65EACD}">
      <text>
        <r>
          <rPr>
            <b/>
            <sz val="9"/>
            <color indexed="81"/>
            <rFont val="Tahoma"/>
            <family val="2"/>
          </rPr>
          <t>&lt;[[TCDeals] - [TC Property Current Stage (Seq: 1)] - [Buildings (Seq: 95)] PVC8609 Credit - Both]&gt;</t>
        </r>
      </text>
    </comment>
    <comment ref="K1282" authorId="0" shapeId="0" xr:uid="{27BBE89B-0492-4F2E-BC8C-2023B4C2B686}">
      <text>
        <r>
          <rPr>
            <b/>
            <sz val="9"/>
            <color indexed="81"/>
            <rFont val="Tahoma"/>
            <family val="2"/>
          </rPr>
          <t>&lt;[[TCDeals] - [TC Property Current Stage (Seq: 1)] - [Buildings (Seq: 95)] Constr PIS Date - Both]&gt;</t>
        </r>
      </text>
    </comment>
    <comment ref="L1282" authorId="0" shapeId="0" xr:uid="{7563D8D9-115F-4245-B624-AC62724167DD}">
      <text>
        <r>
          <rPr>
            <b/>
            <sz val="9"/>
            <color indexed="81"/>
            <rFont val="Tahoma"/>
            <family val="2"/>
          </rPr>
          <t>&lt;[[TCDeals] - [TC Property Current Stage (Seq: 1)] - [Buildings (Seq: 95)] Constr Applicable Percentage - Both]&gt;</t>
        </r>
      </text>
    </comment>
    <comment ref="M1282" authorId="0" shapeId="0" xr:uid="{EAA0496B-1BD4-4D67-A0DE-6BC98C2061A2}">
      <text>
        <r>
          <rPr>
            <b/>
            <sz val="9"/>
            <color indexed="81"/>
            <rFont val="Tahoma"/>
            <family val="2"/>
          </rPr>
          <t>&lt;[[TCDeals] - [TC Property Current Stage (Seq: 1)] - [Buildings (Seq: 95)] Constr Est Qual Basis - Both]&gt;</t>
        </r>
      </text>
    </comment>
    <comment ref="N1282" authorId="0" shapeId="0" xr:uid="{E483FF67-615B-4C84-861A-48613B35F9A8}">
      <text>
        <r>
          <rPr>
            <b/>
            <sz val="9"/>
            <color indexed="81"/>
            <rFont val="Tahoma"/>
            <family val="2"/>
          </rPr>
          <t>&lt;[[TCDeals] - [TC Property Current Stage (Seq: 1)] - [Buildings (Seq: 95)] Constr 8609 Basis - Both]&gt;</t>
        </r>
      </text>
    </comment>
    <comment ref="O1282" authorId="0" shapeId="0" xr:uid="{88C27901-ED89-4D1A-9E6F-9F546320E099}">
      <text>
        <r>
          <rPr>
            <b/>
            <sz val="9"/>
            <color indexed="81"/>
            <rFont val="Tahoma"/>
            <family val="2"/>
          </rPr>
          <t>&lt;[[TCDeals] - [TC Property Current Stage (Seq: 1)] - [Buildings (Seq: 95)] Constr 8609 Credit - Both]&gt;</t>
        </r>
      </text>
    </comment>
    <comment ref="P1282" authorId="0" shapeId="0" xr:uid="{B2845161-375A-4CB3-AD1C-79CC56F5C140}">
      <text>
        <r>
          <rPr>
            <b/>
            <sz val="9"/>
            <color indexed="81"/>
            <rFont val="Tahoma"/>
            <family val="2"/>
          </rPr>
          <t>&lt;[[TCDeals] - [TC Property Current Stage (Seq: 1)] - [Buildings (Seq: 95)] Acq PIS Date - Both]&gt;</t>
        </r>
      </text>
    </comment>
    <comment ref="Q1282" authorId="0" shapeId="0" xr:uid="{81E7CDAB-3E4B-48F4-B656-11DF9CFF3596}">
      <text>
        <r>
          <rPr>
            <b/>
            <sz val="9"/>
            <color indexed="81"/>
            <rFont val="Tahoma"/>
            <family val="2"/>
          </rPr>
          <t>&lt;[[TCDeals] - [TC Property Current Stage (Seq: 1)] - [Buildings (Seq: 95)] Acq Applicable Percentage - Both]&gt;</t>
        </r>
      </text>
    </comment>
    <comment ref="R1282" authorId="0" shapeId="0" xr:uid="{07F2D447-D45D-425D-993E-4B7403B048EB}">
      <text>
        <r>
          <rPr>
            <b/>
            <sz val="9"/>
            <color indexed="81"/>
            <rFont val="Tahoma"/>
            <family val="2"/>
          </rPr>
          <t>&lt;[[TCDeals] - [TC Property Current Stage (Seq: 1)] - [Buildings (Seq: 95)] Acq Est Qual Basis - Both]&gt;</t>
        </r>
      </text>
    </comment>
    <comment ref="S1282" authorId="0" shapeId="0" xr:uid="{D0A14B32-3EED-4F2E-936C-5C28C8AF62ED}">
      <text>
        <r>
          <rPr>
            <b/>
            <sz val="9"/>
            <color indexed="81"/>
            <rFont val="Tahoma"/>
            <family val="2"/>
          </rPr>
          <t>&lt;[[TCDeals] - [TC Property Current Stage (Seq: 1)] - [Buildings (Seq: 95)] Acq 8609 Basis - Both]&gt;</t>
        </r>
      </text>
    </comment>
    <comment ref="T1282" authorId="0" shapeId="0" xr:uid="{880F748B-3527-4C27-A30D-9BD71A89CC1E}">
      <text>
        <r>
          <rPr>
            <b/>
            <sz val="9"/>
            <color indexed="81"/>
            <rFont val="Tahoma"/>
            <family val="2"/>
          </rPr>
          <t>&lt;[[TCDeals] - [TC Property Current Stage (Seq: 1)] - [Buildings (Seq: 95)] Acq 8609 Credit - Both]&gt;</t>
        </r>
      </text>
    </comment>
    <comment ref="C1283" authorId="0" shapeId="0" xr:uid="{211ED4A7-6DBE-4E9B-9E8D-A6749DFDFD7B}">
      <text>
        <r>
          <rPr>
            <b/>
            <sz val="9"/>
            <color indexed="81"/>
            <rFont val="Tahoma"/>
            <family val="2"/>
          </rPr>
          <t>&lt;[[TCDeals] - [TC Property Current Stage (Seq: 1)] - [Buildings (Seq: 96)] BIN - Both]&gt;</t>
        </r>
      </text>
    </comment>
    <comment ref="D1283" authorId="0" shapeId="0" xr:uid="{C9387245-0630-4E9D-9A7F-D085A3B0542C}">
      <text>
        <r>
          <rPr>
            <b/>
            <sz val="9"/>
            <color indexed="81"/>
            <rFont val="Tahoma"/>
            <family val="2"/>
          </rPr>
          <t>&lt;[[TCDeals] - [TC Property Current Stage (Seq: 1)] - [Buildings (Seq: 96)] Address 1 - Both]&gt;</t>
        </r>
      </text>
    </comment>
    <comment ref="E1283" authorId="0" shapeId="0" xr:uid="{2CEBD076-DD04-4C76-B37A-B13C77987BA0}">
      <text>
        <r>
          <rPr>
            <b/>
            <sz val="9"/>
            <color indexed="81"/>
            <rFont val="Tahoma"/>
            <family val="2"/>
          </rPr>
          <t>&lt;[[TCDeals] - [TC Property Current Stage (Seq: 1)] - [Buildings (Seq: 96)] Num TC Units - Both]&gt;</t>
        </r>
      </text>
    </comment>
    <comment ref="F1283" authorId="0" shapeId="0" xr:uid="{5EEFC742-630A-4795-A3D5-55CE568892E1}">
      <text>
        <r>
          <rPr>
            <b/>
            <sz val="9"/>
            <color indexed="81"/>
            <rFont val="Tahoma"/>
            <family val="2"/>
          </rPr>
          <t>&lt;[[TCDeals] - [TC Property Current Stage (Seq: 1)] - [Buildings (Seq: 96)] PVC PIS Date - Both]&gt;</t>
        </r>
      </text>
    </comment>
    <comment ref="G1283" authorId="0" shapeId="0" xr:uid="{E1259557-903E-46A1-A75B-AFBB208D42DA}">
      <text>
        <r>
          <rPr>
            <b/>
            <sz val="9"/>
            <color indexed="81"/>
            <rFont val="Tahoma"/>
            <family val="2"/>
          </rPr>
          <t>&lt;[[TCDeals] - [TC Property Current Stage (Seq: 1)] - [Buildings (Seq: 96)] PVC Applicable Percentage - Both]&gt;</t>
        </r>
      </text>
    </comment>
    <comment ref="H1283" authorId="0" shapeId="0" xr:uid="{94A9E055-F8AF-4959-921A-A59D529E420B}">
      <text>
        <r>
          <rPr>
            <b/>
            <sz val="9"/>
            <color indexed="81"/>
            <rFont val="Tahoma"/>
            <family val="2"/>
          </rPr>
          <t>&lt;[[TCDeals] - [TC Property Current Stage (Seq: 1)] - [Buildings (Seq: 96)] PVC Est Qual Basis - Both]&gt;</t>
        </r>
      </text>
    </comment>
    <comment ref="I1283" authorId="0" shapeId="0" xr:uid="{A7132B85-0E18-4852-A9BB-FFE590811F51}">
      <text>
        <r>
          <rPr>
            <b/>
            <sz val="9"/>
            <color indexed="81"/>
            <rFont val="Tahoma"/>
            <family val="2"/>
          </rPr>
          <t>&lt;[[TCDeals] - [TC Property Current Stage (Seq: 1)] - [Buildings (Seq: 96)] PVC8609 Basis - Both]&gt;</t>
        </r>
      </text>
    </comment>
    <comment ref="J1283" authorId="0" shapeId="0" xr:uid="{C3BA07CE-49FA-4E0E-8F37-4BEECA8EE4D1}">
      <text>
        <r>
          <rPr>
            <b/>
            <sz val="9"/>
            <color indexed="81"/>
            <rFont val="Tahoma"/>
            <family val="2"/>
          </rPr>
          <t>&lt;[[TCDeals] - [TC Property Current Stage (Seq: 1)] - [Buildings (Seq: 96)] PVC8609 Credit - Both]&gt;</t>
        </r>
      </text>
    </comment>
    <comment ref="K1283" authorId="0" shapeId="0" xr:uid="{A05C72DB-AEDA-4BA6-A31C-795324B1308A}">
      <text>
        <r>
          <rPr>
            <b/>
            <sz val="9"/>
            <color indexed="81"/>
            <rFont val="Tahoma"/>
            <family val="2"/>
          </rPr>
          <t>&lt;[[TCDeals] - [TC Property Current Stage (Seq: 1)] - [Buildings (Seq: 96)] Constr PIS Date - Both]&gt;</t>
        </r>
      </text>
    </comment>
    <comment ref="L1283" authorId="0" shapeId="0" xr:uid="{D6EE1DB6-BEEC-4960-8EE8-CFEC5414CB49}">
      <text>
        <r>
          <rPr>
            <b/>
            <sz val="9"/>
            <color indexed="81"/>
            <rFont val="Tahoma"/>
            <family val="2"/>
          </rPr>
          <t>&lt;[[TCDeals] - [TC Property Current Stage (Seq: 1)] - [Buildings (Seq: 96)] Constr Applicable Percentage - Both]&gt;</t>
        </r>
      </text>
    </comment>
    <comment ref="M1283" authorId="0" shapeId="0" xr:uid="{EDABF115-2062-43E4-BA58-D70E92D2ED90}">
      <text>
        <r>
          <rPr>
            <b/>
            <sz val="9"/>
            <color indexed="81"/>
            <rFont val="Tahoma"/>
            <family val="2"/>
          </rPr>
          <t>&lt;[[TCDeals] - [TC Property Current Stage (Seq: 1)] - [Buildings (Seq: 96)] Constr Est Qual Basis - Both]&gt;</t>
        </r>
      </text>
    </comment>
    <comment ref="N1283" authorId="0" shapeId="0" xr:uid="{DF7F3E6F-FE7A-4A9B-B373-399B517E4BC7}">
      <text>
        <r>
          <rPr>
            <b/>
            <sz val="9"/>
            <color indexed="81"/>
            <rFont val="Tahoma"/>
            <family val="2"/>
          </rPr>
          <t>&lt;[[TCDeals] - [TC Property Current Stage (Seq: 1)] - [Buildings (Seq: 96)] Constr 8609 Basis - Both]&gt;</t>
        </r>
      </text>
    </comment>
    <comment ref="O1283" authorId="0" shapeId="0" xr:uid="{9D494055-C8D7-4614-8121-BB957DB36B79}">
      <text>
        <r>
          <rPr>
            <b/>
            <sz val="9"/>
            <color indexed="81"/>
            <rFont val="Tahoma"/>
            <family val="2"/>
          </rPr>
          <t>&lt;[[TCDeals] - [TC Property Current Stage (Seq: 1)] - [Buildings (Seq: 96)] Constr 8609 Credit - Both]&gt;</t>
        </r>
      </text>
    </comment>
    <comment ref="P1283" authorId="0" shapeId="0" xr:uid="{46EDABF8-CCE0-4E70-8BC0-AEB3928B603F}">
      <text>
        <r>
          <rPr>
            <b/>
            <sz val="9"/>
            <color indexed="81"/>
            <rFont val="Tahoma"/>
            <family val="2"/>
          </rPr>
          <t>&lt;[[TCDeals] - [TC Property Current Stage (Seq: 1)] - [Buildings (Seq: 96)] Acq PIS Date - Both]&gt;</t>
        </r>
      </text>
    </comment>
    <comment ref="Q1283" authorId="0" shapeId="0" xr:uid="{6121D6F3-145D-43D9-BC10-8886957F133A}">
      <text>
        <r>
          <rPr>
            <b/>
            <sz val="9"/>
            <color indexed="81"/>
            <rFont val="Tahoma"/>
            <family val="2"/>
          </rPr>
          <t>&lt;[[TCDeals] - [TC Property Current Stage (Seq: 1)] - [Buildings (Seq: 96)] Acq Applicable Percentage - Both]&gt;</t>
        </r>
      </text>
    </comment>
    <comment ref="R1283" authorId="0" shapeId="0" xr:uid="{96A7153D-5DAD-44E9-BEE7-1756691876DA}">
      <text>
        <r>
          <rPr>
            <b/>
            <sz val="9"/>
            <color indexed="81"/>
            <rFont val="Tahoma"/>
            <family val="2"/>
          </rPr>
          <t>&lt;[[TCDeals] - [TC Property Current Stage (Seq: 1)] - [Buildings (Seq: 96)] Acq Est Qual Basis - Both]&gt;</t>
        </r>
      </text>
    </comment>
    <comment ref="S1283" authorId="0" shapeId="0" xr:uid="{15D45CB9-2163-460C-A0AB-03FFF518AA86}">
      <text>
        <r>
          <rPr>
            <b/>
            <sz val="9"/>
            <color indexed="81"/>
            <rFont val="Tahoma"/>
            <family val="2"/>
          </rPr>
          <t>&lt;[[TCDeals] - [TC Property Current Stage (Seq: 1)] - [Buildings (Seq: 96)] Acq 8609 Basis - Both]&gt;</t>
        </r>
      </text>
    </comment>
    <comment ref="T1283" authorId="0" shapeId="0" xr:uid="{64065861-8710-48D0-AFB9-4F1706FB4234}">
      <text>
        <r>
          <rPr>
            <b/>
            <sz val="9"/>
            <color indexed="81"/>
            <rFont val="Tahoma"/>
            <family val="2"/>
          </rPr>
          <t>&lt;[[TCDeals] - [TC Property Current Stage (Seq: 1)] - [Buildings (Seq: 96)] Acq 8609 Credit - Both]&gt;</t>
        </r>
      </text>
    </comment>
    <comment ref="C1284" authorId="0" shapeId="0" xr:uid="{B9EDBFF3-95EF-43E2-9A66-00091F5AA823}">
      <text>
        <r>
          <rPr>
            <b/>
            <sz val="9"/>
            <color indexed="81"/>
            <rFont val="Tahoma"/>
            <family val="2"/>
          </rPr>
          <t>&lt;[[TCDeals] - [TC Property Current Stage (Seq: 1)] - [Buildings (Seq: 97)] BIN - Both]&gt;</t>
        </r>
      </text>
    </comment>
    <comment ref="D1284" authorId="0" shapeId="0" xr:uid="{43431E9C-849D-46C3-9BB9-7B4C3EE4A57F}">
      <text>
        <r>
          <rPr>
            <b/>
            <sz val="9"/>
            <color indexed="81"/>
            <rFont val="Tahoma"/>
            <family val="2"/>
          </rPr>
          <t>&lt;[[TCDeals] - [TC Property Current Stage (Seq: 1)] - [Buildings (Seq: 97)] Address 1 - Both]&gt;</t>
        </r>
      </text>
    </comment>
    <comment ref="E1284" authorId="0" shapeId="0" xr:uid="{A1855440-910E-4875-AF8A-2D63762967ED}">
      <text>
        <r>
          <rPr>
            <b/>
            <sz val="9"/>
            <color indexed="81"/>
            <rFont val="Tahoma"/>
            <family val="2"/>
          </rPr>
          <t>&lt;[[TCDeals] - [TC Property Current Stage (Seq: 1)] - [Buildings (Seq: 97)] Num TC Units - Both]&gt;</t>
        </r>
      </text>
    </comment>
    <comment ref="F1284" authorId="0" shapeId="0" xr:uid="{B38EDE63-3158-4892-8437-982EC0892ED8}">
      <text>
        <r>
          <rPr>
            <b/>
            <sz val="9"/>
            <color indexed="81"/>
            <rFont val="Tahoma"/>
            <family val="2"/>
          </rPr>
          <t>&lt;[[TCDeals] - [TC Property Current Stage (Seq: 1)] - [Buildings (Seq: 97)] PVC PIS Date - Both]&gt;</t>
        </r>
      </text>
    </comment>
    <comment ref="G1284" authorId="0" shapeId="0" xr:uid="{8FD60A67-BFFF-4944-9DBA-86F92840C2E1}">
      <text>
        <r>
          <rPr>
            <b/>
            <sz val="9"/>
            <color indexed="81"/>
            <rFont val="Tahoma"/>
            <family val="2"/>
          </rPr>
          <t>&lt;[[TCDeals] - [TC Property Current Stage (Seq: 1)] - [Buildings (Seq: 97)] PVC Applicable Percentage - Both]&gt;</t>
        </r>
      </text>
    </comment>
    <comment ref="H1284" authorId="0" shapeId="0" xr:uid="{10045B23-42F5-42B9-B601-6A335AFA0FA9}">
      <text>
        <r>
          <rPr>
            <b/>
            <sz val="9"/>
            <color indexed="81"/>
            <rFont val="Tahoma"/>
            <family val="2"/>
          </rPr>
          <t>&lt;[[TCDeals] - [TC Property Current Stage (Seq: 1)] - [Buildings (Seq: 97)] PVC Est Qual Basis - Both]&gt;</t>
        </r>
      </text>
    </comment>
    <comment ref="I1284" authorId="0" shapeId="0" xr:uid="{66AD054A-4559-4D90-AB79-F438883473BA}">
      <text>
        <r>
          <rPr>
            <b/>
            <sz val="9"/>
            <color indexed="81"/>
            <rFont val="Tahoma"/>
            <family val="2"/>
          </rPr>
          <t>&lt;[[TCDeals] - [TC Property Current Stage (Seq: 1)] - [Buildings (Seq: 97)] PVC8609 Basis - Both]&gt;</t>
        </r>
      </text>
    </comment>
    <comment ref="J1284" authorId="0" shapeId="0" xr:uid="{C72A48A5-731F-4921-A775-58EE44113DB9}">
      <text>
        <r>
          <rPr>
            <b/>
            <sz val="9"/>
            <color indexed="81"/>
            <rFont val="Tahoma"/>
            <family val="2"/>
          </rPr>
          <t>&lt;[[TCDeals] - [TC Property Current Stage (Seq: 1)] - [Buildings (Seq: 97)] PVC8609 Credit - Both]&gt;</t>
        </r>
      </text>
    </comment>
    <comment ref="K1284" authorId="0" shapeId="0" xr:uid="{EC34BCE6-9B9F-4296-8C2D-3D74383EE7E7}">
      <text>
        <r>
          <rPr>
            <b/>
            <sz val="9"/>
            <color indexed="81"/>
            <rFont val="Tahoma"/>
            <family val="2"/>
          </rPr>
          <t>&lt;[[TCDeals] - [TC Property Current Stage (Seq: 1)] - [Buildings (Seq: 97)] Constr PIS Date - Both]&gt;</t>
        </r>
      </text>
    </comment>
    <comment ref="L1284" authorId="0" shapeId="0" xr:uid="{5A33860D-CCC4-4810-91DF-8E386142FFE8}">
      <text>
        <r>
          <rPr>
            <b/>
            <sz val="9"/>
            <color indexed="81"/>
            <rFont val="Tahoma"/>
            <family val="2"/>
          </rPr>
          <t>&lt;[[TCDeals] - [TC Property Current Stage (Seq: 1)] - [Buildings (Seq: 97)] Constr Applicable Percentage - Both]&gt;</t>
        </r>
      </text>
    </comment>
    <comment ref="M1284" authorId="0" shapeId="0" xr:uid="{8180B6F2-D2D1-4E43-BC38-600511B9C0EB}">
      <text>
        <r>
          <rPr>
            <b/>
            <sz val="9"/>
            <color indexed="81"/>
            <rFont val="Tahoma"/>
            <family val="2"/>
          </rPr>
          <t>&lt;[[TCDeals] - [TC Property Current Stage (Seq: 1)] - [Buildings (Seq: 97)] Constr Est Qual Basis - Both]&gt;</t>
        </r>
      </text>
    </comment>
    <comment ref="N1284" authorId="0" shapeId="0" xr:uid="{562B0AA1-706D-47D4-9BF8-00A06BFDC084}">
      <text>
        <r>
          <rPr>
            <b/>
            <sz val="9"/>
            <color indexed="81"/>
            <rFont val="Tahoma"/>
            <family val="2"/>
          </rPr>
          <t>&lt;[[TCDeals] - [TC Property Current Stage (Seq: 1)] - [Buildings (Seq: 97)] Constr 8609 Basis - Both]&gt;</t>
        </r>
      </text>
    </comment>
    <comment ref="O1284" authorId="0" shapeId="0" xr:uid="{7B0461CD-9F19-4A2B-A7E3-6A7AF0727D10}">
      <text>
        <r>
          <rPr>
            <b/>
            <sz val="9"/>
            <color indexed="81"/>
            <rFont val="Tahoma"/>
            <family val="2"/>
          </rPr>
          <t>&lt;[[TCDeals] - [TC Property Current Stage (Seq: 1)] - [Buildings (Seq: 97)] Constr 8609 Credit - Both]&gt;</t>
        </r>
      </text>
    </comment>
    <comment ref="P1284" authorId="0" shapeId="0" xr:uid="{6E478700-1654-4213-BA14-01FAB048E1E2}">
      <text>
        <r>
          <rPr>
            <b/>
            <sz val="9"/>
            <color indexed="81"/>
            <rFont val="Tahoma"/>
            <family val="2"/>
          </rPr>
          <t>&lt;[[TCDeals] - [TC Property Current Stage (Seq: 1)] - [Buildings (Seq: 97)] Acq PIS Date - Both]&gt;</t>
        </r>
      </text>
    </comment>
    <comment ref="Q1284" authorId="0" shapeId="0" xr:uid="{11CAA926-4E32-4257-9F90-E92013BAAB61}">
      <text>
        <r>
          <rPr>
            <b/>
            <sz val="9"/>
            <color indexed="81"/>
            <rFont val="Tahoma"/>
            <family val="2"/>
          </rPr>
          <t>&lt;[[TCDeals] - [TC Property Current Stage (Seq: 1)] - [Buildings (Seq: 97)] Acq Applicable Percentage - Both]&gt;</t>
        </r>
      </text>
    </comment>
    <comment ref="R1284" authorId="0" shapeId="0" xr:uid="{5394E0DC-7B8F-463F-872B-C2EDB2561605}">
      <text>
        <r>
          <rPr>
            <b/>
            <sz val="9"/>
            <color indexed="81"/>
            <rFont val="Tahoma"/>
            <family val="2"/>
          </rPr>
          <t>&lt;[[TCDeals] - [TC Property Current Stage (Seq: 1)] - [Buildings (Seq: 97)] Acq Est Qual Basis - Both]&gt;</t>
        </r>
      </text>
    </comment>
    <comment ref="S1284" authorId="0" shapeId="0" xr:uid="{545BB134-0D10-4E70-9873-D09613168959}">
      <text>
        <r>
          <rPr>
            <b/>
            <sz val="9"/>
            <color indexed="81"/>
            <rFont val="Tahoma"/>
            <family val="2"/>
          </rPr>
          <t>&lt;[[TCDeals] - [TC Property Current Stage (Seq: 1)] - [Buildings (Seq: 97)] Acq 8609 Basis - Both]&gt;</t>
        </r>
      </text>
    </comment>
    <comment ref="T1284" authorId="0" shapeId="0" xr:uid="{B03714BD-B407-473B-AD06-DDF5016ECA0F}">
      <text>
        <r>
          <rPr>
            <b/>
            <sz val="9"/>
            <color indexed="81"/>
            <rFont val="Tahoma"/>
            <family val="2"/>
          </rPr>
          <t>&lt;[[TCDeals] - [TC Property Current Stage (Seq: 1)] - [Buildings (Seq: 97)] Acq 8609 Credit - Both]&gt;</t>
        </r>
      </text>
    </comment>
    <comment ref="C1285" authorId="0" shapeId="0" xr:uid="{2DA24520-90F6-486E-BBEA-FB1D0B689CE3}">
      <text>
        <r>
          <rPr>
            <b/>
            <sz val="9"/>
            <color indexed="81"/>
            <rFont val="Tahoma"/>
            <family val="2"/>
          </rPr>
          <t>&lt;[[TCDeals] - [TC Property Current Stage (Seq: 1)] - [Buildings (Seq: 98)] BIN - Both]&gt;</t>
        </r>
      </text>
    </comment>
    <comment ref="D1285" authorId="0" shapeId="0" xr:uid="{B13548D6-4816-41E7-A38D-D7E21398F952}">
      <text>
        <r>
          <rPr>
            <b/>
            <sz val="9"/>
            <color indexed="81"/>
            <rFont val="Tahoma"/>
            <family val="2"/>
          </rPr>
          <t>&lt;[[TCDeals] - [TC Property Current Stage (Seq: 1)] - [Buildings (Seq: 98)] Address 1 - Both]&gt;</t>
        </r>
      </text>
    </comment>
    <comment ref="E1285" authorId="0" shapeId="0" xr:uid="{90B8B28A-EC92-493F-B0E0-ED5E5964A9E7}">
      <text>
        <r>
          <rPr>
            <b/>
            <sz val="9"/>
            <color indexed="81"/>
            <rFont val="Tahoma"/>
            <family val="2"/>
          </rPr>
          <t>&lt;[[TCDeals] - [TC Property Current Stage (Seq: 1)] - [Buildings (Seq: 98)] Num TC Units - Both]&gt;</t>
        </r>
      </text>
    </comment>
    <comment ref="F1285" authorId="0" shapeId="0" xr:uid="{3CE0335D-DE28-4819-882C-3A1DCC362C62}">
      <text>
        <r>
          <rPr>
            <b/>
            <sz val="9"/>
            <color indexed="81"/>
            <rFont val="Tahoma"/>
            <family val="2"/>
          </rPr>
          <t>&lt;[[TCDeals] - [TC Property Current Stage (Seq: 1)] - [Buildings (Seq: 98)] PVC PIS Date - Both]&gt;</t>
        </r>
      </text>
    </comment>
    <comment ref="G1285" authorId="0" shapeId="0" xr:uid="{2795DDE2-0A78-4318-9453-E5AF19FA560C}">
      <text>
        <r>
          <rPr>
            <b/>
            <sz val="9"/>
            <color indexed="81"/>
            <rFont val="Tahoma"/>
            <family val="2"/>
          </rPr>
          <t>&lt;[[TCDeals] - [TC Property Current Stage (Seq: 1)] - [Buildings (Seq: 98)] PVC Applicable Percentage - Both]&gt;</t>
        </r>
      </text>
    </comment>
    <comment ref="H1285" authorId="0" shapeId="0" xr:uid="{37E40422-8FBB-439F-BB3E-C6496A2DF92C}">
      <text>
        <r>
          <rPr>
            <b/>
            <sz val="9"/>
            <color indexed="81"/>
            <rFont val="Tahoma"/>
            <family val="2"/>
          </rPr>
          <t>&lt;[[TCDeals] - [TC Property Current Stage (Seq: 1)] - [Buildings (Seq: 98)] PVC Est Qual Basis - Both]&gt;</t>
        </r>
      </text>
    </comment>
    <comment ref="I1285" authorId="0" shapeId="0" xr:uid="{E6818EF1-BB1C-4876-AA04-365B7623B50F}">
      <text>
        <r>
          <rPr>
            <b/>
            <sz val="9"/>
            <color indexed="81"/>
            <rFont val="Tahoma"/>
            <family val="2"/>
          </rPr>
          <t>&lt;[[TCDeals] - [TC Property Current Stage (Seq: 1)] - [Buildings (Seq: 98)] PVC8609 Basis - Both]&gt;</t>
        </r>
      </text>
    </comment>
    <comment ref="J1285" authorId="0" shapeId="0" xr:uid="{B0457E5E-9EEC-4E60-B7E0-B3F978EE1025}">
      <text>
        <r>
          <rPr>
            <b/>
            <sz val="9"/>
            <color indexed="81"/>
            <rFont val="Tahoma"/>
            <family val="2"/>
          </rPr>
          <t>&lt;[[TCDeals] - [TC Property Current Stage (Seq: 1)] - [Buildings (Seq: 98)] PVC8609 Credit - Both]&gt;</t>
        </r>
      </text>
    </comment>
    <comment ref="K1285" authorId="0" shapeId="0" xr:uid="{8FD3A793-2981-44AF-95E4-E90BA9F27FCF}">
      <text>
        <r>
          <rPr>
            <b/>
            <sz val="9"/>
            <color indexed="81"/>
            <rFont val="Tahoma"/>
            <family val="2"/>
          </rPr>
          <t>&lt;[[TCDeals] - [TC Property Current Stage (Seq: 1)] - [Buildings (Seq: 98)] Constr PIS Date - Both]&gt;</t>
        </r>
      </text>
    </comment>
    <comment ref="L1285" authorId="0" shapeId="0" xr:uid="{2DE79876-FE78-4EB8-80F0-9C910793F258}">
      <text>
        <r>
          <rPr>
            <b/>
            <sz val="9"/>
            <color indexed="81"/>
            <rFont val="Tahoma"/>
            <family val="2"/>
          </rPr>
          <t>&lt;[[TCDeals] - [TC Property Current Stage (Seq: 1)] - [Buildings (Seq: 98)] Constr Applicable Percentage - Both]&gt;</t>
        </r>
      </text>
    </comment>
    <comment ref="M1285" authorId="0" shapeId="0" xr:uid="{492C7321-2942-465A-B33A-A926B3582A17}">
      <text>
        <r>
          <rPr>
            <b/>
            <sz val="9"/>
            <color indexed="81"/>
            <rFont val="Tahoma"/>
            <family val="2"/>
          </rPr>
          <t>&lt;[[TCDeals] - [TC Property Current Stage (Seq: 1)] - [Buildings (Seq: 98)] Constr Est Qual Basis - Both]&gt;</t>
        </r>
      </text>
    </comment>
    <comment ref="N1285" authorId="0" shapeId="0" xr:uid="{928E1F00-BBAE-4234-B912-50764AD8E63B}">
      <text>
        <r>
          <rPr>
            <b/>
            <sz val="9"/>
            <color indexed="81"/>
            <rFont val="Tahoma"/>
            <family val="2"/>
          </rPr>
          <t>&lt;[[TCDeals] - [TC Property Current Stage (Seq: 1)] - [Buildings (Seq: 98)] Constr 8609 Basis - Both]&gt;</t>
        </r>
      </text>
    </comment>
    <comment ref="O1285" authorId="0" shapeId="0" xr:uid="{3A1F03AB-4DC8-484B-AF85-4D85972366D6}">
      <text>
        <r>
          <rPr>
            <b/>
            <sz val="9"/>
            <color indexed="81"/>
            <rFont val="Tahoma"/>
            <family val="2"/>
          </rPr>
          <t>&lt;[[TCDeals] - [TC Property Current Stage (Seq: 1)] - [Buildings (Seq: 98)] Constr 8609 Credit - Both]&gt;</t>
        </r>
      </text>
    </comment>
    <comment ref="P1285" authorId="0" shapeId="0" xr:uid="{BEA8C426-525E-4F5F-B674-676B1681F516}">
      <text>
        <r>
          <rPr>
            <b/>
            <sz val="9"/>
            <color indexed="81"/>
            <rFont val="Tahoma"/>
            <family val="2"/>
          </rPr>
          <t>&lt;[[TCDeals] - [TC Property Current Stage (Seq: 1)] - [Buildings (Seq: 98)] Acq PIS Date - Both]&gt;</t>
        </r>
      </text>
    </comment>
    <comment ref="Q1285" authorId="0" shapeId="0" xr:uid="{52B440C9-8BD6-4779-9CC4-F6C194A50BAD}">
      <text>
        <r>
          <rPr>
            <b/>
            <sz val="9"/>
            <color indexed="81"/>
            <rFont val="Tahoma"/>
            <family val="2"/>
          </rPr>
          <t>&lt;[[TCDeals] - [TC Property Current Stage (Seq: 1)] - [Buildings (Seq: 98)] Acq Applicable Percentage - Both]&gt;</t>
        </r>
      </text>
    </comment>
    <comment ref="R1285" authorId="0" shapeId="0" xr:uid="{67F24016-7717-4815-BB81-2A69844F79F6}">
      <text>
        <r>
          <rPr>
            <b/>
            <sz val="9"/>
            <color indexed="81"/>
            <rFont val="Tahoma"/>
            <family val="2"/>
          </rPr>
          <t>&lt;[[TCDeals] - [TC Property Current Stage (Seq: 1)] - [Buildings (Seq: 98)] Acq Est Qual Basis - Both]&gt;</t>
        </r>
      </text>
    </comment>
    <comment ref="S1285" authorId="0" shapeId="0" xr:uid="{9F37FF21-B68D-4CB8-9D17-FDBB8D4EB1E1}">
      <text>
        <r>
          <rPr>
            <b/>
            <sz val="9"/>
            <color indexed="81"/>
            <rFont val="Tahoma"/>
            <family val="2"/>
          </rPr>
          <t>&lt;[[TCDeals] - [TC Property Current Stage (Seq: 1)] - [Buildings (Seq: 98)] Acq 8609 Basis - Both]&gt;</t>
        </r>
      </text>
    </comment>
    <comment ref="T1285" authorId="0" shapeId="0" xr:uid="{F8E80DBB-C3DA-4D42-9BD0-BF31E2D040AF}">
      <text>
        <r>
          <rPr>
            <b/>
            <sz val="9"/>
            <color indexed="81"/>
            <rFont val="Tahoma"/>
            <family val="2"/>
          </rPr>
          <t>&lt;[[TCDeals] - [TC Property Current Stage (Seq: 1)] - [Buildings (Seq: 98)] Acq 8609 Credit - Both]&gt;</t>
        </r>
      </text>
    </comment>
    <comment ref="C1286" authorId="0" shapeId="0" xr:uid="{DDACB7D3-229C-442A-BCBE-5422E915B43A}">
      <text>
        <r>
          <rPr>
            <b/>
            <sz val="9"/>
            <color indexed="81"/>
            <rFont val="Tahoma"/>
            <family val="2"/>
          </rPr>
          <t>&lt;[[TCDeals] - [TC Property Current Stage (Seq: 1)] - [Buildings (Seq: 99)] BIN - Both]&gt;</t>
        </r>
      </text>
    </comment>
    <comment ref="D1286" authorId="0" shapeId="0" xr:uid="{0414837C-C39E-4AB0-8063-6AD682321128}">
      <text>
        <r>
          <rPr>
            <b/>
            <sz val="9"/>
            <color indexed="81"/>
            <rFont val="Tahoma"/>
            <family val="2"/>
          </rPr>
          <t>&lt;[[TCDeals] - [TC Property Current Stage (Seq: 1)] - [Buildings (Seq: 99)] Address 1 - Both]&gt;</t>
        </r>
      </text>
    </comment>
    <comment ref="E1286" authorId="0" shapeId="0" xr:uid="{A8DA67FE-4B95-402D-8595-B75D65E23938}">
      <text>
        <r>
          <rPr>
            <b/>
            <sz val="9"/>
            <color indexed="81"/>
            <rFont val="Tahoma"/>
            <family val="2"/>
          </rPr>
          <t>&lt;[[TCDeals] - [TC Property Current Stage (Seq: 1)] - [Buildings (Seq: 99)] Num TC Units - Both]&gt;</t>
        </r>
      </text>
    </comment>
    <comment ref="F1286" authorId="0" shapeId="0" xr:uid="{54535C84-A336-470C-ABC6-2F82B59C6302}">
      <text>
        <r>
          <rPr>
            <b/>
            <sz val="9"/>
            <color indexed="81"/>
            <rFont val="Tahoma"/>
            <family val="2"/>
          </rPr>
          <t>&lt;[[TCDeals] - [TC Property Current Stage (Seq: 1)] - [Buildings (Seq: 99)] PVC PIS Date - Both]&gt;</t>
        </r>
      </text>
    </comment>
    <comment ref="G1286" authorId="0" shapeId="0" xr:uid="{CA5CFCE6-9FDB-4AE4-9EB3-50C0CFA8D7A3}">
      <text>
        <r>
          <rPr>
            <b/>
            <sz val="9"/>
            <color indexed="81"/>
            <rFont val="Tahoma"/>
            <family val="2"/>
          </rPr>
          <t>&lt;[[TCDeals] - [TC Property Current Stage (Seq: 1)] - [Buildings (Seq: 99)] PVC Applicable Percentage - Both]&gt;</t>
        </r>
      </text>
    </comment>
    <comment ref="H1286" authorId="0" shapeId="0" xr:uid="{8F570373-6B08-4D09-9B56-E03CFC5303E8}">
      <text>
        <r>
          <rPr>
            <b/>
            <sz val="9"/>
            <color indexed="81"/>
            <rFont val="Tahoma"/>
            <family val="2"/>
          </rPr>
          <t>&lt;[[TCDeals] - [TC Property Current Stage (Seq: 1)] - [Buildings (Seq: 99)] PVC Est Qual Basis - Both]&gt;</t>
        </r>
      </text>
    </comment>
    <comment ref="I1286" authorId="0" shapeId="0" xr:uid="{56348E6F-1C28-4FFC-BE7E-8D57843162AE}">
      <text>
        <r>
          <rPr>
            <b/>
            <sz val="9"/>
            <color indexed="81"/>
            <rFont val="Tahoma"/>
            <family val="2"/>
          </rPr>
          <t>&lt;[[TCDeals] - [TC Property Current Stage (Seq: 1)] - [Buildings (Seq: 99)] PVC8609 Basis - Both]&gt;</t>
        </r>
      </text>
    </comment>
    <comment ref="J1286" authorId="0" shapeId="0" xr:uid="{E83584B4-73DB-496E-ADA9-4A08D6C52B5B}">
      <text>
        <r>
          <rPr>
            <b/>
            <sz val="9"/>
            <color indexed="81"/>
            <rFont val="Tahoma"/>
            <family val="2"/>
          </rPr>
          <t>&lt;[[TCDeals] - [TC Property Current Stage (Seq: 1)] - [Buildings (Seq: 99)] PVC8609 Credit - Both]&gt;</t>
        </r>
      </text>
    </comment>
    <comment ref="K1286" authorId="0" shapeId="0" xr:uid="{74DB7A30-6788-4B5E-81D5-F4FBAB7B3DD8}">
      <text>
        <r>
          <rPr>
            <b/>
            <sz val="9"/>
            <color indexed="81"/>
            <rFont val="Tahoma"/>
            <family val="2"/>
          </rPr>
          <t>&lt;[[TCDeals] - [TC Property Current Stage (Seq: 1)] - [Buildings (Seq: 99)] Constr PIS Date - Both]&gt;</t>
        </r>
      </text>
    </comment>
    <comment ref="L1286" authorId="0" shapeId="0" xr:uid="{D6F43B23-DE66-404F-9519-871E317504D5}">
      <text>
        <r>
          <rPr>
            <b/>
            <sz val="9"/>
            <color indexed="81"/>
            <rFont val="Tahoma"/>
            <family val="2"/>
          </rPr>
          <t>&lt;[[TCDeals] - [TC Property Current Stage (Seq: 1)] - [Buildings (Seq: 99)] Constr Applicable Percentage - Both]&gt;</t>
        </r>
      </text>
    </comment>
    <comment ref="M1286" authorId="0" shapeId="0" xr:uid="{F1C85265-0441-4AA4-BA1C-3E3E6D6C4198}">
      <text>
        <r>
          <rPr>
            <b/>
            <sz val="9"/>
            <color indexed="81"/>
            <rFont val="Tahoma"/>
            <family val="2"/>
          </rPr>
          <t>&lt;[[TCDeals] - [TC Property Current Stage (Seq: 1)] - [Buildings (Seq: 99)] Constr Est Qual Basis - Both]&gt;</t>
        </r>
      </text>
    </comment>
    <comment ref="N1286" authorId="0" shapeId="0" xr:uid="{E908BEAF-AEE5-414C-B7C4-4CCB5123E340}">
      <text>
        <r>
          <rPr>
            <b/>
            <sz val="9"/>
            <color indexed="81"/>
            <rFont val="Tahoma"/>
            <family val="2"/>
          </rPr>
          <t>&lt;[[TCDeals] - [TC Property Current Stage (Seq: 1)] - [Buildings (Seq: 99)] Constr 8609 Basis - Both]&gt;</t>
        </r>
      </text>
    </comment>
    <comment ref="O1286" authorId="0" shapeId="0" xr:uid="{DB286BB1-DCA0-48A9-AAFA-D02D848397E2}">
      <text>
        <r>
          <rPr>
            <b/>
            <sz val="9"/>
            <color indexed="81"/>
            <rFont val="Tahoma"/>
            <family val="2"/>
          </rPr>
          <t>&lt;[[TCDeals] - [TC Property Current Stage (Seq: 1)] - [Buildings (Seq: 99)] Constr 8609 Credit - Both]&gt;</t>
        </r>
      </text>
    </comment>
    <comment ref="P1286" authorId="0" shapeId="0" xr:uid="{466BF326-86F5-443D-9E2E-5301380E46A6}">
      <text>
        <r>
          <rPr>
            <b/>
            <sz val="9"/>
            <color indexed="81"/>
            <rFont val="Tahoma"/>
            <family val="2"/>
          </rPr>
          <t>&lt;[[TCDeals] - [TC Property Current Stage (Seq: 1)] - [Buildings (Seq: 99)] Acq PIS Date - Both]&gt;</t>
        </r>
      </text>
    </comment>
    <comment ref="Q1286" authorId="0" shapeId="0" xr:uid="{F097D657-D442-47D3-BDED-58E79EFE27E9}">
      <text>
        <r>
          <rPr>
            <b/>
            <sz val="9"/>
            <color indexed="81"/>
            <rFont val="Tahoma"/>
            <family val="2"/>
          </rPr>
          <t>&lt;[[TCDeals] - [TC Property Current Stage (Seq: 1)] - [Buildings (Seq: 99)] Acq Applicable Percentage - Both]&gt;</t>
        </r>
      </text>
    </comment>
    <comment ref="R1286" authorId="0" shapeId="0" xr:uid="{881791E8-E010-4924-93DB-D78E870F58D9}">
      <text>
        <r>
          <rPr>
            <b/>
            <sz val="9"/>
            <color indexed="81"/>
            <rFont val="Tahoma"/>
            <family val="2"/>
          </rPr>
          <t>&lt;[[TCDeals] - [TC Property Current Stage (Seq: 1)] - [Buildings (Seq: 99)] Acq Est Qual Basis - Both]&gt;</t>
        </r>
      </text>
    </comment>
    <comment ref="S1286" authorId="0" shapeId="0" xr:uid="{7FE12F78-93B1-4FAF-B749-40818B080385}">
      <text>
        <r>
          <rPr>
            <b/>
            <sz val="9"/>
            <color indexed="81"/>
            <rFont val="Tahoma"/>
            <family val="2"/>
          </rPr>
          <t>&lt;[[TCDeals] - [TC Property Current Stage (Seq: 1)] - [Buildings (Seq: 99)] Acq 8609 Basis - Both]&gt;</t>
        </r>
      </text>
    </comment>
    <comment ref="T1286" authorId="0" shapeId="0" xr:uid="{6191CEDF-B08C-4D86-9648-BCED11940BA0}">
      <text>
        <r>
          <rPr>
            <b/>
            <sz val="9"/>
            <color indexed="81"/>
            <rFont val="Tahoma"/>
            <family val="2"/>
          </rPr>
          <t>&lt;[[TCDeals] - [TC Property Current Stage (Seq: 1)] - [Buildings (Seq: 99)] Acq 8609 Credit - Both]&gt;</t>
        </r>
      </text>
    </comment>
    <comment ref="D1360" authorId="0" shapeId="0" xr:uid="{9D1B2AF7-3F52-4CDA-8D4D-1651F9B67EA5}">
      <text>
        <r>
          <rPr>
            <b/>
            <sz val="9"/>
            <color indexed="81"/>
            <rFont val="Tahoma"/>
            <family val="2"/>
          </rPr>
          <t>&lt;[[TCDeals] - [TC Property Current Stage (Seq: 1)] - [Property Points (Seq: 1)] Is Window Coverings/Blinds - Both]&gt;</t>
        </r>
      </text>
    </comment>
    <comment ref="D1361" authorId="0" shapeId="0" xr:uid="{DE354E41-BA4A-4BC7-B81C-DFF21439D78A}">
      <text>
        <r>
          <rPr>
            <b/>
            <sz val="9"/>
            <color indexed="81"/>
            <rFont val="Tahoma"/>
            <family val="2"/>
          </rPr>
          <t>&lt;[[TCDeals] - [TC Property Current Stage (Seq: 1)] - [Property Points (Seq: 1)] Is Ceiling Fan E-star - Both]&gt;</t>
        </r>
      </text>
    </comment>
    <comment ref="D1362" authorId="0" shapeId="0" xr:uid="{043F9DE3-1207-4208-BFD1-4CBA0BB6CA18}">
      <text>
        <r>
          <rPr>
            <b/>
            <sz val="9"/>
            <color indexed="81"/>
            <rFont val="Tahoma"/>
            <family val="2"/>
          </rPr>
          <t>&lt;[[TCDeals] - [TC Property Current Stage (Seq: 1)] - [Property Points (Seq: 1)] Is Storage Closet/Shed - Both]&gt;</t>
        </r>
      </text>
    </comment>
    <comment ref="D1363" authorId="0" shapeId="0" xr:uid="{69F8EFCA-E689-421C-8962-E97F89CFDEAA}">
      <text>
        <r>
          <rPr>
            <b/>
            <sz val="9"/>
            <color indexed="81"/>
            <rFont val="Tahoma"/>
            <family val="2"/>
          </rPr>
          <t>&lt;[[TCDeals] - [TC Property Current Stage (Seq: 1)] - [Property Points (Seq: 1)] Is Coat Closet - Both]&gt;</t>
        </r>
      </text>
    </comment>
    <comment ref="D1364" authorId="0" shapeId="0" xr:uid="{60B55CDA-DB29-4E3F-8F08-E975634C944A}">
      <text>
        <r>
          <rPr>
            <b/>
            <sz val="9"/>
            <color indexed="81"/>
            <rFont val="Tahoma"/>
            <family val="2"/>
          </rPr>
          <t>&lt;[[TCDeals] - [TC Property Current Stage (Seq: 1)] - [Property Points (Seq: 1)] Is Walk-in Closet - Both]&gt;</t>
        </r>
      </text>
    </comment>
    <comment ref="D1365" authorId="0" shapeId="0" xr:uid="{D6DFB268-5593-4539-A5DF-C5ECF7650585}">
      <text>
        <r>
          <rPr>
            <b/>
            <sz val="9"/>
            <color indexed="81"/>
            <rFont val="Tahoma"/>
            <family val="2"/>
          </rPr>
          <t>&lt;[[TCDeals] - [TC Property Current Stage (Seq: 1)] - [Property Points (Seq: 1)] Is Fireplace - Both]&gt;</t>
        </r>
      </text>
    </comment>
    <comment ref="D1366" authorId="0" shapeId="0" xr:uid="{4C80FE39-10C4-4748-A89A-45B2B2E63DEE}">
      <text>
        <r>
          <rPr>
            <b/>
            <sz val="9"/>
            <color indexed="81"/>
            <rFont val="Tahoma"/>
            <family val="2"/>
          </rPr>
          <t>&lt;[[TCDeals] - [TC Property Current Stage (Seq: 1)] - [Property Points (Seq: 1)] Is Bathroom Fan E-star - Both]&gt;</t>
        </r>
      </text>
    </comment>
    <comment ref="D1367" authorId="0" shapeId="0" xr:uid="{AF5A6A88-FF53-427B-8D08-B2DE3401B4BA}">
      <text>
        <r>
          <rPr>
            <b/>
            <sz val="9"/>
            <color indexed="81"/>
            <rFont val="Tahoma"/>
            <family val="2"/>
          </rPr>
          <t>&lt;[[TCDeals] - [TC Property Current Stage (Seq: 1)] - [Property Points (Seq: 1)] Is Patio/Porch/Balcony - Both]&gt;</t>
        </r>
      </text>
    </comment>
    <comment ref="D1368" authorId="0" shapeId="0" xr:uid="{966FA2FC-E82E-4EFF-BA9D-0FCB41E86744}">
      <text>
        <r>
          <rPr>
            <b/>
            <sz val="9"/>
            <color indexed="81"/>
            <rFont val="Tahoma"/>
            <family val="2"/>
          </rPr>
          <t>&lt;[[TCDeals] - [TC Property Current Stage (Seq: 1)] - [Property Points (Seq: 1)] Is Cable Connection - Both]&gt;</t>
        </r>
      </text>
    </comment>
    <comment ref="D1369" authorId="0" shapeId="0" xr:uid="{398FC9BA-A9A7-4E30-B82C-0CE61E7F6AE8}">
      <text>
        <r>
          <rPr>
            <b/>
            <sz val="9"/>
            <color indexed="81"/>
            <rFont val="Tahoma"/>
            <family val="2"/>
          </rPr>
          <t>&lt;[[TCDeals] - [TC Property Current Stage (Seq: 1)] - [Property Points (Seq: 1)] Is Internet Connection - Both]&gt;</t>
        </r>
      </text>
    </comment>
    <comment ref="D1370" authorId="0" shapeId="0" xr:uid="{ECD535C5-A1C8-4AFF-9898-2B761E994351}">
      <text>
        <r>
          <rPr>
            <b/>
            <sz val="9"/>
            <color indexed="81"/>
            <rFont val="Tahoma"/>
            <family val="2"/>
          </rPr>
          <t>&lt;[[TCDeals] - [TC Property Current Stage (Seq: 1)] - [Property Points (Seq: 1)] Is Units individually metered - Both]&gt;</t>
        </r>
      </text>
    </comment>
    <comment ref="D1372" authorId="0" shapeId="0" xr:uid="{413C59E2-8F90-4324-BE69-59B0CBF7D727}">
      <text>
        <r>
          <rPr>
            <b/>
            <sz val="9"/>
            <color indexed="81"/>
            <rFont val="Tahoma"/>
            <family val="2"/>
          </rPr>
          <t>&lt;[[TCDeals] - [TC Property Current Stage (Seq: 1)] - [Property Points (Seq: 1)] Is Refrigerator E-star - Both]&gt;</t>
        </r>
      </text>
    </comment>
    <comment ref="D1373" authorId="0" shapeId="0" xr:uid="{63C83FB0-6A2D-46EF-BDF2-5759BF3E69A4}">
      <text>
        <r>
          <rPr>
            <b/>
            <sz val="9"/>
            <color indexed="81"/>
            <rFont val="Tahoma"/>
            <family val="2"/>
          </rPr>
          <t>&lt;[[TCDeals] - [TC Property Current Stage (Seq: 1)] - [Property Points (Seq: 1)] Is Stove/Oven - Both]&gt;</t>
        </r>
      </text>
    </comment>
    <comment ref="D1374" authorId="0" shapeId="0" xr:uid="{F71853F9-3F34-4C66-9082-6049FB00C263}">
      <text>
        <r>
          <rPr>
            <b/>
            <sz val="9"/>
            <color indexed="81"/>
            <rFont val="Tahoma"/>
            <family val="2"/>
          </rPr>
          <t>&lt;[[TCDeals] - [TC Property Current Stage (Seq: 1)] - [Property Points (Seq: 1)] Is Optional Field 375 - Both]&gt;</t>
        </r>
      </text>
    </comment>
    <comment ref="D1375" authorId="0" shapeId="0" xr:uid="{A9BE3D72-9011-405A-9B0C-82EDFE3977F9}">
      <text>
        <r>
          <rPr>
            <b/>
            <sz val="9"/>
            <color indexed="81"/>
            <rFont val="Tahoma"/>
            <family val="2"/>
          </rPr>
          <t>&lt;[[TCDeals] - [TC Property Current Stage (Seq: 1)] - [Property Points (Seq: 1)] Is Optional Field 376 - Both]&gt;</t>
        </r>
      </text>
    </comment>
    <comment ref="D1376" authorId="0" shapeId="0" xr:uid="{9791A7B3-7876-42CD-ADA6-01F4FBE7CA4C}">
      <text>
        <r>
          <rPr>
            <b/>
            <sz val="9"/>
            <color indexed="81"/>
            <rFont val="Tahoma"/>
            <family val="2"/>
          </rPr>
          <t>&lt;[[TCDeals] - [TC Property Current Stage (Seq: 1)] - [Property Points (Seq: 1)] Is Optional Field 377 - Both]&gt;</t>
        </r>
      </text>
    </comment>
    <comment ref="D1377" authorId="0" shapeId="0" xr:uid="{8EBDD31A-636A-4E61-B64C-96AEDA4831D8}">
      <text>
        <r>
          <rPr>
            <b/>
            <sz val="9"/>
            <color indexed="81"/>
            <rFont val="Tahoma"/>
            <family val="2"/>
          </rPr>
          <t>&lt;[[TCDeals] - [TC Property Current Stage (Seq: 1)] - [Property Points (Seq: 1)] Is Optional Field 439 - Both]&gt;</t>
        </r>
      </text>
    </comment>
    <comment ref="D1378" authorId="0" shapeId="0" xr:uid="{12A94D66-D727-48F6-9BB6-3F2B7819BCBA}">
      <text>
        <r>
          <rPr>
            <b/>
            <sz val="9"/>
            <color indexed="81"/>
            <rFont val="Tahoma"/>
            <family val="2"/>
          </rPr>
          <t>&lt;[[TCDeals] - [TC Property Current Stage (Seq: 1)] - [Property Points (Seq: 1)] Is Optional Field 440 - Both]&gt;</t>
        </r>
      </text>
    </comment>
    <comment ref="D1379" authorId="0" shapeId="0" xr:uid="{49801124-4AC4-4EA8-B7EF-258F23AB334A}">
      <text>
        <r>
          <rPr>
            <b/>
            <sz val="9"/>
            <color indexed="81"/>
            <rFont val="Tahoma"/>
            <family val="2"/>
          </rPr>
          <t>&lt;[[TCDeals] - [TC Property Current Stage (Seq: 1)] - [Property Points (Seq: 1)] Is Optional Field 380 - Both]&gt;</t>
        </r>
      </text>
    </comment>
    <comment ref="D1381" authorId="0" shapeId="0" xr:uid="{3445CA28-4459-4AB5-86C9-3F0B8C498C93}">
      <text>
        <r>
          <rPr>
            <b/>
            <sz val="9"/>
            <color indexed="81"/>
            <rFont val="Tahoma"/>
            <family val="2"/>
          </rPr>
          <t>&lt;[[TCDeals] - [TC Property Current Stage (Seq: 1)] - [Property Points (Seq: 1)] Is Optional Field 381 - Both]&gt;</t>
        </r>
      </text>
    </comment>
    <comment ref="D1382" authorId="0" shapeId="0" xr:uid="{79067203-301B-4777-9EA8-91D9E161F5F5}">
      <text>
        <r>
          <rPr>
            <b/>
            <sz val="9"/>
            <color indexed="81"/>
            <rFont val="Tahoma"/>
            <family val="2"/>
          </rPr>
          <t>&lt;[[TCDeals] - [TC Property Current Stage (Seq: 1)] - [Property Points (Seq: 1)] Is Optional Field 382 - Both]&gt;</t>
        </r>
      </text>
    </comment>
    <comment ref="D1383" authorId="0" shapeId="0" xr:uid="{A2ADC5E7-4689-45E2-A5DC-ABB33ABC5DE0}">
      <text>
        <r>
          <rPr>
            <b/>
            <sz val="9"/>
            <color indexed="81"/>
            <rFont val="Tahoma"/>
            <family val="2"/>
          </rPr>
          <t>&lt;[[TCDeals] - [TC Property Current Stage (Seq: 1)] - [Property Points (Seq: 1)] Is Optional Field 383 - Both]&gt;</t>
        </r>
      </text>
    </comment>
    <comment ref="D1384" authorId="0" shapeId="0" xr:uid="{054E9C9A-43E9-46B5-B70D-718D41802A80}">
      <text>
        <r>
          <rPr>
            <b/>
            <sz val="9"/>
            <color indexed="81"/>
            <rFont val="Tahoma"/>
            <family val="2"/>
          </rPr>
          <t>&lt;[[TCDeals] - [TC Property Current Stage (Seq: 1)] - [Property Points (Seq: 1)] Is Optional Field 384 - Both]&gt;</t>
        </r>
      </text>
    </comment>
    <comment ref="D1385" authorId="0" shapeId="0" xr:uid="{3268C538-2576-4797-BE16-759E525AAFF2}">
      <text>
        <r>
          <rPr>
            <b/>
            <sz val="9"/>
            <color indexed="81"/>
            <rFont val="Tahoma"/>
            <family val="2"/>
          </rPr>
          <t>&lt;[[TCDeals] - [TC Property Current Stage (Seq: 1)] - [Property Points (Seq: 1)] Is Optional Field 385 - Both]&gt;</t>
        </r>
      </text>
    </comment>
    <comment ref="D1386" authorId="0" shapeId="0" xr:uid="{5261D9C7-F67C-4A46-AB72-5211D49DB41F}">
      <text>
        <r>
          <rPr>
            <b/>
            <sz val="9"/>
            <color indexed="81"/>
            <rFont val="Tahoma"/>
            <family val="2"/>
          </rPr>
          <t>&lt;[[TCDeals] - [TC Property Current Stage (Seq: 1)] - [Property Points (Seq: 1)] Is Optional Field 386 - Both]&gt;</t>
        </r>
      </text>
    </comment>
    <comment ref="D1387" authorId="1" shapeId="0" xr:uid="{835C9182-1A4A-4DDA-9CDE-5062AD2E9A83}">
      <text>
        <r>
          <rPr>
            <b/>
            <sz val="9"/>
            <color indexed="81"/>
            <rFont val="Tahoma"/>
            <family val="2"/>
          </rPr>
          <t>&lt;[[TCDeals] - [TC Property Current Stage (Seq: 1)] - [Property Points (Seq: 1)] Number of Laundry Rooms - Both]&gt;</t>
        </r>
      </text>
    </comment>
    <comment ref="D1388" authorId="1" shapeId="0" xr:uid="{F9BF6A05-834F-43E9-976F-B1C9E528BFAD}">
      <text>
        <r>
          <rPr>
            <b/>
            <sz val="9"/>
            <color indexed="81"/>
            <rFont val="Tahoma"/>
            <family val="2"/>
          </rPr>
          <t>&lt;[[TCDeals] - [TC Property Current Stage (Seq: 1)] - [Property Points (Seq: 1)] Laundry Room in each building (if more than one bldg) - Both]&gt;</t>
        </r>
      </text>
    </comment>
    <comment ref="D1389" authorId="1" shapeId="0" xr:uid="{E95E3881-582A-4921-9CE5-C7AC522D2B79}">
      <text>
        <r>
          <rPr>
            <b/>
            <sz val="9"/>
            <color indexed="81"/>
            <rFont val="Tahoma"/>
            <family val="2"/>
          </rPr>
          <t>&lt;[[TCDeals] - [TC Property Current Stage (Seq: 1)] - [Property Points (Seq: 1)] Laundry Room on each floor - Both]&gt;</t>
        </r>
      </text>
    </comment>
    <comment ref="D1390" authorId="0" shapeId="0" xr:uid="{114A08C0-DCB5-41E2-B2D3-EC1223FD0202}">
      <text>
        <r>
          <rPr>
            <b/>
            <sz val="9"/>
            <color indexed="81"/>
            <rFont val="Tahoma"/>
            <family val="2"/>
          </rPr>
          <t>&lt;[[TCDeals] - [TC Property Current Stage (Seq: 1)] - [Property Points (Seq: 1)] Is Optional Field 387 - Both]&gt;</t>
        </r>
      </text>
    </comment>
    <comment ref="D1391" authorId="0" shapeId="0" xr:uid="{945860F3-0327-48CD-ADA2-FBC30650C63F}">
      <text>
        <r>
          <rPr>
            <b/>
            <sz val="9"/>
            <color indexed="81"/>
            <rFont val="Tahoma"/>
            <family val="2"/>
          </rPr>
          <t>&lt;[[TCDeals] - [TC Property Current Stage (Seq: 1)] - [Property Points (Seq: 1)] Is Optional Field 388 - Both]&gt;</t>
        </r>
      </text>
    </comment>
    <comment ref="D1392" authorId="0" shapeId="0" xr:uid="{EB2503FA-D2A1-4FA2-B8E6-25D521093B73}">
      <text>
        <r>
          <rPr>
            <b/>
            <sz val="9"/>
            <color indexed="81"/>
            <rFont val="Tahoma"/>
            <family val="2"/>
          </rPr>
          <t>&lt;[[TCDeals] - [TC Property Current Stage (Seq: 1)] - [Property Points (Seq: 1)] Is Optional Field 389 - Both]&gt;</t>
        </r>
      </text>
    </comment>
    <comment ref="D1393" authorId="0" shapeId="0" xr:uid="{55A9B383-D832-4E6D-B09F-7DA6CDF3DAE3}">
      <text>
        <r>
          <rPr>
            <b/>
            <sz val="9"/>
            <color indexed="81"/>
            <rFont val="Tahoma"/>
            <family val="2"/>
          </rPr>
          <t>&lt;[[TCDeals] - [TC Property Current Stage (Seq: 1)] - [Property Points (Seq: 1)] Is Optional Field 441 - Both]&gt;</t>
        </r>
      </text>
    </comment>
    <comment ref="D1394" authorId="0" shapeId="0" xr:uid="{A18F2C59-E6D7-4403-A951-63C450E35CD1}">
      <text>
        <r>
          <rPr>
            <b/>
            <sz val="9"/>
            <color indexed="81"/>
            <rFont val="Tahoma"/>
            <family val="2"/>
          </rPr>
          <t>&lt;[[TCDeals] - [TC Property Current Stage (Seq: 1)] - [Property Points (Seq: 1)] Optional Field 390 - Both]&gt;</t>
        </r>
      </text>
    </comment>
    <comment ref="D1395" authorId="0" shapeId="0" xr:uid="{58C31C33-08E4-449A-8E09-2F3674EA1536}">
      <text>
        <r>
          <rPr>
            <b/>
            <sz val="9"/>
            <color indexed="81"/>
            <rFont val="Tahoma"/>
            <family val="2"/>
          </rPr>
          <t>&lt;[[TCDeals] - [TC Property Current Stage (Seq: 1)] - [Property Points (Seq: 1)] Is Optional Field 391 - Both]&gt;</t>
        </r>
      </text>
    </comment>
    <comment ref="D1396" authorId="0" shapeId="0" xr:uid="{A98CF101-EC04-4E17-89E1-DB93313C82AA}">
      <text>
        <r>
          <rPr>
            <b/>
            <sz val="9"/>
            <color indexed="81"/>
            <rFont val="Tahoma"/>
            <family val="2"/>
          </rPr>
          <t>&lt;[[TCDeals] - [TC Property Current Stage (Seq: 1)] - [Property Points (Seq: 1)] Is Optional Field 392 - Both]&gt;</t>
        </r>
      </text>
    </comment>
    <comment ref="D1397" authorId="0" shapeId="0" xr:uid="{1DDD5111-1FBC-4503-AFBC-482EDCE8B27B}">
      <text>
        <r>
          <rPr>
            <b/>
            <sz val="9"/>
            <color indexed="81"/>
            <rFont val="Tahoma"/>
            <family val="2"/>
          </rPr>
          <t>&lt;[[TCDeals] - [TC Property Current Stage (Seq: 1)] - [Property Points (Seq: 1)] Is Optional Field 393 - Both]&gt;</t>
        </r>
      </text>
    </comment>
    <comment ref="D1398" authorId="0" shapeId="0" xr:uid="{DE2D1F58-12EB-40B4-BF39-3558851AE01A}">
      <text>
        <r>
          <rPr>
            <b/>
            <sz val="9"/>
            <color indexed="81"/>
            <rFont val="Tahoma"/>
            <family val="2"/>
          </rPr>
          <t>&lt;[[TCDeals] - [TC Property Current Stage (Seq: 1)] - [Property Points (Seq: 1)] Is Optional Field 442 - Both]&gt;</t>
        </r>
      </text>
    </comment>
    <comment ref="D1399" authorId="0" shapeId="0" xr:uid="{A71C404C-43FD-48DC-BFF6-25E4522C4542}">
      <text>
        <r>
          <rPr>
            <b/>
            <sz val="9"/>
            <color indexed="81"/>
            <rFont val="Tahoma"/>
            <family val="2"/>
          </rPr>
          <t>&lt;[[TCDeals] - [TC Property Current Stage (Seq: 1)] - [Property Points (Seq: 1)] Is Optional Field 394 - Both]&gt;</t>
        </r>
      </text>
    </comment>
    <comment ref="D1400" authorId="0" shapeId="0" xr:uid="{37D8FE52-3249-4407-A6D6-D364D277028E}">
      <text>
        <r>
          <rPr>
            <b/>
            <sz val="9"/>
            <color indexed="81"/>
            <rFont val="Tahoma"/>
            <family val="2"/>
          </rPr>
          <t>&lt;[[TCDeals] - [TC Property Current Stage (Seq: 1)] - [Property Points (Seq: 1)] Is Optional Field 395 - Both]&gt;</t>
        </r>
      </text>
    </comment>
    <comment ref="D1401" authorId="1" shapeId="0" xr:uid="{AF6AEB33-788E-48AB-A328-C21B816F326D}">
      <text>
        <r>
          <rPr>
            <b/>
            <sz val="9"/>
            <color indexed="81"/>
            <rFont val="Tahoma"/>
            <family val="2"/>
          </rPr>
          <t>&lt;[[TCDeals] - [TC Property Current Stage (Seq: 1)] - [Property Points (Seq: 1)] Is Bike Storage - Both]&gt;</t>
        </r>
      </text>
    </comment>
    <comment ref="D1402" authorId="1" shapeId="0" xr:uid="{8F8E5EF0-5D76-44BF-BA12-87DF91E2A1D9}">
      <text>
        <r>
          <rPr>
            <b/>
            <sz val="9"/>
            <color indexed="81"/>
            <rFont val="Tahoma"/>
            <family val="2"/>
          </rPr>
          <t>&lt;[[TCDeals] - [TC Property Current Stage (Seq: 1)] - [Property Points (Seq: 1)] Is Bike Maintenance - Both]&gt;</t>
        </r>
      </text>
    </comment>
    <comment ref="D1403" authorId="1" shapeId="0" xr:uid="{B434EE67-4CCF-4BF8-B9D4-33174889B2B9}">
      <text>
        <r>
          <rPr>
            <b/>
            <sz val="9"/>
            <color indexed="81"/>
            <rFont val="Tahoma"/>
            <family val="2"/>
          </rPr>
          <t>&lt;[[TCDeals] - [TC Property Current Stage (Seq: 1)] - [Property Points (Seq: 1)] Is Pet Wash Area - Both]&gt;</t>
        </r>
      </text>
    </comment>
    <comment ref="D1404" authorId="1" shapeId="0" xr:uid="{4E776CC6-D937-47DE-B86B-FE1029DB5445}">
      <text>
        <r>
          <rPr>
            <b/>
            <sz val="9"/>
            <color indexed="81"/>
            <rFont val="Tahoma"/>
            <family val="2"/>
          </rPr>
          <t>&lt;[[TCDeals] - [TC Property Current Stage (Seq: 1)] - [Property Points (Seq: 1)] Is Pet Relief Area - Both]&gt;</t>
        </r>
      </text>
    </comment>
    <comment ref="D1405" authorId="1" shapeId="0" xr:uid="{4D7C7EF8-3B03-4DE3-BFF0-4C5716B9DDC2}">
      <text>
        <r>
          <rPr>
            <b/>
            <sz val="9"/>
            <color indexed="81"/>
            <rFont val="Tahoma"/>
            <family val="2"/>
          </rPr>
          <t>&lt;[[TCDeals] - [TC Property Current Stage (Seq: 1)] - [Property Points (Seq: 1)] Is Dog Run - Both]&gt;</t>
        </r>
      </text>
    </comment>
    <comment ref="D1406" authorId="0" shapeId="0" xr:uid="{F6393C81-17F2-4DC9-AFA6-E645ABAD6887}">
      <text>
        <r>
          <rPr>
            <b/>
            <sz val="9"/>
            <color indexed="81"/>
            <rFont val="Tahoma"/>
            <family val="2"/>
          </rPr>
          <t>&lt;[[TCDeals] - [TC Property Current Stage (Seq: 1)] - [Property Points (Seq: 1)] Is Optional Field 396 - Both]&gt;</t>
        </r>
      </text>
    </comment>
    <comment ref="D1408" authorId="0" shapeId="0" xr:uid="{2DBADDA4-A2B8-48AC-88E0-F86BEB7904DC}">
      <text>
        <r>
          <rPr>
            <b/>
            <sz val="9"/>
            <color indexed="81"/>
            <rFont val="Tahoma"/>
            <family val="2"/>
          </rPr>
          <t>&lt;[[TCDeals] - [TC Property Current Stage (Seq: 1)] - [Property Points (Seq: 1)] Is Optional Field 397 - Both]&gt;</t>
        </r>
      </text>
    </comment>
    <comment ref="D1409" authorId="0" shapeId="0" xr:uid="{1699FA3B-4C0C-4554-A29A-A0B72FA4CB82}">
      <text>
        <r>
          <rPr>
            <b/>
            <sz val="9"/>
            <color indexed="81"/>
            <rFont val="Tahoma"/>
            <family val="2"/>
          </rPr>
          <t>&lt;[[TCDeals] - [TC Property Current Stage (Seq: 1)] - [Property Points (Seq: 1)] Is Optional Field 398 - Both]&gt;</t>
        </r>
      </text>
    </comment>
    <comment ref="D1410" authorId="0" shapeId="0" xr:uid="{AABB3DFB-039B-4A3A-BE4F-EBF5B3D84FC2}">
      <text>
        <r>
          <rPr>
            <b/>
            <sz val="9"/>
            <color indexed="81"/>
            <rFont val="Tahoma"/>
            <family val="2"/>
          </rPr>
          <t>&lt;[[TCDeals] - [TC Property Current Stage (Seq: 1)] - [Property Points (Seq: 1)] Is Optional Field 399 - Both]&gt;</t>
        </r>
      </text>
    </comment>
    <comment ref="D1411" authorId="0" shapeId="0" xr:uid="{10C669D9-A394-485C-B178-B65F38A3F685}">
      <text>
        <r>
          <rPr>
            <b/>
            <sz val="9"/>
            <color indexed="81"/>
            <rFont val="Tahoma"/>
            <family val="2"/>
          </rPr>
          <t>&lt;[[TCDeals] - [TC Property Current Stage (Seq: 1)] - [Property Points (Seq: 1)] Is Optional Field 400 - Both]&gt;</t>
        </r>
      </text>
    </comment>
    <comment ref="D1412" authorId="0" shapeId="0" xr:uid="{D362B6DD-DAE3-4CE0-83D4-4B0CF4A362AE}">
      <text>
        <r>
          <rPr>
            <b/>
            <sz val="9"/>
            <color indexed="81"/>
            <rFont val="Tahoma"/>
            <family val="2"/>
          </rPr>
          <t>&lt;[[TCDeals] - [TC Property Current Stage (Seq: 1)] - [Property Points (Seq: 1)] Is Optional Field 401 - Both]&gt;</t>
        </r>
      </text>
    </comment>
    <comment ref="D1414" authorId="0" shapeId="0" xr:uid="{C24075BC-66C1-465C-8DAF-D298BE8DD8AA}">
      <text>
        <r>
          <rPr>
            <b/>
            <sz val="9"/>
            <color indexed="81"/>
            <rFont val="Tahoma"/>
            <family val="2"/>
          </rPr>
          <t>&lt;[[TCDeals] - [TC Property Current Stage (Seq: 1)] - [Property Points (Seq: 1)] Optional Field 402 - Both]&gt;</t>
        </r>
      </text>
    </comment>
    <comment ref="D1415" authorId="0" shapeId="0" xr:uid="{8D2E918D-528C-4558-B000-A4029249584F}">
      <text>
        <r>
          <rPr>
            <b/>
            <sz val="9"/>
            <color indexed="81"/>
            <rFont val="Tahoma"/>
            <family val="2"/>
          </rPr>
          <t>&lt;[[TCDeals] - [TC Property Current Stage (Seq: 1)] - [Property Points (Seq: 1)] Surface Parking (# per unit) - Both]&gt;</t>
        </r>
      </text>
    </comment>
    <comment ref="D1416" authorId="0" shapeId="0" xr:uid="{70F54ADA-A91B-43B9-B715-892B9CBEC8B1}">
      <text>
        <r>
          <rPr>
            <b/>
            <sz val="9"/>
            <color indexed="81"/>
            <rFont val="Tahoma"/>
            <family val="2"/>
          </rPr>
          <t>&lt;[[TCDeals] - [TC Property Current Stage (Seq: 1)] - [Property Points (Seq: 1)] Optional Field 443 - Both]&gt;</t>
        </r>
      </text>
    </comment>
    <comment ref="D1417" authorId="0" shapeId="0" xr:uid="{EF03B62A-A96A-4120-BD20-32C12AFAA811}">
      <text>
        <r>
          <rPr>
            <b/>
            <sz val="9"/>
            <color indexed="81"/>
            <rFont val="Tahoma"/>
            <family val="2"/>
          </rPr>
          <t>&lt;[[TCDeals] - [TC Property Current Stage (Seq: 1)] - [Property Points (Seq: 1)] Optional Field 404 - Both]&gt;</t>
        </r>
      </text>
    </comment>
    <comment ref="D1418" authorId="0" shapeId="0" xr:uid="{EA55BA56-075C-4479-9ABA-A658ABDE4410}">
      <text>
        <r>
          <rPr>
            <b/>
            <sz val="9"/>
            <color indexed="81"/>
            <rFont val="Tahoma"/>
            <family val="2"/>
          </rPr>
          <t>&lt;[[TCDeals] - [TC Property Current Stage (Seq: 1)] - [Property Points (Seq: 1)] Optional Field 444 - Both]&gt;</t>
        </r>
      </text>
    </comment>
    <comment ref="D1419" authorId="0" shapeId="0" xr:uid="{24398ED1-BE4C-4A64-983F-B2864A4C8F25}">
      <text>
        <r>
          <rPr>
            <b/>
            <sz val="9"/>
            <color indexed="81"/>
            <rFont val="Tahoma"/>
            <family val="2"/>
          </rPr>
          <t>&lt;[[TCDeals] - [TC Property Current Stage (Seq: 1)] - [Property Points (Seq: 1)] Optional Field 445 - Both]&gt;</t>
        </r>
      </text>
    </comment>
    <comment ref="D1420" authorId="0" shapeId="0" xr:uid="{6A99237D-0201-4EF8-AB84-D64717C3279D}">
      <text>
        <r>
          <rPr>
            <b/>
            <sz val="9"/>
            <color indexed="81"/>
            <rFont val="Tahoma"/>
            <family val="2"/>
          </rPr>
          <t>&lt;[[TCDeals] - [TC Property Current Stage (Seq: 1)] - [Property Points (Seq: 1)] Optional Field 446 - Both]&gt;</t>
        </r>
      </text>
    </comment>
    <comment ref="D1421" authorId="0" shapeId="0" xr:uid="{80CA012F-0A2D-4E20-B081-B095E69CF823}">
      <text>
        <r>
          <rPr>
            <b/>
            <sz val="9"/>
            <color indexed="81"/>
            <rFont val="Tahoma"/>
            <family val="2"/>
          </rPr>
          <t>&lt;[[TCDeals] - [TC Property Current Stage (Seq: 1)] - [Property Points (Seq: 1)] Is Optional Field 416 - Both]&gt;</t>
        </r>
      </text>
    </comment>
    <comment ref="D1422" authorId="0" shapeId="0" xr:uid="{EEB9BB1A-5824-4F03-82D3-94AD60319CAC}">
      <text>
        <r>
          <rPr>
            <b/>
            <sz val="9"/>
            <color indexed="81"/>
            <rFont val="Tahoma"/>
            <family val="2"/>
          </rPr>
          <t>&lt;[[TCDeals] - [TC Property Current Stage (Seq: 1)] - [Property Points (Seq: 1)] Is Optional Field 448 - Both]&gt;</t>
        </r>
      </text>
    </comment>
    <comment ref="D1423" authorId="0" shapeId="0" xr:uid="{C005A2D6-F591-4D1C-B211-ABCB24AC93BC}">
      <text>
        <r>
          <rPr>
            <b/>
            <sz val="9"/>
            <color indexed="81"/>
            <rFont val="Tahoma"/>
            <family val="2"/>
          </rPr>
          <t>&lt;[[TCDeals] - [TC Property Current Stage (Seq: 1)] - [Property Points (Seq: 1)] Optional Field 447 - Both]&gt;</t>
        </r>
      </text>
    </comment>
    <comment ref="D1424" authorId="0" shapeId="0" xr:uid="{74C263D6-1529-448F-B48C-00BCB3719F35}">
      <text>
        <r>
          <rPr>
            <b/>
            <sz val="9"/>
            <color indexed="81"/>
            <rFont val="Tahoma"/>
            <family val="2"/>
          </rPr>
          <t>&lt;[[TCDeals] - [TC Property Current Stage (Seq: 1)] - [Property Points (Seq: 1)] Is Optional Field 409 - Both]&gt;</t>
        </r>
      </text>
    </comment>
    <comment ref="D1425" authorId="0" shapeId="0" xr:uid="{7D2C040E-4CEF-4942-9B86-864FC2058C78}">
      <text>
        <r>
          <rPr>
            <b/>
            <sz val="9"/>
            <color indexed="81"/>
            <rFont val="Tahoma"/>
            <family val="2"/>
          </rPr>
          <t>&lt;[[TCDeals] - [TC Property Current Stage (Seq: 1)] - [Property Points (Seq: 1)] Is Optional Field 419 - Both]&gt;</t>
        </r>
      </text>
    </comment>
    <comment ref="D1426" authorId="0" shapeId="0" xr:uid="{4C065C2B-BA68-4530-A97A-ABB462D9DCFB}">
      <text>
        <r>
          <rPr>
            <b/>
            <sz val="9"/>
            <color indexed="81"/>
            <rFont val="Tahoma"/>
            <family val="2"/>
          </rPr>
          <t>&lt;[[TCDeals] - [TC Property Current Stage (Seq: 1)] - [Property Points (Seq: 1)] Optional Field 420 - Both]&gt;</t>
        </r>
      </text>
    </comment>
    <comment ref="D1427" authorId="1" shapeId="0" xr:uid="{AB76D9BD-04C5-4A7B-B1A2-A6C0203B650F}">
      <text>
        <r>
          <rPr>
            <b/>
            <sz val="9"/>
            <color indexed="81"/>
            <rFont val="Tahoma"/>
            <family val="2"/>
          </rPr>
          <t>&lt;[[TCDeals] - [TC Property Current Stage (Seq: 1)] - [Property Points (Seq: 1)] Is Electric Vehicle (EV) Ready - Both]&gt;</t>
        </r>
      </text>
    </comment>
    <comment ref="D1428" authorId="1" shapeId="0" xr:uid="{6A975A53-9850-4310-B6E2-9CA8392ABBB3}">
      <text>
        <r>
          <rPr>
            <b/>
            <sz val="9"/>
            <color indexed="81"/>
            <rFont val="Tahoma"/>
            <family val="2"/>
          </rPr>
          <t>&lt;[[TCDeals] - [TC Property Current Stage (Seq: 1)] - [Property Points (Seq: 1)] # of EV Charging Stations - Both]&gt;</t>
        </r>
      </text>
    </comment>
    <comment ref="D1429" authorId="1" shapeId="0" xr:uid="{735A3878-F69B-4D86-A56B-B32ED32BB1AF}">
      <text>
        <r>
          <rPr>
            <b/>
            <sz val="9"/>
            <color indexed="81"/>
            <rFont val="Tahoma"/>
            <family val="2"/>
          </rPr>
          <t>&lt;[[TCDeals] - [TC Property Current Stage (Seq: 1)] - [Property Points (Seq: 1)] Number of spaces for commerical or nonresidential - Both]&gt;</t>
        </r>
      </text>
    </comment>
    <comment ref="D1430" authorId="1" shapeId="0" xr:uid="{884474F3-9E8D-4654-B99B-52A805615B17}">
      <text>
        <r>
          <rPr>
            <b/>
            <sz val="9"/>
            <color indexed="81"/>
            <rFont val="Tahoma"/>
            <family val="2"/>
          </rPr>
          <t>&lt;[[TCDeals] - [TC Property Current Stage (Seq: 1)] - [Property Points (Seq: 1)] Is Transit Passes - Both]&gt;</t>
        </r>
      </text>
    </comment>
    <comment ref="D1431" authorId="1" shapeId="0" xr:uid="{04FDC09F-6626-4406-87B1-53665D7C78AE}">
      <text>
        <r>
          <rPr>
            <b/>
            <sz val="9"/>
            <color indexed="81"/>
            <rFont val="Tahoma"/>
            <family val="2"/>
          </rPr>
          <t>&lt;[[TCDeals] - [TC Property Current Stage (Seq: 1)] - [Property Points (Seq: 1)] Number of Transit Passes - Both]&gt;</t>
        </r>
      </text>
    </comment>
    <comment ref="D1432" authorId="1" shapeId="0" xr:uid="{7BBDAEAE-4920-428E-9FB7-6396BBA0695C}">
      <text>
        <r>
          <rPr>
            <b/>
            <sz val="9"/>
            <color indexed="81"/>
            <rFont val="Tahoma"/>
            <family val="2"/>
          </rPr>
          <t>&lt;[[TCDeals] - [TC Property Current Stage (Seq: 1)] - [Property Points (Seq: 1)] Number of Transit Passes Budgeted for number of years - Both]&gt;</t>
        </r>
      </text>
    </comment>
    <comment ref="D1433" authorId="0" shapeId="0" xr:uid="{9CEC6113-EE05-434D-88B0-E56837EE76EE}">
      <text>
        <r>
          <rPr>
            <b/>
            <sz val="9"/>
            <color indexed="81"/>
            <rFont val="Tahoma"/>
            <family val="2"/>
          </rPr>
          <t>&lt;[[TCDeals] - [TC Property Current Stage (Seq: 1)] - [Property Points (Seq: 1)] Is Optional Field 421 - Both]&gt;</t>
        </r>
      </text>
    </comment>
    <comment ref="D1434" authorId="0" shapeId="0" xr:uid="{C0862731-07F8-48C9-84E6-2CCBB14B8F61}">
      <text>
        <r>
          <rPr>
            <b/>
            <sz val="9"/>
            <color indexed="81"/>
            <rFont val="Tahoma"/>
            <family val="2"/>
          </rPr>
          <t>&lt;[[TCDeals] - [TC Property Current Stage (Seq: 1)] - [Property Points (Seq: 1)] Is Optional Field 422 - Both]&gt;</t>
        </r>
      </text>
    </comment>
    <comment ref="D1435" authorId="0" shapeId="0" xr:uid="{BC70BE8F-6EC4-4B99-9621-04666C895415}">
      <text>
        <r>
          <rPr>
            <b/>
            <sz val="9"/>
            <color indexed="81"/>
            <rFont val="Tahoma"/>
            <family val="2"/>
          </rPr>
          <t>&lt;[[TCDeals] - [TC Property Current Stage (Seq: 1)] - [Property Points (Seq: 1)] Is Optional Field 423 - Both]&gt;</t>
        </r>
      </text>
    </comment>
    <comment ref="D1436" authorId="0" shapeId="0" xr:uid="{A0E3F7A4-AD24-4293-881D-E2706329CB99}">
      <text>
        <r>
          <rPr>
            <b/>
            <sz val="9"/>
            <color indexed="81"/>
            <rFont val="Tahoma"/>
            <family val="2"/>
          </rPr>
          <t>&lt;[[TCDeals] - [TC Property Current Stage (Seq: 1)] - [Property Points (Seq: 1)] Is Optional Field 424 - Both]&gt;</t>
        </r>
      </text>
    </comment>
    <comment ref="D1438" authorId="2" shapeId="0" xr:uid="{54599CBE-C66C-4EC2-9E2D-4803C42B2807}">
      <text>
        <r>
          <rPr>
            <b/>
            <sz val="9"/>
            <color indexed="81"/>
            <rFont val="Tahoma"/>
            <family val="2"/>
          </rPr>
          <t>&lt;[[TCDeals] - [TC Property Current Stage (Seq: 1)] - [Property Points (Seq: 1)] Number of Type A Units - Both]&gt;</t>
        </r>
      </text>
    </comment>
    <comment ref="D1439" authorId="2" shapeId="0" xr:uid="{351C4406-635E-49C3-A95D-C6DC169A0BDD}">
      <text>
        <r>
          <rPr>
            <b/>
            <sz val="9"/>
            <color indexed="81"/>
            <rFont val="Tahoma"/>
            <family val="2"/>
          </rPr>
          <t>&lt;[[TCDeals] - [TC Property Current Stage (Seq: 1)] - [Property Points (Seq: 1)] Number of Type B Units - Both]&gt;</t>
        </r>
      </text>
    </comment>
    <comment ref="D1441" authorId="0" shapeId="0" xr:uid="{287BCBA3-0381-42A2-9406-DCA6E3E18BC0}">
      <text>
        <r>
          <rPr>
            <b/>
            <sz val="9"/>
            <color indexed="81"/>
            <rFont val="Tahoma"/>
            <family val="2"/>
          </rPr>
          <t>&lt;[[TCDeals] - [TC Property Current Stage (Seq: 1)] - [Property Points (Seq: 1)] Optional Field 425 - Both]&gt;</t>
        </r>
      </text>
    </comment>
    <comment ref="D1442" authorId="0" shapeId="0" xr:uid="{6AEDC6E3-8AEE-4111-8832-02D0F699569B}">
      <text>
        <r>
          <rPr>
            <b/>
            <sz val="9"/>
            <color indexed="81"/>
            <rFont val="Tahoma"/>
            <family val="2"/>
          </rPr>
          <t>&lt;[[TCDeals] - [TC Property Current Stage (Seq: 1)] - [Property Points (Seq: 1)] Optional Field 426 - Both]&gt;</t>
        </r>
      </text>
    </comment>
    <comment ref="D1444" authorId="0" shapeId="0" xr:uid="{387A5D0D-2047-443C-A62A-E0C961E30998}">
      <text>
        <r>
          <rPr>
            <b/>
            <sz val="9"/>
            <color indexed="81"/>
            <rFont val="Tahoma"/>
            <family val="2"/>
          </rPr>
          <t>&lt;[[TCDeals] - [TC Property Current Stage (Seq: 1)] - [Property Points (Seq: 1)] Is Optional Field 427 - Both]&gt;</t>
        </r>
      </text>
    </comment>
    <comment ref="D1445" authorId="0" shapeId="0" xr:uid="{C6EA5605-84E2-4EA3-BB68-5DD52E098D0E}">
      <text>
        <r>
          <rPr>
            <b/>
            <sz val="9"/>
            <color indexed="81"/>
            <rFont val="Tahoma"/>
            <family val="2"/>
          </rPr>
          <t>&lt;[[TCDeals] - [TC Property Current Stage (Seq: 1)] - [Property Points (Seq: 1)] Is Optional Field 428 - Both]&gt;</t>
        </r>
      </text>
    </comment>
    <comment ref="D1446" authorId="0" shapeId="0" xr:uid="{2F966F08-2F19-481B-9801-931534C51D7B}">
      <text>
        <r>
          <rPr>
            <b/>
            <sz val="9"/>
            <color indexed="81"/>
            <rFont val="Tahoma"/>
            <family val="2"/>
          </rPr>
          <t>&lt;[[TCDeals] - [TC Property Current Stage (Seq: 1)] - [Property Points (Seq: 1)] Is Optional Field 429 - Both]&gt;</t>
        </r>
      </text>
    </comment>
    <comment ref="D1447" authorId="0" shapeId="0" xr:uid="{8A468850-73C3-470D-AC35-A050DBFDA8FF}">
      <text>
        <r>
          <rPr>
            <b/>
            <sz val="9"/>
            <color indexed="81"/>
            <rFont val="Tahoma"/>
            <family val="2"/>
          </rPr>
          <t>&lt;[[TCDeals] - [TC Property Current Stage (Seq: 1)] - [Property Points (Seq: 1)] Is Optional Field 430 - Both]&gt;</t>
        </r>
      </text>
    </comment>
    <comment ref="D1448" authorId="0" shapeId="0" xr:uid="{6B58AD04-C35C-406C-A8F5-812EFE6AA16A}">
      <text>
        <r>
          <rPr>
            <b/>
            <sz val="9"/>
            <color indexed="81"/>
            <rFont val="Tahoma"/>
            <family val="2"/>
          </rPr>
          <t>&lt;[[TCDeals] - [TC Property Current Stage (Seq: 1)] - [Property Points (Seq: 1)] Is Optional Field 431 - Both]&gt;</t>
        </r>
      </text>
    </comment>
    <comment ref="D1449" authorId="1" shapeId="0" xr:uid="{9E1005E1-2A43-4ACD-B073-AEBE3C031650}">
      <text>
        <r>
          <rPr>
            <b/>
            <sz val="9"/>
            <color indexed="81"/>
            <rFont val="Tahoma"/>
            <family val="2"/>
          </rPr>
          <t>&lt;[[TCDeals] - [TC Property Current Stage (Seq: 1)] - [Property Points (Seq: 1)] Is owner cable - Both]&gt;</t>
        </r>
      </text>
    </comment>
    <comment ref="D1450" authorId="1" shapeId="0" xr:uid="{340BA53B-F2E6-46A1-89F1-DBFE7DD8D90A}">
      <text>
        <r>
          <rPr>
            <b/>
            <sz val="9"/>
            <color indexed="81"/>
            <rFont val="Tahoma"/>
            <family val="2"/>
          </rPr>
          <t>&lt;[[TCDeals] - [TC Property Current Stage (Seq: 1)] - [Property Points (Seq: 1)] Is owner WiFi in Unit - Both]&gt;</t>
        </r>
      </text>
    </comment>
    <comment ref="D1452" authorId="0" shapeId="0" xr:uid="{1172BB82-51E9-4FF3-99C0-FBCA90AA51CD}">
      <text>
        <r>
          <rPr>
            <b/>
            <sz val="9"/>
            <color indexed="81"/>
            <rFont val="Tahoma"/>
            <family val="2"/>
          </rPr>
          <t>&lt;[[TCDeals] - [TC Property Current Stage (Seq: 1)] - [Property Points (Seq: 1)] Is Optional Field 433 - Both]&gt;</t>
        </r>
      </text>
    </comment>
    <comment ref="D1453" authorId="0" shapeId="0" xr:uid="{67EDD0A9-5F22-42F1-B427-B9A96FB730E2}">
      <text>
        <r>
          <rPr>
            <b/>
            <sz val="9"/>
            <color indexed="81"/>
            <rFont val="Tahoma"/>
            <family val="2"/>
          </rPr>
          <t>&lt;[[TCDeals] - [TC Property Current Stage (Seq: 1)] - [Property Points (Seq: 1)] Is Optional Field 434 - Both]&gt;</t>
        </r>
      </text>
    </comment>
    <comment ref="D1454" authorId="0" shapeId="0" xr:uid="{C2C48EF3-65C1-4D6A-9439-3640DA38AC3B}">
      <text>
        <r>
          <rPr>
            <b/>
            <sz val="9"/>
            <color indexed="81"/>
            <rFont val="Tahoma"/>
            <family val="2"/>
          </rPr>
          <t>&lt;[[TCDeals] - [TC Property Current Stage (Seq: 1)] - [Property Points (Seq: 1)] Is Optional Field 435 - Both]&gt;</t>
        </r>
      </text>
    </comment>
    <comment ref="D1455" authorId="0" shapeId="0" xr:uid="{6661031E-C262-4E88-98AE-E248F342730B}">
      <text>
        <r>
          <rPr>
            <b/>
            <sz val="9"/>
            <color indexed="81"/>
            <rFont val="Tahoma"/>
            <family val="2"/>
          </rPr>
          <t>&lt;[[TCDeals] - [TC Property Current Stage (Seq: 1)] - [Property Points (Seq: 1)] Is Optional Field 436 - Both]&gt;</t>
        </r>
      </text>
    </comment>
    <comment ref="D1456" authorId="0" shapeId="0" xr:uid="{9FD361C7-E602-4A26-B203-FE77A843CA2C}">
      <text>
        <r>
          <rPr>
            <b/>
            <sz val="9"/>
            <color indexed="81"/>
            <rFont val="Tahoma"/>
            <family val="2"/>
          </rPr>
          <t>&lt;[[TCDeals] - [TC Property Current Stage (Seq: 1)] - [Property Points (Seq: 1)] Is Optional Field 437 - Both]&gt;</t>
        </r>
      </text>
    </comment>
    <comment ref="D1457" authorId="1" shapeId="0" xr:uid="{8471645E-3160-4B07-B6A5-A5614DFAD7B6}">
      <text>
        <r>
          <rPr>
            <b/>
            <sz val="9"/>
            <color indexed="81"/>
            <rFont val="Tahoma"/>
            <family val="2"/>
          </rPr>
          <t>&lt;[[TCDeals] - [TC Property Current Stage (Seq: 1)] - [Property Points (Seq: 1)] Is rental paid cable - Both]&gt;</t>
        </r>
      </text>
    </comment>
    <comment ref="D1458" authorId="1" shapeId="0" xr:uid="{6609B7E3-7DDC-40A3-846B-33E939BF1776}">
      <text>
        <r>
          <rPr>
            <b/>
            <sz val="9"/>
            <color indexed="81"/>
            <rFont val="Tahoma"/>
            <family val="2"/>
          </rPr>
          <t>&lt;[[TCDeals] - [TC Property Current Stage (Seq: 1)] - [Property Points (Seq: 1)] Is rental paid wifi in unit - Both]&gt;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tc={D0BA92AF-16A0-450A-BE52-0AF6056702AD}</author>
  </authors>
  <commentList>
    <comment ref="C118" authorId="0" shapeId="0" xr:uid="{D0BA92AF-16A0-450A-BE52-0AF6056702AD}">
      <text>
        <t>[Threaded comment]
Your version of Excel allows you to read this threaded comment; however, any edits to it will get removed if the file is opened in a newer version of Excel. Learn more: https://go.microsoft.com/fwlink/?linkid=870924
Comment:
    counties with lowest area median income (AMI)</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60FE293-94BB-45AA-B4E2-CABC259F09ED}" keepAlive="1" name="Query - Table48" description="Connection to the 'Table48' query in the workbook." type="5" refreshedVersion="8" background="1" saveData="1">
    <dbPr connection="Provider=Microsoft.Mashup.OleDb.1;Data Source=$Workbook$;Location=Table48;Extended Properties=&quot;&quot;" command="SELECT * FROM [Table48]"/>
  </connection>
  <connection id="2" xr16:uid="{6979507A-87E7-4233-83B1-D544F4BB9792}" keepAlive="1" name="Query - Table49" description="Connection to the 'Table49' query in the workbook." type="5" refreshedVersion="0" background="1">
    <dbPr connection="Provider=Microsoft.Mashup.OleDb.1;Data Source=$Workbook$;Location=Table49;Extended Properties=&quot;&quot;" command="SELECT * FROM [Table49]"/>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<sst xmlns="http://schemas.openxmlformats.org/spreadsheetml/2006/main" count="7017" uniqueCount="4252">
  <si>
    <t>2025 Housing Tax Credit Application V7 Instructions</t>
  </si>
  <si>
    <t xml:space="preserve">This application is on Microsoft Office Excel 2016.  Attempts to complete the application on earlier versions of Excel may create errors in the application.  The majority of the cells in the application are "read only" and cannot be changed.  </t>
  </si>
  <si>
    <t>Do not change any "read only" cells or the application will be rejected.  Do not enter formulas in any cells.</t>
  </si>
  <si>
    <r>
      <t xml:space="preserve">All cells that require input are in </t>
    </r>
    <r>
      <rPr>
        <b/>
        <sz val="11"/>
        <color rgb="FF26808E"/>
        <rFont val="Calibri"/>
        <family val="2"/>
        <scheme val="minor"/>
      </rPr>
      <t>blue</t>
    </r>
    <r>
      <rPr>
        <sz val="11"/>
        <color theme="1"/>
        <rFont val="Calibri"/>
        <family val="2"/>
        <scheme val="minor"/>
      </rPr>
      <t xml:space="preserve">.  </t>
    </r>
  </si>
  <si>
    <r>
      <t xml:space="preserve">The worksheet tabs are labeled at the bottom of the workbook. The tabs in </t>
    </r>
    <r>
      <rPr>
        <b/>
        <sz val="11"/>
        <color theme="9" tint="-0.499984740745262"/>
        <rFont val="Calibri"/>
        <family val="2"/>
        <scheme val="minor"/>
      </rPr>
      <t>green</t>
    </r>
    <r>
      <rPr>
        <sz val="11"/>
        <color theme="1"/>
        <rFont val="Calibri"/>
        <family val="2"/>
        <scheme val="minor"/>
      </rPr>
      <t xml:space="preserve"> must be completed: Contact Information, Application, Unit Mix &amp; Rents, Financing, Development Budget, Commercial Budget, Proforma, Income &amp; Expense, Scoring,  Amenities, Cost Summary and Final Building Profile (final application only).</t>
    </r>
  </si>
  <si>
    <r>
      <t xml:space="preserve">Once the green tabs have been completed the values are calculated and populated to the </t>
    </r>
    <r>
      <rPr>
        <b/>
        <sz val="11"/>
        <color theme="5"/>
        <rFont val="Calibri"/>
        <family val="2"/>
        <scheme val="minor"/>
      </rPr>
      <t>orange</t>
    </r>
    <r>
      <rPr>
        <sz val="11"/>
        <color theme="1"/>
        <rFont val="Calibri"/>
        <family val="2"/>
        <scheme val="minor"/>
      </rPr>
      <t xml:space="preserve"> tabs.</t>
    </r>
  </si>
  <si>
    <r>
      <t xml:space="preserve">Missing or incorrect data will result in an error message and a comment on the </t>
    </r>
    <r>
      <rPr>
        <sz val="11"/>
        <color rgb="FFFF0000"/>
        <rFont val="Calibri"/>
        <family val="2"/>
        <scheme val="minor"/>
      </rPr>
      <t>Data Issues</t>
    </r>
    <r>
      <rPr>
        <sz val="11"/>
        <color theme="1"/>
        <rFont val="Calibri"/>
        <family val="2"/>
        <scheme val="minor"/>
      </rPr>
      <t xml:space="preserve"> tab.   </t>
    </r>
  </si>
  <si>
    <t>All guidance related to the application process and supporting documentation can be found in the Qualified Allocation Plan (see link below).</t>
  </si>
  <si>
    <t>Link to Qualified Allocation Plan</t>
  </si>
  <si>
    <t>Data Issues</t>
  </si>
  <si>
    <r>
      <t xml:space="preserve">Do not submit if there are any comments other than </t>
    </r>
    <r>
      <rPr>
        <b/>
        <sz val="11"/>
        <color theme="9" tint="-0.249977111117893"/>
        <rFont val="Calibri"/>
        <family val="2"/>
        <scheme val="minor"/>
      </rPr>
      <t>"No Missing Data or Data Entry Errors,"</t>
    </r>
    <r>
      <rPr>
        <sz val="11"/>
        <color theme="1"/>
        <rFont val="Calibri"/>
        <family val="2"/>
        <scheme val="minor"/>
      </rPr>
      <t xml:space="preserve"> except for blank contacts if not applicable to this application or stage.</t>
    </r>
  </si>
  <si>
    <t>Comments for each section will be shown under the section header by the same name.</t>
  </si>
  <si>
    <t>Contact Information</t>
  </si>
  <si>
    <r>
      <t xml:space="preserve">Complete all contact information. If not yet selected, leave blank. </t>
    </r>
    <r>
      <rPr>
        <b/>
        <sz val="11"/>
        <color theme="1"/>
        <rFont val="Calibri"/>
        <family val="2"/>
        <scheme val="minor"/>
      </rPr>
      <t>Do not enter N/A or TBD.</t>
    </r>
  </si>
  <si>
    <t>Disregard errors for blank contacts if not applicable to this application.</t>
  </si>
  <si>
    <t>The nonprofit questions must be answered if the nonprofit status is to be recognized.</t>
  </si>
  <si>
    <t>With respect to its programs, services, activities, and employment practices, Colorado Housing and Finance Authority does not discriminate on the basis of race, color, religion, sex (including gender, gender identity, sexual orientation, and sexual harassment), age, national origin, disability, or any other protected classification under federal, state, or local law.</t>
  </si>
  <si>
    <t>Application</t>
  </si>
  <si>
    <t xml:space="preserve">Every question in blue must be answered by entering an alpha/numeric value or selecting from the drop-down menu. </t>
  </si>
  <si>
    <t>Unit Mix &amp; Rents</t>
  </si>
  <si>
    <t>Totals are provided on the Tax Credit Details tab beginning at row 109.</t>
  </si>
  <si>
    <t xml:space="preserve">Rent and Income limits are calculated based on the county in which the development is located. </t>
  </si>
  <si>
    <t>Total number of units - enter a numeric value</t>
  </si>
  <si>
    <t>Utility Allowance - complete for each bedroom sizethat is applicable</t>
  </si>
  <si>
    <t>Utilities Included in Rent - use the drop-down menu</t>
  </si>
  <si>
    <t>Rental Income Table - use the drop-down menu for columns A and B, and enter numeric values in columns C, D and E</t>
  </si>
  <si>
    <t>If units are market rate, select 100% from the Income Level drop-down menu.</t>
  </si>
  <si>
    <t>Financing</t>
  </si>
  <si>
    <t>Totals are provided on the Tax Credit Summary tab beginning at row 48.</t>
  </si>
  <si>
    <t>Construction Loan Amount - enter loan value</t>
  </si>
  <si>
    <t>Construction Loan Rate - enter loan rate</t>
  </si>
  <si>
    <r>
      <rPr>
        <b/>
        <sz val="11"/>
        <color theme="1"/>
        <rFont val="Calibri"/>
        <family val="2"/>
        <scheme val="minor"/>
      </rPr>
      <t>Residential Loan(s)</t>
    </r>
    <r>
      <rPr>
        <sz val="11"/>
        <color theme="1"/>
        <rFont val="Calibri"/>
        <family val="2"/>
        <scheme val="minor"/>
      </rPr>
      <t xml:space="preserve"> </t>
    </r>
  </si>
  <si>
    <t xml:space="preserve">Amortized loans begin at row 8 - enter: source, amount, interest rate, term, amortization, approval </t>
  </si>
  <si>
    <t>Cash Flow loans begin at row 15 - enter: source, amount, interest rate, term, approval</t>
  </si>
  <si>
    <t>Grants begin at row 23 - enter: source, amount</t>
  </si>
  <si>
    <t>Other, Deferred Developer Fee begin at row 37 - enter numeric value</t>
  </si>
  <si>
    <t xml:space="preserve">Commercial Loans </t>
  </si>
  <si>
    <t>Amortized loans begin at row 44 - enter: source, amount, interest rate, term, amortization, approval</t>
  </si>
  <si>
    <t>Cash Flow loans begin at row 51 - enter: source, amount, interest rate, term, approval</t>
  </si>
  <si>
    <t>Grants begin at row 61 - enter: source, amount</t>
  </si>
  <si>
    <t>Other, Deferred Developer Fee begin at row 73 - enter numeric value</t>
  </si>
  <si>
    <t>Development Budget</t>
  </si>
  <si>
    <t>Totals are provided on the Tax Credit Summary tab beginning at row 66 and the Budget Output tab at row 6.</t>
  </si>
  <si>
    <t>Budget amounts are entered in column B.</t>
  </si>
  <si>
    <t>4% Basis Limit Calculations are entered in column C.</t>
  </si>
  <si>
    <t>9% Basis Limit Calculations are entered in column D.</t>
  </si>
  <si>
    <t>Helpful hint: use Copy/Paste FX to remove formulas before submitting application</t>
  </si>
  <si>
    <t>Amounts last provided to CHFA are entered in column E.</t>
  </si>
  <si>
    <t>10% Carryover Actual Incurred Costs are entered in column F. Note: this is only completed at Carryover for federal 9% Housing Tax Credit applications.</t>
  </si>
  <si>
    <t>Commercial Budget</t>
  </si>
  <si>
    <t>Totals are provided on the Budget Output tab beginning at row 126.</t>
  </si>
  <si>
    <t>Complete this worksheet if there is a retail or commercial component to the development.</t>
  </si>
  <si>
    <t>Proforma, Income &amp; Expense</t>
  </si>
  <si>
    <t>Proforma totals are provided on the Tax Credit Details tab beginning at row 183.</t>
  </si>
  <si>
    <t>Income totals are provided on the Tax Credit Details tab beginning at row 166.</t>
  </si>
  <si>
    <t>Expense totals are provided on the Tax Credit Summary tab beginning at row 86.</t>
  </si>
  <si>
    <t>Proforma - enter values, if applicable, for Partnership Management Fees, Asset Management Fees, Cash Flow Notes and Other, for years 1 through 15</t>
  </si>
  <si>
    <t>Row 6 must be completed if there is a Deferred Developer Fee.</t>
  </si>
  <si>
    <t xml:space="preserve">Income - enter values, if applicable, for Laundry, Parking, Other and Annual Retail/Commercial Income </t>
  </si>
  <si>
    <t>Expense - enter value, if applicable, for Administration, Operations, Maintenance, Fixed Expenses and Total Per- Unit Annual Replacement Reserves</t>
  </si>
  <si>
    <t>Requesting waiver of PUPA requirement - make selection using drop-down menu</t>
  </si>
  <si>
    <t>Tax Credit Details</t>
  </si>
  <si>
    <t>Data will populate once the Green tabs are entered correctly.</t>
  </si>
  <si>
    <t>Tax Credit Summary</t>
  </si>
  <si>
    <t>Budget Output</t>
  </si>
  <si>
    <t>Contact Output</t>
  </si>
  <si>
    <t>Scoring</t>
  </si>
  <si>
    <t>Documentation must be provided to support all points claimed.</t>
  </si>
  <si>
    <t>Complete at all stages.</t>
  </si>
  <si>
    <t>Data will populate once all questions are answered and the Application and Unit Mix &amp; Rents tabs have been completed.</t>
  </si>
  <si>
    <t>Amenities</t>
  </si>
  <si>
    <t>Complete all sections and questions.</t>
  </si>
  <si>
    <t>Use the drop-down menu to select "yes" for the amenities that are included in the development.</t>
  </si>
  <si>
    <t>Cost Summary</t>
  </si>
  <si>
    <t>Complete all questions.</t>
  </si>
  <si>
    <r>
      <rPr>
        <b/>
        <sz val="11"/>
        <color theme="1"/>
        <rFont val="Calibri"/>
        <family val="2"/>
        <scheme val="minor"/>
      </rPr>
      <t>Gross Square Foot (GSF)</t>
    </r>
    <r>
      <rPr>
        <sz val="11"/>
        <color theme="1"/>
        <rFont val="Calibri"/>
        <family val="2"/>
        <scheme val="minor"/>
      </rPr>
      <t xml:space="preserve"> unit of measurement of a building from outside the exterior walls. Example: an office building that is 100'x100' as measured by outside walls has an area of 10,000 gross square feet.</t>
    </r>
  </si>
  <si>
    <r>
      <rPr>
        <b/>
        <sz val="11"/>
        <color theme="1"/>
        <rFont val="Calibri"/>
        <family val="2"/>
        <scheme val="minor"/>
      </rPr>
      <t>Net Rentable Square Footage (NRSF)</t>
    </r>
    <r>
      <rPr>
        <sz val="11"/>
        <color theme="1"/>
        <rFont val="Calibri"/>
        <family val="2"/>
        <scheme val="minor"/>
      </rPr>
      <t xml:space="preserve"> Net Leasable Area in a building or project, floor space that may be rented to tenants. The area upon which rental payments are based. Residential Units: Interior Walls, no porches or balconies, only living space. Generally </t>
    </r>
    <r>
      <rPr>
        <u/>
        <sz val="11"/>
        <color theme="1"/>
        <rFont val="Calibri"/>
        <family val="2"/>
        <scheme val="minor"/>
      </rPr>
      <t>excludes</t>
    </r>
    <r>
      <rPr>
        <sz val="11"/>
        <color theme="1"/>
        <rFont val="Calibri"/>
        <family val="2"/>
        <scheme val="minor"/>
      </rPr>
      <t xml:space="preserve"> common areas and space devoted to the heating, cooling and other equipment of  a building. Common Space: hallways, stairways, roof deck or terraces, leasing area, major vertical penetration, storage space. Example: a building with 10 floors, each containing 3,000 square feet of space, may have a net leasable area of 25,000 square feet.  Elevators, hallways, etc. absorb the remaining 5,000 square feet.</t>
    </r>
  </si>
  <si>
    <t>Final Building Profile</t>
  </si>
  <si>
    <t>Complete for the "Final" stage only.</t>
  </si>
  <si>
    <t>Totals are provided on line 104. Totals must match the application.</t>
  </si>
  <si>
    <t>Complete one row for each building in the development.</t>
  </si>
  <si>
    <t>Rent &amp; Income Limits</t>
  </si>
  <si>
    <t>CHFA Income and Rent Tables are based on HUD limits and will be updated when new limits are released.</t>
  </si>
  <si>
    <t>Calculations</t>
  </si>
  <si>
    <t xml:space="preserve">For reference on how calculations are performed </t>
  </si>
  <si>
    <t>CDOH Worksheets (DevCosts, OpPro, Financing CDOH)</t>
  </si>
  <si>
    <t>Only relevant when applying for CDOH funds (light blue tabs)</t>
  </si>
  <si>
    <t>Data will populate once the application is complete.</t>
  </si>
  <si>
    <t>Missing or Incorrect Data</t>
  </si>
  <si>
    <t>Contact Information Worksheet</t>
  </si>
  <si>
    <t>Application Worksheet</t>
  </si>
  <si>
    <t>Unit Mix &amp; Rents Worksheet</t>
  </si>
  <si>
    <t>Financing Worksheet</t>
  </si>
  <si>
    <t>Development Budget Worksheet</t>
  </si>
  <si>
    <t>Commercial Budget Worksheet</t>
  </si>
  <si>
    <t>Proforma, Income &amp; Expense Worksheet</t>
  </si>
  <si>
    <t>Scoring Worksheet - complete at Preliminary Application Only</t>
  </si>
  <si>
    <t>Amenities Worksheet</t>
  </si>
  <si>
    <t>Cost Summary Worksheet</t>
  </si>
  <si>
    <t>Final Building Profile Worksheet</t>
  </si>
  <si>
    <t>Total Number of Units</t>
  </si>
  <si>
    <t>Do Rents Include Utilities</t>
  </si>
  <si>
    <t>Utility Allowance by Bedroom Size - ONLY ENTER TENANT-PAID UTILITIES</t>
  </si>
  <si>
    <t>0 bedroom</t>
  </si>
  <si>
    <t>1 bedroom</t>
  </si>
  <si>
    <t>2 bedroom</t>
  </si>
  <si>
    <t>3 bedroom</t>
  </si>
  <si>
    <t>4 bedroom</t>
  </si>
  <si>
    <t>5 bedroom</t>
  </si>
  <si>
    <r>
      <t xml:space="preserve">For the Rental Income Table below, the applicant must select Income level in column A, select type of unit in column B, enter unit square footage in Column C, number of units in Column D and actual rent in Column E. The bathroom count must be a whole number based on the number of toilets. </t>
    </r>
    <r>
      <rPr>
        <b/>
        <sz val="9"/>
        <color theme="1"/>
        <rFont val="Calibri"/>
        <family val="2"/>
        <scheme val="minor"/>
      </rPr>
      <t>DO NOT LEAVE BLANK SPACES BETWEEN ROWS OF DATA</t>
    </r>
    <r>
      <rPr>
        <sz val="9"/>
        <color theme="1"/>
        <rFont val="Calibri"/>
        <family val="2"/>
        <scheme val="minor"/>
      </rPr>
      <t>.</t>
    </r>
  </si>
  <si>
    <t>Income Level</t>
  </si>
  <si>
    <t>Type of Unit</t>
  </si>
  <si>
    <t>Unit Size (sq. ft.)</t>
  </si>
  <si>
    <t># of  Units</t>
  </si>
  <si>
    <t>Actual Rent per Unit</t>
  </si>
  <si>
    <t>Show me the maximum allowable rents</t>
  </si>
  <si>
    <t>Project Contacts</t>
  </si>
  <si>
    <t xml:space="preserve">If a Development team member hasn't been selected, 
please leave blank.  </t>
  </si>
  <si>
    <t>Applicant to be Published on Reports</t>
  </si>
  <si>
    <t>Organization</t>
  </si>
  <si>
    <t>Contact First Name</t>
  </si>
  <si>
    <t>Contact Last Name</t>
  </si>
  <si>
    <t>Phone (10 #'s only)</t>
  </si>
  <si>
    <t>Email</t>
  </si>
  <si>
    <t xml:space="preserve">Applicant Contact for Application Questions </t>
  </si>
  <si>
    <t>Address</t>
  </si>
  <si>
    <t xml:space="preserve">City </t>
  </si>
  <si>
    <t>State</t>
  </si>
  <si>
    <t>Zip (first five #'s only)</t>
  </si>
  <si>
    <t>Phone (#'s only)</t>
  </si>
  <si>
    <t>Please identify the racial/ethnic composition of your organization's ownership (for profit) or executive leadership (nonprofit) whichever is applicable</t>
  </si>
  <si>
    <t>Please identify the gender composition of your organization's ownership (for profit) or executive leadership (nonprofit) whichever is applicable</t>
  </si>
  <si>
    <t>Additional Applicant Questions</t>
  </si>
  <si>
    <t>Entity Type</t>
  </si>
  <si>
    <t xml:space="preserve">Has the applicant, or other principals of the development's ownership entity, previously received tax credits in Colorado? </t>
  </si>
  <si>
    <t>If "Yes", indicate development name and year.</t>
  </si>
  <si>
    <t>Has the applicant, or other principals of the development's ownership entity, previously received tax credits in other states?</t>
  </si>
  <si>
    <t>If "Yes", indicate year(s).</t>
  </si>
  <si>
    <t>Has the applicant placed any developments in service, in any state?</t>
  </si>
  <si>
    <t>If "Yes", who is/are the limited partners using the credits?</t>
  </si>
  <si>
    <t>Name</t>
  </si>
  <si>
    <t>Address (Street, City, State, Zip)</t>
  </si>
  <si>
    <t xml:space="preserve">Describe any default, disposition of or status of default, foreclosure or findings of non-compliance for any of the developments listed on attachments. </t>
  </si>
  <si>
    <r>
      <t xml:space="preserve">List all the limited partners of the ownership entity and their percentage of interest </t>
    </r>
    <r>
      <rPr>
        <b/>
        <i/>
        <sz val="11"/>
        <color theme="1"/>
        <rFont val="Calibri"/>
        <family val="2"/>
        <scheme val="minor"/>
      </rPr>
      <t>(once formed or if applicable)</t>
    </r>
  </si>
  <si>
    <t>Applicant Entity</t>
  </si>
  <si>
    <t>Limited Partner(s) Names</t>
  </si>
  <si>
    <r>
      <t xml:space="preserve">Ownership Percentage </t>
    </r>
    <r>
      <rPr>
        <b/>
        <i/>
        <sz val="11"/>
        <color theme="1"/>
        <rFont val="Calibri"/>
        <family val="2"/>
        <scheme val="minor"/>
      </rPr>
      <t>(must total 100%)</t>
    </r>
  </si>
  <si>
    <r>
      <t xml:space="preserve">List all the general partners of the ownership entity and their percentage of interest </t>
    </r>
    <r>
      <rPr>
        <b/>
        <i/>
        <sz val="11"/>
        <color theme="1"/>
        <rFont val="Calibri"/>
        <family val="2"/>
        <scheme val="minor"/>
      </rPr>
      <t>(once formed or if applicable)</t>
    </r>
  </si>
  <si>
    <t xml:space="preserve">General Partner(s) Name </t>
  </si>
  <si>
    <t>Managing Member(s) Names</t>
  </si>
  <si>
    <r>
      <t xml:space="preserve">Ownership Percentage of the general partnership </t>
    </r>
    <r>
      <rPr>
        <b/>
        <i/>
        <sz val="11"/>
        <color theme="1"/>
        <rFont val="Calibri"/>
        <family val="2"/>
        <scheme val="minor"/>
      </rPr>
      <t>(must total 100%)</t>
    </r>
  </si>
  <si>
    <t xml:space="preserve">Developer Contact </t>
  </si>
  <si>
    <t>Organization (Common Name)</t>
  </si>
  <si>
    <t>Name(s) and State(s) of previous LIHTC properties</t>
  </si>
  <si>
    <t xml:space="preserve">Syndicator/Investor </t>
  </si>
  <si>
    <t>State TC Syndicator/Investor</t>
  </si>
  <si>
    <r>
      <t>Ownership Entity</t>
    </r>
    <r>
      <rPr>
        <b/>
        <sz val="12"/>
        <rFont val="Calibri"/>
        <family val="2"/>
        <scheme val="minor"/>
      </rPr>
      <t xml:space="preserve"> (if formed, required for Carryover, PIS/Final and CHFA Loan)</t>
    </r>
  </si>
  <si>
    <t>Legal Status</t>
  </si>
  <si>
    <t>Tax ID Number (#'s only or leave blank if not formed yet)</t>
  </si>
  <si>
    <t xml:space="preserve">Status of Entity </t>
  </si>
  <si>
    <t>Participating Nonprofit or PHA</t>
  </si>
  <si>
    <t>(Character Limit: 300 - List common name only.)</t>
  </si>
  <si>
    <t>Tax ID Number</t>
  </si>
  <si>
    <t>Additional Participating Non-Profit or PHA Questions</t>
  </si>
  <si>
    <r>
      <t xml:space="preserve">Does the applicant intend to request an allocation of tax credits from the nonprofit set-aside portion of the state credit ceiling under Section 42(h)(5)? Select "Yes" if claiming points under Applicant Characteristics of the Scoring criteria. </t>
    </r>
    <r>
      <rPr>
        <b/>
        <i/>
        <sz val="11"/>
        <color theme="1"/>
        <rFont val="Calibri"/>
        <family val="2"/>
        <scheme val="minor"/>
      </rPr>
      <t>Only applicable for 9% Competitive Tax Credit</t>
    </r>
  </si>
  <si>
    <t>Is the nonprofit or PHA assured of owning an interest in the development throughout the compliance period?</t>
  </si>
  <si>
    <t>Describe in detail the nonprofit or PHA ownership interest</t>
  </si>
  <si>
    <t>Describe the nonprofit or PHA material participation in the development</t>
  </si>
  <si>
    <t>Describe the nonprofit or PHA material participation in the operation of the development throughout the extended use period</t>
  </si>
  <si>
    <t>Will the nonprofit or PHA receive any part of the development or management fees paid in connection with the development?</t>
  </si>
  <si>
    <r>
      <t>If "Yes", explain; if "No"</t>
    </r>
    <r>
      <rPr>
        <b/>
        <sz val="11"/>
        <color rgb="FFFF0000"/>
        <rFont val="Calibri"/>
        <family val="2"/>
        <scheme val="minor"/>
      </rPr>
      <t xml:space="preserve"> skip to row 131</t>
    </r>
  </si>
  <si>
    <t>How many full-time staff members does the nonprofit or PHA have?</t>
  </si>
  <si>
    <t>Describe the type and extent of their activities</t>
  </si>
  <si>
    <t xml:space="preserve">Has any for-profit entity (including the owner of the development or any entity directly or indirectly related to such owner) appointed any directors to the governing board of the nonprofit? </t>
  </si>
  <si>
    <t>If "Yes", explain</t>
  </si>
  <si>
    <t xml:space="preserve">Does the nonprofit have any financial arrangements with any individual(s) of for-profit entity, including anyone or any entity related, directly or indirectly, to the owner of the development? </t>
  </si>
  <si>
    <t>Date of legal formation of nonprofit or PHA</t>
  </si>
  <si>
    <t>Purpose(s) of formation of nonprofit</t>
  </si>
  <si>
    <t>Disclose any business or personal (including family) relationships that any of the staff members, directors or other principals involved in the formation or operation of the nonprofit have, either directly or indirectly, with any persons or entities involved or to be involved in the development on a for-profit basis including, but not limited to, the owner of the development, any of its for-profit general partners,  employees, limited partners or any other parties directly or indirectly related to such owner.</t>
  </si>
  <si>
    <t>3rd Party Estimator</t>
  </si>
  <si>
    <t>General Partner</t>
  </si>
  <si>
    <t>Zip</t>
  </si>
  <si>
    <t>General Contractor</t>
  </si>
  <si>
    <t>Management Company</t>
  </si>
  <si>
    <t>Fee/Turnkey Developer</t>
  </si>
  <si>
    <t>Consultant (specify)</t>
  </si>
  <si>
    <t>Type of Consultant</t>
  </si>
  <si>
    <t>Tax Attorney Firm</t>
  </si>
  <si>
    <t>CPA Firm</t>
  </si>
  <si>
    <t>Architect Firm</t>
  </si>
  <si>
    <t>Permanent Lender</t>
  </si>
  <si>
    <t>Commercial Lender</t>
  </si>
  <si>
    <t>Construction Lender</t>
  </si>
  <si>
    <t>Environmental Phase I Preparer</t>
  </si>
  <si>
    <t>Capital Needs Report Preparer</t>
  </si>
  <si>
    <t>Green Consultant</t>
  </si>
  <si>
    <t>Bond Purchaser</t>
  </si>
  <si>
    <t>Bonds are Public or Private Placement</t>
  </si>
  <si>
    <t>Bond Issuer (if not CHFA)</t>
  </si>
  <si>
    <t>Bond Counsel (if not CHFA)</t>
  </si>
  <si>
    <t>Mayor/Elected Official/Jurisdiction</t>
  </si>
  <si>
    <t>City/Jurisdiction Name</t>
  </si>
  <si>
    <t>Title of Elected Official</t>
  </si>
  <si>
    <t>Council Member</t>
  </si>
  <si>
    <t>Jurisdiction Name</t>
  </si>
  <si>
    <t>City Manager (if applicable)</t>
  </si>
  <si>
    <t>City Planner</t>
  </si>
  <si>
    <t>Local Housing Authortity</t>
  </si>
  <si>
    <t>Executive Director Contact First Name</t>
  </si>
  <si>
    <t>Executive Director Contact Last Name</t>
  </si>
  <si>
    <t>Guarantees</t>
  </si>
  <si>
    <t>Construction/Completion Guarantee</t>
  </si>
  <si>
    <t>Lease Up Guarantee</t>
  </si>
  <si>
    <t xml:space="preserve">Operating Deficit Guarantee </t>
  </si>
  <si>
    <t xml:space="preserve">Compliance Guarantee </t>
  </si>
  <si>
    <t>Application Version</t>
  </si>
  <si>
    <t>Application Date</t>
  </si>
  <si>
    <t>Reservation Year</t>
  </si>
  <si>
    <t>The year applied for credit</t>
  </si>
  <si>
    <t>Application Stage</t>
  </si>
  <si>
    <t>Is Supplemental Credit being requested?</t>
  </si>
  <si>
    <t>Not applicable for preliminary applications</t>
  </si>
  <si>
    <t xml:space="preserve">Are you requesting a CHFA DDA Basis Boost? </t>
  </si>
  <si>
    <t>CHFA Boost requests must be made at preliminary application. For carryover or final applications please answer "Yes" if granted a CHFA basis boost.</t>
  </si>
  <si>
    <t>Identity of Interest</t>
  </si>
  <si>
    <t>Type Of Tax Credit</t>
  </si>
  <si>
    <t>Type of State Tax Credit (if applicable)</t>
  </si>
  <si>
    <t>TOC Credit?</t>
  </si>
  <si>
    <t>Project Type</t>
  </si>
  <si>
    <t>Is this an existing LIHTC property</t>
  </si>
  <si>
    <t>Locking Applicable Percentage?</t>
  </si>
  <si>
    <t>Only applicable for carryover or final applications</t>
  </si>
  <si>
    <t>Federal Equity Factor</t>
  </si>
  <si>
    <t>State Equity Factor</t>
  </si>
  <si>
    <t>TOC Credit Equity Factor</t>
  </si>
  <si>
    <t xml:space="preserve">9% Applicable Percentage Rates (APR) </t>
  </si>
  <si>
    <r>
      <rPr>
        <b/>
        <i/>
        <sz val="11"/>
        <color theme="1"/>
        <rFont val="Calibri"/>
        <family val="2"/>
        <scheme val="minor"/>
      </rPr>
      <t>Rehab/Construction</t>
    </r>
    <r>
      <rPr>
        <b/>
        <sz val="11"/>
        <color theme="1"/>
        <rFont val="Calibri"/>
        <family val="2"/>
        <scheme val="minor"/>
      </rPr>
      <t xml:space="preserve"> 4% Applicable Percentage Rates (APR)</t>
    </r>
  </si>
  <si>
    <r>
      <rPr>
        <b/>
        <i/>
        <sz val="11"/>
        <color theme="1"/>
        <rFont val="Calibri"/>
        <family val="2"/>
        <scheme val="minor"/>
      </rPr>
      <t>Acquisition</t>
    </r>
    <r>
      <rPr>
        <b/>
        <sz val="11"/>
        <color theme="1"/>
        <rFont val="Calibri"/>
        <family val="2"/>
        <scheme val="minor"/>
      </rPr>
      <t xml:space="preserve"> 4% Applicable Percentage Rates (APR)</t>
    </r>
  </si>
  <si>
    <t>Lock-in gross rent floor</t>
  </si>
  <si>
    <t>Lock-in gross rent floor Date</t>
  </si>
  <si>
    <t>Enter Last Building Placed in Service Date</t>
  </si>
  <si>
    <t xml:space="preserve">Only applicable for final applications, leave blank if not applicable </t>
  </si>
  <si>
    <t>Development Information</t>
  </si>
  <si>
    <t>City</t>
  </si>
  <si>
    <t>County</t>
  </si>
  <si>
    <t>Census Tract</t>
  </si>
  <si>
    <t>State Senate District</t>
  </si>
  <si>
    <t>State House District</t>
  </si>
  <si>
    <t>Congressional District</t>
  </si>
  <si>
    <t>Site Control</t>
  </si>
  <si>
    <t xml:space="preserve">Identify current Owner/Seller/Lessor </t>
  </si>
  <si>
    <t xml:space="preserve">Related Party? </t>
  </si>
  <si>
    <t xml:space="preserve">If yes please explain related party </t>
  </si>
  <si>
    <t>Is the site properly zoned?</t>
  </si>
  <si>
    <t>If "Yes", provide evidence of the Zoning Status. If "No", provide a detailed narrative of the Zoning Status describing the process for re-zoning,  including the estimated dates for completion of the re-zoning process.</t>
  </si>
  <si>
    <t>Does Zoning meet parking ratio requirements?</t>
  </si>
  <si>
    <t>If no please explain parking ratio</t>
  </si>
  <si>
    <t>Are all utilities available for the development?</t>
  </si>
  <si>
    <t>Heating Type In-Unit</t>
  </si>
  <si>
    <t>Heating Type Common Area</t>
  </si>
  <si>
    <t>Cooling Type In-Unit</t>
  </si>
  <si>
    <t>Cooling Type Common Area</t>
  </si>
  <si>
    <t>HVAC System In-Unit</t>
  </si>
  <si>
    <t>Hot Water Heating Type</t>
  </si>
  <si>
    <t>Ventalation System</t>
  </si>
  <si>
    <t>All-Electric Development</t>
  </si>
  <si>
    <t>Electrification-Ready Development</t>
  </si>
  <si>
    <t>Green Systems</t>
  </si>
  <si>
    <t>Type of Energy Efficiency Certification</t>
  </si>
  <si>
    <t>Radon Mitigation</t>
  </si>
  <si>
    <t>Water-Wise Landscaping</t>
  </si>
  <si>
    <t>Number of Residential Building(s)</t>
  </si>
  <si>
    <t>Number values only</t>
  </si>
  <si>
    <t>Number of Floors in the Tallest Building</t>
  </si>
  <si>
    <t>Building Construction</t>
  </si>
  <si>
    <t>Building Type</t>
  </si>
  <si>
    <t>Parcel Size (Site Acres)</t>
  </si>
  <si>
    <t>Common Space Square Footage</t>
  </si>
  <si>
    <t>Commercial Space Square Footage</t>
  </si>
  <si>
    <t>Type of Units/Housing</t>
  </si>
  <si>
    <t>Federal Assistance</t>
  </si>
  <si>
    <t xml:space="preserve">Enter "Yes" for tax exempt bond projects </t>
  </si>
  <si>
    <t>USDA Rural Development Sect. 515</t>
  </si>
  <si>
    <t>USDA Rural Development Sect. 514 (Farmworker)</t>
  </si>
  <si>
    <t xml:space="preserve">FHA Insurance-221(d)(4) </t>
  </si>
  <si>
    <t>FHA Insurance 223 (f)</t>
  </si>
  <si>
    <t>FHA Insurance-Risk-Sharing</t>
  </si>
  <si>
    <t>Tax Exempt Bond Financing</t>
  </si>
  <si>
    <t>Bond Issuer Name</t>
  </si>
  <si>
    <t xml:space="preserve">Enter the Total Amount of A Bonds being issued  </t>
  </si>
  <si>
    <t xml:space="preserve">Number values only, leave blank if N/A </t>
  </si>
  <si>
    <t xml:space="preserve">Enter the Total Amount of B Bonds being issued  </t>
  </si>
  <si>
    <t xml:space="preserve">Enter the Total Amount of C Bonds being issued </t>
  </si>
  <si>
    <t>Enter the Total Amount of Recycled Bonds being issued</t>
  </si>
  <si>
    <t xml:space="preserve">Enter name of Entity Transferring Bond Cap </t>
  </si>
  <si>
    <t xml:space="preserve">Only available for 4% private activity bond </t>
  </si>
  <si>
    <t>Enter the Total Amount of Bond Cap Being Transferred</t>
  </si>
  <si>
    <t>Taxable Bond Financing</t>
  </si>
  <si>
    <t xml:space="preserve">Enter the Total Amount of Taxable Bonds being issued  </t>
  </si>
  <si>
    <t>Federal Historic Rehabilitation Tax Credits</t>
  </si>
  <si>
    <t xml:space="preserve">Enter the federal historic credit amount  </t>
  </si>
  <si>
    <t>State Historic Rehabilitation Tax Credits</t>
  </si>
  <si>
    <t xml:space="preserve">Enter the state historic credit amount  </t>
  </si>
  <si>
    <t>Enter the Amount of the Solar Tax Credit</t>
  </si>
  <si>
    <t>45L Energy Efficiency Home Credit</t>
  </si>
  <si>
    <t>Enter the Amount of the 45L EEH Credit</t>
  </si>
  <si>
    <t>100% Project-based rental assistance (HAP Contract)</t>
  </si>
  <si>
    <t>McKinney Act Homeless Funding</t>
  </si>
  <si>
    <t>HOME Funding</t>
  </si>
  <si>
    <t>CDBG DR Funding</t>
  </si>
  <si>
    <t>FHLB Affordable Housing Program Funding</t>
  </si>
  <si>
    <t>CDBG Funding</t>
  </si>
  <si>
    <t>Project-based Vouchers</t>
  </si>
  <si>
    <t>Examples would be HCV, Shelter Plus Care or VASH Vouchers, etc.</t>
  </si>
  <si>
    <t xml:space="preserve">Enter the Number of Project-based Vouchers  </t>
  </si>
  <si>
    <t>State Funds - HDG</t>
  </si>
  <si>
    <t>State Funds - HSP</t>
  </si>
  <si>
    <t>State Funds - DOH Vouchers</t>
  </si>
  <si>
    <t>Voucher Administrator(s)</t>
  </si>
  <si>
    <t>Number of Vouchers</t>
  </si>
  <si>
    <t>Type of Vouchers</t>
  </si>
  <si>
    <r>
      <t xml:space="preserve">State Funds - Other </t>
    </r>
    <r>
      <rPr>
        <sz val="10"/>
        <color theme="1"/>
        <rFont val="Calibri"/>
        <family val="2"/>
        <scheme val="minor"/>
      </rPr>
      <t>(please describe)</t>
    </r>
  </si>
  <si>
    <t>Additional 5% Developer Fee Boost for PSH Units</t>
  </si>
  <si>
    <t>Targeting of Units</t>
  </si>
  <si>
    <t>Number of Units (must equal total units)</t>
  </si>
  <si>
    <t>Assisted Living</t>
  </si>
  <si>
    <t>Special Populations</t>
  </si>
  <si>
    <t>Family</t>
  </si>
  <si>
    <t>Homeless (not PSH)</t>
  </si>
  <si>
    <t>Older Adult</t>
  </si>
  <si>
    <t>Veterans</t>
  </si>
  <si>
    <t xml:space="preserve">Permanent Supportive Housing </t>
  </si>
  <si>
    <t>For Projects with both New Construction and Acq/Rehab or Rehab</t>
  </si>
  <si>
    <t>New Construction</t>
  </si>
  <si>
    <t>Acq/Rehab or Rehab</t>
  </si>
  <si>
    <r>
      <t>Timeline</t>
    </r>
    <r>
      <rPr>
        <sz val="12"/>
        <color theme="1"/>
        <rFont val="Calibri"/>
        <family val="2"/>
        <scheme val="minor"/>
      </rPr>
      <t xml:space="preserve"> (enter a date for each element below)</t>
    </r>
  </si>
  <si>
    <t>APPLICATION STEPS</t>
  </si>
  <si>
    <t>Letter of Intent &amp; Market Analyst Engagement Letter to CHFA</t>
  </si>
  <si>
    <t>Submit Housing Credit Application &amp; Market Study to CHFA</t>
  </si>
  <si>
    <t>Housing Credit Application Approval/Reservation</t>
  </si>
  <si>
    <t>FINANCING STEPS</t>
  </si>
  <si>
    <t>Inducement Resolution</t>
  </si>
  <si>
    <t>n/a for 9%</t>
  </si>
  <si>
    <t>Final Authorizing Resolution</t>
  </si>
  <si>
    <t>Construction Loan Closing</t>
  </si>
  <si>
    <t>Close Acquisition (if applicable)</t>
  </si>
  <si>
    <t>All Loans Closed</t>
  </si>
  <si>
    <t>Execute Partnership Agreement</t>
  </si>
  <si>
    <t>Submit Carryover Application for 9% Project</t>
  </si>
  <si>
    <t>9% only</t>
  </si>
  <si>
    <t>Submit Milestone Documention for State AHTC</t>
  </si>
  <si>
    <t>State credit only</t>
  </si>
  <si>
    <t>CONSTRUCTION STEPS</t>
  </si>
  <si>
    <t>Complete Construction Drawings approved by Planning/Building Dept.</t>
  </si>
  <si>
    <t>Final Site Plan Approval</t>
  </si>
  <si>
    <t>Groundbreaking Ceremony (if planned)</t>
  </si>
  <si>
    <t>Building Permit(s) Issued</t>
  </si>
  <si>
    <t>Complete Construction &amp; Anticipated Place-In-Service
(Obtain Certificates of Occupancy)</t>
  </si>
  <si>
    <t>Enter Estimated Construction Period (Months)</t>
  </si>
  <si>
    <t>POST-CONSTRUCTION STEPS</t>
  </si>
  <si>
    <t>Place-In-Service Application for LURA to CHFA (must submit within 45 days of first building placing in service)</t>
  </si>
  <si>
    <t>Grand Opening (if planned)</t>
  </si>
  <si>
    <t>Stabilization/Lease up</t>
  </si>
  <si>
    <t>Convert to Permanent Loan</t>
  </si>
  <si>
    <t>Final Application to CHFA</t>
  </si>
  <si>
    <t>Development Financing</t>
  </si>
  <si>
    <t>Construction Loan Amount</t>
  </si>
  <si>
    <t>Construction Loan Rate</t>
  </si>
  <si>
    <t>Project Funded without Permanent Debt</t>
  </si>
  <si>
    <t>Residential Loans (amortizing)</t>
  </si>
  <si>
    <t>Source of Loan</t>
  </si>
  <si>
    <t>Amount of funds</t>
  </si>
  <si>
    <t>Interest Rate</t>
  </si>
  <si>
    <t>Term of Loan</t>
  </si>
  <si>
    <t>Amortization (Years)</t>
  </si>
  <si>
    <t>Approval</t>
  </si>
  <si>
    <t>Show me annual debt</t>
  </si>
  <si>
    <t>Total</t>
  </si>
  <si>
    <t>Residential Loans (cash flow only)</t>
  </si>
  <si>
    <t>Source of Grant</t>
  </si>
  <si>
    <t>Residential Other</t>
  </si>
  <si>
    <t>Source</t>
  </si>
  <si>
    <t>Deferred Developer Fee</t>
  </si>
  <si>
    <t>Other Owner Equity</t>
  </si>
  <si>
    <t>Additional Amount to cover GAP</t>
  </si>
  <si>
    <t>If applicable, please enter the amount of additional Owner Funds needed to either reduce the CHFA DDA Boost to 30% or the Annual Credit Amount to $1,350,000.</t>
  </si>
  <si>
    <t>Residential Grand Total</t>
  </si>
  <si>
    <t>Commercial Loans (amortizing)</t>
  </si>
  <si>
    <t>Commercial Loans (cash flow only)</t>
  </si>
  <si>
    <t>Commercial Grants</t>
  </si>
  <si>
    <t>Commercial Other</t>
  </si>
  <si>
    <t>Amount of funds*</t>
  </si>
  <si>
    <t>Commercial Grand Total</t>
  </si>
  <si>
    <t>*only enter amount of funds for those that apply</t>
  </si>
  <si>
    <t>Development Budget (for Residential Development Costs only)</t>
  </si>
  <si>
    <t>Please do no enter formulas in any column below. Applications with formulas will not be accepted.</t>
  </si>
  <si>
    <t>Land &amp; Buildings</t>
  </si>
  <si>
    <t>Amount</t>
  </si>
  <si>
    <t>4% LIHTC Basis Calculation</t>
  </si>
  <si>
    <t>9% LIHTC Basis Calculation</t>
  </si>
  <si>
    <t>Amount Last Provided to CHFA*</t>
  </si>
  <si>
    <t>10% Carryover Actual Incurred Costs</t>
  </si>
  <si>
    <t>Explain changes greater than 10% *</t>
  </si>
  <si>
    <t>Land</t>
  </si>
  <si>
    <t>Existing Structures</t>
  </si>
  <si>
    <t>Demolition</t>
  </si>
  <si>
    <t>Site Work</t>
  </si>
  <si>
    <t>On Site Work</t>
  </si>
  <si>
    <t>Off Site Work</t>
  </si>
  <si>
    <t>Rehab. &amp; New Construction</t>
  </si>
  <si>
    <t>New Structures</t>
  </si>
  <si>
    <t>Rehabilitation</t>
  </si>
  <si>
    <t>Accessory Structures (CSF, storage, garage(s))</t>
  </si>
  <si>
    <t>Green Systems (Solar, Geothermal, Other, etc.)</t>
  </si>
  <si>
    <t>General Requirements</t>
  </si>
  <si>
    <t>Contractor Overhead</t>
  </si>
  <si>
    <t>Contractor Profit</t>
  </si>
  <si>
    <t>Contractor Construction Contingency</t>
  </si>
  <si>
    <t>Owner Hard Cost Contingency</t>
  </si>
  <si>
    <t>Furniture, Fixtures, &amp; Equipment</t>
  </si>
  <si>
    <t>Building Permits</t>
  </si>
  <si>
    <t>Professional Fees</t>
  </si>
  <si>
    <t>Architect, Design</t>
  </si>
  <si>
    <t>Architect Construction Management/Admin</t>
  </si>
  <si>
    <t>Landscape Design</t>
  </si>
  <si>
    <t>Structural Engineering</t>
  </si>
  <si>
    <t>Civil Engineering</t>
  </si>
  <si>
    <t>Other Engineering</t>
  </si>
  <si>
    <t>Surveyor</t>
  </si>
  <si>
    <t>Attorney, Real Estate</t>
  </si>
  <si>
    <t>Green Charrette</t>
  </si>
  <si>
    <t>Construction Accounting</t>
  </si>
  <si>
    <t>Construction Interim Costs</t>
  </si>
  <si>
    <t>Hazard &amp; Liability Insurance</t>
  </si>
  <si>
    <t>Builder's Risk Insurance</t>
  </si>
  <si>
    <t>Perform. &amp; Pymt Bonds</t>
  </si>
  <si>
    <t>Construction Interest</t>
  </si>
  <si>
    <t>Constr. Origination Fees</t>
  </si>
  <si>
    <t>Tap Fees (Water/Sewer)</t>
  </si>
  <si>
    <t>Impact fees</t>
  </si>
  <si>
    <t>Materials Testing</t>
  </si>
  <si>
    <t>Power and Telecom Provider fees</t>
  </si>
  <si>
    <t>3rd Party/Bank Inspections/Admin</t>
  </si>
  <si>
    <t>Title &amp; Recording</t>
  </si>
  <si>
    <t>Construction Lender Legal Fees</t>
  </si>
  <si>
    <t>Prop. Taxes During Construction</t>
  </si>
  <si>
    <t>Bridge Loan</t>
  </si>
  <si>
    <t>Bond Issuance Costs amortized during construction</t>
  </si>
  <si>
    <t>Permanent Financing</t>
  </si>
  <si>
    <t>Bond Premium</t>
  </si>
  <si>
    <t>Bond Issue 30-day lag reserve</t>
  </si>
  <si>
    <t>Bond Cost of Issuance</t>
  </si>
  <si>
    <t>Discount Points</t>
  </si>
  <si>
    <t>Perm Loan Origination</t>
  </si>
  <si>
    <t>Credit Enhancement</t>
  </si>
  <si>
    <t>Legal Fees</t>
  </si>
  <si>
    <t>Prepaid MIP</t>
  </si>
  <si>
    <t>Forward Rate Lock</t>
  </si>
  <si>
    <t>Conversion Fee</t>
  </si>
  <si>
    <t>Soft Costs</t>
  </si>
  <si>
    <t>Marketing/Leasing Costs</t>
  </si>
  <si>
    <t xml:space="preserve"> </t>
  </si>
  <si>
    <t>Cost Estimating/Capital Needs Assessment</t>
  </si>
  <si>
    <t>Geotechnical/Soils Study</t>
  </si>
  <si>
    <t>Appraisal</t>
  </si>
  <si>
    <t>Market Study</t>
  </si>
  <si>
    <t>Environmental Study (Phase 1, Phase 2, Lead, Asbestos, etc.)</t>
  </si>
  <si>
    <t>Other Studies (traffic, wetlands, etc.)</t>
  </si>
  <si>
    <t>Tax Credit Fees</t>
  </si>
  <si>
    <t>Compliance Fees</t>
  </si>
  <si>
    <t>Cost Certification</t>
  </si>
  <si>
    <t>Green Certification Fees (LEED Certification, etc.)</t>
  </si>
  <si>
    <t>Relocation - Temporary</t>
  </si>
  <si>
    <t>Relocation - Permanent</t>
  </si>
  <si>
    <t>Soft Cost Contingency</t>
  </si>
  <si>
    <t>Syndication Costs</t>
  </si>
  <si>
    <t>Organization Costs</t>
  </si>
  <si>
    <t>Tax Opinion</t>
  </si>
  <si>
    <t>Syndication Legal Fees</t>
  </si>
  <si>
    <t>Developer Fees</t>
  </si>
  <si>
    <t>Developer Fee</t>
  </si>
  <si>
    <t>Developer Overhead</t>
  </si>
  <si>
    <t>Developer Profit</t>
  </si>
  <si>
    <t>PSH developer fee boost (up to 5%)</t>
  </si>
  <si>
    <t>Third Party Development Management/Owner's Rep</t>
  </si>
  <si>
    <t>Financial/Tax Credit Consultant, Application Preparation, etc.</t>
  </si>
  <si>
    <t>Other Consultant Fees</t>
  </si>
  <si>
    <t>Project Reserves</t>
  </si>
  <si>
    <t>Rent-up Reserves</t>
  </si>
  <si>
    <t>Operating Reserves</t>
  </si>
  <si>
    <t>Replacement Reserves</t>
  </si>
  <si>
    <t>Debt Service Reserves</t>
  </si>
  <si>
    <t>*Not Applicable for Preliminary Application</t>
  </si>
  <si>
    <t>Commercial Development Budget</t>
  </si>
  <si>
    <t>*Not applicable for initial application</t>
  </si>
  <si>
    <t>Accessory Structures</t>
  </si>
  <si>
    <t>Construction Contingency</t>
  </si>
  <si>
    <t>Architect, Supervision</t>
  </si>
  <si>
    <t>Consultant/agent</t>
  </si>
  <si>
    <t>Engineer/Surveyor</t>
  </si>
  <si>
    <t>Other-Accounting</t>
  </si>
  <si>
    <t>Credit Report</t>
  </si>
  <si>
    <t>Impact Fees</t>
  </si>
  <si>
    <t>Prop. Taxes during const</t>
  </si>
  <si>
    <t>Feasibility Study</t>
  </si>
  <si>
    <t>Environmental Study</t>
  </si>
  <si>
    <t>Other - Accounting</t>
  </si>
  <si>
    <t>Escrows</t>
  </si>
  <si>
    <t>Section 1: Primary Selection Criteria</t>
  </si>
  <si>
    <t>Low Income Targeting (See Section 5.A.1. of the Allocation Plan for CHFA requirements under this Criteria.)</t>
  </si>
  <si>
    <t>Threshold</t>
  </si>
  <si>
    <t>Points are weighted based upon number of units in % of Median Income (Weights: 60% = 50, 50% = 72.5, 40% = 92.5)</t>
  </si>
  <si>
    <t>70% and 80% AMI units are not eligible for credit unless Average Income is selected.</t>
  </si>
  <si>
    <t>Targeting 30% or less of area median income (See Section 5.A.1.c. of the Allocation Plan for eligibility requirements for making this selection)</t>
  </si>
  <si>
    <t>Very, Very Low-Income Targeting</t>
  </si>
  <si>
    <t>10% = 5 points, 20% = 10 points, 30% = 15 points</t>
  </si>
  <si>
    <t>Extended Low-Income Use</t>
  </si>
  <si>
    <t>Community Revitalization Plan (See Section 5.A.4. of the Allocation Plan for CHFA requirements under this Criteria.)</t>
  </si>
  <si>
    <t>Development is located in a qualified census tract, the development of which contributes to a concerted Community Revitalization Plan. (A community revitalization plan is defined in Section 5.A.4. of the Allocation Plan for CHFA requirements under this Criteria)</t>
  </si>
  <si>
    <t>Yes = 1 point</t>
  </si>
  <si>
    <t xml:space="preserve">Note: Additional points will be awarded for "Score related to Household Percentage below 51% AMI with Housing Problems" (refer to C1 Table) and "Score related to the number of All Households with Housing Problems"  (refer to C2 Table). To view points awarded for each please see Tax Credit Details sheet. </t>
  </si>
  <si>
    <t>Section 2: Secondary Selection Criteria (See Section 5.B.2. of the Allocation Plan for CHFA requirements under this Criteria.)</t>
  </si>
  <si>
    <t>Development Characteristics</t>
  </si>
  <si>
    <t>Yes = 5 points</t>
  </si>
  <si>
    <t>Developments located in non Metro counties that have a population of 180,000 or less.</t>
  </si>
  <si>
    <t>Rehabilitation of blighted buildings or locally or federally designated historic structures. See Section 5.B.3.c. of the Allocation Plan for the definition of "blighted buildings".</t>
  </si>
  <si>
    <t>Acquisition/ Rehabilitation of a Preservation Development. See Section 5.B.3.d. of the Allocation Plan for the definition of a "Preservation Development".</t>
  </si>
  <si>
    <t>Yes = 15 points</t>
  </si>
  <si>
    <t>Applicant Characteristics</t>
  </si>
  <si>
    <t>Applicant is a 501(c)(3) or 501(c)(4) tax-exempt organization having an express purpose of fostering low-income housing or a Colorado public housing authority. The applicant is the one and only owner of the development and will remain as the one and only general partner (either itself or through its or a related subsidiary). The applicant will, from the time of application through the compliance period, materially participate in the development and operation of the development. The applicant is required to complete the nonprofit questions beginning on row 100 of the Contact Information tab.</t>
  </si>
  <si>
    <t>Tenant Population serving Persons experiencing Homelessness or Special Populations</t>
  </si>
  <si>
    <t>Projects serving Persons experiencing Homelessness or Special Populations. See Section 5.B.5 of the Allocation Plan for the definition and required documentation.</t>
  </si>
  <si>
    <t>Housing Authority Waitlist</t>
  </si>
  <si>
    <t>Yes = 2 points</t>
  </si>
  <si>
    <t>Show me the Scoring Details</t>
  </si>
  <si>
    <t>Show me the full proforma</t>
  </si>
  <si>
    <t>Proforma</t>
  </si>
  <si>
    <t>Year 1</t>
  </si>
  <si>
    <t>Year 2</t>
  </si>
  <si>
    <t>Year 3</t>
  </si>
  <si>
    <t>Year 4</t>
  </si>
  <si>
    <t>Year 5</t>
  </si>
  <si>
    <t>Year 6</t>
  </si>
  <si>
    <t>Year 7</t>
  </si>
  <si>
    <t>Year 8</t>
  </si>
  <si>
    <t>Year 9</t>
  </si>
  <si>
    <t>Year 10</t>
  </si>
  <si>
    <t>Year 11</t>
  </si>
  <si>
    <t>Year 12</t>
  </si>
  <si>
    <t>Year 13</t>
  </si>
  <si>
    <t>Year 14</t>
  </si>
  <si>
    <t>Year 15</t>
  </si>
  <si>
    <t>Partnership/Asset Mgt. Fees</t>
  </si>
  <si>
    <t>Bond Fees (if applicable)</t>
  </si>
  <si>
    <t>Deferred Developer Fee Repayment*</t>
  </si>
  <si>
    <t>Cash Flow Paid for Services</t>
  </si>
  <si>
    <t>*Row 6 must be completed if there is a deferred developer fee</t>
  </si>
  <si>
    <t>Income</t>
  </si>
  <si>
    <t>Miscellaneous Monthly Income</t>
  </si>
  <si>
    <t xml:space="preserve">*Amount Last Provided to CHFA is not applicable for initial application. </t>
  </si>
  <si>
    <t>Laundry Revenue</t>
  </si>
  <si>
    <t>Show me the income details</t>
  </si>
  <si>
    <t>Parking Revenue</t>
  </si>
  <si>
    <t/>
  </si>
  <si>
    <t>Total Annual Retail/Commercial Income</t>
  </si>
  <si>
    <r>
      <t>Annual Operating Expenses</t>
    </r>
    <r>
      <rPr>
        <sz val="14"/>
        <color theme="1"/>
        <rFont val="Calibri"/>
        <family val="2"/>
        <scheme val="minor"/>
      </rPr>
      <t xml:space="preserve"> (Estimated annual operating expenses as of the end of the first full year of operation)</t>
    </r>
  </si>
  <si>
    <t>Administration</t>
  </si>
  <si>
    <t>Residential</t>
  </si>
  <si>
    <t>Commercial</t>
  </si>
  <si>
    <t>Accounting</t>
  </si>
  <si>
    <t>Advertising</t>
  </si>
  <si>
    <t>Legal</t>
  </si>
  <si>
    <t>Leased Equipment</t>
  </si>
  <si>
    <t>Management Fees</t>
  </si>
  <si>
    <t>Management Salaries</t>
  </si>
  <si>
    <t>Management Payroll Tax</t>
  </si>
  <si>
    <t>Model Apartment</t>
  </si>
  <si>
    <t>Office Supplies</t>
  </si>
  <si>
    <t>Telephone</t>
  </si>
  <si>
    <t>Operations</t>
  </si>
  <si>
    <t>Fuel (Heat/Water)</t>
  </si>
  <si>
    <t>Electricity</t>
  </si>
  <si>
    <t>Water</t>
  </si>
  <si>
    <t>Sewer</t>
  </si>
  <si>
    <t>Gas</t>
  </si>
  <si>
    <t>Trash</t>
  </si>
  <si>
    <t>Security</t>
  </si>
  <si>
    <t>Cable</t>
  </si>
  <si>
    <t>Maintenance</t>
  </si>
  <si>
    <t>Elevator</t>
  </si>
  <si>
    <t>Extermination</t>
  </si>
  <si>
    <t>Grounds</t>
  </si>
  <si>
    <t>Repairs</t>
  </si>
  <si>
    <t>Maintenance Salaries</t>
  </si>
  <si>
    <t>Maintenance Supplies</t>
  </si>
  <si>
    <t>Contracts</t>
  </si>
  <si>
    <t>Decorating</t>
  </si>
  <si>
    <t>Snow Removal</t>
  </si>
  <si>
    <t>Fixed Expenses</t>
  </si>
  <si>
    <t>Real Estate Taxes</t>
  </si>
  <si>
    <t>Payment in Lieu of Taxes</t>
  </si>
  <si>
    <t>Other Tax Assessments</t>
  </si>
  <si>
    <t>Insurance</t>
  </si>
  <si>
    <t>Payroll Tax</t>
  </si>
  <si>
    <t>Total Per Unit Annual Replacement Reserves</t>
  </si>
  <si>
    <t>Indicate if requesting waiver of Minimum PUPA Requirement.</t>
  </si>
  <si>
    <t>No</t>
  </si>
  <si>
    <t>Unit and Project Amenities</t>
  </si>
  <si>
    <t>Unit Amenities</t>
  </si>
  <si>
    <t>Window Coverings/Blinds</t>
  </si>
  <si>
    <t>Ceiling Fan E-star</t>
  </si>
  <si>
    <t>Storage Closet/Shed</t>
  </si>
  <si>
    <t>Coat Closet</t>
  </si>
  <si>
    <t>Walk-in Closet</t>
  </si>
  <si>
    <t>Fireplace</t>
  </si>
  <si>
    <t>Bathroom Fan E-star</t>
  </si>
  <si>
    <t>Patio/Porch/Balcony</t>
  </si>
  <si>
    <t>Cable Connection</t>
  </si>
  <si>
    <t>Internet Connection</t>
  </si>
  <si>
    <t>Units individually metered</t>
  </si>
  <si>
    <t>Other (specify)</t>
  </si>
  <si>
    <r>
      <t xml:space="preserve">Appliances (Items with an </t>
    </r>
    <r>
      <rPr>
        <b/>
        <i/>
        <sz val="11"/>
        <color theme="1"/>
        <rFont val="Calibri"/>
        <family val="2"/>
        <scheme val="minor"/>
      </rPr>
      <t>*</t>
    </r>
    <r>
      <rPr>
        <i/>
        <sz val="11"/>
        <color theme="1"/>
        <rFont val="Calibri"/>
        <family val="2"/>
        <scheme val="minor"/>
      </rPr>
      <t xml:space="preserve"> are required)</t>
    </r>
  </si>
  <si>
    <t>Refrigerator E-star*</t>
  </si>
  <si>
    <t>Stove/Oven*</t>
  </si>
  <si>
    <t>Dishwasher E-star*</t>
  </si>
  <si>
    <t>Garbage Disposal*</t>
  </si>
  <si>
    <t>Built-in Microwave</t>
  </si>
  <si>
    <t>In-unit washer/dryer (included in rent)</t>
  </si>
  <si>
    <t>In-unit washer/dryer (not included in rent)</t>
  </si>
  <si>
    <t>Washer/Dryer Hookups</t>
  </si>
  <si>
    <t>Project Amenities</t>
  </si>
  <si>
    <t>Clubhouse/Community Room</t>
  </si>
  <si>
    <t>Fitness/Exercise Room</t>
  </si>
  <si>
    <t>Library</t>
  </si>
  <si>
    <t>Computer Lab</t>
  </si>
  <si>
    <t>Business Center</t>
  </si>
  <si>
    <t>Laundry Room</t>
  </si>
  <si>
    <t>Number of Laundry Rooms</t>
  </si>
  <si>
    <t>Laundry Room in each building (if more than one bldg)</t>
  </si>
  <si>
    <t>Laundry Room on each floor</t>
  </si>
  <si>
    <t>Dining Room</t>
  </si>
  <si>
    <t>Kitchen</t>
  </si>
  <si>
    <t>Living/Activity/Game Room</t>
  </si>
  <si>
    <t>WiFi in Common Areas</t>
  </si>
  <si>
    <t>Elevator (quantity)</t>
  </si>
  <si>
    <t>Picnic/BBQ area</t>
  </si>
  <si>
    <t>Tot Lot/Playground</t>
  </si>
  <si>
    <t>Athletic courts</t>
  </si>
  <si>
    <t>Community Garden</t>
  </si>
  <si>
    <t>Swimming Pool</t>
  </si>
  <si>
    <t>Spa/Jacuzzi</t>
  </si>
  <si>
    <t>Bike Storage</t>
  </si>
  <si>
    <t>Bike Maintenance</t>
  </si>
  <si>
    <t>Pet Wash Area</t>
  </si>
  <si>
    <t>Pet Relief Area</t>
  </si>
  <si>
    <t>Dog Run</t>
  </si>
  <si>
    <t>Onsite Manager</t>
  </si>
  <si>
    <t>Privacy Fencing</t>
  </si>
  <si>
    <t>Reception Desk</t>
  </si>
  <si>
    <t>Surveillance Cameras</t>
  </si>
  <si>
    <t>Control Access Entry</t>
  </si>
  <si>
    <t>Emergency Pull Cords</t>
  </si>
  <si>
    <t>Other Project Amenities</t>
  </si>
  <si>
    <r>
      <t xml:space="preserve">Surface Parking - </t>
    </r>
    <r>
      <rPr>
        <b/>
        <u/>
        <sz val="11"/>
        <color theme="1"/>
        <rFont val="Calibri"/>
        <family val="2"/>
        <scheme val="minor"/>
      </rPr>
      <t># of spaces</t>
    </r>
  </si>
  <si>
    <r>
      <t xml:space="preserve">Carport - </t>
    </r>
    <r>
      <rPr>
        <b/>
        <u/>
        <sz val="11"/>
        <color theme="1"/>
        <rFont val="Calibri"/>
        <family val="2"/>
        <scheme val="minor"/>
      </rPr>
      <t># of carports</t>
    </r>
  </si>
  <si>
    <r>
      <t xml:space="preserve">Underground Parking - </t>
    </r>
    <r>
      <rPr>
        <b/>
        <u/>
        <sz val="11"/>
        <color theme="1"/>
        <rFont val="Calibri"/>
        <family val="2"/>
        <scheme val="minor"/>
      </rPr>
      <t># of spaces</t>
    </r>
  </si>
  <si>
    <r>
      <t xml:space="preserve">Detached Garage - </t>
    </r>
    <r>
      <rPr>
        <b/>
        <u/>
        <sz val="11"/>
        <color theme="1"/>
        <rFont val="Calibri"/>
        <family val="2"/>
        <scheme val="minor"/>
      </rPr>
      <t># of garages</t>
    </r>
  </si>
  <si>
    <r>
      <t>Attached Garage -</t>
    </r>
    <r>
      <rPr>
        <b/>
        <u/>
        <sz val="11"/>
        <color theme="1"/>
        <rFont val="Calibri"/>
        <family val="2"/>
        <scheme val="minor"/>
      </rPr>
      <t xml:space="preserve"> # of garages</t>
    </r>
  </si>
  <si>
    <r>
      <t xml:space="preserve">Tuck-under / Podium Parking - </t>
    </r>
    <r>
      <rPr>
        <b/>
        <u/>
        <sz val="11"/>
        <color theme="1"/>
        <rFont val="Calibri"/>
        <family val="2"/>
        <scheme val="minor"/>
      </rPr>
      <t># of spaces</t>
    </r>
  </si>
  <si>
    <t>Total # of Parking Spaces</t>
  </si>
  <si>
    <t>Is Parking in Eligible Basis</t>
  </si>
  <si>
    <t>Is there a Fee for Parking</t>
  </si>
  <si>
    <t>Fee Amount/Month ($)</t>
  </si>
  <si>
    <t># of spaces not in Eligible Basis</t>
  </si>
  <si>
    <t>Storage Units or Lockers</t>
  </si>
  <si>
    <t>Part of Eligible Basis</t>
  </si>
  <si>
    <t xml:space="preserve">Electric Vehicle (EV) Ready </t>
  </si>
  <si>
    <t># of EV Charging Stations</t>
  </si>
  <si>
    <t>Number of spaces for commerical or nonresidential</t>
  </si>
  <si>
    <t>Transit Passes</t>
  </si>
  <si>
    <t>Number of Transit Passes</t>
  </si>
  <si>
    <t>Number of Transit Passes Budgeted for number of years</t>
  </si>
  <si>
    <t>Older Adult Properties</t>
  </si>
  <si>
    <t>Age 62+/all occupants</t>
  </si>
  <si>
    <t>Age 55+/at least one occupant</t>
  </si>
  <si>
    <t>Service Coordinator</t>
  </si>
  <si>
    <t>Additional fees for services</t>
  </si>
  <si>
    <t>Accessible Units</t>
  </si>
  <si>
    <t>Number of Type A units</t>
  </si>
  <si>
    <t>Number of Type B units</t>
  </si>
  <si>
    <t>Rent charged per household composition</t>
  </si>
  <si>
    <t>Rent charged per bed</t>
  </si>
  <si>
    <t>Utilities</t>
  </si>
  <si>
    <t>Utility Model</t>
  </si>
  <si>
    <t>Owner Paid Utilities</t>
  </si>
  <si>
    <t>Cable  - If  contracted with cable provider</t>
  </si>
  <si>
    <t>WiFi in Unit</t>
  </si>
  <si>
    <t>Tenant Paid Utilities</t>
  </si>
  <si>
    <t>Final Allocation</t>
  </si>
  <si>
    <t>Renter's insurance required</t>
  </si>
  <si>
    <t>not applicable for initial application</t>
  </si>
  <si>
    <t>List any changes from Preliminary &amp; Carryover</t>
  </si>
  <si>
    <t>Were changes pre-approved</t>
  </si>
  <si>
    <t>Make Selection Below</t>
  </si>
  <si>
    <t>Level of Drawings Completed</t>
  </si>
  <si>
    <t>Pricing based on percentage of drawings completed</t>
  </si>
  <si>
    <t>Prevailing Wages</t>
  </si>
  <si>
    <t>Applicant enter/copy data from Third Party Cost Estimate Below</t>
  </si>
  <si>
    <t>CSI Division</t>
  </si>
  <si>
    <t>CSI Division Description</t>
  </si>
  <si>
    <t>Cost</t>
  </si>
  <si>
    <t>Estimate Comments</t>
  </si>
  <si>
    <t>01 00 00</t>
  </si>
  <si>
    <t>Note - include any hard cost allowances within specific scope of work as applicable, comment/clarify as necessary</t>
  </si>
  <si>
    <t>02 00 00</t>
  </si>
  <si>
    <t>Existing Conditions</t>
  </si>
  <si>
    <t>03 00 00</t>
  </si>
  <si>
    <t>Concrete</t>
  </si>
  <si>
    <t>04 00 00</t>
  </si>
  <si>
    <t>Masonry</t>
  </si>
  <si>
    <t>05 00 00</t>
  </si>
  <si>
    <t>Metals</t>
  </si>
  <si>
    <t>06 00 00</t>
  </si>
  <si>
    <t>Wood, Plastics &amp; Composites</t>
  </si>
  <si>
    <t>07 00 00</t>
  </si>
  <si>
    <t>Thermal and Moisture Protection</t>
  </si>
  <si>
    <t>08 00 00</t>
  </si>
  <si>
    <t>Openings</t>
  </si>
  <si>
    <t>09 00 00</t>
  </si>
  <si>
    <t>Finishes</t>
  </si>
  <si>
    <t>10 00 00</t>
  </si>
  <si>
    <t>Specialties</t>
  </si>
  <si>
    <t>11 00 00</t>
  </si>
  <si>
    <t>Equipment</t>
  </si>
  <si>
    <t>12 00 00</t>
  </si>
  <si>
    <t>Furnishings</t>
  </si>
  <si>
    <t>13 00 00</t>
  </si>
  <si>
    <t>Special Construction</t>
  </si>
  <si>
    <t>14 00 00</t>
  </si>
  <si>
    <t>Conveying Equipment</t>
  </si>
  <si>
    <t>21 00 00</t>
  </si>
  <si>
    <t>Fire Suppression</t>
  </si>
  <si>
    <t>22 00 00</t>
  </si>
  <si>
    <t>Plumbing</t>
  </si>
  <si>
    <t>23 00 00</t>
  </si>
  <si>
    <t>Heating Ventilation Air Conditioning</t>
  </si>
  <si>
    <t>25 00 00</t>
  </si>
  <si>
    <t>Integrated Automation</t>
  </si>
  <si>
    <t>26 00 00</t>
  </si>
  <si>
    <t>Electrical</t>
  </si>
  <si>
    <t>27 00 00</t>
  </si>
  <si>
    <t>Communications</t>
  </si>
  <si>
    <t>28 00 00</t>
  </si>
  <si>
    <t>Electronic Safety &amp; Security</t>
  </si>
  <si>
    <t>31 00 00</t>
  </si>
  <si>
    <t>Earthwork</t>
  </si>
  <si>
    <t>32 00 00</t>
  </si>
  <si>
    <t>Exterior Improvements</t>
  </si>
  <si>
    <t>33 00 00</t>
  </si>
  <si>
    <t>34 00 00</t>
  </si>
  <si>
    <t>Transportation</t>
  </si>
  <si>
    <t>48 00 00</t>
  </si>
  <si>
    <t xml:space="preserve">Electrical Power Generation </t>
  </si>
  <si>
    <t>Other costs /mark-up -  describe in next line items</t>
  </si>
  <si>
    <t>Procurement Pre-construction, Design-Build</t>
  </si>
  <si>
    <t>Bonds &amp; Insurance</t>
  </si>
  <si>
    <t>Payment &amp; Performance Bond</t>
  </si>
  <si>
    <t>Builders Risk</t>
  </si>
  <si>
    <t>General Liability</t>
  </si>
  <si>
    <t>Wrap Insurance Program</t>
  </si>
  <si>
    <t>Contingency, OH&amp;P, etc.</t>
  </si>
  <si>
    <t>Contingency (Contractor's)</t>
  </si>
  <si>
    <t>Cost progression/ escalation</t>
  </si>
  <si>
    <t>Permits</t>
  </si>
  <si>
    <t>Sales, Use Taxes, etc.</t>
  </si>
  <si>
    <t>Complete at Final only</t>
  </si>
  <si>
    <t>BIN Number</t>
  </si>
  <si>
    <t>Building Street Address Only 
(DO NOT ENTER CITY, STATE, OR ZIP)</t>
  </si>
  <si>
    <t>Total Units in Building*</t>
  </si>
  <si>
    <t>Employee Units</t>
  </si>
  <si>
    <t>Low-Income Units</t>
  </si>
  <si>
    <t>Residential Square Footage**</t>
  </si>
  <si>
    <t>Square Footage of Employee Units</t>
  </si>
  <si>
    <t>Square Footage of Low-Income Units</t>
  </si>
  <si>
    <t>Placed-In-Service Date</t>
  </si>
  <si>
    <t>New Construction/ Rehab APR</t>
  </si>
  <si>
    <t>New Construction Eligible Basis</t>
  </si>
  <si>
    <t>Eligible Basis for Rehab</t>
  </si>
  <si>
    <t>Cost of Acquiring the Building***</t>
  </si>
  <si>
    <t>Higher of Land Purchase Price or Land Appraised Value****</t>
  </si>
  <si>
    <t>Acquisition Placed-in-Service Date</t>
  </si>
  <si>
    <t>Acquisition APR</t>
  </si>
  <si>
    <t xml:space="preserve"> *Include employee units</t>
  </si>
  <si>
    <t>***Include the cost of land</t>
  </si>
  <si>
    <t>****Proportional to the Total Cost of Acquiring the Building</t>
  </si>
  <si>
    <t>Total Units in Building</t>
  </si>
  <si>
    <t>Residential Square Footage</t>
  </si>
  <si>
    <t>Eligible Basis</t>
  </si>
  <si>
    <t>Cost of Acquiring the Building</t>
  </si>
  <si>
    <t>Higher of Land Purchase Price or Land Appraised Value</t>
  </si>
  <si>
    <t>**Include all common units</t>
  </si>
  <si>
    <t>PUT THIS IN THE INSTRUCTIONS:This is a Summary page for deal Contact Information. This is a non-entry page. If you are seeing blanks it’s because the Applicant entered TBD/N/A</t>
  </si>
  <si>
    <t>Contact Type</t>
  </si>
  <si>
    <t xml:space="preserve">State </t>
  </si>
  <si>
    <t>Zip Code</t>
  </si>
  <si>
    <t xml:space="preserve">Phone </t>
  </si>
  <si>
    <t xml:space="preserve">ROW OF ORG NAME + </t>
  </si>
  <si>
    <t xml:space="preserve">THIS IS THE ORG NAME </t>
  </si>
  <si>
    <t>Applicant Contact to be Published</t>
  </si>
  <si>
    <t xml:space="preserve">Applicant </t>
  </si>
  <si>
    <t>Developer (if different from Applicant)</t>
  </si>
  <si>
    <t>Syndicator/Investor</t>
  </si>
  <si>
    <t>Ownership Entity (if formed, required for Carryover, PIS/Final and CHFA Loan)</t>
  </si>
  <si>
    <t xml:space="preserve">Participating Nonprofit or PHA </t>
  </si>
  <si>
    <t>Fee/Turnkey Developer 
(as defined by CHFA QAP)</t>
  </si>
  <si>
    <t>Commercial Permanent Lender</t>
  </si>
  <si>
    <t>City Manager</t>
  </si>
  <si>
    <t>Local Housing Authority</t>
  </si>
  <si>
    <t>Operating Deficit Guarantee</t>
  </si>
  <si>
    <t>Compliance Guarantee</t>
  </si>
  <si>
    <t>Additional Sponsor/Applicant Questions</t>
  </si>
  <si>
    <t>List all the general partners of the ownership entity and the percentages of their interest</t>
  </si>
  <si>
    <t>Ownership Percentage</t>
  </si>
  <si>
    <t>Additional Non-Profit or PHA Questions</t>
  </si>
  <si>
    <t>Is the non-profit or PHA assured of owning an interest in the development throughout the compliance period?</t>
  </si>
  <si>
    <t>Yes</t>
  </si>
  <si>
    <t>Describe in detail the non-profit or PHA ownership interest</t>
  </si>
  <si>
    <t>Describe the non-profit or PHA material participation in the development</t>
  </si>
  <si>
    <t>Describe the non-profit or PHA material participation in the operation of the development throughout the extended use period</t>
  </si>
  <si>
    <t>Will the non-profit or PHA receive any part of the development or management fees paid in connection with the development?</t>
  </si>
  <si>
    <t>If "Yes", explain; if "No" skip to row 106</t>
  </si>
  <si>
    <t>How many full-time staff members does the non-profit or PHA have?</t>
  </si>
  <si>
    <t xml:space="preserve">Has any for-profit entity (including the owner of the development or any entity directly or indirectly related to such owner) appointed any directors to the governing board of the non-profit? </t>
  </si>
  <si>
    <t xml:space="preserve">Does the non-profit have any financial arrangements with any individual(s) of for-profit entity, including anyone or any entity related, directly or indirectly, to the owner of the development? </t>
  </si>
  <si>
    <t>Date of legal formation of non-profit or PHA</t>
  </si>
  <si>
    <t>Purpose(s) of formation of non-profit</t>
  </si>
  <si>
    <t>Disclose any business or personal (including family) relationships that any of the staff members, directors or other principals involved in the formation or operation of the non-profit have, either directly or indirectly, with any persons or entities involved or to be involved in the development on a for-profit basis including, but not limited to, the owner of the development, any of its for-profit general partners,  employees, limited partners or any other parties directly or indirectly related to such owner.</t>
  </si>
  <si>
    <t>Does the applicant intend to request an allocation of tax credits from the non-profit set-aside portion of the state credit ceiling under Section 42(h)(5)? Select "Yes" if claiming points under Applicant Characteristics of the Scoring criteria.</t>
  </si>
  <si>
    <t>Only applicable for 9% Competitive Tax Credit</t>
  </si>
  <si>
    <t>Development Name</t>
  </si>
  <si>
    <t>Property Information</t>
  </si>
  <si>
    <t>Number of Parking Spaces:</t>
  </si>
  <si>
    <t>Parking Ratio:</t>
  </si>
  <si>
    <t>Scoring Details</t>
  </si>
  <si>
    <t>Primary Selection Criteria</t>
  </si>
  <si>
    <t>% of Median Income</t>
  </si>
  <si>
    <t># of Rent Restricted Units</t>
  </si>
  <si>
    <t>% of Rent Restricted Units</t>
  </si>
  <si>
    <t>Weight</t>
  </si>
  <si>
    <t>Points</t>
  </si>
  <si>
    <t>70% and 80% units only eligible for credits when Average Income is selected</t>
  </si>
  <si>
    <t>% of Total Units at, or below, 30% AMI</t>
  </si>
  <si>
    <t>County with lowest AMI</t>
  </si>
  <si>
    <t>Developments in a Qualified Census Tract</t>
  </si>
  <si>
    <t>Secondary Selection Criteria</t>
  </si>
  <si>
    <t>Housing Needs Characteristics</t>
  </si>
  <si>
    <t>Score related to Household Percentage below 51% AMI with Housing Problems</t>
  </si>
  <si>
    <t>Score related to the number of All Households with Housing Problems</t>
  </si>
  <si>
    <t>Development Location</t>
  </si>
  <si>
    <t>Subsidized Housing Waiting Lists</t>
  </si>
  <si>
    <t>Total Points</t>
  </si>
  <si>
    <t>Determination of Annual Tax Credit Amount</t>
  </si>
  <si>
    <t>Method One: Qualified Basis Calculation Annual Credit</t>
  </si>
  <si>
    <t>Federal</t>
  </si>
  <si>
    <t>Eligible Basis from Development Budget</t>
  </si>
  <si>
    <t>Basis reduction from Fee Worksheet</t>
  </si>
  <si>
    <t>Historic or Grant Funds reduced from Basis *</t>
  </si>
  <si>
    <t>*(to be added by CHFA Staff manually)</t>
  </si>
  <si>
    <t>Total Eligible Basis</t>
  </si>
  <si>
    <t>Multiplied by the following factors</t>
  </si>
  <si>
    <t xml:space="preserve">QCT, DDA, or SADDA Factor </t>
  </si>
  <si>
    <t>Applicable Fraction</t>
  </si>
  <si>
    <t xml:space="preserve">Applicable Percentage Rates (APR) </t>
  </si>
  <si>
    <t>Total Qualified Basis Annual Credit</t>
  </si>
  <si>
    <t>Method Two: Gap Calculation Annual Credit</t>
  </si>
  <si>
    <t>Total Uses</t>
  </si>
  <si>
    <t>Less Total Funds</t>
  </si>
  <si>
    <t>Total Gap</t>
  </si>
  <si>
    <t>Divided by the following factor</t>
  </si>
  <si>
    <t>Equity Factor</t>
  </si>
  <si>
    <t>Total Gap Annual Credit</t>
  </si>
  <si>
    <t>Method Three: Cost Basis Calculation Annual Credit</t>
  </si>
  <si>
    <t>Bedroom Count</t>
  </si>
  <si>
    <t># of Units</t>
  </si>
  <si>
    <t>Basis Limit per Unit</t>
  </si>
  <si>
    <t>Cost Basis</t>
  </si>
  <si>
    <t>Total Cost Basis</t>
  </si>
  <si>
    <t>Total Cost Basis Annual Credit</t>
  </si>
  <si>
    <t>Annual Credit Amount</t>
  </si>
  <si>
    <t>Eligible for a Total Annual Credit</t>
  </si>
  <si>
    <t>CHFA Designated DDA Annual Credit Amount</t>
  </si>
  <si>
    <t>N/A</t>
  </si>
  <si>
    <t>Population Served</t>
  </si>
  <si>
    <t>Number of Units</t>
  </si>
  <si>
    <t>Percent of Total Units</t>
  </si>
  <si>
    <t>Special Population</t>
  </si>
  <si>
    <t>Homeless</t>
  </si>
  <si>
    <t>Permanent Supportive Housing (PSH)</t>
  </si>
  <si>
    <t>Total Units</t>
  </si>
  <si>
    <t>Application Fee</t>
  </si>
  <si>
    <t>all fees are non-refundable</t>
  </si>
  <si>
    <t>Description</t>
  </si>
  <si>
    <t>Total Fee Amount</t>
  </si>
  <si>
    <t>Sponsor Name</t>
  </si>
  <si>
    <t>Development Address</t>
  </si>
  <si>
    <t>Summary</t>
  </si>
  <si>
    <t>% of GSF</t>
  </si>
  <si>
    <t>Total Net Rentable</t>
  </si>
  <si>
    <t>Number of Parking Spaces</t>
  </si>
  <si>
    <t>Total Common Area Square Footage</t>
  </si>
  <si>
    <t>Parking Ratio</t>
  </si>
  <si>
    <t>Total Commercial Square Footage</t>
  </si>
  <si>
    <t>Gross Square Footage</t>
  </si>
  <si>
    <t>Total Development Costs</t>
  </si>
  <si>
    <t>Per Square Foot</t>
  </si>
  <si>
    <t>Per Unit</t>
  </si>
  <si>
    <t>Per Bedroom</t>
  </si>
  <si>
    <t>Land Costs</t>
  </si>
  <si>
    <t>Total Soft Costs</t>
  </si>
  <si>
    <t>PAB Total Bond amount</t>
  </si>
  <si>
    <t>Average Income Midpoint</t>
  </si>
  <si>
    <t>PAB 50% Test (Aggregate Basis)</t>
  </si>
  <si>
    <t>CHFA PAB Limit</t>
  </si>
  <si>
    <t>Minimum Debt Coverage Ratio</t>
  </si>
  <si>
    <t>Annual Debt Coverage Ratio</t>
  </si>
  <si>
    <t>Scoring Summary (see Tax Credit Details for more information)</t>
  </si>
  <si>
    <t>Minimum Score</t>
  </si>
  <si>
    <t>Total Score</t>
  </si>
  <si>
    <t>Method</t>
  </si>
  <si>
    <t>1: Qualified Basis Calculation Annual Credit</t>
  </si>
  <si>
    <t>2: Gap Calculation Annual Credit</t>
  </si>
  <si>
    <t>3: Cost Basis Calculation Annual Credit</t>
  </si>
  <si>
    <t>Eligible for QCT/SADDA/DDA Boost</t>
  </si>
  <si>
    <t>Sources and Uses</t>
  </si>
  <si>
    <t>Source of Financing</t>
  </si>
  <si>
    <t>Amount of Funds</t>
  </si>
  <si>
    <t>Total Annual Debt</t>
  </si>
  <si>
    <t>Uses</t>
  </si>
  <si>
    <t>Subtotal of Loans</t>
  </si>
  <si>
    <t>Subtotal of Grants</t>
  </si>
  <si>
    <t>Total Finance Sources</t>
  </si>
  <si>
    <t xml:space="preserve"> (other than Tax Credit Equity)</t>
  </si>
  <si>
    <t>State Tax Credit Equity</t>
  </si>
  <si>
    <t>Federal Tax Credit Equity</t>
  </si>
  <si>
    <t>Other Sources of Funds</t>
  </si>
  <si>
    <t>Commercial Sources</t>
  </si>
  <si>
    <t>Total Funds</t>
  </si>
  <si>
    <t>Total Budget</t>
  </si>
  <si>
    <t>Financing Gap</t>
  </si>
  <si>
    <t>Grand Total</t>
  </si>
  <si>
    <t>Construction Interest Test</t>
  </si>
  <si>
    <t>Construction Interest Actual</t>
  </si>
  <si>
    <t>Max Allowable Developer Fee</t>
  </si>
  <si>
    <t>Total Developer Fee</t>
  </si>
  <si>
    <t xml:space="preserve">Deferred Developer Fee % </t>
  </si>
  <si>
    <t>Development Income</t>
  </si>
  <si>
    <t>Residential Income Amount</t>
  </si>
  <si>
    <t>Annual Rental Income</t>
  </si>
  <si>
    <t>Annual Miscellaneous Income</t>
  </si>
  <si>
    <t>Total Annual Residential Income</t>
  </si>
  <si>
    <t>Vacancy Allowance Amount</t>
  </si>
  <si>
    <t>Total Residential Gross Income</t>
  </si>
  <si>
    <t>Commercial Income Amount</t>
  </si>
  <si>
    <t>Annual Retail/Commercial Income</t>
  </si>
  <si>
    <t>Annual Retail/Commercial Expense</t>
  </si>
  <si>
    <t>10% Vacancy Allowance</t>
  </si>
  <si>
    <t>Total Retail/Commercial Gross Income</t>
  </si>
  <si>
    <t>Annual Operating Expenses</t>
  </si>
  <si>
    <t>Total Annual</t>
  </si>
  <si>
    <t>PUPA*</t>
  </si>
  <si>
    <t>Minimum Threshold</t>
  </si>
  <si>
    <t>*Per Unit Per Annum</t>
  </si>
  <si>
    <t>Residential Operating Expenses</t>
  </si>
  <si>
    <t>Development Operating Reserves</t>
  </si>
  <si>
    <t>15 Year Pro Forma</t>
  </si>
  <si>
    <t>Year 1 of this Pro Forma assumes full lease-up</t>
  </si>
  <si>
    <t xml:space="preserve">Year 2 </t>
  </si>
  <si>
    <t>10 Year Cash Flow After Debt Service</t>
  </si>
  <si>
    <t>15 Year Cash Flow After Debt Service</t>
  </si>
  <si>
    <t>Contractor - Developer Fee Limits</t>
  </si>
  <si>
    <t>Contractor Fee Limits (Builder's Profit &amp; Overhead as a Percent of Hard Construction Costs)</t>
  </si>
  <si>
    <t>Contractor Fees</t>
  </si>
  <si>
    <t>Total Contractor Fees</t>
  </si>
  <si>
    <t>Contractor Costs</t>
  </si>
  <si>
    <t>Maximum Allowable</t>
  </si>
  <si>
    <t>New Structures/Rehabilitation</t>
  </si>
  <si>
    <t>On-Site Work</t>
  </si>
  <si>
    <t>Contractor Const. Contingency</t>
  </si>
  <si>
    <t>Total Contractor Costs</t>
  </si>
  <si>
    <t>Contractor Fees as Percentage</t>
  </si>
  <si>
    <t>Amount of Eligible Basis Reduction</t>
  </si>
  <si>
    <t>Aggregate Developer Fee, Overhead, Consultant Fee Limits</t>
  </si>
  <si>
    <t>Developer-Related Costs</t>
  </si>
  <si>
    <t>Total Development Budget</t>
  </si>
  <si>
    <t>Less 50% Reduction of Existing Structures</t>
  </si>
  <si>
    <t>Less Contractor Costs Eligible Basis Reduction</t>
  </si>
  <si>
    <t>Less Land</t>
  </si>
  <si>
    <t>Less Developer Fees</t>
  </si>
  <si>
    <t>Less Project Reserves</t>
  </si>
  <si>
    <t>Total Costs for Developer Fees</t>
  </si>
  <si>
    <t>Percentage of Fee</t>
  </si>
  <si>
    <t>PSH Fee Boost</t>
  </si>
  <si>
    <t>Total Developer Fees</t>
  </si>
  <si>
    <t>Unit AMI Targeting and Square Footage</t>
  </si>
  <si>
    <t>20% AMI</t>
  </si>
  <si>
    <t xml:space="preserve">30% AMI </t>
  </si>
  <si>
    <t xml:space="preserve">40% AMI </t>
  </si>
  <si>
    <t xml:space="preserve">50% AMI </t>
  </si>
  <si>
    <t>60% AMI</t>
  </si>
  <si>
    <t>70% AMI</t>
  </si>
  <si>
    <t>80% AMI</t>
  </si>
  <si>
    <t>Low Income Subtotal</t>
  </si>
  <si>
    <t xml:space="preserve">Employee </t>
  </si>
  <si>
    <t>Unrestricted</t>
  </si>
  <si>
    <t xml:space="preserve">Total Residential </t>
  </si>
  <si>
    <t>Non-Residential Areas</t>
  </si>
  <si>
    <t>Square Footage</t>
  </si>
  <si>
    <t>Percentage</t>
  </si>
  <si>
    <t>Common Area</t>
  </si>
  <si>
    <t>Commercial Space</t>
  </si>
  <si>
    <t>Non Residential Square Footage</t>
  </si>
  <si>
    <t>Total Square Footage</t>
  </si>
  <si>
    <t>Note: 70% and 80% units only eligible for credits when Average Income is selected.</t>
  </si>
  <si>
    <t>Lowest Applicable Fraction for Calculating Credit Amount</t>
  </si>
  <si>
    <t>Cumulative Rents</t>
  </si>
  <si>
    <t>Actual Rent
per Unit</t>
  </si>
  <si>
    <t>Max Adjusted Rent</t>
  </si>
  <si>
    <t>Annual Rent</t>
  </si>
  <si>
    <t>Development Budget and Carryover Test</t>
  </si>
  <si>
    <t>% of Change from Last Provided</t>
  </si>
  <si>
    <t>Reasonably Expected Basis for 10% Test</t>
  </si>
  <si>
    <t>Total Commercial Project Costs</t>
  </si>
  <si>
    <t>Housing Development &amp; Preservation Application Spreadsheet</t>
  </si>
  <si>
    <t>Development Costs</t>
  </si>
  <si>
    <t>Project Name:</t>
  </si>
  <si>
    <t>Date:</t>
  </si>
  <si>
    <t>Applicant:</t>
  </si>
  <si>
    <t>Spreadsheet Version:</t>
  </si>
  <si>
    <t>County:</t>
  </si>
  <si>
    <t>Total Cost</t>
  </si>
  <si>
    <t>Cost/Unit</t>
  </si>
  <si>
    <t>Cost/Sq Ft</t>
  </si>
  <si>
    <t>Rentable Square Footage</t>
  </si>
  <si>
    <t>ACQUISITION COSTS</t>
  </si>
  <si>
    <t>Non Living Square Footage</t>
  </si>
  <si>
    <t xml:space="preserve">Land </t>
  </si>
  <si>
    <t>Total Project Square Feet</t>
  </si>
  <si>
    <t>SUBTOTAL</t>
  </si>
  <si>
    <t>SITE IMPROVEMENTS*</t>
  </si>
  <si>
    <t>On-Site Infrastructure</t>
  </si>
  <si>
    <t>Off-Site Infrastructure</t>
  </si>
  <si>
    <t>CONSTRUCTION*</t>
  </si>
  <si>
    <t xml:space="preserve">New Construction </t>
  </si>
  <si>
    <t>Contractor Overhead &amp; Profit</t>
  </si>
  <si>
    <t>% of construction</t>
  </si>
  <si>
    <t>FF&amp;E</t>
  </si>
  <si>
    <t xml:space="preserve">Building Permit Fees </t>
  </si>
  <si>
    <t>Other (Specify)</t>
  </si>
  <si>
    <t>PROFESSIONAL FEES</t>
  </si>
  <si>
    <t>Architect Fees</t>
  </si>
  <si>
    <t>Engineering Fees</t>
  </si>
  <si>
    <t>Real Estate Attorney Fees</t>
  </si>
  <si>
    <t>Surveys</t>
  </si>
  <si>
    <t>Green Planning and Design Fees</t>
  </si>
  <si>
    <t>Construction Management Fees</t>
  </si>
  <si>
    <t>CONSTRUCTION FINANCE</t>
  </si>
  <si>
    <t>Construction Insurance (H&amp;L, Builder's Risk)</t>
  </si>
  <si>
    <t>Construction Performance &amp; Payment Bonds</t>
  </si>
  <si>
    <t>Construction Loan Orig. Fee</t>
  </si>
  <si>
    <t>Title and Recording</t>
  </si>
  <si>
    <t>Taxes During Construction</t>
  </si>
  <si>
    <t>Insp. Fees (3rd party/Bank)</t>
  </si>
  <si>
    <t>Power/Telecom Fees</t>
  </si>
  <si>
    <t xml:space="preserve">PERMANENT FINANCE AND SYNDICATION </t>
  </si>
  <si>
    <t>Loan Fees &amp; Expenses</t>
  </si>
  <si>
    <t>Lender Legal Fees</t>
  </si>
  <si>
    <t>SOFT COSTS</t>
  </si>
  <si>
    <t>Appraisals</t>
  </si>
  <si>
    <t>Environmental Studies (Phase 1, Phase 2, Lead, Asbestos, etc.)</t>
  </si>
  <si>
    <t>Geotechnical/Soils Testing</t>
  </si>
  <si>
    <t>Material Testing</t>
  </si>
  <si>
    <t>Capital Needs Assessment</t>
  </si>
  <si>
    <t>Temporary Relocation</t>
  </si>
  <si>
    <t>Permanent Relocation</t>
  </si>
  <si>
    <t>Marketing</t>
  </si>
  <si>
    <t>DEVELOPER FEE / PROFIT</t>
  </si>
  <si>
    <t>Developer's Fee</t>
  </si>
  <si>
    <t>PSH Developer Fee Boost</t>
  </si>
  <si>
    <t>(up to 5%, LIHTC only)</t>
  </si>
  <si>
    <t>Third Party Development/Management/Owners Rep</t>
  </si>
  <si>
    <t>Consultants</t>
  </si>
  <si>
    <t>SUBTOTAL (i.e. - maximum developer fee)</t>
  </si>
  <si>
    <t>% of Total (less Dev. Fee, Reserves and acquisition)</t>
  </si>
  <si>
    <t>RESERVES</t>
  </si>
  <si>
    <t>Operating Reserve</t>
  </si>
  <si>
    <t>Months of expenses &amp; debt</t>
  </si>
  <si>
    <t>Debt Service Reserve</t>
  </si>
  <si>
    <t>Months of debt</t>
  </si>
  <si>
    <t>Lease-up Reserve</t>
  </si>
  <si>
    <t>Replacement Reserve</t>
  </si>
  <si>
    <t>TOTAL DEVELOPMENT EXPENSES</t>
  </si>
  <si>
    <t>per unit</t>
  </si>
  <si>
    <t>per SF</t>
  </si>
  <si>
    <t>Hard Costs</t>
  </si>
  <si>
    <t>*costs included in hard cost evaluation.</t>
  </si>
  <si>
    <t>Housing Development &amp; Preservation Application</t>
  </si>
  <si>
    <t>Income + Expenses</t>
  </si>
  <si>
    <t>STABILIZED FIRST YEAR INCOME</t>
  </si>
  <si>
    <t>EXPENSES</t>
  </si>
  <si>
    <t xml:space="preserve"> Type of Unit (Bd/Bath)</t>
  </si>
  <si>
    <t>Income Level (% AMI)</t>
  </si>
  <si>
    <t># of units</t>
  </si>
  <si>
    <t>Unit Size (Sq. Ft.)</t>
  </si>
  <si>
    <t>Monthly Rent</t>
  </si>
  <si>
    <t>Total Annual Rent</t>
  </si>
  <si>
    <t>Max Rent (DOH Specific)</t>
  </si>
  <si>
    <t>Administrative Expenses</t>
  </si>
  <si>
    <t>Management Fee</t>
  </si>
  <si>
    <t>Salaries</t>
  </si>
  <si>
    <t># FTE</t>
  </si>
  <si>
    <t>Benefits</t>
  </si>
  <si>
    <t>Audit</t>
  </si>
  <si>
    <t>Other (Misc expenses: contingency)</t>
  </si>
  <si>
    <t>Total Administrative</t>
  </si>
  <si>
    <t>Operating Expenses</t>
  </si>
  <si>
    <t>PUPM Utilities:</t>
  </si>
  <si>
    <t>Trash Removal</t>
  </si>
  <si>
    <t>Resident Transportation</t>
  </si>
  <si>
    <t>Wifi</t>
  </si>
  <si>
    <t>Total Operating</t>
  </si>
  <si>
    <t>Maintenance Expenses</t>
  </si>
  <si>
    <t>Maint. Salaries</t>
  </si>
  <si>
    <t>Maint. Contracts</t>
  </si>
  <si>
    <t>Total units:</t>
  </si>
  <si>
    <t>Total Rent Income</t>
  </si>
  <si>
    <t>Total rental sq ft:</t>
  </si>
  <si>
    <t>Ave. Affordability (% AMI):</t>
  </si>
  <si>
    <t>Parking Income</t>
  </si>
  <si>
    <t>Units at or Below 60% AMI:</t>
  </si>
  <si>
    <t>Laundry Income</t>
  </si>
  <si>
    <t xml:space="preserve">  </t>
  </si>
  <si>
    <t>Vending, Application, Late Fees</t>
  </si>
  <si>
    <t>Total Income</t>
  </si>
  <si>
    <t>Vac. Rate</t>
  </si>
  <si>
    <t>Less Vacancy</t>
  </si>
  <si>
    <t>Total Maintenance</t>
  </si>
  <si>
    <t>Effective Gross Income</t>
  </si>
  <si>
    <t>Other Expenses</t>
  </si>
  <si>
    <t>DEBT SERVICE</t>
  </si>
  <si>
    <t>1st Mortgage</t>
  </si>
  <si>
    <t>Property Insurance</t>
  </si>
  <si>
    <t>2nd Mortgage</t>
  </si>
  <si>
    <t>unit avg.=</t>
  </si>
  <si>
    <t>3rd Mortgage</t>
  </si>
  <si>
    <t>TOTAL DEBT SERVICE</t>
  </si>
  <si>
    <t>Total Other</t>
  </si>
  <si>
    <t>Break Even Point</t>
  </si>
  <si>
    <t>Poss D/S @ 1.15 DCR</t>
  </si>
  <si>
    <t>TOTAL ANNUAL EXPENSES</t>
  </si>
  <si>
    <t>'(Annual Ex.w/out RR)</t>
  </si>
  <si>
    <t>Project Debt Coverage Ratio</t>
  </si>
  <si>
    <t>NET OPERATING INCOME</t>
  </si>
  <si>
    <t>P.U.P.A. Expenses*</t>
  </si>
  <si>
    <t>Exp Ratio</t>
  </si>
  <si>
    <t xml:space="preserve">     *P.U.P.A = Per Unit Per Annum Expenses</t>
  </si>
  <si>
    <t>Tenant Paid Utilities:</t>
  </si>
  <si>
    <t>Owner Paid Utilities:</t>
  </si>
  <si>
    <t>Utility Allowances:</t>
  </si>
  <si>
    <t>0 Bed*</t>
  </si>
  <si>
    <t>1 Bed*</t>
  </si>
  <si>
    <t>2 Bed*</t>
  </si>
  <si>
    <t>3 Bed*</t>
  </si>
  <si>
    <t>4 Bed*</t>
  </si>
  <si>
    <t>Permanent Financing Sources</t>
  </si>
  <si>
    <t>Total Development Costs (from Dev. Budget tab):</t>
  </si>
  <si>
    <t>Select</t>
  </si>
  <si>
    <t>SOURCES OF FUNDS</t>
  </si>
  <si>
    <t>Types of Loans:</t>
  </si>
  <si>
    <t>Conventional</t>
  </si>
  <si>
    <t>HARD DEBT</t>
  </si>
  <si>
    <t>FIRST MORTGAGE</t>
  </si>
  <si>
    <t>Tax-Exempt</t>
  </si>
  <si>
    <t>Lender</t>
  </si>
  <si>
    <t>Federal Financing</t>
  </si>
  <si>
    <t>Type of Loan</t>
  </si>
  <si>
    <t>Select Grant or Loan</t>
  </si>
  <si>
    <t>Principal</t>
  </si>
  <si>
    <t>Grant</t>
  </si>
  <si>
    <t>Loan</t>
  </si>
  <si>
    <t>Term (#Years)</t>
  </si>
  <si>
    <t>Amortization</t>
  </si>
  <si>
    <t>Annual Payment</t>
  </si>
  <si>
    <t>DCR</t>
  </si>
  <si>
    <t>SECOND MORTGAGE</t>
  </si>
  <si>
    <t>THIRD MORTGAGE</t>
  </si>
  <si>
    <t>TC EQUITY</t>
  </si>
  <si>
    <t>TAX CREDIT EQUITY</t>
  </si>
  <si>
    <t>9% LIHTC Proceeds</t>
  </si>
  <si>
    <t>4% LIHTC Proceeds</t>
  </si>
  <si>
    <t>State AHTC Proceeds</t>
  </si>
  <si>
    <t>Historic Tax Credits (Fed. or State)</t>
  </si>
  <si>
    <r>
      <rPr>
        <sz val="12"/>
        <color rgb="FF0000FF"/>
        <rFont val="Arial"/>
        <family val="2"/>
      </rPr>
      <t>Other Tax Credits (</t>
    </r>
    <r>
      <rPr>
        <i/>
        <sz val="12"/>
        <color rgb="FF0000FF"/>
        <rFont val="Arial"/>
        <family val="2"/>
      </rPr>
      <t>describe)</t>
    </r>
  </si>
  <si>
    <t>GRANTS / SOFT DEBT</t>
  </si>
  <si>
    <t>GOVERNMENT GRANTS AND SOFT DEBT</t>
  </si>
  <si>
    <t>DOH Grant/Loan</t>
  </si>
  <si>
    <r>
      <rPr>
        <sz val="12"/>
        <color rgb="FF0000FF"/>
        <rFont val="Arial"/>
        <family val="2"/>
      </rPr>
      <t>Other Grants/Loans (</t>
    </r>
    <r>
      <rPr>
        <i/>
        <sz val="12"/>
        <color rgb="FF0000FF"/>
        <rFont val="Arial"/>
        <family val="2"/>
      </rPr>
      <t>describe)</t>
    </r>
  </si>
  <si>
    <t>OTHER GRANTS (NON-GOVERNMENTAL)</t>
  </si>
  <si>
    <r>
      <rPr>
        <sz val="12"/>
        <color rgb="FF0000FF"/>
        <rFont val="Arial"/>
        <family val="2"/>
      </rPr>
      <t>Other Grants (</t>
    </r>
    <r>
      <rPr>
        <i/>
        <sz val="12"/>
        <color rgb="FF0000FF"/>
        <rFont val="Arial"/>
        <family val="2"/>
      </rPr>
      <t>describe)</t>
    </r>
  </si>
  <si>
    <t>OWNER</t>
  </si>
  <si>
    <t>OWNER EQUITY</t>
  </si>
  <si>
    <t>Deferred Dev. Fee</t>
  </si>
  <si>
    <r>
      <rPr>
        <sz val="12"/>
        <color rgb="FF0000FF"/>
        <rFont val="Arial"/>
        <family val="2"/>
      </rPr>
      <t>Other Owner Equity (</t>
    </r>
    <r>
      <rPr>
        <i/>
        <sz val="12"/>
        <color rgb="FF0000FF"/>
        <rFont val="Arial"/>
        <family val="2"/>
      </rPr>
      <t>describe)</t>
    </r>
  </si>
  <si>
    <t>TOTAL SOURCES</t>
  </si>
  <si>
    <t>GAP (SURPLUS)</t>
  </si>
  <si>
    <t>Poss Debt Service @ 1.15 DCR</t>
  </si>
  <si>
    <t>Debt Coverage Ratio</t>
  </si>
  <si>
    <t>Max Loan Amount @ 1.15 DCR</t>
  </si>
  <si>
    <t>COLORADO HOUSING AND FINANCE AUTHORITY</t>
  </si>
  <si>
    <t>2024 Income Limit and Maximum Rent Tables for all Colorado Counties</t>
  </si>
  <si>
    <t>20% to 120% of Area Median Income (AMI)</t>
  </si>
  <si>
    <t>Note: These Limits Are Used for Low-Income Housing Tax Credit</t>
  </si>
  <si>
    <t>and CHFA Rental Programs Only</t>
  </si>
  <si>
    <t>HUD Effective Date: April 1, 2024</t>
  </si>
  <si>
    <t>0 BDRM</t>
  </si>
  <si>
    <t>1 BDRM</t>
  </si>
  <si>
    <t>2 BDRM</t>
  </si>
  <si>
    <t>3 BDRM</t>
  </si>
  <si>
    <t>4 BDRM</t>
  </si>
  <si>
    <t>1 PERSON</t>
  </si>
  <si>
    <t>2 PERSON</t>
  </si>
  <si>
    <t>3 PERSON</t>
  </si>
  <si>
    <t>4 PERSON</t>
  </si>
  <si>
    <t>5 PERSON</t>
  </si>
  <si>
    <t>6 PERSON</t>
  </si>
  <si>
    <t>7 PERSON</t>
  </si>
  <si>
    <t>8 PERSON</t>
  </si>
  <si>
    <t>Adams</t>
  </si>
  <si>
    <t>Alamosa</t>
  </si>
  <si>
    <t>Arapahoe</t>
  </si>
  <si>
    <t>Archuleta</t>
  </si>
  <si>
    <t>Baca</t>
  </si>
  <si>
    <t>Bent</t>
  </si>
  <si>
    <t>Boulder</t>
  </si>
  <si>
    <t>Broomfield</t>
  </si>
  <si>
    <t>Chaffee</t>
  </si>
  <si>
    <t>Cheyenne</t>
  </si>
  <si>
    <t>Clear Creek</t>
  </si>
  <si>
    <t>Conejos</t>
  </si>
  <si>
    <t>Costilla</t>
  </si>
  <si>
    <t>Crowley</t>
  </si>
  <si>
    <t>Custer</t>
  </si>
  <si>
    <t>Delta</t>
  </si>
  <si>
    <t xml:space="preserve">Denver </t>
  </si>
  <si>
    <t>Dolores</t>
  </si>
  <si>
    <t>Douglas</t>
  </si>
  <si>
    <t>Eagle</t>
  </si>
  <si>
    <t>El Paso</t>
  </si>
  <si>
    <t>Elbert</t>
  </si>
  <si>
    <t>Fremont</t>
  </si>
  <si>
    <t>Garfield</t>
  </si>
  <si>
    <t>Gilpin</t>
  </si>
  <si>
    <t>Grand</t>
  </si>
  <si>
    <t>Gunnison</t>
  </si>
  <si>
    <t>Hinsdale</t>
  </si>
  <si>
    <t>Huerfano</t>
  </si>
  <si>
    <t>Jackson</t>
  </si>
  <si>
    <t>Jefferson</t>
  </si>
  <si>
    <t>Kiowa</t>
  </si>
  <si>
    <t>Kit Carson</t>
  </si>
  <si>
    <t>La Plata</t>
  </si>
  <si>
    <t>Lake</t>
  </si>
  <si>
    <t>Larimer</t>
  </si>
  <si>
    <t>Las Animas</t>
  </si>
  <si>
    <t>Lincoln</t>
  </si>
  <si>
    <t>Logan</t>
  </si>
  <si>
    <t>Mesa</t>
  </si>
  <si>
    <t>Mineral</t>
  </si>
  <si>
    <t>Moffat</t>
  </si>
  <si>
    <t>Montezuma</t>
  </si>
  <si>
    <t>Montrose</t>
  </si>
  <si>
    <t>Morgan</t>
  </si>
  <si>
    <t>Otero</t>
  </si>
  <si>
    <t>Ouray</t>
  </si>
  <si>
    <t>Park</t>
  </si>
  <si>
    <t>Phillips</t>
  </si>
  <si>
    <t>Pitkin</t>
  </si>
  <si>
    <t>Prowers</t>
  </si>
  <si>
    <t xml:space="preserve">Pueblo </t>
  </si>
  <si>
    <t>Rio Blanco</t>
  </si>
  <si>
    <t>Rio Grande</t>
  </si>
  <si>
    <t>Routt</t>
  </si>
  <si>
    <t>Saguache</t>
  </si>
  <si>
    <t>San Juan</t>
  </si>
  <si>
    <t>San Miguel</t>
  </si>
  <si>
    <t>Sedgwick</t>
  </si>
  <si>
    <t>Summit</t>
  </si>
  <si>
    <t>Teller</t>
  </si>
  <si>
    <t>Washington</t>
  </si>
  <si>
    <t>Weld</t>
  </si>
  <si>
    <t>Yuma</t>
  </si>
  <si>
    <t>- The IRS allows Housing Tax Credit projects that placed in service as of 12.31.2008 to use higher HERA Special limits. 
- All Housing Tax Credit and CHFA Loan projects are “held harmless” from limit decreases. To be “held harmless,” a project must be in service before 05.16.2024. 
- Housing Tax Credit and CHFA Multifamily Loan projects whose counties experienced a decrease in 2023 limits and that place in service before  05.16.2024 may continue to apply.</t>
  </si>
  <si>
    <t>Final Building Profile Totals</t>
  </si>
  <si>
    <t>VACANCY STRESS TEST / RENT SENSITIVITY ANALYSIS</t>
  </si>
  <si>
    <t>Vacancy Stress Test</t>
  </si>
  <si>
    <t>Gross Rental Income</t>
  </si>
  <si>
    <t>Expenses</t>
  </si>
  <si>
    <t>Net Operating Income</t>
  </si>
  <si>
    <t>Debt Service</t>
  </si>
  <si>
    <t>Net Cash Flow</t>
  </si>
  <si>
    <t>Max Supportable Vacancy</t>
  </si>
  <si>
    <t>Rent Sensitivity Analysis</t>
  </si>
  <si>
    <t>Rental Income Less Vacancy</t>
  </si>
  <si>
    <t>RENT REDUCTION</t>
  </si>
  <si>
    <t xml:space="preserve">Per month/per unit </t>
  </si>
  <si>
    <t>Per month/per NRSF</t>
  </si>
  <si>
    <t>Deferred Developer Fee % of Budgeted</t>
  </si>
  <si>
    <t>Total Finance Sources (other than Tax Credit Equity)</t>
  </si>
  <si>
    <t>% of State TC Eligible Basis</t>
  </si>
  <si>
    <t xml:space="preserve">State Tax Credit Equity Price </t>
  </si>
  <si>
    <t>Federal Tax Credit Equity Price</t>
  </si>
  <si>
    <t>Total Funds for Development</t>
  </si>
  <si>
    <t>100% AMI</t>
  </si>
  <si>
    <t>Income Averaging Midpoint</t>
  </si>
  <si>
    <t>Units</t>
  </si>
  <si>
    <t>Unit Size</t>
  </si>
  <si>
    <t>Annual
Rent</t>
  </si>
  <si>
    <t>Friendly Name</t>
  </si>
  <si>
    <t>Prolink Name</t>
  </si>
  <si>
    <t>Value</t>
  </si>
  <si>
    <t>OLD Range Location</t>
  </si>
  <si>
    <t>TCTotalVacancyAllowance</t>
  </si>
  <si>
    <t>=' Development Income'!$E$14</t>
  </si>
  <si>
    <t>AnnualEGILowIncomeUnits</t>
  </si>
  <si>
    <t>=' Development Income'!$E$15</t>
  </si>
  <si>
    <t>DebtCoverageRatioYear1</t>
  </si>
  <si>
    <t>='15 Yr. Pro Forma'!$B$12</t>
  </si>
  <si>
    <t>DebtCoverageRatioYear2</t>
  </si>
  <si>
    <t>='15 Yr. Pro Forma'!$C$12</t>
  </si>
  <si>
    <t>DebtCoverageRatioYear15</t>
  </si>
  <si>
    <t>Partnership/Asset Mgt. Fees (Year1)</t>
  </si>
  <si>
    <t>Bond Fees (Year1)</t>
  </si>
  <si>
    <t>Deferred Developer Fee (Year1)</t>
  </si>
  <si>
    <t>Other Number (Year1)</t>
  </si>
  <si>
    <t>Other Specify Name (Year1)</t>
  </si>
  <si>
    <t>Cash Flow Pledged to PSH Services  (Year1)</t>
  </si>
  <si>
    <t>Cash Flow Available after above obligations (year 1)</t>
  </si>
  <si>
    <t>Partnership/Asset Mgt. Fees (Year 2)</t>
  </si>
  <si>
    <t>Bond Fees (Year2)</t>
  </si>
  <si>
    <t>Deferred Developer Fee (Year2)</t>
  </si>
  <si>
    <t>Other Number (Year2)</t>
  </si>
  <si>
    <t>Other Specify Name (Year2)</t>
  </si>
  <si>
    <t>Cash Flow Pledged to PSH Services (Year 2)</t>
  </si>
  <si>
    <t>Cash Flow Available after above obligations (year 2)</t>
  </si>
  <si>
    <t>Partnership/Asset Mgt. Fees (Year 3)</t>
  </si>
  <si>
    <t>Bond Fees(Year 3)</t>
  </si>
  <si>
    <t>Deferred Developer Fee (Year 3)</t>
  </si>
  <si>
    <t>Other (Year 3)</t>
  </si>
  <si>
    <t>Other Specify Name (Year 3)</t>
  </si>
  <si>
    <t>Cash Flow Pledged to PSH Services (Year 3)</t>
  </si>
  <si>
    <t>Cash Flow Available after above obligations (year 3)</t>
  </si>
  <si>
    <t>Partnership/Asset Mgt. Fees (Year 4)</t>
  </si>
  <si>
    <t>Bond Fees(Year 4)</t>
  </si>
  <si>
    <t>Deferred Developer Fee (Year 4)</t>
  </si>
  <si>
    <t>Other (Year 4)</t>
  </si>
  <si>
    <t>Other Specify Name (Year 4)</t>
  </si>
  <si>
    <t>Cash Flow Pledged to PSH Services (Year 4)</t>
  </si>
  <si>
    <t>Cash Flow Available after above obligations (year 4)</t>
  </si>
  <si>
    <t>Partnership/Asset Mgt. Fees (Year 5)</t>
  </si>
  <si>
    <t>Bond Fees(Year 5)</t>
  </si>
  <si>
    <t>Deferred Developer Fee (Year 5)</t>
  </si>
  <si>
    <t>Other(Year 5)</t>
  </si>
  <si>
    <t>Other Specify Name(Year 5)</t>
  </si>
  <si>
    <t>Cash Flow Pledged to PSH Services (Year 5)</t>
  </si>
  <si>
    <t>Cash Flow Available after above obligations (year 5)</t>
  </si>
  <si>
    <t>Partnership/Asset Mgt. Fees (Year 6)</t>
  </si>
  <si>
    <t>Bond Fees(Year 6)</t>
  </si>
  <si>
    <t>Deferred Developer Fee (Year 6)</t>
  </si>
  <si>
    <t>Other(Year 6)</t>
  </si>
  <si>
    <t>Other Specify Name(Year 6)</t>
  </si>
  <si>
    <t>Cash Flow Pledged to PSH Services (Year 6)</t>
  </si>
  <si>
    <t>Cash Flow Available after above obligations (year 6)</t>
  </si>
  <si>
    <t>Partnership/Asset Mgt. Fees (Year 7)</t>
  </si>
  <si>
    <t>Column1</t>
  </si>
  <si>
    <t>Bond Fees(Year 7)</t>
  </si>
  <si>
    <t>Deferred Developer Fee (Year 7)</t>
  </si>
  <si>
    <t>Other(Year 7)</t>
  </si>
  <si>
    <t>Other Specify Name(Year 7)</t>
  </si>
  <si>
    <t>Cash Flow Pledged to PSH Services (Year 7)</t>
  </si>
  <si>
    <t>Cash Flow Available after above obligations (year 7)</t>
  </si>
  <si>
    <t>Partnership/Asset Mgt. Fees (Year 8)</t>
  </si>
  <si>
    <t>Bond Fees(Year 8)</t>
  </si>
  <si>
    <t>Deferred Developer Fee (Year 8)</t>
  </si>
  <si>
    <t>Other(Year 8)</t>
  </si>
  <si>
    <t>Other Specify Name(Year 8)</t>
  </si>
  <si>
    <t>Cash Flow Pledged to PSH Services (Year 8)</t>
  </si>
  <si>
    <t>Cash Flow Available after above obligations (year 8)</t>
  </si>
  <si>
    <t>Partnership/Asset Mgt. Fees (Year 9)</t>
  </si>
  <si>
    <t>Bond Fees(Year 9)</t>
  </si>
  <si>
    <t>Deferred Developer Fee (Year 9)</t>
  </si>
  <si>
    <t>Other(Year 9)</t>
  </si>
  <si>
    <t>Other Specify Name(Year 9)</t>
  </si>
  <si>
    <t>Cash Flow Pledged to PSH Services (Year 9)</t>
  </si>
  <si>
    <t>Cash Flow Available after above obligations (year 9)</t>
  </si>
  <si>
    <t>Partnership/Asset Mgt. Fees (Year 10)</t>
  </si>
  <si>
    <t>Bond Fees(Year 10)</t>
  </si>
  <si>
    <t>Deferred Developer Fee (Year 10)</t>
  </si>
  <si>
    <t>Other(Year 10)</t>
  </si>
  <si>
    <t>Other Specify Name(Year 10)</t>
  </si>
  <si>
    <t>Cash Flow Pledged to PSH Services (Year 10)</t>
  </si>
  <si>
    <t>Cash Flow Available after above obligations (year 10)</t>
  </si>
  <si>
    <t>Partnership/Asset Mgt. Fees (Year 11)</t>
  </si>
  <si>
    <t>Bond Fees(Year 11)</t>
  </si>
  <si>
    <t>Deferred Developer Fee (Year 11)</t>
  </si>
  <si>
    <t>Other(Year 11)</t>
  </si>
  <si>
    <t>Other Specify Name(Year 11)</t>
  </si>
  <si>
    <t>Cash Flow Pledged to PSH Services (Year 11)</t>
  </si>
  <si>
    <t>Cash Flow Available after above obligations (year 11)</t>
  </si>
  <si>
    <t>Partnership/Asset Mgt. Fees (Year 12)</t>
  </si>
  <si>
    <t>Bond Fees(Year 12)</t>
  </si>
  <si>
    <t>Deferred Developer Fee (Year 12)</t>
  </si>
  <si>
    <t>Other(Year 12)</t>
  </si>
  <si>
    <t>Other Specify Name(Year 12)</t>
  </si>
  <si>
    <t>Cash Flow Pledged to PSH Services (Year 12)</t>
  </si>
  <si>
    <t>Cash Flow Available after above obligations (year 12)</t>
  </si>
  <si>
    <t>Partnership/Asset Mgt. Fees (Year 13)</t>
  </si>
  <si>
    <t>Bond Fees(Year 13)</t>
  </si>
  <si>
    <t>Deferred Developer Fee (Year 13)</t>
  </si>
  <si>
    <t>Other(Year 13)</t>
  </si>
  <si>
    <t>Other Specify Name(Year 13)</t>
  </si>
  <si>
    <t>Cash Flow Pledged to PSH Services (Year 13)</t>
  </si>
  <si>
    <t>Cash Flow Available after above obligations (year 13)</t>
  </si>
  <si>
    <t>Partnership/Asset Mgt. Fees (Year 14)</t>
  </si>
  <si>
    <t>Bond Fees(Year 14)</t>
  </si>
  <si>
    <t>Deferred Developer Fee (Year 14)</t>
  </si>
  <si>
    <t>Other(Year 14)</t>
  </si>
  <si>
    <t>Other Specify Name(Year 14)</t>
  </si>
  <si>
    <t>Cash Flow Pledged to PSH Services (Year 14)</t>
  </si>
  <si>
    <t>Cash Flow Available after above obligations (year 14)</t>
  </si>
  <si>
    <t>Partnership/Asset Mgt. Fees (Year 15)</t>
  </si>
  <si>
    <t>Bond Fees(Year 15)</t>
  </si>
  <si>
    <t>Deferred Developer Fee (Year 15)</t>
  </si>
  <si>
    <t>Other(Year 15)</t>
  </si>
  <si>
    <t>Other Specify Name(Year 15)</t>
  </si>
  <si>
    <t>Cash Flow Pledged to PSH Services (Year 15)</t>
  </si>
  <si>
    <t>Proforma, Income &amp; Expense Other (Year 15)</t>
  </si>
  <si>
    <t>Cash Flow Available for Distribution (Year 1)</t>
  </si>
  <si>
    <t>Cash Flow Available for Distribution (Year 2)</t>
  </si>
  <si>
    <t>Cash Flow Available for Distribution (Year 3)</t>
  </si>
  <si>
    <t>Cash Flow Available for Distribution (Year 4)</t>
  </si>
  <si>
    <t>Cash Flow Available for Distribution (Year 5)</t>
  </si>
  <si>
    <t>Cash Flow Available for Distribution (Year 6)</t>
  </si>
  <si>
    <t>Cash Flow Available for Distribution (Year 7)</t>
  </si>
  <si>
    <t>Cash Flow Available for Distribution (Year 8)</t>
  </si>
  <si>
    <t>Cash Flow Available for Distribution (Year 9)</t>
  </si>
  <si>
    <t>Cash Flow Available for Distribution (Year 10)</t>
  </si>
  <si>
    <t>Cash Flow Available for Distribution (Year 11)</t>
  </si>
  <si>
    <t>Cash Flow Available for Distribution (Year 12)</t>
  </si>
  <si>
    <t>Cash Flow Available for Distribution (Year 13)</t>
  </si>
  <si>
    <t>Cash Flow Available for Distribution (Year 14)</t>
  </si>
  <si>
    <t>Cash Flow Available for Distribution (Year 15)</t>
  </si>
  <si>
    <t>Cash Flow Available after above obligations (Year 1)</t>
  </si>
  <si>
    <t>Cash Flow Available after above obligations (Year 2)</t>
  </si>
  <si>
    <t>Cash Flow Available after above obligations (Year 3)</t>
  </si>
  <si>
    <t>Cash Flow Available after above obligations (Year 4)</t>
  </si>
  <si>
    <t>Cash Flow Available after above obligations (Year 5)</t>
  </si>
  <si>
    <t>Cash Flow Available after above obligations (Year 6)</t>
  </si>
  <si>
    <t>Cash Flow Available after above obligations (Year 7)</t>
  </si>
  <si>
    <t>Cash Flow Available after above obligations (Year 8)</t>
  </si>
  <si>
    <t>Cash Flow Available after above obligations (Year 9)</t>
  </si>
  <si>
    <t>Cash Flow Available after above obligations (Year 10)</t>
  </si>
  <si>
    <t>Cash Flow Available after above obligations (Year 11)</t>
  </si>
  <si>
    <t>Cash Flow Available after above obligations (Year 12)</t>
  </si>
  <si>
    <t>Cash Flow Available after above obligations (Year 13)</t>
  </si>
  <si>
    <t>Cash Flow Available after above obligations (Year 14)</t>
  </si>
  <si>
    <t>Cash Flow Available after above obligations (Year 15)</t>
  </si>
  <si>
    <t>The 10 Year cash flow available after obligations payable test has been met</t>
  </si>
  <si>
    <t>The 15 Year cash flow available after obligations payable test has been met</t>
  </si>
  <si>
    <t>AdminBookkeepingfees</t>
  </si>
  <si>
    <t>='Development Expenses'!$C$7</t>
  </si>
  <si>
    <t>AdminAdvMrktg</t>
  </si>
  <si>
    <t>='Development Expenses'!$C$8</t>
  </si>
  <si>
    <t>AdminLegal</t>
  </si>
  <si>
    <t>='Development Expenses'!$C$9</t>
  </si>
  <si>
    <t>Optional Field 116</t>
  </si>
  <si>
    <t xml:space="preserve">Cash Flow Pledged to PSH Services </t>
  </si>
  <si>
    <t>AdminMgtFee</t>
  </si>
  <si>
    <t>='Development Expenses'!$C$11</t>
  </si>
  <si>
    <t>AdminMgtSalaries</t>
  </si>
  <si>
    <t>='Development Expenses'!$C$12</t>
  </si>
  <si>
    <t>Optional Field 117</t>
  </si>
  <si>
    <t>='Development Expenses'!$C$13</t>
  </si>
  <si>
    <t>AdminOfficeModelApt</t>
  </si>
  <si>
    <t>='Development Expenses'!$C$14</t>
  </si>
  <si>
    <t>AdminOfficeSupplies</t>
  </si>
  <si>
    <t>='Development Expenses'!$C$15</t>
  </si>
  <si>
    <t>AdminTelephoneAndAnsweringSvc</t>
  </si>
  <si>
    <t>='Development Expenses'!$C$16</t>
  </si>
  <si>
    <t>Optional Field 118</t>
  </si>
  <si>
    <t>='Development Expenses'!$C$17</t>
  </si>
  <si>
    <t>Optional Field 119</t>
  </si>
  <si>
    <t>='Development Expenses'!$C$18</t>
  </si>
  <si>
    <t>Optional Field 120</t>
  </si>
  <si>
    <t>='Development Expenses'!$C$19</t>
  </si>
  <si>
    <t>UtilitiesFuelOil</t>
  </si>
  <si>
    <t>='Development Expenses'!$H$7</t>
  </si>
  <si>
    <t>UtilitiesElectricity</t>
  </si>
  <si>
    <t>='Development Expenses'!$H$8</t>
  </si>
  <si>
    <t>UtilitiesWater</t>
  </si>
  <si>
    <t>='Development Expenses'!$H$9</t>
  </si>
  <si>
    <t>UtilitiesSewer</t>
  </si>
  <si>
    <t>='Development Expenses'!$H$10</t>
  </si>
  <si>
    <t>UtilitiesGas</t>
  </si>
  <si>
    <t>='Development Expenses'!$H$11</t>
  </si>
  <si>
    <t>OperTrashRemoval</t>
  </si>
  <si>
    <t>='Development Expenses'!$H$12</t>
  </si>
  <si>
    <t>OperSecurityPayroll</t>
  </si>
  <si>
    <t>='Development Expenses'!$H$13</t>
  </si>
  <si>
    <t>Optional Field 125</t>
  </si>
  <si>
    <t>='Development Expenses'!$H$14</t>
  </si>
  <si>
    <t>Optional Field 126</t>
  </si>
  <si>
    <t>='Development Expenses'!$H$15</t>
  </si>
  <si>
    <t>Optional Field 127</t>
  </si>
  <si>
    <t>='Development Expenses'!$H$16</t>
  </si>
  <si>
    <t>Optional Field 128</t>
  </si>
  <si>
    <t>='Development Expenses'!$H$17</t>
  </si>
  <si>
    <t>Optional Field 129</t>
  </si>
  <si>
    <t>='Development Expenses'!$H$18</t>
  </si>
  <si>
    <t>OperElevatorMaincontract</t>
  </si>
  <si>
    <t>='Development Expenses'!$C$26</t>
  </si>
  <si>
    <t>OperExterminating</t>
  </si>
  <si>
    <t>='Development Expenses'!$C$27</t>
  </si>
  <si>
    <t>OperGroundsContract</t>
  </si>
  <si>
    <t>='Development Expenses'!$C$28</t>
  </si>
  <si>
    <t>OperRepairsContract</t>
  </si>
  <si>
    <t>='Development Expenses'!$C$29</t>
  </si>
  <si>
    <t>OperMainPayroll</t>
  </si>
  <si>
    <t>='Development Expenses'!$C$30</t>
  </si>
  <si>
    <t>OperRepairsMaterial</t>
  </si>
  <si>
    <t>='Development Expenses'!$C$31</t>
  </si>
  <si>
    <t>Optional Field 121</t>
  </si>
  <si>
    <t>='Development Expenses'!$C$32</t>
  </si>
  <si>
    <t>OperDecoratingPayrollContract</t>
  </si>
  <si>
    <t>='Development Expenses'!$C$33</t>
  </si>
  <si>
    <t>OperSnowRemoval</t>
  </si>
  <si>
    <t>='Development Expenses'!$C$34</t>
  </si>
  <si>
    <t>Optional Field 122</t>
  </si>
  <si>
    <t>='Development Expenses'!$C$35</t>
  </si>
  <si>
    <t>Optional Field 123</t>
  </si>
  <si>
    <t>='Development Expenses'!$C$36</t>
  </si>
  <si>
    <t>Optional Field 124</t>
  </si>
  <si>
    <t>='Development Expenses'!$C$37</t>
  </si>
  <si>
    <t>TIRealEstateTaxes</t>
  </si>
  <si>
    <t>='Development Expenses'!$H$26</t>
  </si>
  <si>
    <t>Optional Field 131</t>
  </si>
  <si>
    <t>='Development Expenses'!$H$27</t>
  </si>
  <si>
    <t>TIMisc</t>
  </si>
  <si>
    <t>='Development Expenses'!$H$28</t>
  </si>
  <si>
    <t>TIPropertyAndLiabilityIns</t>
  </si>
  <si>
    <t>='Development Expenses'!$H$29</t>
  </si>
  <si>
    <t>TIPayrollTaxes</t>
  </si>
  <si>
    <t>='Development Expenses'!$H$30</t>
  </si>
  <si>
    <t>Optional Field 132</t>
  </si>
  <si>
    <t>='Development Expenses'!$H$31</t>
  </si>
  <si>
    <t>Optional Field 133</t>
  </si>
  <si>
    <t>='Development Expenses'!$H$32</t>
  </si>
  <si>
    <t>PUPA</t>
  </si>
  <si>
    <t>Optional Field 136</t>
  </si>
  <si>
    <t>='Development Expenses'!$H$42</t>
  </si>
  <si>
    <t>Total Annual Residential Operating Expenses</t>
  </si>
  <si>
    <t>Optional Field 134</t>
  </si>
  <si>
    <t>='Development Expenses'!$C$42</t>
  </si>
  <si>
    <t>Total Annual Commercial Operating Expenses</t>
  </si>
  <si>
    <t>Optional Field 135</t>
  </si>
  <si>
    <t>='Development Expenses'!$C$45</t>
  </si>
  <si>
    <t>Optional Field 137</t>
  </si>
  <si>
    <t>='Development Expenses'!$C$50</t>
  </si>
  <si>
    <t>Development Operating Reserve Requirement</t>
  </si>
  <si>
    <t>map me and create me</t>
  </si>
  <si>
    <t xml:space="preserve">Method 1 Federal </t>
  </si>
  <si>
    <t xml:space="preserve">Method 1 State </t>
  </si>
  <si>
    <t xml:space="preserve">Method 2 Federal </t>
  </si>
  <si>
    <t xml:space="preserve">Method 2 State </t>
  </si>
  <si>
    <t xml:space="preserve">Method 3 Federal </t>
  </si>
  <si>
    <t xml:space="preserve">Method 3 State </t>
  </si>
  <si>
    <t>DeferredDevFee</t>
  </si>
  <si>
    <t>='Development Financing'!$E$33</t>
  </si>
  <si>
    <t>EquityGap</t>
  </si>
  <si>
    <t>='Federal Credit Amount'!$I$23</t>
  </si>
  <si>
    <t>Gap Vaule</t>
  </si>
  <si>
    <t>EquityDollarsperCredit</t>
  </si>
  <si>
    <t>='Development Financing'!$G$5</t>
  </si>
  <si>
    <t>AnnualCreditRequired</t>
  </si>
  <si>
    <t>='Federal Credit Amount'!$F$51</t>
  </si>
  <si>
    <t xml:space="preserve">2nd AnnualCreditRequired </t>
  </si>
  <si>
    <t>CreditAmountIssued</t>
  </si>
  <si>
    <t>='Development Financing'!$E$47</t>
  </si>
  <si>
    <t xml:space="preserve">State Credit Amount Issued </t>
  </si>
  <si>
    <t>Optional Field 360</t>
  </si>
  <si>
    <t xml:space="preserve">State Tax Credit Equity </t>
  </si>
  <si>
    <t>State Qualified Amount</t>
  </si>
  <si>
    <t xml:space="preserve">State Qualified </t>
  </si>
  <si>
    <t>Eligible Basis %</t>
  </si>
  <si>
    <t xml:space="preserve">Eligible Basis </t>
  </si>
  <si>
    <t>Optional Field 1</t>
  </si>
  <si>
    <t>=' Development Information'!$P$10</t>
  </si>
  <si>
    <t>9% APR</t>
  </si>
  <si>
    <t>Optional Field 2</t>
  </si>
  <si>
    <t>=' Development Information'!$P$11</t>
  </si>
  <si>
    <t>Optional Field 3</t>
  </si>
  <si>
    <t>=' Development Information'!$P$13</t>
  </si>
  <si>
    <t>Anticipated Placed in Service Date</t>
  </si>
  <si>
    <t>Optional Field 4</t>
  </si>
  <si>
    <t>=' Development Information'!$P$58</t>
  </si>
  <si>
    <t xml:space="preserve">Number of parking spaces </t>
  </si>
  <si>
    <t>Optional Field 5</t>
  </si>
  <si>
    <t xml:space="preserve">PAB Issuer </t>
  </si>
  <si>
    <t>Optional Field 358</t>
  </si>
  <si>
    <t>PAB Contact Name</t>
  </si>
  <si>
    <t>PAB Address</t>
  </si>
  <si>
    <t xml:space="preserve">PAB City </t>
  </si>
  <si>
    <t>PAB State</t>
  </si>
  <si>
    <t>PAB Zip</t>
  </si>
  <si>
    <t>PAB AMOUNT</t>
  </si>
  <si>
    <t xml:space="preserve">pab Amount </t>
  </si>
  <si>
    <t>PAB AMOUNT TOTAL</t>
  </si>
  <si>
    <t xml:space="preserve">TOTAL pab amount currenency </t>
  </si>
  <si>
    <t>PAB Mortgage %</t>
  </si>
  <si>
    <t xml:space="preserve">%ofAggregate Basis </t>
  </si>
  <si>
    <t xml:space="preserve">State CHFA DDA BOOST AMOUNT </t>
  </si>
  <si>
    <t>Optional Field 450</t>
  </si>
  <si>
    <t>State CHFA DDA BOOST %</t>
  </si>
  <si>
    <t>Optional Field 451</t>
  </si>
  <si>
    <t xml:space="preserve">CHFA Basis Boost Y/N </t>
  </si>
  <si>
    <t>IsTaxExemptBonds</t>
  </si>
  <si>
    <t>=' Development Information'!$P$78</t>
  </si>
  <si>
    <t>PropertyName</t>
  </si>
  <si>
    <t>Address1</t>
  </si>
  <si>
    <t>=' Development Information'!$C$25</t>
  </si>
  <si>
    <t>=' Development Information'!$C$26</t>
  </si>
  <si>
    <t>CO</t>
  </si>
  <si>
    <t>ZipCode</t>
  </si>
  <si>
    <t>=' Development Information'!$G$27</t>
  </si>
  <si>
    <t>CensusTract</t>
  </si>
  <si>
    <t>=' Development Information'!$C$27</t>
  </si>
  <si>
    <t>CongressionalDistrict</t>
  </si>
  <si>
    <t>=' Development Information'!$C$33</t>
  </si>
  <si>
    <t>StateSenateDistrict</t>
  </si>
  <si>
    <t>=' Development Information'!$C$32</t>
  </si>
  <si>
    <t>StateHouseDistrict</t>
  </si>
  <si>
    <t>=' Development Information'!$G$32</t>
  </si>
  <si>
    <t>Jurisdiction</t>
  </si>
  <si>
    <t>IsZonedCorrectly</t>
  </si>
  <si>
    <t>=' Development Information'!$P$38</t>
  </si>
  <si>
    <t>Section221d4</t>
  </si>
  <si>
    <t>=' Development Information'!$P$77</t>
  </si>
  <si>
    <t>Section223f</t>
  </si>
  <si>
    <t>HOMEFunds</t>
  </si>
  <si>
    <t>=' Development Information'!$P$84</t>
  </si>
  <si>
    <t>TaxableBonds</t>
  </si>
  <si>
    <t>=' Development Information'!$P$79</t>
  </si>
  <si>
    <t>CDBG</t>
  </si>
  <si>
    <t>=' Development Information'!$P$87</t>
  </si>
  <si>
    <t xml:space="preserve">Federal Subsidies </t>
  </si>
  <si>
    <t>=' Development Information'!$P$69</t>
  </si>
  <si>
    <t>Optional Field 6</t>
  </si>
  <si>
    <t>=' Development Information'!$P$81</t>
  </si>
  <si>
    <t>Optional Field 7</t>
  </si>
  <si>
    <t>=' Development Information'!$P$82</t>
  </si>
  <si>
    <t>Opitonal Field 333</t>
  </si>
  <si>
    <t>Type of Heating In-Unit</t>
  </si>
  <si>
    <t>Type of Heating Common Area</t>
  </si>
  <si>
    <t>Type of Cooling In-Unit</t>
  </si>
  <si>
    <t>Type of Cooling Common Area</t>
  </si>
  <si>
    <t>Ventilation System</t>
  </si>
  <si>
    <t xml:space="preserve">Green  Systems </t>
  </si>
  <si>
    <t>FedHistoricCreditAmt</t>
  </si>
  <si>
    <t>=' Development Information'!$E$91</t>
  </si>
  <si>
    <t xml:space="preserve">State Historic Credit Amount </t>
  </si>
  <si>
    <t xml:space="preserve">Grant </t>
  </si>
  <si>
    <t xml:space="preserve">Cash </t>
  </si>
  <si>
    <t>Optional Field 8</t>
  </si>
  <si>
    <t>=' Development Information'!$P$83</t>
  </si>
  <si>
    <t>Needs to be mapped</t>
  </si>
  <si>
    <t>Optional Field 10</t>
  </si>
  <si>
    <t>Optional Field 9</t>
  </si>
  <si>
    <t>=' Development Information'!$P$86</t>
  </si>
  <si>
    <t>Optional Field 11</t>
  </si>
  <si>
    <t>=' Development Information'!$E$90</t>
  </si>
  <si>
    <t>Opitonal Field 335</t>
  </si>
  <si>
    <t xml:space="preserve">Total Amount of C Bonds being Issued </t>
  </si>
  <si>
    <t>test</t>
  </si>
  <si>
    <t>Optional Field 13</t>
  </si>
  <si>
    <t>=' Development Information'!$E$92</t>
  </si>
  <si>
    <t>Optional Field 14</t>
  </si>
  <si>
    <t>=' Development Information'!$E$93</t>
  </si>
  <si>
    <t>IsS8ProjectBased</t>
  </si>
  <si>
    <t>=' Development Information'!$P$80</t>
  </si>
  <si>
    <t>RD 514</t>
  </si>
  <si>
    <t>Opitonal Field 336</t>
  </si>
  <si>
    <t>HasRD515</t>
  </si>
  <si>
    <t>=' Development Information'!$P$75</t>
  </si>
  <si>
    <t>IsQCT</t>
  </si>
  <si>
    <t>=' Development Information'!$P$29</t>
  </si>
  <si>
    <t>IsDDA</t>
  </si>
  <si>
    <t>=' Development Information'!$P$30</t>
  </si>
  <si>
    <t>SADDA</t>
  </si>
  <si>
    <t>Optional Field 353</t>
  </si>
  <si>
    <t>PL_TypeofAllocationRequestedId</t>
  </si>
  <si>
    <t>=' Development Information'!$P$8</t>
  </si>
  <si>
    <t>PL_SiteControlTypeId</t>
  </si>
  <si>
    <t>=' Development Information'!$P$35</t>
  </si>
  <si>
    <t>PL_BldgAllocTypeId</t>
  </si>
  <si>
    <t>=' Development Information'!$P$66</t>
  </si>
  <si>
    <t>SD_D_PL_BldgAllocType_Name</t>
  </si>
  <si>
    <t>DETERMINE TARGET TYPE</t>
  </si>
  <si>
    <t>HasFamilyPreference</t>
  </si>
  <si>
    <t>=' Development Information'!$P$109</t>
  </si>
  <si>
    <t>COUNT</t>
  </si>
  <si>
    <t>MATCH</t>
  </si>
  <si>
    <t>EVAL MIXED</t>
  </si>
  <si>
    <t>PL_TargetTypeId</t>
  </si>
  <si>
    <t>=' Development Information'!$P$101</t>
  </si>
  <si>
    <t>Optional Field 17</t>
  </si>
  <si>
    <t>=' Development Information'!$P$104</t>
  </si>
  <si>
    <t>Optional Field 18</t>
  </si>
  <si>
    <t>=' Development Information'!$P$105</t>
  </si>
  <si>
    <t>Optional Field 19</t>
  </si>
  <si>
    <t>=' Development Information'!$P$106</t>
  </si>
  <si>
    <t>Optional Field 20</t>
  </si>
  <si>
    <t>=' Development Information'!$P$107</t>
  </si>
  <si>
    <t>Optional Field 339</t>
  </si>
  <si>
    <t>Optional Field 455</t>
  </si>
  <si>
    <t>Number of residential Building</t>
  </si>
  <si>
    <t>NumBuildings</t>
  </si>
  <si>
    <t>=' Development Information'!$C$58</t>
  </si>
  <si>
    <t>IsLowRise</t>
  </si>
  <si>
    <t>=' Development Information'!$P$60</t>
  </si>
  <si>
    <t>1 or 2</t>
  </si>
  <si>
    <t>MOVE TO CALCS</t>
  </si>
  <si>
    <t>IsMidRise</t>
  </si>
  <si>
    <t>=' Development Information'!$P$61</t>
  </si>
  <si>
    <t>3 or 4</t>
  </si>
  <si>
    <t>IsHighRise</t>
  </si>
  <si>
    <t>=' Development Information'!$P$62</t>
  </si>
  <si>
    <t>5 or greater</t>
  </si>
  <si>
    <t>HasElevator</t>
  </si>
  <si>
    <t xml:space="preserve">Parcel Size </t>
  </si>
  <si>
    <t>Optional Field 342</t>
  </si>
  <si>
    <t>Optional Field 343</t>
  </si>
  <si>
    <t xml:space="preserve">Construction Duration </t>
  </si>
  <si>
    <t>Optional Field 344</t>
  </si>
  <si>
    <t xml:space="preserve">Construction Loan Amount </t>
  </si>
  <si>
    <t xml:space="preserve">Construction Loan Rate  </t>
  </si>
  <si>
    <t>ConstructionInterestFromBudget</t>
  </si>
  <si>
    <t xml:space="preserve">Inducement Resolution </t>
  </si>
  <si>
    <t>Final Resolution</t>
  </si>
  <si>
    <t xml:space="preserve">Construction Loan Closing </t>
  </si>
  <si>
    <t xml:space="preserve">All Loan Closed </t>
  </si>
  <si>
    <t xml:space="preserve">Submit Carryover Application for 9% Project </t>
  </si>
  <si>
    <t xml:space="preserve">Milestone Docmention </t>
  </si>
  <si>
    <t xml:space="preserve">(General Contractor)Complete Construction Drawings approved by Plannin/Building Dept </t>
  </si>
  <si>
    <r>
      <t>Final Site Plan Approval</t>
    </r>
    <r>
      <rPr>
        <sz val="11"/>
        <color theme="1"/>
        <rFont val="Arial"/>
        <family val="2"/>
      </rPr>
      <t xml:space="preserve"> </t>
    </r>
  </si>
  <si>
    <t xml:space="preserve">Groundbreaking Ceremony </t>
  </si>
  <si>
    <t xml:space="preserve">Building Permits </t>
  </si>
  <si>
    <t>Placed-In Service (Obtain Certs of Occupancy)</t>
  </si>
  <si>
    <t xml:space="preserve">Submit Housing Credit pis Application for LURA to CHFA </t>
  </si>
  <si>
    <t xml:space="preserve">Grand Opening </t>
  </si>
  <si>
    <t xml:space="preserve">Stabilization / LEASE UP </t>
  </si>
  <si>
    <t xml:space="preserve">Convert to PERM Loan </t>
  </si>
  <si>
    <t>LandAcqCost</t>
  </si>
  <si>
    <t>='Development Budget'!$D$6</t>
  </si>
  <si>
    <t>ExistingImprovementsCost</t>
  </si>
  <si>
    <t>='Development Budget'!$D$7</t>
  </si>
  <si>
    <t>='Development Budget'!$D$8</t>
  </si>
  <si>
    <t>SiteWork</t>
  </si>
  <si>
    <t>OffSiteImprovements</t>
  </si>
  <si>
    <t>='Development Budget'!$D$12</t>
  </si>
  <si>
    <t>UnitStructuresNew</t>
  </si>
  <si>
    <t>='Development Budget'!$D$15</t>
  </si>
  <si>
    <t>UnitStructuresRehab</t>
  </si>
  <si>
    <t>='Development Budget'!$D$16</t>
  </si>
  <si>
    <t>AccessoryBuildings</t>
  </si>
  <si>
    <t>='Development Budget'!$D$17</t>
  </si>
  <si>
    <t>Geothermal</t>
  </si>
  <si>
    <t>='Development Budget'!$D$18</t>
  </si>
  <si>
    <t>GeneralRequirements</t>
  </si>
  <si>
    <t>='Development Budget'!$D$19</t>
  </si>
  <si>
    <t>BuildersOverhead</t>
  </si>
  <si>
    <t>='Development Budget'!$D$20</t>
  </si>
  <si>
    <t>BuildersProfit</t>
  </si>
  <si>
    <t>='Development Budget'!$D$21</t>
  </si>
  <si>
    <t>OtherContingencyTotal</t>
  </si>
  <si>
    <t>='Development Budget'!$D$22</t>
  </si>
  <si>
    <t>Optional Field 21</t>
  </si>
  <si>
    <t>='Development Budget'!$D$23</t>
  </si>
  <si>
    <t>SpecialEquipment</t>
  </si>
  <si>
    <t>='Development Budget'!$D$24</t>
  </si>
  <si>
    <t>BuildingPermit</t>
  </si>
  <si>
    <t>='Development Budget'!$D$25</t>
  </si>
  <si>
    <t>Optional Field 22</t>
  </si>
  <si>
    <t>='Development Budget'!$D$26</t>
  </si>
  <si>
    <t>Optional Field 23</t>
  </si>
  <si>
    <t>='Development Budget'!$D$27</t>
  </si>
  <si>
    <t>Optional Field 24</t>
  </si>
  <si>
    <t>='Development Budget'!$D$28</t>
  </si>
  <si>
    <t>ArchEnginDesignFee</t>
  </si>
  <si>
    <t>='Development Budget'!$D$31</t>
  </si>
  <si>
    <t>ArchSupervisionFee</t>
  </si>
  <si>
    <t>='Development Budget'!$D$32</t>
  </si>
  <si>
    <t>Lawns</t>
  </si>
  <si>
    <t>='Development Budget'!$D$33</t>
  </si>
  <si>
    <t>SturcMechStudy</t>
  </si>
  <si>
    <t>='Development Budget'!$D$34</t>
  </si>
  <si>
    <t>Engineering</t>
  </si>
  <si>
    <t>='Development Budget'!$D$35</t>
  </si>
  <si>
    <t>Optional Field 25</t>
  </si>
  <si>
    <t>='Development Budget'!$D$36</t>
  </si>
  <si>
    <t>Optional Field 26</t>
  </si>
  <si>
    <t>='Development Budget'!$D$37</t>
  </si>
  <si>
    <t>ClosingLegalFees</t>
  </si>
  <si>
    <t>='Development Budget'!$D$38</t>
  </si>
  <si>
    <t>Optional Field 27</t>
  </si>
  <si>
    <t>='Development Budget'!$D$39</t>
  </si>
  <si>
    <t>Optional Field 28</t>
  </si>
  <si>
    <t>='Development Budget'!$D$40</t>
  </si>
  <si>
    <t>Optional Field 29</t>
  </si>
  <si>
    <t>='Development Budget'!$D$41</t>
  </si>
  <si>
    <t>Optional Field 30</t>
  </si>
  <si>
    <t>='Development Budget'!$D$42</t>
  </si>
  <si>
    <t>Optional Field 31</t>
  </si>
  <si>
    <t>='Development Budget'!$D$43</t>
  </si>
  <si>
    <t>Optional Field 32</t>
  </si>
  <si>
    <t>='Development Budget'!$D$44</t>
  </si>
  <si>
    <t>InsuranceduringConstr</t>
  </si>
  <si>
    <t>='Development Budget'!$D$47</t>
  </si>
  <si>
    <t>Optional Field 33</t>
  </si>
  <si>
    <t>='Development Budget'!$D$48</t>
  </si>
  <si>
    <t>BondingFee</t>
  </si>
  <si>
    <t>='Development Budget'!$D$49</t>
  </si>
  <si>
    <t>ConstrInterest</t>
  </si>
  <si>
    <t>='Development Budget'!$D$50</t>
  </si>
  <si>
    <t>ConstrLoanOrigFee</t>
  </si>
  <si>
    <t>='Development Budget'!$D$51</t>
  </si>
  <si>
    <t>TapFees</t>
  </si>
  <si>
    <t>='Development Budget'!$D$52</t>
  </si>
  <si>
    <t>Optional Field 34</t>
  </si>
  <si>
    <t>='Development Budget'!$D$53</t>
  </si>
  <si>
    <t>OtherConstruction1</t>
  </si>
  <si>
    <t>='Development Budget'!$D$54</t>
  </si>
  <si>
    <t>OtherConstruction2</t>
  </si>
  <si>
    <t>='Development Budget'!$D$55</t>
  </si>
  <si>
    <t>Optional Field 35</t>
  </si>
  <si>
    <t>='Development Budget'!$D$56</t>
  </si>
  <si>
    <t>Optional Field 36</t>
  </si>
  <si>
    <t>='Development Budget'!$D$57</t>
  </si>
  <si>
    <t>OtherPermLoanFees</t>
  </si>
  <si>
    <t>='Development Budget'!$D$58</t>
  </si>
  <si>
    <t>TaxesduringConstr</t>
  </si>
  <si>
    <t>='Development Budget'!$D$59</t>
  </si>
  <si>
    <t>Optional Field 38</t>
  </si>
  <si>
    <t>='Development Budget'!$D$60</t>
  </si>
  <si>
    <t>OtherConstruction3</t>
  </si>
  <si>
    <t>='Development Budget'!$D$61</t>
  </si>
  <si>
    <t>Optional Field 40</t>
  </si>
  <si>
    <t>='Development Budget'!$D$62</t>
  </si>
  <si>
    <t>Optional Field 41</t>
  </si>
  <si>
    <t>='Development Budget'!$D$63</t>
  </si>
  <si>
    <t>Optional Field 42</t>
  </si>
  <si>
    <t>='Development Budget'!$D$67</t>
  </si>
  <si>
    <t>Optional Field 43</t>
  </si>
  <si>
    <t>='Development Budget'!$D$68</t>
  </si>
  <si>
    <t>Optional Field 44</t>
  </si>
  <si>
    <t>='Development Budget'!$D$69</t>
  </si>
  <si>
    <t>Optional Field 45</t>
  </si>
  <si>
    <t>='Development Budget'!$D$70</t>
  </si>
  <si>
    <t>PermLoanFee</t>
  </si>
  <si>
    <t>='Development Budget'!$D$71</t>
  </si>
  <si>
    <t>CreditEnhancement</t>
  </si>
  <si>
    <t>='Development Budget'!$D$72</t>
  </si>
  <si>
    <t>TitleAndRecording</t>
  </si>
  <si>
    <t>='Development Budget'!$D$73</t>
  </si>
  <si>
    <t>Optional Field 46</t>
  </si>
  <si>
    <t>='Development Budget'!$D$74</t>
  </si>
  <si>
    <t>Optional Field 47</t>
  </si>
  <si>
    <t>='Development Budget'!$D$75</t>
  </si>
  <si>
    <t>Optional Field 48</t>
  </si>
  <si>
    <t>='Development Budget'!$D$76</t>
  </si>
  <si>
    <t>Optional Field 49</t>
  </si>
  <si>
    <t>='Development Budget'!$D$77</t>
  </si>
  <si>
    <t>Optional Field 50</t>
  </si>
  <si>
    <t>='Development Budget'!$D$78</t>
  </si>
  <si>
    <t>Optional Field 51</t>
  </si>
  <si>
    <t>='Development Budget'!$D$79</t>
  </si>
  <si>
    <t>Optional Field 52</t>
  </si>
  <si>
    <t>='Development Budget'!$D$80</t>
  </si>
  <si>
    <t>Optional Field 53</t>
  </si>
  <si>
    <t>='Development Budget'!$D$83</t>
  </si>
  <si>
    <t>Optional Field 54</t>
  </si>
  <si>
    <t>='Development Budget'!$D$84</t>
  </si>
  <si>
    <t>SoilBorings</t>
  </si>
  <si>
    <t>='Development Budget'!$D$85</t>
  </si>
  <si>
    <t>AppraisalFee</t>
  </si>
  <si>
    <t>='Development Budget'!$D$86</t>
  </si>
  <si>
    <t>MarketStudy</t>
  </si>
  <si>
    <t>='Development Budget'!$D$87</t>
  </si>
  <si>
    <t>EnviroStudy</t>
  </si>
  <si>
    <t>='Development Budget'!$D$88</t>
  </si>
  <si>
    <t>Optional Field 55</t>
  </si>
  <si>
    <t>='Development Budget'!$D$89</t>
  </si>
  <si>
    <t>TaxCreditFee</t>
  </si>
  <si>
    <t>='Development Budget'!$D$90</t>
  </si>
  <si>
    <t>Optional Field 56</t>
  </si>
  <si>
    <t>='Development Budget'!$D$91</t>
  </si>
  <si>
    <t>CostCertFee</t>
  </si>
  <si>
    <t>='Development Budget'!$D$92</t>
  </si>
  <si>
    <t>Optional Field 57</t>
  </si>
  <si>
    <t>='Development Budget'!$D$93</t>
  </si>
  <si>
    <t>Optional Field 58</t>
  </si>
  <si>
    <t>='Development Budget'!$D$94</t>
  </si>
  <si>
    <t>Optional Field 338</t>
  </si>
  <si>
    <t>Optional Field 59</t>
  </si>
  <si>
    <t>='Development Budget'!$D$95</t>
  </si>
  <si>
    <t>Optional Field 60</t>
  </si>
  <si>
    <t>='Development Budget'!$D$96</t>
  </si>
  <si>
    <t>Optional Field 61</t>
  </si>
  <si>
    <t>='Development Budget'!$D$97</t>
  </si>
  <si>
    <t>Optional Field 62</t>
  </si>
  <si>
    <t>='Development Budget'!$D$98</t>
  </si>
  <si>
    <t>Optional Field 63</t>
  </si>
  <si>
    <t>='Development Budget'!$D$101</t>
  </si>
  <si>
    <t>Optional Field 64</t>
  </si>
  <si>
    <t>='Development Budget'!$D$102</t>
  </si>
  <si>
    <t>Optional Field 65</t>
  </si>
  <si>
    <t>='Development Budget'!$D$103</t>
  </si>
  <si>
    <t>Optional Field 66</t>
  </si>
  <si>
    <t>='Development Budget'!$D$104</t>
  </si>
  <si>
    <t>Optional Field 67</t>
  </si>
  <si>
    <t>='Development Budget'!$D$105</t>
  </si>
  <si>
    <t>Optional Field 68</t>
  </si>
  <si>
    <t>='Development Budget'!$D$106</t>
  </si>
  <si>
    <t>DeveloperFees</t>
  </si>
  <si>
    <t>='Development Budget'!$D$107</t>
  </si>
  <si>
    <t>Optional Field 69</t>
  </si>
  <si>
    <t>='Development Budget'!$D$108</t>
  </si>
  <si>
    <t>Optional Field 70</t>
  </si>
  <si>
    <t>='Development Budget'!$D$109</t>
  </si>
  <si>
    <t>Optional Field 456</t>
  </si>
  <si>
    <t>='Development Budget'!$D$110</t>
  </si>
  <si>
    <t>Optional Field 71</t>
  </si>
  <si>
    <t>='Development Budget'!$D$111</t>
  </si>
  <si>
    <t>Optional Field 72</t>
  </si>
  <si>
    <t>='Development Budget'!$D$112</t>
  </si>
  <si>
    <t>Optional Field 73</t>
  </si>
  <si>
    <t>='Development Budget'!$D$113</t>
  </si>
  <si>
    <t>Optional Field 74</t>
  </si>
  <si>
    <t>='Development Budget'!$D$116</t>
  </si>
  <si>
    <t>OperReserve</t>
  </si>
  <si>
    <t>='Development Budget'!$D$117</t>
  </si>
  <si>
    <t>ReplacementReserves</t>
  </si>
  <si>
    <t>='Development Budget'!$D$118</t>
  </si>
  <si>
    <t>mapping in stage and not in property costs</t>
  </si>
  <si>
    <t>Optional Field 340</t>
  </si>
  <si>
    <t>='Development Budget'!$D$119</t>
  </si>
  <si>
    <t>Optional Field 75</t>
  </si>
  <si>
    <t>='Development Budget'!$D$120</t>
  </si>
  <si>
    <t>Optional Field 76</t>
  </si>
  <si>
    <t>='Development Budget'!$D$121</t>
  </si>
  <si>
    <t>Total Project Costs</t>
  </si>
  <si>
    <t>Optional Field 77</t>
  </si>
  <si>
    <t>='Development Budget'!$D$122</t>
  </si>
  <si>
    <t>4% Eligible Basis</t>
  </si>
  <si>
    <t>Optional Field 78</t>
  </si>
  <si>
    <t>='Development Budget'!$E$125</t>
  </si>
  <si>
    <t>9% Eligible Basis</t>
  </si>
  <si>
    <t>Optional Field 79</t>
  </si>
  <si>
    <t>='Development Budget'!$F$125</t>
  </si>
  <si>
    <t>Aggregate Basis for PAB-Financed Developments Only</t>
  </si>
  <si>
    <t>Optional Field 80</t>
  </si>
  <si>
    <t>='Development Budget'!$E$127</t>
  </si>
  <si>
    <t>Private Activity Bond Mortgage Amount</t>
  </si>
  <si>
    <t>Optional Field 81</t>
  </si>
  <si>
    <t>='Development Budget'!$E$128</t>
  </si>
  <si>
    <t>50% Test</t>
  </si>
  <si>
    <t>Optional Field 468</t>
  </si>
  <si>
    <t>Hard Costs/Square Foot</t>
  </si>
  <si>
    <t>Optional Field 82</t>
  </si>
  <si>
    <t>='Development Budget'!$F$136</t>
  </si>
  <si>
    <t>Hard Costs/Unit</t>
  </si>
  <si>
    <t>Optional Field 83</t>
  </si>
  <si>
    <t>='Development Budget'!$G$136</t>
  </si>
  <si>
    <t>Soft Costs/Square Foot</t>
  </si>
  <si>
    <t>Optional Field 459</t>
  </si>
  <si>
    <t>Soft Costs/Unit</t>
  </si>
  <si>
    <t>Optional Field 460</t>
  </si>
  <si>
    <t>Dev Costs/Square Foot</t>
  </si>
  <si>
    <t>Optional Field 84</t>
  </si>
  <si>
    <t>='Development Budget'!$F$137</t>
  </si>
  <si>
    <t>Dev Costs/Unit</t>
  </si>
  <si>
    <t>Optional Field 85</t>
  </si>
  <si>
    <t>='Development Budget'!$G$137</t>
  </si>
  <si>
    <t>Reserves/Square Foot</t>
  </si>
  <si>
    <t>Optional Field 86</t>
  </si>
  <si>
    <t>='Development Budget'!$F$138</t>
  </si>
  <si>
    <t>Reserves/Unit</t>
  </si>
  <si>
    <t>Optional Field 87</t>
  </si>
  <si>
    <t>='Development Budget'!$G$138</t>
  </si>
  <si>
    <t>Dev Fee/Square Foot</t>
  </si>
  <si>
    <t>Optional Field 88</t>
  </si>
  <si>
    <t>='Development Budget'!$F$139</t>
  </si>
  <si>
    <t>Dev Fee/Unit</t>
  </si>
  <si>
    <t>Optional Field 89</t>
  </si>
  <si>
    <t>='Development Budget'!$G$139</t>
  </si>
  <si>
    <t>Total Expected Project Basis</t>
  </si>
  <si>
    <t>FinalizedAccumulatedBasis</t>
  </si>
  <si>
    <t>='10% Test for Carryover'!$F$91</t>
  </si>
  <si>
    <t>FinalizedReasonablyExpectedTotalBasis</t>
  </si>
  <si>
    <t>='10% Test for Carryover'!$D$91</t>
  </si>
  <si>
    <t>Issuer for 20%</t>
  </si>
  <si>
    <t>Num of Units at 20%</t>
  </si>
  <si>
    <t>Issuer for 30%</t>
  </si>
  <si>
    <t>Num of Units at 30%</t>
  </si>
  <si>
    <t>Issuer for 40%</t>
  </si>
  <si>
    <t>Num of Units at 40%</t>
  </si>
  <si>
    <t>Issuer for 50%</t>
  </si>
  <si>
    <t>Num of Units at 50%</t>
  </si>
  <si>
    <t>Issuer for 60%</t>
  </si>
  <si>
    <t>Num of Units at 60%</t>
  </si>
  <si>
    <t>Issuer for 70%</t>
  </si>
  <si>
    <t>Num of Units at 70%</t>
  </si>
  <si>
    <t>Issuer for 80%</t>
  </si>
  <si>
    <t>Num of Units at 80%</t>
  </si>
  <si>
    <t>Issuer for 100%</t>
  </si>
  <si>
    <t>Num of Units at 100%(MKT)</t>
  </si>
  <si>
    <t xml:space="preserve">Total Bedroom </t>
  </si>
  <si>
    <t>Total Employee units</t>
  </si>
  <si>
    <t>Optional Field 102</t>
  </si>
  <si>
    <t>='Unit Mix &amp; Rents'!$J$87</t>
  </si>
  <si>
    <t>Total Development Square Footage</t>
  </si>
  <si>
    <t>TotalFloorSqFt</t>
  </si>
  <si>
    <t>='Unit Mix &amp; Rents'!$K$110</t>
  </si>
  <si>
    <t>TotalUnits</t>
  </si>
  <si>
    <t>='Development Summary'!$C$23</t>
  </si>
  <si>
    <t>TotalAllowance0BR</t>
  </si>
  <si>
    <t>='Unit Mix &amp; Rents'!$D$18</t>
  </si>
  <si>
    <t>TotalAllowance1BR</t>
  </si>
  <si>
    <t>='Unit Mix &amp; Rents'!$D$19</t>
  </si>
  <si>
    <t>TotalAllowance2BR</t>
  </si>
  <si>
    <t>='Unit Mix &amp; Rents'!$D$20</t>
  </si>
  <si>
    <t>TotalAllowance3BR</t>
  </si>
  <si>
    <t>='Unit Mix &amp; Rents'!$H$18</t>
  </si>
  <si>
    <t>TotalAllowance4BR</t>
  </si>
  <si>
    <t>='Unit Mix &amp; Rents'!$H$19</t>
  </si>
  <si>
    <t>5 Bedroom</t>
  </si>
  <si>
    <t>Optional Field 341</t>
  </si>
  <si>
    <t>Do Rents Include Utilities?</t>
  </si>
  <si>
    <t>Optional Field 100</t>
  </si>
  <si>
    <t>='Unit Mix &amp; Rents'!$O$19</t>
  </si>
  <si>
    <t>Total Residential SF</t>
  </si>
  <si>
    <t>Optional Field 103</t>
  </si>
  <si>
    <t>='Unit Mix &amp; Rents'!$D$90</t>
  </si>
  <si>
    <t>Total Employee SF</t>
  </si>
  <si>
    <t>Optional Field 105</t>
  </si>
  <si>
    <t>='Unit Mix &amp; Rents'!$D$95</t>
  </si>
  <si>
    <t>Common Space SF</t>
  </si>
  <si>
    <t>Optional Field 109</t>
  </si>
  <si>
    <t>='Unit Mix &amp; Rents'!$D$101</t>
  </si>
  <si>
    <t>TotalLowIncomeUnits</t>
  </si>
  <si>
    <t>='Unit Mix &amp; Rents'!$E$92</t>
  </si>
  <si>
    <t>CommercialSqFt</t>
  </si>
  <si>
    <t>='Unit Mix &amp; Rents'!$D$104</t>
  </si>
  <si>
    <t>TCNetRentableSF</t>
  </si>
  <si>
    <t>='Unit Mix &amp; Rents'!$D$92</t>
  </si>
  <si>
    <t>MktNetRentableSF</t>
  </si>
  <si>
    <t>='Unit Mix &amp; Rents'!$D$98</t>
  </si>
  <si>
    <t>Low Income Square Footage  Applicable Fraction</t>
  </si>
  <si>
    <t>FloorSpaceFraction</t>
  </si>
  <si>
    <t>='Unit Mix &amp; Rents'!$D$107</t>
  </si>
  <si>
    <t xml:space="preserve">Total Bedrooms </t>
  </si>
  <si>
    <t>PL_ExtendedUseRestrictionId</t>
  </si>
  <si>
    <t>=Scoring!$J$45</t>
  </si>
  <si>
    <t>TotalScore</t>
  </si>
  <si>
    <t>=Scoring!$I$152</t>
  </si>
  <si>
    <t>Threshold: 40% at 60% of Area Median Income</t>
  </si>
  <si>
    <t>Optional Field 356</t>
  </si>
  <si>
    <t>=Scoring!$J$8</t>
  </si>
  <si>
    <t>Threshold: 20% at 50% of Area Median Income</t>
  </si>
  <si>
    <t>Optional Field 357</t>
  </si>
  <si>
    <t>=Scoring!$J$19</t>
  </si>
  <si>
    <t>Average Income yes/no</t>
  </si>
  <si>
    <t>Optional Field 452</t>
  </si>
  <si>
    <t>Income Averaging Percent</t>
  </si>
  <si>
    <t>Optional Field 469</t>
  </si>
  <si>
    <t>Threshold 1: 60%</t>
  </si>
  <si>
    <t>BonusA</t>
  </si>
  <si>
    <t>=Scoring!$H$11</t>
  </si>
  <si>
    <t>Threshold 1: 50%</t>
  </si>
  <si>
    <t>BonusB</t>
  </si>
  <si>
    <t>=Scoring!$H$12</t>
  </si>
  <si>
    <t>Threshold 1: 40%</t>
  </si>
  <si>
    <t>BonusC</t>
  </si>
  <si>
    <t>=Scoring!$H$13</t>
  </si>
  <si>
    <t>Threshold 2: 50%</t>
  </si>
  <si>
    <t>BonusD</t>
  </si>
  <si>
    <t>=Scoring!$H$22</t>
  </si>
  <si>
    <t>Threshold 2: 40%</t>
  </si>
  <si>
    <t>BonusE</t>
  </si>
  <si>
    <t>=Scoring!$H$23</t>
  </si>
  <si>
    <t>Targeting 30% of area median income - 10%</t>
  </si>
  <si>
    <t>BonusF</t>
  </si>
  <si>
    <t>=Scoring!$H$35</t>
  </si>
  <si>
    <t>Targeting 30% of area median income - 20%</t>
  </si>
  <si>
    <t>BonusG</t>
  </si>
  <si>
    <t>=Scoring!$H$36</t>
  </si>
  <si>
    <t>Targeting 30% of area median income - 30%</t>
  </si>
  <si>
    <t>BonusH</t>
  </si>
  <si>
    <t>=Scoring!$H$37</t>
  </si>
  <si>
    <t>15 Years Compliance + 15 Year Waiver</t>
  </si>
  <si>
    <t>BonusK</t>
  </si>
  <si>
    <t>=Scoring!$G$48</t>
  </si>
  <si>
    <t>15 Years Compliance + 25 Year Waiver</t>
  </si>
  <si>
    <t>BonusM</t>
  </si>
  <si>
    <t>=Scoring!$G$50</t>
  </si>
  <si>
    <t>Housing Needs Characteristics 1</t>
  </si>
  <si>
    <t>HousingNeedsA</t>
  </si>
  <si>
    <t>=Scoring!$E$73</t>
  </si>
  <si>
    <t>Housing Needs Characteristics 2</t>
  </si>
  <si>
    <t>HousingNeedsB</t>
  </si>
  <si>
    <t>=Scoring!$E$77</t>
  </si>
  <si>
    <t>Homeless  (Minimum of 25% of total units set-aside for Homeless)</t>
  </si>
  <si>
    <t>HousingNeedsC</t>
  </si>
  <si>
    <t>=Scoring!$I$136</t>
  </si>
  <si>
    <t>Supportive Housing for non-elderly Special Population Tenants (Minimum of 25% of total units set-aside)</t>
  </si>
  <si>
    <t>HousingNeedsD</t>
  </si>
  <si>
    <t>=Scoring!$I$138</t>
  </si>
  <si>
    <t>Community Revitalization Plan</t>
  </si>
  <si>
    <t>DevCharA</t>
  </si>
  <si>
    <t>=Scoring!$I$62</t>
  </si>
  <si>
    <t>Development Location: OPTION A</t>
  </si>
  <si>
    <t>DevCharB</t>
  </si>
  <si>
    <t>=Scoring!$I$85</t>
  </si>
  <si>
    <t>Development Location: OPTION B</t>
  </si>
  <si>
    <t>DevCharC</t>
  </si>
  <si>
    <t>=Scoring!$I$90</t>
  </si>
  <si>
    <t>Development Characteristics 1</t>
  </si>
  <si>
    <t>DevCharD</t>
  </si>
  <si>
    <t>=Scoring!$I$99</t>
  </si>
  <si>
    <t>Development Characteristics 2</t>
  </si>
  <si>
    <t>DevCharE</t>
  </si>
  <si>
    <t>=Scoring!$I$102</t>
  </si>
  <si>
    <t>Development Characteristics 3</t>
  </si>
  <si>
    <t>DevCharF</t>
  </si>
  <si>
    <t>=Scoring!$I$104</t>
  </si>
  <si>
    <t>Development Characteristics 4</t>
  </si>
  <si>
    <t>DevCharG</t>
  </si>
  <si>
    <t>=Scoring!$I$107</t>
  </si>
  <si>
    <t>Development Characteristics 5</t>
  </si>
  <si>
    <t>DevCharH</t>
  </si>
  <si>
    <t>=Scoring!$I$110</t>
  </si>
  <si>
    <t>SponsorCharA</t>
  </si>
  <si>
    <t>=Scoring!$I$120</t>
  </si>
  <si>
    <t>TenantCharA</t>
  </si>
  <si>
    <t>=Scoring!$I$148</t>
  </si>
  <si>
    <t>Applicant Name</t>
  </si>
  <si>
    <t xml:space="preserve">Applicant First Name </t>
  </si>
  <si>
    <t>changed to applicant to be published 2/10</t>
  </si>
  <si>
    <t xml:space="preserve">Applicant Last Name </t>
  </si>
  <si>
    <t xml:space="preserve">Applicant Address </t>
  </si>
  <si>
    <t xml:space="preserve">Applicant City </t>
  </si>
  <si>
    <t>Applicant Phone</t>
  </si>
  <si>
    <t>Applicant Email</t>
  </si>
  <si>
    <t xml:space="preserve">Applicant State </t>
  </si>
  <si>
    <t>Applicant Zip</t>
  </si>
  <si>
    <t>Applicant racial/ethnic composition</t>
  </si>
  <si>
    <t>Applicant gender composition</t>
  </si>
  <si>
    <t>OwnerName</t>
  </si>
  <si>
    <t>='Applicant Info-Development Team'!$D$7</t>
  </si>
  <si>
    <t>OwnerContactFirstName</t>
  </si>
  <si>
    <t>='Applicant Info-Development Team'!$D$13</t>
  </si>
  <si>
    <t>OwnerContactLastName</t>
  </si>
  <si>
    <t>='Applicant Info-Development Team'!$G$13</t>
  </si>
  <si>
    <t>OwnerAddress</t>
  </si>
  <si>
    <t>='Applicant Info-Development Team'!$D$8</t>
  </si>
  <si>
    <t>OwnerCity</t>
  </si>
  <si>
    <t>='Applicant Info-Development Team'!$D$9</t>
  </si>
  <si>
    <t>PL_StateId_Owner</t>
  </si>
  <si>
    <t>='Applicant Info-Development Team'!$D$10</t>
  </si>
  <si>
    <t>OwnerZip</t>
  </si>
  <si>
    <t>='Applicant Info-Development Team'!$D$11</t>
  </si>
  <si>
    <t>OwnerFedTaxIDNum</t>
  </si>
  <si>
    <t>='Applicant Info-Development Team'!$D$12</t>
  </si>
  <si>
    <t>OwnerPhone</t>
  </si>
  <si>
    <t>='Applicant Info-Development Team'!$D$14</t>
  </si>
  <si>
    <t>OwnerEmail</t>
  </si>
  <si>
    <t>='Applicant Info-Development Team'!$D$16</t>
  </si>
  <si>
    <t>Owner Cell</t>
  </si>
  <si>
    <t>Owner racial/ethnic composition</t>
  </si>
  <si>
    <t>Owner gender composition</t>
  </si>
  <si>
    <t>NonProfitInvolvement</t>
  </si>
  <si>
    <t>='Non-Profit Questionnaire'!$M$22</t>
  </si>
  <si>
    <t>ContractorContactName</t>
  </si>
  <si>
    <t>='Applicant Info-Development Team'!$D$103</t>
  </si>
  <si>
    <t>ContractorFirmName</t>
  </si>
  <si>
    <t>='Applicant Info-Development Team'!$D$100</t>
  </si>
  <si>
    <t>MgtEntityContactName</t>
  </si>
  <si>
    <t>='Applicant Info-Development Team'!$D$116</t>
  </si>
  <si>
    <t>MgtEntityFirmName</t>
  </si>
  <si>
    <t>='Applicant Info-Development Team'!$D$113</t>
  </si>
  <si>
    <t>MgtEntityEmail</t>
  </si>
  <si>
    <t>MgtEntityPhone</t>
  </si>
  <si>
    <t>ConsultantContactName</t>
  </si>
  <si>
    <t>='Applicant Info-Development Team'!$D$129</t>
  </si>
  <si>
    <t>ConsultantFirmName</t>
  </si>
  <si>
    <t>='Applicant Info-Development Team'!$D$126</t>
  </si>
  <si>
    <t>TaxAccountantContactName</t>
  </si>
  <si>
    <t>='Applicant Info-Development Team'!$D$155</t>
  </si>
  <si>
    <t>TaxAccountantFirmName</t>
  </si>
  <si>
    <t>='Applicant Info-Development Team'!$D$152</t>
  </si>
  <si>
    <t>ArchitectContactName</t>
  </si>
  <si>
    <t>='Applicant Info-Development Team'!$D$168</t>
  </si>
  <si>
    <t>ArchitectFirmName</t>
  </si>
  <si>
    <t>='Applicant Info-Development Team'!$D$165</t>
  </si>
  <si>
    <t>NonProfitName</t>
  </si>
  <si>
    <t>='Non-Profit Questionnaire'!$E$18</t>
  </si>
  <si>
    <t>Syndicator</t>
  </si>
  <si>
    <t>='Development Financing'!$D$8</t>
  </si>
  <si>
    <t xml:space="preserve">3rdPartyEstimatorName </t>
  </si>
  <si>
    <t>Opitonal Field 346</t>
  </si>
  <si>
    <t xml:space="preserve">Construction Lender </t>
  </si>
  <si>
    <t>Developer racial/ethnic composition</t>
  </si>
  <si>
    <t>Developer gender composition</t>
  </si>
  <si>
    <t xml:space="preserve">General Partner </t>
  </si>
  <si>
    <t>General Partner racial/ethnic composition</t>
  </si>
  <si>
    <t>General Partner gender composition</t>
  </si>
  <si>
    <t xml:space="preserve">Syndicator </t>
  </si>
  <si>
    <t>General Contractor racial/ethnic composition</t>
  </si>
  <si>
    <t>General Contractor gender composition</t>
  </si>
  <si>
    <t>Consultant 3</t>
  </si>
  <si>
    <t>Fee/Turnkey Developer racial/ethnic composition</t>
  </si>
  <si>
    <t>Fee-Turnkey Developer gender composition</t>
  </si>
  <si>
    <t>Lookup</t>
  </si>
  <si>
    <t>Sequence</t>
  </si>
  <si>
    <t>Doing Business As</t>
  </si>
  <si>
    <t xml:space="preserve">Address </t>
  </si>
  <si>
    <t xml:space="preserve">Zip Code </t>
  </si>
  <si>
    <t xml:space="preserve">Direct Phone </t>
  </si>
  <si>
    <t xml:space="preserve">Email Address </t>
  </si>
  <si>
    <t xml:space="preserve">Entity TYPE </t>
  </si>
  <si>
    <t>Company?</t>
  </si>
  <si>
    <t>Pri Player?</t>
  </si>
  <si>
    <t>Get all data for orgs - this is not mapped to prolink here</t>
  </si>
  <si>
    <t>this is a blank row</t>
  </si>
  <si>
    <t>Developer</t>
  </si>
  <si>
    <t>Company</t>
  </si>
  <si>
    <t xml:space="preserve">State TC Syndicator/State Syndicator </t>
  </si>
  <si>
    <t xml:space="preserve">3rd Party Estimator </t>
  </si>
  <si>
    <t>3rd Party Cost Estimate</t>
  </si>
  <si>
    <t xml:space="preserve">Contractor/General Contractor </t>
  </si>
  <si>
    <t xml:space="preserve">Management Company/Management Agent </t>
  </si>
  <si>
    <t>Management Agent</t>
  </si>
  <si>
    <t xml:space="preserve">Consultant </t>
  </si>
  <si>
    <t xml:space="preserve">Tax Attorney Firm/Law Firm </t>
  </si>
  <si>
    <t>Law Firm</t>
  </si>
  <si>
    <t xml:space="preserve">CPA Firm/Accountant </t>
  </si>
  <si>
    <t>Accountant</t>
  </si>
  <si>
    <t xml:space="preserve">Architect </t>
  </si>
  <si>
    <t>Architect</t>
  </si>
  <si>
    <t xml:space="preserve">Perm Lender </t>
  </si>
  <si>
    <t xml:space="preserve">Enviroment Review </t>
  </si>
  <si>
    <t>Environment Review</t>
  </si>
  <si>
    <t xml:space="preserve">Capital Needs Preparer/Other </t>
  </si>
  <si>
    <t xml:space="preserve">Green Consultant </t>
  </si>
  <si>
    <t>Optional Field 150</t>
  </si>
  <si>
    <t>='Applicant Info-Development Team'!$L$30</t>
  </si>
  <si>
    <t>Optional Field 151</t>
  </si>
  <si>
    <t>='Applicant Info-Development Team'!$L$39</t>
  </si>
  <si>
    <t>Private Placement</t>
  </si>
  <si>
    <t>Optional Field 152</t>
  </si>
  <si>
    <t>='Applicant Info-Development Team'!$M$222</t>
  </si>
  <si>
    <t>Public Placement</t>
  </si>
  <si>
    <t>Optional Field 153</t>
  </si>
  <si>
    <t>='Applicant Info-Development Team'!$M$223</t>
  </si>
  <si>
    <t>Mayor</t>
  </si>
  <si>
    <t>Optional Field 154</t>
  </si>
  <si>
    <t>='Official Notification'!$M$6</t>
  </si>
  <si>
    <t xml:space="preserve">Contact First and Last </t>
  </si>
  <si>
    <t>Optional Field 155</t>
  </si>
  <si>
    <t>='Official Notification'!$M$7</t>
  </si>
  <si>
    <t>Optional Field 156</t>
  </si>
  <si>
    <t>='Official Notification'!$M$8</t>
  </si>
  <si>
    <t>Optional Field 157</t>
  </si>
  <si>
    <t>='Official Notification'!$M$9</t>
  </si>
  <si>
    <t xml:space="preserve">Zip </t>
  </si>
  <si>
    <t>Optional Field 158</t>
  </si>
  <si>
    <t>='Official Notification'!$N$9</t>
  </si>
  <si>
    <t xml:space="preserve">Mayor Number </t>
  </si>
  <si>
    <t>Optional Field 453</t>
  </si>
  <si>
    <t>='Official Notification'!$M$10</t>
  </si>
  <si>
    <t>Mayor State</t>
  </si>
  <si>
    <t>Mayor Email</t>
  </si>
  <si>
    <t xml:space="preserve">Local Housing Authority </t>
  </si>
  <si>
    <t>Optional Field 160</t>
  </si>
  <si>
    <t>='Official Notification'!$M$16</t>
  </si>
  <si>
    <t>Optional Field 161</t>
  </si>
  <si>
    <t>='Official Notification'!$M$17</t>
  </si>
  <si>
    <t>Optional Field 162</t>
  </si>
  <si>
    <t>='Official Notification'!$M$18</t>
  </si>
  <si>
    <t>city</t>
  </si>
  <si>
    <t>Optional Field 163</t>
  </si>
  <si>
    <t>='Official Notification'!$M$19</t>
  </si>
  <si>
    <t>Optional Field 164</t>
  </si>
  <si>
    <t>='Official Notification'!$N$19</t>
  </si>
  <si>
    <t xml:space="preserve">number </t>
  </si>
  <si>
    <t>Optional Field 454</t>
  </si>
  <si>
    <t>='Official Notification'!$M$20</t>
  </si>
  <si>
    <t xml:space="preserve">Council Member </t>
  </si>
  <si>
    <t xml:space="preserve">UDF </t>
  </si>
  <si>
    <t>Council Email</t>
  </si>
  <si>
    <t>Optional Field 92</t>
  </si>
  <si>
    <t>='Commercial Budget'!$E$103</t>
  </si>
  <si>
    <t>Total Funds for Commercial Development</t>
  </si>
  <si>
    <t>Optional Field 93</t>
  </si>
  <si>
    <t>='Dev Commercial Financing'!$E$44</t>
  </si>
  <si>
    <t>Optional Field 462</t>
  </si>
  <si>
    <t>='Development Financing'!$K$5</t>
  </si>
  <si>
    <t>462 - Use to be UDF 95</t>
  </si>
  <si>
    <t>Optional Field 97</t>
  </si>
  <si>
    <t>='Development Financing'!$E$34</t>
  </si>
  <si>
    <t>City Manager Email</t>
  </si>
  <si>
    <t>Total Annual Miscellaneous Income</t>
  </si>
  <si>
    <t>Optional Field 112</t>
  </si>
  <si>
    <t>=' Development Income'!$E$11</t>
  </si>
  <si>
    <t>Total Annual Rental Income</t>
  </si>
  <si>
    <t>Optional Field 113</t>
  </si>
  <si>
    <t>=' Development Income'!$E$12</t>
  </si>
  <si>
    <t>Optional Field 114</t>
  </si>
  <si>
    <t>=' Development Income'!$E$13</t>
  </si>
  <si>
    <t>Optional Field 115</t>
  </si>
  <si>
    <t>=' Development Income'!$E$17</t>
  </si>
  <si>
    <t>Identity: # Units</t>
  </si>
  <si>
    <t>Optional Field 138</t>
  </si>
  <si>
    <t>='Contractor-Developer Fee Limits'!$B$8</t>
  </si>
  <si>
    <t>INDEX USED</t>
  </si>
  <si>
    <t>Identity: Max %</t>
  </si>
  <si>
    <t>Optional Field 463</t>
  </si>
  <si>
    <t>='Contractor-Developer Fee Limits'!$D$8</t>
  </si>
  <si>
    <t>463 - Use to be UDF 139</t>
  </si>
  <si>
    <t>No Identity: # Units</t>
  </si>
  <si>
    <t>Optional Field 140</t>
  </si>
  <si>
    <t>='Contractor-Developer Fee Limits'!$B$9</t>
  </si>
  <si>
    <t>No Identity: Max %</t>
  </si>
  <si>
    <t>Optional Field 464</t>
  </si>
  <si>
    <t>='Contractor-Developer Fee Limits'!$D$9</t>
  </si>
  <si>
    <t>464 - Use to be UDF 141</t>
  </si>
  <si>
    <t xml:space="preserve">PrevailWage </t>
  </si>
  <si>
    <t>Opitonal Field 345</t>
  </si>
  <si>
    <t>Optional Field 286</t>
  </si>
  <si>
    <t>='Cost Summary'!$D$16</t>
  </si>
  <si>
    <t>Optional Field 287</t>
  </si>
  <si>
    <t>='Cost Summary'!$D$17</t>
  </si>
  <si>
    <t>Optional Field 288</t>
  </si>
  <si>
    <t>='Cost Summary'!$D$18</t>
  </si>
  <si>
    <t>Optional Field 289</t>
  </si>
  <si>
    <t>='Cost Summary'!$D$19</t>
  </si>
  <si>
    <t>Optional Field 290</t>
  </si>
  <si>
    <t>='Cost Summary'!$D$20</t>
  </si>
  <si>
    <t>Optional Field 291</t>
  </si>
  <si>
    <t>='Cost Summary'!$D$21</t>
  </si>
  <si>
    <t>Optional Field 292</t>
  </si>
  <si>
    <t>='Cost Summary'!$D$22</t>
  </si>
  <si>
    <t>Optional Field 293</t>
  </si>
  <si>
    <t>='Cost Summary'!$D$23</t>
  </si>
  <si>
    <t>Optional Field 294</t>
  </si>
  <si>
    <t>='Cost Summary'!$D$24</t>
  </si>
  <si>
    <t>Optional Field 295</t>
  </si>
  <si>
    <t>='Cost Summary'!$D$25</t>
  </si>
  <si>
    <t>Optional Field 296</t>
  </si>
  <si>
    <t>='Cost Summary'!$D$26</t>
  </si>
  <si>
    <t>Optional Field 297</t>
  </si>
  <si>
    <t>='Cost Summary'!$D$27</t>
  </si>
  <si>
    <t>Optional Field 298</t>
  </si>
  <si>
    <t>='Cost Summary'!$D$28</t>
  </si>
  <si>
    <t>Optional Field 299</t>
  </si>
  <si>
    <t>='Cost Summary'!$D$29</t>
  </si>
  <si>
    <t>Optional Field 300</t>
  </si>
  <si>
    <t>='Cost Summary'!$D$30</t>
  </si>
  <si>
    <t>Optional Field 301</t>
  </si>
  <si>
    <t>='Cost Summary'!$D$31</t>
  </si>
  <si>
    <t>Optional Field 302</t>
  </si>
  <si>
    <t>='Cost Summary'!$D$32</t>
  </si>
  <si>
    <t>Optional Field 303</t>
  </si>
  <si>
    <t>='Cost Summary'!$D$33</t>
  </si>
  <si>
    <t>Optional Field 304</t>
  </si>
  <si>
    <t>='Cost Summary'!$D$34</t>
  </si>
  <si>
    <t>Optional Field 305</t>
  </si>
  <si>
    <t>='Cost Summary'!$D$35</t>
  </si>
  <si>
    <t>Optional Field 306</t>
  </si>
  <si>
    <t>='Cost Summary'!$D$36</t>
  </si>
  <si>
    <t>Optional Field 307</t>
  </si>
  <si>
    <t>='Cost Summary'!$D$37</t>
  </si>
  <si>
    <t>Optional Field 308</t>
  </si>
  <si>
    <t>='Cost Summary'!$D$38</t>
  </si>
  <si>
    <t>Optional Field 309</t>
  </si>
  <si>
    <t>='Cost Summary'!$D$39</t>
  </si>
  <si>
    <t>Optional Field 310</t>
  </si>
  <si>
    <t>='Cost Summary'!$D$40</t>
  </si>
  <si>
    <t>Electric Power Generation</t>
  </si>
  <si>
    <t>='Cost Summary'!$D$41</t>
  </si>
  <si>
    <t>Optional Field 311</t>
  </si>
  <si>
    <t>='Cost Summary'!$D$42</t>
  </si>
  <si>
    <t>Optional Field 312</t>
  </si>
  <si>
    <t>='Cost Summary'!$D$43</t>
  </si>
  <si>
    <t>Optional Field 313</t>
  </si>
  <si>
    <t>='Cost Summary'!$D$44</t>
  </si>
  <si>
    <t>Optional Field 314</t>
  </si>
  <si>
    <t>='Cost Summary'!$D$45</t>
  </si>
  <si>
    <t>Optional Field 315</t>
  </si>
  <si>
    <t>='Cost Summary'!$D$46</t>
  </si>
  <si>
    <t>Optional Field 316</t>
  </si>
  <si>
    <t>='Cost Summary'!$D$47</t>
  </si>
  <si>
    <t>Optional Field 317</t>
  </si>
  <si>
    <t>='Cost Summary'!$D$48</t>
  </si>
  <si>
    <t>Optional Field 318</t>
  </si>
  <si>
    <t>='Cost Summary'!$D$49</t>
  </si>
  <si>
    <t>Optional Field 319</t>
  </si>
  <si>
    <t>='Cost Summary'!$D$50</t>
  </si>
  <si>
    <t>Optional Field 320</t>
  </si>
  <si>
    <t>='Cost Summary'!$D$51</t>
  </si>
  <si>
    <t>Optional Field 321</t>
  </si>
  <si>
    <t>='Cost Summary'!$D$52</t>
  </si>
  <si>
    <t>Optional Field 322</t>
  </si>
  <si>
    <t>='Cost Summary'!$D$53</t>
  </si>
  <si>
    <t>Optional Field 323</t>
  </si>
  <si>
    <t>='Cost Summary'!$D$54</t>
  </si>
  <si>
    <t>Optional Field 324</t>
  </si>
  <si>
    <t>='Cost Summary'!$D$55</t>
  </si>
  <si>
    <t>Optional Field 325</t>
  </si>
  <si>
    <t>='Cost Summary'!$D$56</t>
  </si>
  <si>
    <t>Optional Field 326</t>
  </si>
  <si>
    <t>='Cost Summary'!$D$57</t>
  </si>
  <si>
    <t>Optional Field 327</t>
  </si>
  <si>
    <t>='Cost Summary'!$D$58</t>
  </si>
  <si>
    <t xml:space="preserve">CostSummarySection1OtherDescription1 </t>
  </si>
  <si>
    <t>Opitonal Field 347</t>
  </si>
  <si>
    <t>CostSummarySection1OtherDescription2</t>
  </si>
  <si>
    <t>Opitonal Field 348</t>
  </si>
  <si>
    <t>CostSummarySection2OtherDescription1</t>
  </si>
  <si>
    <t>Opitonal Field 349</t>
  </si>
  <si>
    <t>CostSummarySection2OtherDescription2</t>
  </si>
  <si>
    <t>Opitonal Field 350</t>
  </si>
  <si>
    <t>CostSummarySection2OtherDescription3</t>
  </si>
  <si>
    <t>Opitonal Field 351</t>
  </si>
  <si>
    <t>CostSummarySection3OtherDescription1</t>
  </si>
  <si>
    <t>Opitonal Field 352</t>
  </si>
  <si>
    <t>Copy Residential Loan Financing Data</t>
  </si>
  <si>
    <t>SourceName</t>
  </si>
  <si>
    <t>InterestRate</t>
  </si>
  <si>
    <t>LoanTerm</t>
  </si>
  <si>
    <t>NumAmortYears</t>
  </si>
  <si>
    <t>AnnualDebtSvcCost</t>
  </si>
  <si>
    <t>PL_FinancingTypeId</t>
  </si>
  <si>
    <t>Map  Residential Loan Financing Data</t>
  </si>
  <si>
    <t>Source Name</t>
  </si>
  <si>
    <t>Copy Residential Grant Financing Data</t>
  </si>
  <si>
    <t>Map  Residential Grant Financing Data</t>
  </si>
  <si>
    <t>='Development Financing'!$E$37</t>
  </si>
  <si>
    <t>='Development Financing'!$J$37</t>
  </si>
  <si>
    <t>='Development Financing'!$B$37</t>
  </si>
  <si>
    <t>='Development Financing'!$E$25</t>
  </si>
  <si>
    <t>='Development Financing'!$I$25</t>
  </si>
  <si>
    <t>='Development Financing'!$F$25</t>
  </si>
  <si>
    <t>='Development Financing'!$R$25</t>
  </si>
  <si>
    <t>='Development Financing'!$G$25</t>
  </si>
  <si>
    <t>='Development Financing'!$J$25</t>
  </si>
  <si>
    <t>='Development Financing'!$B$25</t>
  </si>
  <si>
    <t>Fees</t>
  </si>
  <si>
    <t>Seq</t>
  </si>
  <si>
    <t>PL_TCDealFeeTypeId</t>
  </si>
  <si>
    <t>Preliminary Application Fee for Competitive Round</t>
  </si>
  <si>
    <t>4%  Non Competitive and State (if applicable) Application Fee</t>
  </si>
  <si>
    <t>Preliminary Reservation Fee for Competitive Round</t>
  </si>
  <si>
    <t>4%  Non Competitive and State (if applicable) Initial Determination Fee</t>
  </si>
  <si>
    <t>Carryover Application Fee</t>
  </si>
  <si>
    <t>4%  Non Competitive and State (if applicable) Final Application Fee</t>
  </si>
  <si>
    <t>Compliance Monitoring Fee</t>
  </si>
  <si>
    <t>State Milestone Fee</t>
  </si>
  <si>
    <t>='Application Fee'!$I$9</t>
  </si>
  <si>
    <t>='Application Fee'!$B$7</t>
  </si>
  <si>
    <t>PL_TCUnitTypeId</t>
  </si>
  <si>
    <t>='Unit Mix &amp; Rents'!$S$120</t>
  </si>
  <si>
    <t>NumTCUnits</t>
  </si>
  <si>
    <t>='Unit Mix &amp; Rents'!$R$120</t>
  </si>
  <si>
    <t># 0 bed Units</t>
  </si>
  <si>
    <t>SRO</t>
  </si>
  <si>
    <t>='Unit Mix &amp; Rents'!$S$121</t>
  </si>
  <si>
    <t># 1 bed Units</t>
  </si>
  <si>
    <t>1BR</t>
  </si>
  <si>
    <t>='Unit Mix &amp; Rents'!$R$121</t>
  </si>
  <si>
    <t># 2 bed Units</t>
  </si>
  <si>
    <t>2BR</t>
  </si>
  <si>
    <t>='Unit Mix &amp; Rents'!$S$122</t>
  </si>
  <si>
    <t># 3 bed Units</t>
  </si>
  <si>
    <t>3BR</t>
  </si>
  <si>
    <t>='Unit Mix &amp; Rents'!$R$122</t>
  </si>
  <si>
    <t># 4 bed Units</t>
  </si>
  <si>
    <t>4BR</t>
  </si>
  <si>
    <t>='Unit Mix &amp; Rents'!$S$123</t>
  </si>
  <si>
    <t># 5 bed Units</t>
  </si>
  <si>
    <t>5BR</t>
  </si>
  <si>
    <t>='Unit Mix &amp; Rents'!$R$123</t>
  </si>
  <si>
    <t>='Unit Mix &amp; Rents'!$S$124</t>
  </si>
  <si>
    <t>='Unit Mix &amp; Rents'!$R$124</t>
  </si>
  <si>
    <t>Copy Unit Mix &amp; Rent Data</t>
  </si>
  <si>
    <t>PL_IncomeTargetId</t>
  </si>
  <si>
    <t>PL_TCUnitMixTypeId</t>
  </si>
  <si>
    <t>NetRentableSqFt</t>
  </si>
  <si>
    <t>NumUnits</t>
  </si>
  <si>
    <t>MonthlyRentPerUnit</t>
  </si>
  <si>
    <t>Map Unit Mix &amp; Rent Data</t>
  </si>
  <si>
    <t>='Unit Mix &amp; Rents'!$S$30</t>
  </si>
  <si>
    <t>='Unit Mix &amp; Rents'!$O$30</t>
  </si>
  <si>
    <t>='Unit Mix &amp; Rents'!$P$30</t>
  </si>
  <si>
    <t>='Unit Mix &amp; Rents'!$Q$30</t>
  </si>
  <si>
    <t>='Unit Mix &amp; Rents'!$R$30</t>
  </si>
  <si>
    <t>Optional Field 177</t>
  </si>
  <si>
    <t>='Final Building Profile'!$F$53</t>
  </si>
  <si>
    <t>SUM of New Con/Rehab Annual Credit Amount</t>
  </si>
  <si>
    <t>Optional Field 178</t>
  </si>
  <si>
    <t>='Final Building Profile'!$F$54</t>
  </si>
  <si>
    <t>SUM of Acq Total Quaified Basis</t>
  </si>
  <si>
    <t>Optional Field 179</t>
  </si>
  <si>
    <t>='Final Building Profile'!$F$55</t>
  </si>
  <si>
    <t>SUM of Acq Annual Credit Amount</t>
  </si>
  <si>
    <t>Optional Field 180</t>
  </si>
  <si>
    <t>='Final Building Profile'!$F$56</t>
  </si>
  <si>
    <t>SUM of New Con Applicable Fraction</t>
  </si>
  <si>
    <t>Optional Field 465</t>
  </si>
  <si>
    <t>='Final Building Profile'!$F$70</t>
  </si>
  <si>
    <t>was Optional Field 181</t>
  </si>
  <si>
    <t>SUM of Rehab Applicable Fraction</t>
  </si>
  <si>
    <t>Optional Field 466</t>
  </si>
  <si>
    <t>='Final Building Profile'!$F$71</t>
  </si>
  <si>
    <t>was Optional Field 182</t>
  </si>
  <si>
    <t>SUM of Lowest Applicable Fraction</t>
  </si>
  <si>
    <t>Optional Field 467</t>
  </si>
  <si>
    <t>='Final Building Profile'!$F$72</t>
  </si>
  <si>
    <t>was Optional Field 183</t>
  </si>
  <si>
    <t>Copy Final Bldg Data</t>
  </si>
  <si>
    <t>Row Used</t>
  </si>
  <si>
    <t>BIN</t>
  </si>
  <si>
    <t>PVCPISDate</t>
  </si>
  <si>
    <t>PVCApplicablePercentage</t>
  </si>
  <si>
    <t>PVCEstQualBasis</t>
  </si>
  <si>
    <t>PVC8609Basis</t>
  </si>
  <si>
    <t>PVC8609Credit</t>
  </si>
  <si>
    <t>ConstrPISDate</t>
  </si>
  <si>
    <t>ConstrApplicablePercentage</t>
  </si>
  <si>
    <t>ConstrEstQualBasis</t>
  </si>
  <si>
    <t>Constr8609Basis</t>
  </si>
  <si>
    <t>Constr8609Credit</t>
  </si>
  <si>
    <t>AcqPISDate</t>
  </si>
  <si>
    <t>AcqApplicablePercentage</t>
  </si>
  <si>
    <t>AcqEstQualBasis</t>
  </si>
  <si>
    <t>Acq8609Basis</t>
  </si>
  <si>
    <t>Acq8609Credit</t>
  </si>
  <si>
    <t>Map Final Bldg Data</t>
  </si>
  <si>
    <t>='Final Building Profile'!$G$2</t>
  </si>
  <si>
    <t>='Final Building Profile'!$G$3</t>
  </si>
  <si>
    <t>='Final Building Profile'!$G$6</t>
  </si>
  <si>
    <t>='Final Building Profile'!$G$80</t>
  </si>
  <si>
    <t>='Final Building Profile'!$G$81</t>
  </si>
  <si>
    <t>='Final Building Profile'!$G$82</t>
  </si>
  <si>
    <t>='Final Building Profile'!$G$83</t>
  </si>
  <si>
    <t>='Final Building Profile'!$G$84</t>
  </si>
  <si>
    <t>='Final Building Profile'!$G$86</t>
  </si>
  <si>
    <t>='Final Building Profile'!$G$87</t>
  </si>
  <si>
    <t>='Final Building Profile'!$G$88</t>
  </si>
  <si>
    <t>='Final Building Profile'!$G$89</t>
  </si>
  <si>
    <t>='Final Building Profile'!$G$90</t>
  </si>
  <si>
    <t>='Final Building Profile'!$G$92</t>
  </si>
  <si>
    <t>='Final Building Profile'!$G$93</t>
  </si>
  <si>
    <t>='Final Building Profile'!$G$94</t>
  </si>
  <si>
    <t>='Final Building Profile'!$G$95</t>
  </si>
  <si>
    <t>='Final Building Profile'!$G$96</t>
  </si>
  <si>
    <t>UDF NAME</t>
  </si>
  <si>
    <t>Optional Field 364</t>
  </si>
  <si>
    <t>Optional Field 365</t>
  </si>
  <si>
    <t>Optional Field 366</t>
  </si>
  <si>
    <t>Optional Field 367</t>
  </si>
  <si>
    <t>Optional Field 368</t>
  </si>
  <si>
    <t>Optional Field 369</t>
  </si>
  <si>
    <t>Optional Field 370</t>
  </si>
  <si>
    <t>Optional Field 371</t>
  </si>
  <si>
    <t>Optional Field 372</t>
  </si>
  <si>
    <t>Optional Field 373</t>
  </si>
  <si>
    <t>Optional Field 374</t>
  </si>
  <si>
    <t>Optional Field 375</t>
  </si>
  <si>
    <t xml:space="preserve">Appliances </t>
  </si>
  <si>
    <t>Optional Field 376</t>
  </si>
  <si>
    <t>Refrigerator E-star</t>
  </si>
  <si>
    <t>Optional Field 377</t>
  </si>
  <si>
    <t>Stove/Oven</t>
  </si>
  <si>
    <t>Optional Field 378</t>
  </si>
  <si>
    <t>Dishwasher E-star</t>
  </si>
  <si>
    <t>Optional Field 379</t>
  </si>
  <si>
    <t>Garbage Disposal</t>
  </si>
  <si>
    <t>Optional Field 380</t>
  </si>
  <si>
    <t>Optional Field 381</t>
  </si>
  <si>
    <t>Optional Field 382</t>
  </si>
  <si>
    <t>Optional Field 383</t>
  </si>
  <si>
    <t xml:space="preserve">Project Amenities </t>
  </si>
  <si>
    <t>Optional Field 384</t>
  </si>
  <si>
    <t>Optional Field 385</t>
  </si>
  <si>
    <t>Optional Field 386</t>
  </si>
  <si>
    <t>Optional Field 387</t>
  </si>
  <si>
    <t>Optional Field 388</t>
  </si>
  <si>
    <t>Optional Field 389</t>
  </si>
  <si>
    <t>Optional Field 390</t>
  </si>
  <si>
    <t>Optional Field 391</t>
  </si>
  <si>
    <t>Optional Field 392</t>
  </si>
  <si>
    <t>Optional Field 393</t>
  </si>
  <si>
    <t>Optional Field 394</t>
  </si>
  <si>
    <t>Optional Field 395</t>
  </si>
  <si>
    <t>Optional Field 396</t>
  </si>
  <si>
    <t>Optional Field 397</t>
  </si>
  <si>
    <t>Optional Field 398</t>
  </si>
  <si>
    <t>Optional Field 399</t>
  </si>
  <si>
    <t>Optional Field 400</t>
  </si>
  <si>
    <t>Optional Field 401</t>
  </si>
  <si>
    <t>On Site Manager</t>
  </si>
  <si>
    <t xml:space="preserve">SECURITY </t>
  </si>
  <si>
    <t>Optional Field 402</t>
  </si>
  <si>
    <t>Optional Field 403</t>
  </si>
  <si>
    <t>Optional Field 404</t>
  </si>
  <si>
    <t>Optional Field 405</t>
  </si>
  <si>
    <t>Optional Field 406</t>
  </si>
  <si>
    <t xml:space="preserve">Other Project Amernities </t>
  </si>
  <si>
    <t>Optional Field 407</t>
  </si>
  <si>
    <t>Surface Parking (#/per unit)</t>
  </si>
  <si>
    <t>Optional Field 408</t>
  </si>
  <si>
    <t>Carport - # of carports</t>
  </si>
  <si>
    <t>Optional Field 409</t>
  </si>
  <si>
    <t>Underground Parking -# of spaces</t>
  </si>
  <si>
    <t>Optional Field 410</t>
  </si>
  <si>
    <t>Detached Garage - # of garages</t>
  </si>
  <si>
    <t>Optional Field 411</t>
  </si>
  <si>
    <t>Attached Garage - # of garages</t>
  </si>
  <si>
    <t>Optional Field 412</t>
  </si>
  <si>
    <t>Tuck-under / Podium Parking - # of spaces</t>
  </si>
  <si>
    <t>Optional Field 413</t>
  </si>
  <si>
    <t>Optional Field 414</t>
  </si>
  <si>
    <t>Optional Field 415</t>
  </si>
  <si>
    <t>Optional Field 416</t>
  </si>
  <si>
    <t>Optional Field 417</t>
  </si>
  <si>
    <t>Optional Field 418</t>
  </si>
  <si>
    <t>Optional Field 421</t>
  </si>
  <si>
    <t>Optional Field 422</t>
  </si>
  <si>
    <t>Optional Field 423</t>
  </si>
  <si>
    <t>Optional Field 424</t>
  </si>
  <si>
    <t>Number of Type A Units</t>
  </si>
  <si>
    <t>Number of Type B Units</t>
  </si>
  <si>
    <t xml:space="preserve">Assisted Living </t>
  </si>
  <si>
    <t>Optional Field 425</t>
  </si>
  <si>
    <t>Optional Field 426</t>
  </si>
  <si>
    <t xml:space="preserve">Owner Paid </t>
  </si>
  <si>
    <t>Optional Field 427</t>
  </si>
  <si>
    <t>Optional Field 428</t>
  </si>
  <si>
    <t>Optional Field 429</t>
  </si>
  <si>
    <t>Optional Field 430</t>
  </si>
  <si>
    <t>Optional Field 431</t>
  </si>
  <si>
    <t>Optional Field 432</t>
  </si>
  <si>
    <t xml:space="preserve">Tenant Paid </t>
  </si>
  <si>
    <t>Optional Field 433</t>
  </si>
  <si>
    <t>Optional Field 434</t>
  </si>
  <si>
    <t>Optional Field 435</t>
  </si>
  <si>
    <t>Optional Field 436</t>
  </si>
  <si>
    <t>Optional Field 437</t>
  </si>
  <si>
    <t>Optional Field 438</t>
  </si>
  <si>
    <t>Needs mapping</t>
  </si>
  <si>
    <t>Is Initial Application</t>
  </si>
  <si>
    <t>Is Carryover Application</t>
  </si>
  <si>
    <t>Number of Parking Spaces in Eligible Basis</t>
  </si>
  <si>
    <t>Is Final Application</t>
  </si>
  <si>
    <t>Has 4%</t>
  </si>
  <si>
    <t>Has 9%</t>
  </si>
  <si>
    <t>Has Acq/Rehab</t>
  </si>
  <si>
    <t>Has New Construction</t>
  </si>
  <si>
    <t>Has Rehab</t>
  </si>
  <si>
    <t>Has State Tax Credit</t>
  </si>
  <si>
    <t>State Credit Tax Type</t>
  </si>
  <si>
    <t>County Row Index</t>
  </si>
  <si>
    <t>In DDA</t>
  </si>
  <si>
    <t>Find QCT</t>
  </si>
  <si>
    <t>DDA/SADDA/QCT</t>
  </si>
  <si>
    <t>Is Requesting CHFA DDA Boost</t>
  </si>
  <si>
    <t>Has Commercial</t>
  </si>
  <si>
    <t>Total Commercial Financing</t>
  </si>
  <si>
    <t>Total Residential Financing</t>
  </si>
  <si>
    <t>Total Number of Residential Buildings</t>
  </si>
  <si>
    <t>5 Bed*</t>
  </si>
  <si>
    <t>Average Income is the sum of the units multiplied by the AMI for each unit divided by the total units</t>
  </si>
  <si>
    <t>Subtotal</t>
  </si>
  <si>
    <t>Average Income</t>
  </si>
  <si>
    <t>Income Average is less than threshold of 60% ?</t>
  </si>
  <si>
    <t>Employee</t>
  </si>
  <si>
    <t>SUM 70% &amp; 80%</t>
  </si>
  <si>
    <t>Total Low-Income S.F.</t>
  </si>
  <si>
    <t>0 Bed</t>
  </si>
  <si>
    <t>1 Bed</t>
  </si>
  <si>
    <t>2 Bed</t>
  </si>
  <si>
    <t>3 Bed</t>
  </si>
  <si>
    <t>4 Bed</t>
  </si>
  <si>
    <t>5 Bed</t>
  </si>
  <si>
    <t>Total Sq Ft</t>
  </si>
  <si>
    <t xml:space="preserve">NRSF (Net Rentable Square Footage) </t>
  </si>
  <si>
    <t>GSF (Gross Square Footage)</t>
  </si>
  <si>
    <t>use N48 for TC Summary calc %</t>
  </si>
  <si>
    <t>Total Non-Residential Footage</t>
  </si>
  <si>
    <t>Total Rent</t>
  </si>
  <si>
    <t>Monthly Rent Per Sq Ft</t>
  </si>
  <si>
    <t>Special Needs</t>
  </si>
  <si>
    <t>PSH</t>
  </si>
  <si>
    <t>Low Income Applicable Fraction</t>
  </si>
  <si>
    <t>Max Gross Rent *</t>
  </si>
  <si>
    <t>5 BDRM</t>
  </si>
  <si>
    <t>5 BDRM = Annualized average of these 2 values times 30% cost of living</t>
  </si>
  <si>
    <t xml:space="preserve">Utility Allowance * </t>
  </si>
  <si>
    <t>By Bedroom Size</t>
  </si>
  <si>
    <t>Max Adjusted Rent *</t>
  </si>
  <si>
    <t xml:space="preserve">60% AMI  </t>
  </si>
  <si>
    <t>MAX RENT LOOKUP</t>
  </si>
  <si>
    <t>County Lookup</t>
  </si>
  <si>
    <t>&lt;-- array formula</t>
  </si>
  <si>
    <t>row lookup</t>
  </si>
  <si>
    <t>Cell</t>
  </si>
  <si>
    <t>Other Counties</t>
  </si>
  <si>
    <t>Sheet</t>
  </si>
  <si>
    <t>'Rent &amp; Income Limits'!</t>
  </si>
  <si>
    <t>Start Column</t>
  </si>
  <si>
    <t>B</t>
  </si>
  <si>
    <t>% Range</t>
  </si>
  <si>
    <t>N</t>
  </si>
  <si>
    <t>O</t>
  </si>
  <si>
    <t>Sources of Funds</t>
  </si>
  <si>
    <t>Annual Debt</t>
  </si>
  <si>
    <t>Construction Loan Per Month</t>
  </si>
  <si>
    <t>Construction Duration</t>
  </si>
  <si>
    <t>Tax Credit Summary Message</t>
  </si>
  <si>
    <t>Construction Interest Budget</t>
  </si>
  <si>
    <t>Residential Source of Financing</t>
  </si>
  <si>
    <t>Total Commercial Funds</t>
  </si>
  <si>
    <t xml:space="preserve">Uses </t>
  </si>
  <si>
    <t>Difference
if Applicable</t>
  </si>
  <si>
    <t>% of Total Expected Project Basis</t>
  </si>
  <si>
    <t>Difference</t>
  </si>
  <si>
    <t>Total Reasonably/Expected Basis</t>
  </si>
  <si>
    <t>Minimum Allowed Credit Score</t>
  </si>
  <si>
    <t>Selection</t>
  </si>
  <si>
    <t>% Units</t>
  </si>
  <si>
    <t>Use</t>
  </si>
  <si>
    <t>Low Income Targeting</t>
  </si>
  <si>
    <t>Actually 60% plus 70% plus 80%</t>
  </si>
  <si>
    <t>If not Average Income selected, exclude 70% and 80% AMI units from this calculation.</t>
  </si>
  <si>
    <t>Language for Data Issue: 70% and 80% AMI units are not eligible for credit unless average income is selected.</t>
  </si>
  <si>
    <t>Actually 20% plus 30% plus 40%</t>
  </si>
  <si>
    <t>Counties with lowest Area Median Income (AMI)</t>
  </si>
  <si>
    <t>Targeting 30% of AMI</t>
  </si>
  <si>
    <t>Score related to Household Percentage below 51% AMI with Housing Problems
(the points from the C1 table are automatically calculated for cell E73 below)</t>
  </si>
  <si>
    <t>Housing Needs Characteristics 2 City</t>
  </si>
  <si>
    <t>Housing Needs Characteristics 2 County</t>
  </si>
  <si>
    <t>Development Characteristics 6</t>
  </si>
  <si>
    <t>Tenant Population with Special Housing Needs</t>
  </si>
  <si>
    <t>Residential Operating Expenses Minimum Threshold Determination</t>
  </si>
  <si>
    <t>Answer</t>
  </si>
  <si>
    <t>Operating Expense Threshold</t>
  </si>
  <si>
    <t>Is Section 8</t>
  </si>
  <si>
    <t>Other</t>
  </si>
  <si>
    <t>Max of above</t>
  </si>
  <si>
    <t>Development Operating Reserves Threshold Determination</t>
  </si>
  <si>
    <t>Factor</t>
  </si>
  <si>
    <t>Other Information</t>
  </si>
  <si>
    <t>Results</t>
  </si>
  <si>
    <t>Commercial Operating Expenses</t>
  </si>
  <si>
    <t>100% Project-based rental assistance</t>
  </si>
  <si>
    <t>Vacancy Allowance %</t>
  </si>
  <si>
    <t>Commercial Income</t>
  </si>
  <si>
    <t>Annual Retail/Commercial Vacancy Allowance</t>
  </si>
  <si>
    <t xml:space="preserve">Total Gross Income </t>
  </si>
  <si>
    <t>x</t>
  </si>
  <si>
    <t>number of units</t>
  </si>
  <si>
    <t>Total Expenses</t>
  </si>
  <si>
    <t>Total Project Expenses</t>
  </si>
  <si>
    <t>Effective Gross Income Year Factor</t>
  </si>
  <si>
    <t>Total Project Expenses Year Factor</t>
  </si>
  <si>
    <t>Has No Loans</t>
  </si>
  <si>
    <t>First Mortgage</t>
  </si>
  <si>
    <t>Second Mortgage</t>
  </si>
  <si>
    <t>Third Mortgage</t>
  </si>
  <si>
    <t>Net Project Cash Flow</t>
  </si>
  <si>
    <t>Cash Flow Available for Distribution</t>
  </si>
  <si>
    <t>If the PSH Funds shouldn't be included here, enter ZEROS on the performa row 8</t>
  </si>
  <si>
    <t>Cash Flow Available after above obligations</t>
  </si>
  <si>
    <t>DDF Paid off</t>
  </si>
  <si>
    <t>DDF Amort</t>
  </si>
  <si>
    <t>Beginning Balance</t>
  </si>
  <si>
    <t>Payments</t>
  </si>
  <si>
    <t>QAP Minimum Debt Coverage Ratio</t>
  </si>
  <si>
    <t>Ending Balance</t>
  </si>
  <si>
    <t>Contractor-Developer Fee Limits</t>
  </si>
  <si>
    <t>Contractor Developer Fee Limits</t>
  </si>
  <si>
    <t>column for max allowed</t>
  </si>
  <si>
    <t>Max Allowed %</t>
  </si>
  <si>
    <t>Contractor Fees - Overhead</t>
  </si>
  <si>
    <t>Contractor Fees - Profit</t>
  </si>
  <si>
    <t>Other Costs</t>
  </si>
  <si>
    <t>Total Costs for Calculating Contractor Fees</t>
  </si>
  <si>
    <t>Max Allowable Contractor Fees</t>
  </si>
  <si>
    <t>Actual % of Contractor Fee</t>
  </si>
  <si>
    <t xml:space="preserve">Aggregate Developer Fee, Overhead, Consultant Fee Limits </t>
  </si>
  <si>
    <t>Max PSH Boost%</t>
  </si>
  <si>
    <t>Less Reduction from Above</t>
  </si>
  <si>
    <t>Less 50% Reduction from Existing Structures</t>
  </si>
  <si>
    <t xml:space="preserve">Less Land </t>
  </si>
  <si>
    <t>Less Developer Fee Category</t>
  </si>
  <si>
    <t>Less Project Reserves Category</t>
  </si>
  <si>
    <t>Total Costs for Calculating Developer Fees</t>
  </si>
  <si>
    <t>ALLOWABLE Developer Fees</t>
  </si>
  <si>
    <t>Developer Fee Test</t>
  </si>
  <si>
    <t>Budgeted Developer Fee</t>
  </si>
  <si>
    <t>Actual Developer Fees</t>
  </si>
  <si>
    <t>PSH Budgeted Developer Fee</t>
  </si>
  <si>
    <t>Actual PSH Developer Fee</t>
  </si>
  <si>
    <t>Max Allowed % Developer Fee</t>
  </si>
  <si>
    <t>Method 1 Total Eligible Basis for Credit Amount (used by both federal and state credit amount)</t>
  </si>
  <si>
    <t>if NOT 9%</t>
  </si>
  <si>
    <t>If 9%</t>
  </si>
  <si>
    <t>Additional basis for 9% With Acq/Rehab</t>
  </si>
  <si>
    <t>If 9% AND Has Acq/Rehab</t>
  </si>
  <si>
    <t>STATE VALUES</t>
  </si>
  <si>
    <t>Basis reduction from Contractor-Developer Fee Limits</t>
  </si>
  <si>
    <t>Historic Credit or Grant Funds reduced from Basis (to be added by CHFA Staff manually)</t>
  </si>
  <si>
    <t>Grant entered in Admin plus half of Historic Grant amount on Application</t>
  </si>
  <si>
    <t>Federal Credit Amount</t>
  </si>
  <si>
    <t>QCT Eligible</t>
  </si>
  <si>
    <t>Method One</t>
  </si>
  <si>
    <t xml:space="preserve">Rehab/New Construction </t>
  </si>
  <si>
    <t>Minus Existing Structures</t>
  </si>
  <si>
    <t>HUD QCT or DDA</t>
  </si>
  <si>
    <t>Adjusted Eligible Basis</t>
  </si>
  <si>
    <t>Qualified Basis</t>
  </si>
  <si>
    <t>Applicable Percentage</t>
  </si>
  <si>
    <t>9% APR on 9% deal / 4% APR on 4% only deal</t>
  </si>
  <si>
    <t>Annual Credit</t>
  </si>
  <si>
    <t xml:space="preserve">Acquisition </t>
  </si>
  <si>
    <t>4% APR</t>
  </si>
  <si>
    <t>Acquisition Credit</t>
  </si>
  <si>
    <t xml:space="preserve">Total Basis Annual Credit </t>
  </si>
  <si>
    <t>Method Two - Gap Calculation</t>
  </si>
  <si>
    <t>combine the state tc equity with total funds for development in cell B469 to lock state credit for Final application calculations</t>
  </si>
  <si>
    <t>Gap</t>
  </si>
  <si>
    <t>Method Three - Cost Basis Calculation</t>
  </si>
  <si>
    <t>Zone</t>
  </si>
  <si>
    <t>Zone Factor</t>
  </si>
  <si>
    <t>Elevator Index</t>
  </si>
  <si>
    <t>Basis Limit</t>
  </si>
  <si>
    <t>Basis Limit/Unit</t>
  </si>
  <si>
    <t>Adjusted Qualified Basis</t>
  </si>
  <si>
    <t>Adjusted Annual Credit</t>
  </si>
  <si>
    <t>Maximum Credit Award as per Section II.F. of the Allocation Plan</t>
  </si>
  <si>
    <t>Eligible for a Total Annual Federal Credit</t>
  </si>
  <si>
    <t>CHFA Designated DDA Annual Credit Amount needed to fill the financing Gap</t>
  </si>
  <si>
    <t>apply max allowed (only if 9%)</t>
  </si>
  <si>
    <t>State Credit Amount</t>
  </si>
  <si>
    <t>Is Allowed</t>
  </si>
  <si>
    <t>State Credit per Unit Basis</t>
  </si>
  <si>
    <t>Maximum Allowed</t>
  </si>
  <si>
    <t>Adjusted Annual Credit (Max Credit Applied)</t>
  </si>
  <si>
    <t>Special State Credit APR Calculation</t>
  </si>
  <si>
    <t xml:space="preserve">Total Qualified Basis Annual Credit </t>
  </si>
  <si>
    <t>Desired Annual Credit</t>
  </si>
  <si>
    <t>Method Two</t>
  </si>
  <si>
    <t>Desired APR</t>
  </si>
  <si>
    <t>Method Three</t>
  </si>
  <si>
    <t>HUD QCT or DDA not eligible for State Credit</t>
  </si>
  <si>
    <t>Eligible for a Total Annual State Credit</t>
  </si>
  <si>
    <t>this number may need to be manually input to set the final state credit amount and allow the federal credit to fill the gap</t>
  </si>
  <si>
    <t>Percent of State Eligible Basis</t>
  </si>
  <si>
    <t>Tax Credit Equity</t>
  </si>
  <si>
    <t>calculations</t>
  </si>
  <si>
    <t>output</t>
  </si>
  <si>
    <t>10 Year Credit Period</t>
  </si>
  <si>
    <t>Tax Credit Summary Development Financing</t>
  </si>
  <si>
    <t>Project's Federal Equity Factor</t>
  </si>
  <si>
    <t>Tax Credit Equity w/ CHFA DDA Boost</t>
  </si>
  <si>
    <t>Total Residential Funds</t>
  </si>
  <si>
    <t>CHFA DDA Calc</t>
  </si>
  <si>
    <t>NOT QCT Eligible</t>
  </si>
  <si>
    <t>Requested?</t>
  </si>
  <si>
    <t>CHFA Boost Eligible</t>
  </si>
  <si>
    <t>9% AND NOT QCT eligible AND Requested</t>
  </si>
  <si>
    <t>MIN from Method 1-3</t>
  </si>
  <si>
    <t>Project's Total Tax Credit Equity</t>
  </si>
  <si>
    <t>Project's Other Sources of Funds</t>
  </si>
  <si>
    <t>Project's Total Sources of Funds</t>
  </si>
  <si>
    <t>Project's Financing Gap (GAP)</t>
  </si>
  <si>
    <t>Total Tax Credit Equity needed to fund the GAP</t>
  </si>
  <si>
    <t>Project's Eligible Basis with the CHFA DDA Basis Boost</t>
  </si>
  <si>
    <t>Project's Total Qualified Basis</t>
  </si>
  <si>
    <t>Calculated Basis Boost % Increase needed to fund the GAP</t>
  </si>
  <si>
    <t>CHFA DDA Maximum 30% Basis Boost calculated</t>
  </si>
  <si>
    <t>Max CHFA Boost to Annual Credit</t>
  </si>
  <si>
    <t>Calculated CHFA DDA Boost Amount</t>
  </si>
  <si>
    <t>CHFA DDA Boost Override Amount</t>
  </si>
  <si>
    <t>New CHFA DDA Boost Amount</t>
  </si>
  <si>
    <t>CHFA Boost Amount</t>
  </si>
  <si>
    <t>CHFA BOOST ELIGIBLE</t>
  </si>
  <si>
    <t>If over 100% then eligible</t>
  </si>
  <si>
    <t>Budget</t>
  </si>
  <si>
    <t>Budget Category</t>
  </si>
  <si>
    <t>Category</t>
  </si>
  <si>
    <t>Apply Boost %</t>
  </si>
  <si>
    <t>Total Low Income Square Footage</t>
  </si>
  <si>
    <t>Total Low Income Units</t>
  </si>
  <si>
    <t>IF NOT ACQ REHAB DON’T DO CALCS</t>
  </si>
  <si>
    <t>Final Bldg Profile Totals</t>
  </si>
  <si>
    <t>Building #</t>
  </si>
  <si>
    <t>Low-Income Unit Applicable Fraction</t>
  </si>
  <si>
    <t>Square Footage Applicable Fraction</t>
  </si>
  <si>
    <t xml:space="preserve">Lowest Applicable for Calculating Credit </t>
  </si>
  <si>
    <t>Boosted New Con Eligible Basis</t>
  </si>
  <si>
    <t>Rehab Eligible Basis</t>
  </si>
  <si>
    <t>Boosted Rehab Eligible Basis</t>
  </si>
  <si>
    <t>New Con/Rehab Total Eligible Basis</t>
  </si>
  <si>
    <t>New Con/Rehab Total Qualified Basis</t>
  </si>
  <si>
    <t>New Con/Rehab APR</t>
  </si>
  <si>
    <t>New Con/Rehab Annual Credit Amount</t>
  </si>
  <si>
    <t>Total Acquisition Eligible Basis</t>
  </si>
  <si>
    <t>Acq Total Qualified Basis</t>
  </si>
  <si>
    <t>Acq APR</t>
  </si>
  <si>
    <t>Acq Annual Credit Amount</t>
  </si>
  <si>
    <t>New Con/Rehab Applicable Percentage</t>
  </si>
  <si>
    <t>Acq Applicable Percentage</t>
  </si>
  <si>
    <t>Applicable Fraction Sq Footage</t>
  </si>
  <si>
    <t>Applicable Fraction LI Units</t>
  </si>
  <si>
    <t>Lowest Applicable Fraction</t>
  </si>
  <si>
    <t>New Con/Rehab 8609 Basis</t>
  </si>
  <si>
    <t>New Con/Rehab 8609 Credit</t>
  </si>
  <si>
    <t>Acq 8609 Basis</t>
  </si>
  <si>
    <t>Acq 8609 Credit</t>
  </si>
  <si>
    <t>Compare to Property-based data</t>
  </si>
  <si>
    <t>Tax Credit Summary Errors</t>
  </si>
  <si>
    <t>Total New Construction/Rehab Eligible Basis</t>
  </si>
  <si>
    <t>C752</t>
  </si>
  <si>
    <t>F752</t>
  </si>
  <si>
    <t xml:space="preserve">SUM of New Con/Rehab and Acq Annual Credit Amount </t>
  </si>
  <si>
    <t>Total New Construction/Rehab Qualified Basis</t>
  </si>
  <si>
    <t>Total New Construction/Rehab Annual Credit Amount</t>
  </si>
  <si>
    <t>Total Acquisition Qualified Basis</t>
  </si>
  <si>
    <t>Total Acquisition Annual Credit</t>
  </si>
  <si>
    <t>Min Annual Credit</t>
  </si>
  <si>
    <t>Total Adjusted New Construction/Rehab Annual Credit</t>
  </si>
  <si>
    <t>Total Adjusted Acquisition Qualified Basis</t>
  </si>
  <si>
    <t>Total Adjusted Acquisition Annual Credit</t>
  </si>
  <si>
    <t>Eligible Basis for Acquisition</t>
  </si>
  <si>
    <t>Low Income and Employee Units</t>
  </si>
  <si>
    <t>9% Competitive Application Fees:</t>
  </si>
  <si>
    <t>Application fee</t>
  </si>
  <si>
    <t>4% of Preliminary Reservation Amount for Federal and State (if applicable)</t>
  </si>
  <si>
    <t>Comment</t>
  </si>
  <si>
    <t>3% of Carryover Amount for Federal and State (if applicable)</t>
  </si>
  <si>
    <t>Fee 1</t>
  </si>
  <si>
    <t>Fee 2</t>
  </si>
  <si>
    <t>Fee 3</t>
  </si>
  <si>
    <t>Fee 4</t>
  </si>
  <si>
    <t>4% Non-Competitive Application Fees:</t>
  </si>
  <si>
    <t>Compliance</t>
  </si>
  <si>
    <t>4%  Non Competitive Application Fee</t>
  </si>
  <si>
    <t>Total Fees</t>
  </si>
  <si>
    <t>4% Application Fee</t>
  </si>
  <si>
    <t>State Application Fee</t>
  </si>
  <si>
    <t>For Federal &amp; State Annual Credit (if applicable)</t>
  </si>
  <si>
    <t>4%  Non Competitive Initial Determination Fee</t>
  </si>
  <si>
    <t>For Federal and State (if applicable)</t>
  </si>
  <si>
    <t>4%  Non Competitive Final Application Fee</t>
  </si>
  <si>
    <t>(Not applicable to developments that received a Carryover Allocation and paid a Carryover Application Fee)</t>
  </si>
  <si>
    <t>Compliance Monitoring Fee (applies to all LIHTC deals)</t>
  </si>
  <si>
    <t>Compliance Monitoring Fee is automatically calculated.  The Fee for projects receiving a reservation from 2016 on is $500 per low income &amp; employee unit. This Fee is due with the Placed-In-Service (PIS) or with the Final Application whichever occurs first.</t>
  </si>
  <si>
    <t>Podium</t>
  </si>
  <si>
    <t>Underground Parking</t>
  </si>
  <si>
    <t>GC's/ Month</t>
  </si>
  <si>
    <t>Other Development Financing</t>
  </si>
  <si>
    <t>Is CHFA Issued Bonds</t>
  </si>
  <si>
    <t>bond</t>
  </si>
  <si>
    <t>Aggregate Basis for PAB-Financed Devs Only</t>
  </si>
  <si>
    <t>Total Bedrooms</t>
  </si>
  <si>
    <t>Total Square Feet</t>
  </si>
  <si>
    <t>PAB Mortgage % (50% test)</t>
  </si>
  <si>
    <t>Total Hard Costs</t>
  </si>
  <si>
    <t>Total Reserves</t>
  </si>
  <si>
    <t>Unit Mix and Rents Table</t>
  </si>
  <si>
    <t>Annual
Revenue</t>
  </si>
  <si>
    <t>Minimum Application Date</t>
  </si>
  <si>
    <t>Maximum Application Date</t>
  </si>
  <si>
    <t>Minimum Reserve Requirement</t>
  </si>
  <si>
    <t>Minimum Replacement Reserve Requirement</t>
  </si>
  <si>
    <t>Minimum PUPA Requirement</t>
  </si>
  <si>
    <t>Minimum DCR Requirement</t>
  </si>
  <si>
    <t>Minimum 9% Score</t>
  </si>
  <si>
    <t>9% Maximum Credit Amount</t>
  </si>
  <si>
    <t>State Maximum Credit Amount</t>
  </si>
  <si>
    <t>Perform Method 1 State Calculation</t>
  </si>
  <si>
    <t>Perform Method 2 State Calculation</t>
  </si>
  <si>
    <t>Perform Method 3 State Calculation</t>
  </si>
  <si>
    <t>Use this to set the final credit amount for method one - this will adjust the APR so that it proved this credit amount</t>
  </si>
  <si>
    <t>FEDERAL Method 2 Total Funds Override</t>
  </si>
  <si>
    <t>STATE Method 2 Total Funds Override</t>
  </si>
  <si>
    <t>FEDERAL Method 3 Adjusted Eligible Basis Override</t>
  </si>
  <si>
    <t>STATE Method 3 Adjusted Eligible Basis Override</t>
  </si>
  <si>
    <t>Dev Fee Existing Structures Override</t>
  </si>
  <si>
    <t>enter yes if override is being granted</t>
  </si>
  <si>
    <t>TOC Credit per Unit Basis</t>
  </si>
  <si>
    <t xml:space="preserve">Scoring </t>
  </si>
  <si>
    <t>Tenant Population</t>
  </si>
  <si>
    <t>Standard Vacancy Allowance</t>
  </si>
  <si>
    <t>Project-Based Section 8 Vacancy Allowance</t>
  </si>
  <si>
    <t>Commercial Vacancy Allowance</t>
  </si>
  <si>
    <t>Residential Operating Expenses Threshold - Assisted Living</t>
  </si>
  <si>
    <t>Residential Operating Expenses Threshold - Section 8</t>
  </si>
  <si>
    <t>Residential Operating Expenses Threshold - Others</t>
  </si>
  <si>
    <t>Replacement Reserves Threshold - Other</t>
  </si>
  <si>
    <t>Development Operating Reserves Threshold Factor</t>
  </si>
  <si>
    <t>Aggregate Developer Fee PSH Services</t>
  </si>
  <si>
    <t>Contractor/Developer Fee Limits</t>
  </si>
  <si>
    <t>unit min</t>
  </si>
  <si>
    <t>unit max</t>
  </si>
  <si>
    <t>Max Allowed % 1</t>
  </si>
  <si>
    <t>Max Allowed % 2</t>
  </si>
  <si>
    <t>Max Allowed % 3</t>
  </si>
  <si>
    <t>Aggregate</t>
  </si>
  <si>
    <t>%</t>
  </si>
  <si>
    <t>Aggregate Max Allowed 1</t>
  </si>
  <si>
    <t>Aggregate Max Allowed 2</t>
  </si>
  <si>
    <t>Federal Historic Grant Funds override</t>
  </si>
  <si>
    <t>100% of the Federal Historic Grant should be removed from basis</t>
  </si>
  <si>
    <t>State Historic Grant Funds override</t>
  </si>
  <si>
    <t>100% of the State Historic Grant should be removed from basis for the State Credit Calculation only</t>
  </si>
  <si>
    <t>QCT/DDA Boost</t>
  </si>
  <si>
    <t>CHFA Boost</t>
  </si>
  <si>
    <t>Basis Limit Test</t>
  </si>
  <si>
    <t>updated 11/28/23</t>
  </si>
  <si>
    <t>Bedrooms</t>
  </si>
  <si>
    <t>Elevator Base</t>
  </si>
  <si>
    <t>Non-Elevator Base</t>
  </si>
  <si>
    <t>Zone Factors</t>
  </si>
  <si>
    <t>reviewed in Nov 2023, no changes</t>
  </si>
  <si>
    <t>updated 11/9/22, reviewed in 2023, no changes</t>
  </si>
  <si>
    <t>9% Application fee</t>
  </si>
  <si>
    <t>9% Prelim Res Fee Federal %</t>
  </si>
  <si>
    <t>9% Prelim Res Fee State %</t>
  </si>
  <si>
    <t>9% Carryover App Fee Federal %</t>
  </si>
  <si>
    <t>9% Carryover App State %</t>
  </si>
  <si>
    <t>4% Application fee</t>
  </si>
  <si>
    <t>State Application fee</t>
  </si>
  <si>
    <t>4% Init Determination Federal %</t>
  </si>
  <si>
    <t>4% Init Determination State %</t>
  </si>
  <si>
    <t>4% Init Determination State Min</t>
  </si>
  <si>
    <t>4% Final App Fee Federal %</t>
  </si>
  <si>
    <t>4% Final App Fee State %</t>
  </si>
  <si>
    <t>4% Final App Fee Min</t>
  </si>
  <si>
    <t>Compliance Monitoring Fee Amt/Unit &lt; 2016</t>
  </si>
  <si>
    <t>Compliance Monitoring Fee Amt/Unit &gt;= 2016</t>
  </si>
  <si>
    <t>Updated 11/1/22-updated rural QCT numbers 4/10/23, 10/20/23</t>
  </si>
  <si>
    <t>Metro Statistical Area (MSA)</t>
  </si>
  <si>
    <t>Updated 9/18/24</t>
  </si>
  <si>
    <t>Low income Score</t>
  </si>
  <si>
    <t>Score related to Household Percentage below 51%</t>
  </si>
  <si>
    <t>IS DDA</t>
  </si>
  <si>
    <t>QCT Census Tract Lookup List</t>
  </si>
  <si>
    <t>Denver</t>
  </si>
  <si>
    <t>Pueblo</t>
  </si>
  <si>
    <t>SADDA Zip</t>
  </si>
  <si>
    <t>Score</t>
  </si>
  <si>
    <t>Aguilar</t>
  </si>
  <si>
    <t>Akron</t>
  </si>
  <si>
    <t>Allenspark</t>
  </si>
  <si>
    <t>Almont</t>
  </si>
  <si>
    <t xml:space="preserve">Anton </t>
  </si>
  <si>
    <t>Antonito</t>
  </si>
  <si>
    <t>Arboles</t>
  </si>
  <si>
    <t>Arriba</t>
  </si>
  <si>
    <t>Arvada</t>
  </si>
  <si>
    <t>Aspen</t>
  </si>
  <si>
    <t>Ault</t>
  </si>
  <si>
    <t>Aurora</t>
  </si>
  <si>
    <t xml:space="preserve">Avon </t>
  </si>
  <si>
    <t>Avondale</t>
  </si>
  <si>
    <t xml:space="preserve">Bailey </t>
  </si>
  <si>
    <t xml:space="preserve">Basalt </t>
  </si>
  <si>
    <t xml:space="preserve">Bayfield </t>
  </si>
  <si>
    <t>Bellvue</t>
  </si>
  <si>
    <t>Bennett</t>
  </si>
  <si>
    <t>Beulah</t>
  </si>
  <si>
    <t>Black Forest</t>
  </si>
  <si>
    <t>Berthoud</t>
  </si>
  <si>
    <t>Black Hawk</t>
  </si>
  <si>
    <t>Blanca</t>
  </si>
  <si>
    <t>Blende</t>
  </si>
  <si>
    <t>Boone</t>
  </si>
  <si>
    <t>Bow Mar</t>
  </si>
  <si>
    <t>Breckenridge</t>
  </si>
  <si>
    <t>Briggsdale</t>
  </si>
  <si>
    <t>Brighton</t>
  </si>
  <si>
    <t>Bristol</t>
  </si>
  <si>
    <t>Brush</t>
  </si>
  <si>
    <t>Buena Vista</t>
  </si>
  <si>
    <t>Burlington</t>
  </si>
  <si>
    <t>Byers</t>
  </si>
  <si>
    <t>Calhan</t>
  </si>
  <si>
    <t>Campo</t>
  </si>
  <si>
    <t>Campion</t>
  </si>
  <si>
    <t>Canon City</t>
  </si>
  <si>
    <t>Carbondale</t>
  </si>
  <si>
    <t>Cascade</t>
  </si>
  <si>
    <t>Castle Rock</t>
  </si>
  <si>
    <t>Cedaredge</t>
  </si>
  <si>
    <t>Centennial</t>
  </si>
  <si>
    <t>Central City</t>
  </si>
  <si>
    <t>Chama</t>
  </si>
  <si>
    <t>Cheraw</t>
  </si>
  <si>
    <t>Cherry Hills Village</t>
  </si>
  <si>
    <t>Cheyenne Wells</t>
  </si>
  <si>
    <t>Cimarron</t>
  </si>
  <si>
    <t>Clark</t>
  </si>
  <si>
    <t>Clifton</t>
  </si>
  <si>
    <t>Coaldale</t>
  </si>
  <si>
    <t>Collbran</t>
  </si>
  <si>
    <t>Colorado City</t>
  </si>
  <si>
    <t>Colorado Springs</t>
  </si>
  <si>
    <t>Columbine Valley</t>
  </si>
  <si>
    <t>Commerce City</t>
  </si>
  <si>
    <t>Conifer</t>
  </si>
  <si>
    <t>Copper Mountain</t>
  </si>
  <si>
    <t>Cortez</t>
  </si>
  <si>
    <t>Cowdrey</t>
  </si>
  <si>
    <t>Craig</t>
  </si>
  <si>
    <t>Crawford</t>
  </si>
  <si>
    <t>Creede</t>
  </si>
  <si>
    <t>Crested Butte</t>
  </si>
  <si>
    <t>Cripple Creek</t>
  </si>
  <si>
    <t>Cuchara</t>
  </si>
  <si>
    <t>Dacono</t>
  </si>
  <si>
    <t>De Beque</t>
  </si>
  <si>
    <t>Deer Trail</t>
  </si>
  <si>
    <t>Del Norte</t>
  </si>
  <si>
    <t>Dillon</t>
  </si>
  <si>
    <t>Dinosaur</t>
  </si>
  <si>
    <t>Divide</t>
  </si>
  <si>
    <t>Dove Creek</t>
  </si>
  <si>
    <t>Dupont</t>
  </si>
  <si>
    <t>Durango</t>
  </si>
  <si>
    <t>Eads</t>
  </si>
  <si>
    <t>Eastlake</t>
  </si>
  <si>
    <t>Eaton</t>
  </si>
  <si>
    <t>Eckley</t>
  </si>
  <si>
    <t>Edgewater</t>
  </si>
  <si>
    <t>Edwards</t>
  </si>
  <si>
    <t>El Jebel</t>
  </si>
  <si>
    <t>Eldorado Springs</t>
  </si>
  <si>
    <t>Elizabeth</t>
  </si>
  <si>
    <t>Ellicot</t>
  </si>
  <si>
    <t>Empire</t>
  </si>
  <si>
    <t>Englewood</t>
  </si>
  <si>
    <t>Erie</t>
  </si>
  <si>
    <t>Estes Park</t>
  </si>
  <si>
    <t>Evans</t>
  </si>
  <si>
    <t>Evergreen</t>
  </si>
  <si>
    <t>Fairplay</t>
  </si>
  <si>
    <t>Federal Heights</t>
  </si>
  <si>
    <t>Firestone</t>
  </si>
  <si>
    <t>Flagler</t>
  </si>
  <si>
    <t>Fleming</t>
  </si>
  <si>
    <t>Florence</t>
  </si>
  <si>
    <t>Florissant</t>
  </si>
  <si>
    <t>Fort Collins</t>
  </si>
  <si>
    <t>Fort Garland</t>
  </si>
  <si>
    <t>Fort Lupton</t>
  </si>
  <si>
    <t>Fort Morgan</t>
  </si>
  <si>
    <t>Fountain</t>
  </si>
  <si>
    <t>Fowler</t>
  </si>
  <si>
    <t>Fraser</t>
  </si>
  <si>
    <t>Frederick</t>
  </si>
  <si>
    <t>Frisco</t>
  </si>
  <si>
    <t>Fruita</t>
  </si>
  <si>
    <t>Fruitvale</t>
  </si>
  <si>
    <t>Garden City</t>
  </si>
  <si>
    <t>Gateway</t>
  </si>
  <si>
    <t>Genoa</t>
  </si>
  <si>
    <t>Georgetown</t>
  </si>
  <si>
    <t>Gilcrest</t>
  </si>
  <si>
    <t>Glendale</t>
  </si>
  <si>
    <t xml:space="preserve">Glenwood Springs </t>
  </si>
  <si>
    <t>Golden</t>
  </si>
  <si>
    <t>Granada</t>
  </si>
  <si>
    <t>Granby</t>
  </si>
  <si>
    <t>Grand Junction</t>
  </si>
  <si>
    <t>Grand Lake</t>
  </si>
  <si>
    <t>Granite</t>
  </si>
  <si>
    <t>Greeley</t>
  </si>
  <si>
    <t>Green Mountain Falls</t>
  </si>
  <si>
    <t xml:space="preserve">Greenwood Village </t>
  </si>
  <si>
    <t>Gypsum</t>
  </si>
  <si>
    <t>Haxtun</t>
  </si>
  <si>
    <t>Hayden</t>
  </si>
  <si>
    <t>Henderson</t>
  </si>
  <si>
    <t>Hesperus</t>
  </si>
  <si>
    <t>Highlands Ranch</t>
  </si>
  <si>
    <t>Hoehne</t>
  </si>
  <si>
    <t>Holly</t>
  </si>
  <si>
    <t>Holyoke</t>
  </si>
  <si>
    <t xml:space="preserve">Hot Sulphur Springs </t>
  </si>
  <si>
    <t>Hotchkiss</t>
  </si>
  <si>
    <t>Howard</t>
  </si>
  <si>
    <t>Hudson</t>
  </si>
  <si>
    <t>Hugo</t>
  </si>
  <si>
    <t>Hygiene</t>
  </si>
  <si>
    <t>Idaho Springs</t>
  </si>
  <si>
    <t>Idalia</t>
  </si>
  <si>
    <t>Ignacio</t>
  </si>
  <si>
    <t xml:space="preserve">Indian Hills </t>
  </si>
  <si>
    <t>Irondale</t>
  </si>
  <si>
    <t>Jamestown</t>
  </si>
  <si>
    <t>Jansen</t>
  </si>
  <si>
    <t>Johnson Village</t>
  </si>
  <si>
    <t>Joes</t>
  </si>
  <si>
    <t>Johnstown</t>
  </si>
  <si>
    <t xml:space="preserve">Julesburg </t>
  </si>
  <si>
    <t>Keenesburg</t>
  </si>
  <si>
    <t>Kersey</t>
  </si>
  <si>
    <t>Keystone</t>
  </si>
  <si>
    <t>Kremmling</t>
  </si>
  <si>
    <t>La Jara</t>
  </si>
  <si>
    <t>La Junta</t>
  </si>
  <si>
    <t>La Salle</t>
  </si>
  <si>
    <t>La Veta</t>
  </si>
  <si>
    <t>Lafayette</t>
  </si>
  <si>
    <t>Lake City</t>
  </si>
  <si>
    <t>Lake George</t>
  </si>
  <si>
    <t>Lakewood</t>
  </si>
  <si>
    <t>Lamar</t>
  </si>
  <si>
    <t>Laporte</t>
  </si>
  <si>
    <t>Larkspur</t>
  </si>
  <si>
    <t>Lawson</t>
  </si>
  <si>
    <t>Leadville</t>
  </si>
  <si>
    <t>Limon</t>
  </si>
  <si>
    <t>Lincoln Park</t>
  </si>
  <si>
    <t>Lindon</t>
  </si>
  <si>
    <t>Littleton</t>
  </si>
  <si>
    <t>Lochbuie</t>
  </si>
  <si>
    <t>Log Lane Village</t>
  </si>
  <si>
    <t>Loma</t>
  </si>
  <si>
    <t>Lombard Village</t>
  </si>
  <si>
    <t>Lone Tree</t>
  </si>
  <si>
    <t>Longmont</t>
  </si>
  <si>
    <t>Louisville</t>
  </si>
  <si>
    <t>Loveland</t>
  </si>
  <si>
    <t>Louviers</t>
  </si>
  <si>
    <t>Lucerne</t>
  </si>
  <si>
    <t>Lyons</t>
  </si>
  <si>
    <t>Mack</t>
  </si>
  <si>
    <t>Manassa</t>
  </si>
  <si>
    <t>Mancos</t>
  </si>
  <si>
    <t>Manitou Springs</t>
  </si>
  <si>
    <t>Manzanola</t>
  </si>
  <si>
    <t>Masonville</t>
  </si>
  <si>
    <t>McCoy</t>
  </si>
  <si>
    <t>Meeker</t>
  </si>
  <si>
    <t>Meeker Park</t>
  </si>
  <si>
    <t>Meredith</t>
  </si>
  <si>
    <t>Merino</t>
  </si>
  <si>
    <t>Milliken</t>
  </si>
  <si>
    <t>Minturn</t>
  </si>
  <si>
    <t>Monarch</t>
  </si>
  <si>
    <t>Monte Vista</t>
  </si>
  <si>
    <t>Monument</t>
  </si>
  <si>
    <t>Morrison</t>
  </si>
  <si>
    <t>Mountain View</t>
  </si>
  <si>
    <t>Mosca</t>
  </si>
  <si>
    <t>Nathrop</t>
  </si>
  <si>
    <t>Naturita</t>
  </si>
  <si>
    <t>Nederland</t>
  </si>
  <si>
    <t>New Castle</t>
  </si>
  <si>
    <t>Niwot</t>
  </si>
  <si>
    <t>Northglenn</t>
  </si>
  <si>
    <t>Norwood</t>
  </si>
  <si>
    <t>Nucla</t>
  </si>
  <si>
    <t>Nunn</t>
  </si>
  <si>
    <t>Oak Creek</t>
  </si>
  <si>
    <t>Olathe</t>
  </si>
  <si>
    <t>Olney Springs</t>
  </si>
  <si>
    <t>Orchard City</t>
  </si>
  <si>
    <t>Orchard Mesa</t>
  </si>
  <si>
    <t>Otis</t>
  </si>
  <si>
    <t>Ordway</t>
  </si>
  <si>
    <t>Ovid</t>
  </si>
  <si>
    <t>Pagosa Springs</t>
  </si>
  <si>
    <t>Palisade</t>
  </si>
  <si>
    <t>Palmer Lake</t>
  </si>
  <si>
    <t>Paonia</t>
  </si>
  <si>
    <t>Parachute</t>
  </si>
  <si>
    <t>Parker</t>
  </si>
  <si>
    <t>Parshall</t>
  </si>
  <si>
    <t>Penrose</t>
  </si>
  <si>
    <t>Phippsburg</t>
  </si>
  <si>
    <t>Pierce</t>
  </si>
  <si>
    <t>Pine</t>
  </si>
  <si>
    <t>Placerville</t>
  </si>
  <si>
    <t>Platteville</t>
  </si>
  <si>
    <t>Poncha Springs</t>
  </si>
  <si>
    <t>Powderhorn</t>
  </si>
  <si>
    <t>Pueblo West</t>
  </si>
  <si>
    <t>Punkin Center</t>
  </si>
  <si>
    <t>Rangely</t>
  </si>
  <si>
    <t>Redcliff</t>
  </si>
  <si>
    <t xml:space="preserve">Red Feather Lakes </t>
  </si>
  <si>
    <t>Redstone</t>
  </si>
  <si>
    <t>Rico</t>
  </si>
  <si>
    <t>Ridgway</t>
  </si>
  <si>
    <t>Rifle</t>
  </si>
  <si>
    <t>Rockvale</t>
  </si>
  <si>
    <t>Rocky Ford</t>
  </si>
  <si>
    <t>Rollinsville</t>
  </si>
  <si>
    <t>Romeo</t>
  </si>
  <si>
    <t>Roxborough Park</t>
  </si>
  <si>
    <t>Rye</t>
  </si>
  <si>
    <t>Salida</t>
  </si>
  <si>
    <t>San Acacio</t>
  </si>
  <si>
    <t>San Luis</t>
  </si>
  <si>
    <t>Sanford</t>
  </si>
  <si>
    <t>Sedalia</t>
  </si>
  <si>
    <t>Sheridan</t>
  </si>
  <si>
    <t>Sherrelwood</t>
  </si>
  <si>
    <t>Silt</t>
  </si>
  <si>
    <t>Silver Cliff</t>
  </si>
  <si>
    <t>Silverthorne</t>
  </si>
  <si>
    <t>Silverton</t>
  </si>
  <si>
    <t>Simla</t>
  </si>
  <si>
    <t>Snowmass Village</t>
  </si>
  <si>
    <t>South Fork</t>
  </si>
  <si>
    <t>Springfield</t>
  </si>
  <si>
    <t>Steamboat Springs</t>
  </si>
  <si>
    <t>Sterling</t>
  </si>
  <si>
    <t>Stoneham</t>
  </si>
  <si>
    <t>Strasburg</t>
  </si>
  <si>
    <t>Stratmoor Hills</t>
  </si>
  <si>
    <t>Stratton</t>
  </si>
  <si>
    <t>Sugar City</t>
  </si>
  <si>
    <t>Superior</t>
  </si>
  <si>
    <t>Telluride</t>
  </si>
  <si>
    <t>Thornton</t>
  </si>
  <si>
    <t>Timnath</t>
  </si>
  <si>
    <t>Towaoc</t>
  </si>
  <si>
    <t>Trinidad</t>
  </si>
  <si>
    <t>Twin Lakes</t>
  </si>
  <si>
    <t>Uravan</t>
  </si>
  <si>
    <t>Vail</t>
  </si>
  <si>
    <t>Victor</t>
  </si>
  <si>
    <t>Walden</t>
  </si>
  <si>
    <t>Walsenburg</t>
  </si>
  <si>
    <t>Walsh</t>
  </si>
  <si>
    <t>Ward</t>
  </si>
  <si>
    <t>Watkins</t>
  </si>
  <si>
    <t>Wattenberg</t>
  </si>
  <si>
    <t>Wellington</t>
  </si>
  <si>
    <t>Westcliffe</t>
  </si>
  <si>
    <t>Western Hills</t>
  </si>
  <si>
    <t>Westminster</t>
  </si>
  <si>
    <t>Weston</t>
  </si>
  <si>
    <t>Wheat Ridge</t>
  </si>
  <si>
    <t>Whitewater</t>
  </si>
  <si>
    <t>Widefield</t>
  </si>
  <si>
    <t>Wiggins</t>
  </si>
  <si>
    <t>Wiley</t>
  </si>
  <si>
    <t>Windsor</t>
  </si>
  <si>
    <t>Winter Park</t>
  </si>
  <si>
    <t>Wolcott</t>
  </si>
  <si>
    <t>Woodland Park</t>
  </si>
  <si>
    <t>Woody Creek</t>
  </si>
  <si>
    <t>Wray</t>
  </si>
  <si>
    <t>Yampa</t>
  </si>
  <si>
    <t>[Other - describe]</t>
  </si>
  <si>
    <t>(Other costs /mark-up)  describe in next line items</t>
  </si>
  <si>
    <t>Bonds and Insurance</t>
  </si>
  <si>
    <t>Contingency OH&amp;P</t>
  </si>
  <si>
    <t>Sales, Use Tax, etc.</t>
  </si>
  <si>
    <t>CHANGE LOG: Changes since last release (TAG 0.0)</t>
  </si>
  <si>
    <t>12/01/2017 - TAG 0.1:  Tax Credit Detail: Corrected row 11 (formatting of Parking Ratio to number with 2 decimal points)</t>
  </si>
  <si>
    <t>12/01/2017 - TAG 0.1:  Tax Credit Detail: Corrected row 35 (corrected spelling error of "…Households with…")</t>
  </si>
  <si>
    <t>12/01/2017 - TAG 0.1:  Tax Credit Detail: Corrected row 35 (needs re-work: should look at county points if city is blank)</t>
  </si>
  <si>
    <t xml:space="preserve">12/01/2017 - TAG 0.1:  Tax Credit Summary: Added line 56 (Other Owner Equity) </t>
  </si>
  <si>
    <t>12/01/2017 - TAG 0.1:  Tax Credit Summary: Corrected row 95 (comment: re-pointed to minimum development operating reserves)</t>
  </si>
  <si>
    <t>12/01/2017 - TAG 0.1:  Tax Credit Summary: Corrected rows 112 &amp; 126 (re-formatting of Fees as percentage from 3 decimal points to 2)</t>
  </si>
  <si>
    <t>12/04/2017 - TAG 0.1: Updated to TAG 0.2</t>
  </si>
  <si>
    <t>12/04/2017 - TAG 0.2: Corrected calculation for Score related to the number of All Households with Housing Problems Calculations:B263 - added 2 additional lines to simplify</t>
  </si>
  <si>
    <t>12/07/2017 - TAG 0.2: Updated to TAG 0.3</t>
  </si>
  <si>
    <t>12/07/2017 - TAG 0.3: Disabled portions of Dev Budget 10% Test column, rule changes</t>
  </si>
  <si>
    <t>12/07/2017 - TAG 0.3: State and Federal Historic Credit Amount</t>
  </si>
  <si>
    <t>12/08/2017 - TAG 0.3: Fixed a circular reference error regarding the minimum amount</t>
  </si>
  <si>
    <t>12/08/2017 - TAG 0.3: Application: Line 8 (Requesting CHFA boost) worked into Calculations throughout application</t>
  </si>
  <si>
    <t>12/08/2017 - TAG 0.3: Application: Line 76 (State Funds) will split out the different types of state funds onto separate lines</t>
  </si>
  <si>
    <t xml:space="preserve">12/08/2017 - TAG 0.3: Tax Credit Detail: Corrected G22 (30% AMI units) by re-pointing to correct total of 30% AMI units. </t>
  </si>
  <si>
    <t>12/08/2017 - TAG 0.3: Tax Credit Detail: Corrected F95 (Annual Credit Amount) now includes CHFA boost</t>
  </si>
  <si>
    <t>12/08/2017 - TAG 0.3: Tax Credit Summary: Added D21 (Annual Credit Amount) section for better clarification</t>
  </si>
  <si>
    <t>12/08/2017 - TAG 0.3: Tax Credit Summary: Corrected D69 (Construction Interest) basing on full budgeted amount</t>
  </si>
  <si>
    <t>12/11/2017 - TAB 0.4: Moved Validation</t>
  </si>
  <si>
    <t>12/11/2017 - TAB 0.4: Added Scores to Scoring Sheet</t>
  </si>
  <si>
    <t>12/11/2017 - TAB 0.4: Added Prolink formulas</t>
  </si>
  <si>
    <t>12/11/2017 - TAB 0.4:  Prolink mapping</t>
  </si>
  <si>
    <t>12/12/2017 - WEBINAR 0.1 New name</t>
  </si>
  <si>
    <t>12/12/2017 - WEBINAR 0.1: Data validation on house and senate districts</t>
  </si>
  <si>
    <t>12/14/2017 - WEBINAR 0.1: Data validation corrections (contacts and remove Is Formula)</t>
  </si>
  <si>
    <t>12/14/2017 - WEBINAR 0.1: Calculation based on ZIP code causing #NAME? on older versions of Excel</t>
  </si>
  <si>
    <t>12/14/2017 - WEBINAR 0.1: Validation of Contact information for 'Additional Developer Questions'</t>
  </si>
  <si>
    <t>12/14/2017 - WEBINAR 0.2: Corrected Data validation on Federal Equity Factor</t>
  </si>
  <si>
    <t>12/14/2017 - WEBINAR 0.2: Updated DDA</t>
  </si>
  <si>
    <t>12/19/2017 - BETA 0.1: Final Prolink Mapping</t>
  </si>
  <si>
    <t>12/22/2017 - BETA 0.1: Updated Contact Validation</t>
  </si>
  <si>
    <t>12/27/2017 - BETA 0.2: Updated Prolink mapping for financing, unit mix &amp; rents</t>
  </si>
  <si>
    <t>12/27/2017 - BETA 0.2:  Corrected calc in D510 to be "=B510&lt;=0.3"</t>
  </si>
  <si>
    <t>12/27/2017 - BETA 0.2:  Added permanent passwords</t>
  </si>
  <si>
    <t>12/27/2017 - BETA 0.2:  TC Details correct J55 point to Calculations B273</t>
  </si>
  <si>
    <t xml:space="preserve">12/27/2017 - BETA 0.2:  Prolink - Threshold: 40% at 60% of Area Median Income Optional Field 356 TRUE
</t>
  </si>
  <si>
    <t xml:space="preserve">12/27/2017 - BETA 0.2:  Prolink - Threshold: 20% at 50% of Area Median Income Optional Field 357 TRUE
</t>
  </si>
  <si>
    <t>12/27/17 - 2018 V 1.0: posted to website</t>
  </si>
  <si>
    <t xml:space="preserve">1/9/18 - 2018 V 1.1: On Calculations tab, copy formula from cell B56 down to the cell range of B60:G61 </t>
  </si>
  <si>
    <t xml:space="preserve">1/9/18 - 2018 V 1.1: On the Tax Credit Details tab, copy the formatting in cell D145 to the cell range of C149 through E149. Also, copy this formatting to cell C145 as well. 
 </t>
  </si>
  <si>
    <t>1/9/18 - 2018 V 1.1: DDAs and QCTs updated for 2018 see y drive for list</t>
  </si>
  <si>
    <t>1/9/18 - 2018 V1.1: On Calculations tab, B18 correct qct lookup formula =IFERROR(MATCH(B14,INDEX(Admin!$G$95:$BF$158, B13,0),0), 0) &gt;0</t>
  </si>
  <si>
    <t>1/16/2018 - V1.1: On Prolink Tab edit mapping for Total amount requested Row70</t>
  </si>
  <si>
    <t xml:space="preserve">1/23/18 - V1.1: On Financing Tab - Added validation to Interest Rate and Term of Loan </t>
  </si>
  <si>
    <t xml:space="preserve">1/23/18 - V1.1 - Edited the cell drag and drop in excel options </t>
  </si>
  <si>
    <t xml:space="preserve">1/24/18 -V1.1 - Added bedroom count to calculation tab row 41 </t>
  </si>
  <si>
    <t>1/29/2018 - V 1.1: Corrected Data Validation on State Equity Factor</t>
  </si>
  <si>
    <t xml:space="preserve">1/29/2018 - V 1.1: Added line 60 to application (Enter the Total Amount of Taxable Bonds being issued) </t>
  </si>
  <si>
    <t>1/29/2018 - V 1.1: Updated Calculation B768 (Private Activity Bond Mortgage Amount) to be =SUM(Application!B56:B57)-Application!B60. Subtracting new taxable bond amount</t>
  </si>
  <si>
    <t>1/29/2018 - V 1.1: Eliminated Amenities row 123 and 127 from Data Issues</t>
  </si>
  <si>
    <t>1/29/2018 - V 1.1: Updated Validation of Max Allowable rent to reduce allowed amount if rents do not include utilities by the amount indicated for each unit size</t>
  </si>
  <si>
    <t>1/29/2018 - V 1.1:  Add "cost basis override granted" to Tax Credit Details!H93 and Tax Credit Summary!G19 if Admin override for method 3 is utilized.</t>
  </si>
  <si>
    <t>1/29/2018 - V 1.1: Change Construction Interest Budget Calculations!H91 to use appropriate eligible basis column</t>
  </si>
  <si>
    <t>1/29/2018 - V 1.1: Change messaging for Construction Interest Budget</t>
  </si>
  <si>
    <t>1/29/2018 - V 1.1: Change contact - move Tax Id number to owner and change owner mapping in Prolink from developer to ownership entity</t>
  </si>
  <si>
    <t xml:space="preserve">2/6/2018 - V.1.1: Application Tab - Cell 37 - add data validation </t>
  </si>
  <si>
    <t>2/6/2018 - V.1.1: Application Tab - Cell 20- add data validation</t>
  </si>
  <si>
    <t>2/6/2018 - V.1.1: Application Tab - Cell 111- add data validation</t>
  </si>
  <si>
    <t>2/6/2018 - V.1.1: Lookup Tab - A12 to read New Const</t>
  </si>
  <si>
    <t xml:space="preserve">2/6/2018 - V.1.1:Cost Summary Analysis - updated fields </t>
  </si>
  <si>
    <t>2/8/18 - V.1.2: released to staff, Polaris, website</t>
  </si>
  <si>
    <t>2/21/18 - V.1.2: Calculations Tab - Cell D511 formula changed (=B511 &lt;= 0.31); Cell D546 changed (=ROUND(B524,0)=ROUND(B247,0)</t>
  </si>
  <si>
    <t>2/22/18 - V.1.2: Scoring Tab - Cell A30 language corrected to refer applicants to Contact Information Tab</t>
  </si>
  <si>
    <t>2/21/18 - V.1.2: Calculations Tab - Cell F306 formula changed (=B306 &lt;= D306)</t>
  </si>
  <si>
    <t>3/6/2018 - V 1.2 - Calculations: Changed final Building Profile to not round on line items but only round on total for comparison purposes</t>
  </si>
  <si>
    <t>3/6/2018 - V 1.2 - Calculations: Final Building Profile missing total calculations in row 704. Some totals are now rounded</t>
  </si>
  <si>
    <t>3/6/2018 - V 1.2 - Calculations: Changed F706 to be =B410 so that Eligible basis will be the boosted amount</t>
  </si>
  <si>
    <t>3/6/2018 - V 1.2 - Calculations: Added values for B719 and B720</t>
  </si>
  <si>
    <t xml:space="preserve">3/9/2018 - V.1.2 - Application Instructions: definitions added to the Cost Summary instructions </t>
  </si>
  <si>
    <t>3/9/2018 - V.1.2 - Cost Summary Analysis - updated per instructions 2/27/18</t>
  </si>
  <si>
    <t>3/12/18 - V.1.2 - Tax Credit Details - change titles in rows 171, 178</t>
  </si>
  <si>
    <t>3/21/18 - V.1.2. - Stress Test - Correct formulas B6 =Calculations!B315, B25 =Calculations!B318</t>
  </si>
  <si>
    <t>3/23/18 - V.1.3 - released to staff, Polaris and website</t>
  </si>
  <si>
    <t>3/26/18 - V.1.3 - Admin - increase cost basis limits by 4.5% cells B63-B67, C63-C67</t>
  </si>
  <si>
    <t>4/2/18 - V.1.3 - Tax Credit Summary G97 data validation added</t>
  </si>
  <si>
    <t>4/11/18 - V.1.3 - Add new field for 4% APR - Splitting Acq and New Con/Rehab. Changed calc in cells B414, B421, B451</t>
  </si>
  <si>
    <t>4/11/18 - V.1.3 - Change mechanism to determine special needs points in calculations (row 273, 274). Had to split homeless and elderly for output. Corrected value on details output.</t>
  </si>
  <si>
    <t>4/11/18 - V.1.3 - Change formula for date output on Prolink D76</t>
  </si>
  <si>
    <t>4/13/18 - V.1.3 - Instructions - add hint for paste fx row 47</t>
  </si>
  <si>
    <t>4/13/18 - V.1.3 - Application - Identity of Interest? moved from Contact Information. Updated Calculations</t>
  </si>
  <si>
    <t>4/13/18 - V.1.3 - Financing - correct B40, add totals/grand totals</t>
  </si>
  <si>
    <t>4/13/18 - V.1.3 - Rent &amp; Income Limits updated for 2018</t>
  </si>
  <si>
    <t>5/1/18 - V.2 - Calculations - Scoring row 273 and 274 validation added to E273, F273, F274</t>
  </si>
  <si>
    <t>5/1/18 - V.2 - Calculations - Budget subtotal formulas corrected, E187,E222,E230,E238,E247</t>
  </si>
  <si>
    <t>5/1/18 - V.2 - Calculations - B720 (+B407), B721 (=B418)</t>
  </si>
  <si>
    <t>5/1/18 - V.2 - Tax Credit Summary chart order re-organized</t>
  </si>
  <si>
    <t>5/1/18 - V.2 - Tax Credit Details chart order re-organized</t>
  </si>
  <si>
    <t xml:space="preserve">5/1/18 - V.2 - Stress Test, Memo Attachments added </t>
  </si>
  <si>
    <t>5/1/18 - V.2 - Amenities Chart updated</t>
  </si>
  <si>
    <t>5/1/18 - V.2 - Validation - formulas corrected B377,B378,B778,B512,B530,B519,F1384,K1387,I1390,F1391</t>
  </si>
  <si>
    <t>5/2/18 - V.2 - Prolink - re-mapped C155-C220</t>
  </si>
  <si>
    <t>5/3/18 - V.2 - Cost Summary Worksheet L15-L63, E70-F72, F70-F72 updated for 2018 round 2</t>
  </si>
  <si>
    <t>5/8/18 - V.2.1 - Amenities - adjust data validation for B54 - B59</t>
  </si>
  <si>
    <t>5/8/18 - V.2.1 - Contact Information - data validation added to column E</t>
  </si>
  <si>
    <t>5/14/18 - V.2.1 - Calculations H91 formula corrected (='Development Budget'!B48)</t>
  </si>
  <si>
    <t>5/29/18 - V.2.1 - Corrected Issue with Amenities Validation</t>
  </si>
  <si>
    <t>5/29/18 - V.2.1 -  L606:L704 in final building profile calculation did not apply boost correctly since to was pointing to wrong cell</t>
  </si>
  <si>
    <t xml:space="preserve">5/29/18 - V.2.1 -  Changed Calculation B597 to use B540 instead of B19 so that if a boost was requested it would be used </t>
  </si>
  <si>
    <t>5/30/18 - V2.1.1 - Admin - remove LaPlata county from DDA</t>
  </si>
  <si>
    <t xml:space="preserve">6/8/18 - V2.1.1 Prolink tab - C132 </t>
  </si>
  <si>
    <t>6/13/18 - V.2.1.1 - Admin - add CHFA DDA Boost Override B18</t>
  </si>
  <si>
    <t>6/13/18 - V.2.1.1 - Calculations O49 error message added for TC Summary B27</t>
  </si>
  <si>
    <t>6/21/18 - V.2.1.1 - Created new section on Calculations for Tax Credit Summary Development Financing - Federal amount did not include boost on Summary. New section is easier to follow</t>
  </si>
  <si>
    <t>7/3/18 - V.2.1.1 Mapped amenities on Prolink tab starting at 984-1053</t>
  </si>
  <si>
    <t>7/26/18 - V.2.1.1 Calculations B597 corrected =IF(OR($B$19, $B$540), Admin!$B$58, IF($B$568, MIN(Admin!$B$59, $B$561), 1))</t>
  </si>
  <si>
    <t>7/27/18 V2.1.1. Mapped Developer Fee on the Prolink Tab Cell B242</t>
  </si>
  <si>
    <t>7/27/18 V2.1.1. Added Assisted Living to Unit Mix Type PL on the Look Page Cell E60</t>
  </si>
  <si>
    <t>8/22/18 V2.2 - Calculations B730 changed to =IF($B$4,$C$709,$B$461)</t>
  </si>
  <si>
    <t>8/22/18 V2.2 - Calculations A103 added Additional Amount to cover GAP</t>
  </si>
  <si>
    <t>8/27/18 V2.2 - Calculations C397 formula corrected</t>
  </si>
  <si>
    <t>8/28/18 V2.2 - Budget cell F6 unlocked for 10% test</t>
  </si>
  <si>
    <t>8/28/18 V2.2 - Stress Test and Attachments Units Mix &amp; Rents added, aggregate basis calc redirected</t>
  </si>
  <si>
    <t>9/27/18 V.2.2 - Calculations W610 and X610 column labels corrected</t>
  </si>
  <si>
    <t>10/10/18 V2.2 - Prolink C72 changed to (=Calculations$B$511)</t>
  </si>
  <si>
    <t xml:space="preserve">10/12/18 V2.2 - Prolink Tab - Added State CHFA DDA BOOST AMOUNT AND PERCENT in cell A81-A82 - with equations- calculation tab B571 AND b562 </t>
  </si>
  <si>
    <t>10/22/18 2018 V.1 - Application questions/dropdowns added for existing building, green systems, energy efficiency, income averaging, permanent supportive housing</t>
  </si>
  <si>
    <t>10/22/18 2018 V.1 - 20%,70%, 80% AMIs added</t>
  </si>
  <si>
    <t>10/22/18 2018 V.1 - Calculations C712 changed to =O710</t>
  </si>
  <si>
    <t>10/23/18 2018 V.1 - Calculations J283 corrected to (=SUM(G167:G169,G172,G176:G189,G192:G205,G208:G224,G244:G259,G270:G276)</t>
  </si>
  <si>
    <t>10/23/19 2018 V.1 - Calculations H248 corrected to (=IF(B$3,G248/$J$245,""))</t>
  </si>
  <si>
    <t>10/31/18 2018 V.1 - Lookup added 20%, 70%, 80% AMI levels</t>
  </si>
  <si>
    <t>10/31/18 2018 V.1 - Calculations Proforma Debt Coverage Ratio formula changed to - =IF($B$330,0,IF(SUM(B336:B338) = 0, "Loans Missing",  B335/ABS(B336+B337+B338)))</t>
  </si>
  <si>
    <t>11/6/18 2018 V.1 - Application Removed Building Net Rentable SQ and Gross Square Footage</t>
  </si>
  <si>
    <t>11/6/18 2018 V.1 - Added 20%, 70%, 80% AMI levels throughout Rent &amp; Income Limits, Calculations, and Tax Credit Details/Summary sheets</t>
  </si>
  <si>
    <t>11/7/18 2018 V.1 - Added income averaging as calculation and displayed output on Tax Credit Summary sheet</t>
  </si>
  <si>
    <t>11/7/18 2018 V.1 - Added Max Adjusted Rent limits to the bottom of the Tax Credit Summary sheet</t>
  </si>
  <si>
    <t>11/8/18 2018 V.1 - Validation - additional contacts added to list</t>
  </si>
  <si>
    <t>11/8/18 2018 V.1 - Financing added category for no permanent loans</t>
  </si>
  <si>
    <t>11/13/18 2018 V.1 - Budget PSH row 110 added</t>
  </si>
  <si>
    <t>11/20/18 2018 V.1 - Prolink mapping changes, deleted 221d3, duplicate state credit amount, optional field 165 and 159 to b453 and b454, formatted 625-681 for percentage, optional field 455 (PSH), add total rental units soft costs/sqft 259, soft costs/unit 260, removed duplicate total rental units, income averaging, deleted owner fax, added owner cell#, deleted optional field 96,   </t>
  </si>
  <si>
    <t>11/30/18 2018 V.1 - Validation - error message added for IA(market units)</t>
  </si>
  <si>
    <t>11/30/18 2018 V.1 - Contacts re-organized, added</t>
  </si>
  <si>
    <t>11/30/18 2018 V.1 - Calculations H828 corrected to (=IF(E829&gt;F829,IF(F829&gt;0,"Adjusted rent exceeds allowable rent limit",""),""))</t>
  </si>
  <si>
    <t>12/7/18 2018 V.1 - Sinking Fund test and Cost Summary Worksheet removed</t>
  </si>
  <si>
    <t xml:space="preserve">1/15/19 2019 V.1.1 - Contact Info, column F, correct format </t>
  </si>
  <si>
    <t>1/15/19 2019 V.1.1 - Prolink, map B92 Development Budget</t>
  </si>
  <si>
    <t>1/15/19 2019 V.1.1 - TC Summary format I67, D71 corrected =Calculations!E563</t>
  </si>
  <si>
    <t xml:space="preserve">1/15/19 2019 V.1.1 - Calculations B24 corrected to (=SUM(Financing!B46:B48,Financing!B53:B58,Financing!B63:B70,Financing!B75:B76) </t>
  </si>
  <si>
    <t>2/16/19 2019 V.1.1 - Calculations H286 corrected =SUM(D286+B167+B168)</t>
  </si>
  <si>
    <t>2/16/19 2019 V.1.1 - Prolink C71 corrected =Calculations!B552</t>
  </si>
  <si>
    <t>4/25/19 2019 V.1.1 - Calculations E562 corrected (=$B$564)</t>
  </si>
  <si>
    <t>4/25/19 2019 V.1.1 - Calculations E563 corrected (=$B$565)</t>
  </si>
  <si>
    <t>4/25/19 2019 V.1.1 - Calculations E564 corrected (=$B$566)</t>
  </si>
  <si>
    <t>4/25/19 2019 V.1.1 - Calculations B565 corrected (=SUM(B563:B564)+$B$161)</t>
  </si>
  <si>
    <t>4/25/19 2019 V.1.1 - Calculations B566 corrected (=$B$286 +$B$630)</t>
  </si>
  <si>
    <t>5/2/19 2019 V.2 - Income and Rent limits updated to 2019 limits</t>
  </si>
  <si>
    <t>5/6/19 2019 V.2 - Calculations B771 corrected (=IF($B$4,$C$758,$B$502))</t>
  </si>
  <si>
    <t>5/6/19 2019 V.2 - Calculations B642 corrected (=IF(OR($B$19, $B$581), Admin!$B$59, IF($B$613, MIN(Admin!$B$59, $B$60), 1)))</t>
  </si>
  <si>
    <t>5/6/19 2019 V.2 - Calculations H128 corrected (=SUM('Development Budget'!C48:D48))</t>
  </si>
  <si>
    <t>5/6/19 2019 V.2 - TC Summary D71 corrected (=Calculations!E563)</t>
  </si>
  <si>
    <t>5/6/19 2019 V.2 - TC Summary D80 corrected (=Calculations!B825)</t>
  </si>
  <si>
    <t>5/6/19 2019 V.2 - TC Summary D88 corrected (=Calculations!B825)</t>
  </si>
  <si>
    <t>5/6/19 2019 V.2 - Stress Test &amp; Attachments D66 corrected (=Calculations!H128)</t>
  </si>
  <si>
    <t>5/6/19 2019 V.2 - Stress Test &amp; Attachments D81 corrected (=Calculations!B19)</t>
  </si>
  <si>
    <t>5/7/19 2019 V.2 - Prolink mapping added for Applicant Information at row 351</t>
  </si>
  <si>
    <t>5/7/19 2019 V.2 - Calculations C816 and I817 changed to reflect PAB maximum of 52%</t>
  </si>
  <si>
    <t>5/7/19 2019 V.2 - Lookup E175 and E176 changed to reflect PAB maximum of 52%</t>
  </si>
  <si>
    <t>5/28/19 2019 v.2 - Calculations C47 - formula added</t>
  </si>
  <si>
    <t xml:space="preserve">5/31/2019 V.2 Prolink, added some additional mapping  Proforma Income &amp; Expense all the others "comments" are mapped now </t>
  </si>
  <si>
    <t>6/3/2019 V2. - Rent and Income Limits corrected, Broomfield, Chaffee and Cheyenne counties updated to 2019 limits</t>
  </si>
  <si>
    <t xml:space="preserve">6/12/19 V.2 - Excel Workbook disabled "Drag and Drop" in the advanced settings in excel </t>
  </si>
  <si>
    <t>6/26/19 V.2.1 - Calculations E563 changed (=$B$565+$B$161)</t>
  </si>
  <si>
    <t>6/26/19 V.2.1 - Calculations E564 changed (=$B$566+$B$630)</t>
  </si>
  <si>
    <t>6/26/19 V.2.1 - Stress Test &amp; Attachments Deferred Developer Fee added to cell D117</t>
  </si>
  <si>
    <t xml:space="preserve">8/15/2019 V.2.1 Adding Management Email and Phone mapping on Prolink tab ay C378-379 to pull from Contact Page </t>
  </si>
  <si>
    <t xml:space="preserve">8/15/2019 V.2.1 Added mapping to Prolink tab on cell C126 to capture resyndication </t>
  </si>
  <si>
    <t>8/15/2019 V.2.1 Removed Mapping of Project Name so the applicate can't update Prolink</t>
  </si>
  <si>
    <t xml:space="preserve">8/15/2019 V.2.1 Change the QAP Title on the Application Instruction Tab to read 2019 and not 2018 </t>
  </si>
  <si>
    <t>9/4/2019 V.2.1 Added Income Averaging to Stress Test &amp; Attachments Tab H143 and I143</t>
  </si>
  <si>
    <t>11/1/2019 V.2.1 Changed top of Cost Summary tab for ease of completion</t>
  </si>
  <si>
    <t>11/4/2019 V.2.1 Calculations B613 changed (=B602&gt;0.001)</t>
  </si>
  <si>
    <t>11/4/2019 V.2.1 Admin HUD Metro SAFMR zip codes updated for 2020</t>
  </si>
  <si>
    <t>11/4/2019 V.2.1 Admin HUD Non-Metro DDA updated for 2020</t>
  </si>
  <si>
    <t>11/4/2019 V.2.1 Admin HUD Metro/Non-Metro QCT updated for 2020</t>
  </si>
  <si>
    <t>11/18/19 V.2.1 Contact Information - Instruction added to line 2, cell validation to M10 and A107</t>
  </si>
  <si>
    <t>11/18/19 V.2.1 Scoring added language to be completed at Preliminary Application Only</t>
  </si>
  <si>
    <t>11/25/2019 V.2.1 Formula Added on Stress Test &amp; Attachments D81</t>
  </si>
  <si>
    <t xml:space="preserve">11/25/2019 V.2.1 Changed the messaging color on F66 on Stress Test &amp; Attachments </t>
  </si>
  <si>
    <t>11/25/2019 V.2.1 Prolink Tab - added mapping to C7-C66/C120-125/C129/C134-135/C214-216</t>
  </si>
  <si>
    <t>11/26/2019 V.2.1 Validation Tab - added calculations to row 1467</t>
  </si>
  <si>
    <t>11/26/2019 V.2.1. Admin Tab increased Basis Limit by 4%</t>
  </si>
  <si>
    <t>11/26/2019 V.2.1 Data Issues - =IF(TRIM(Validation!G1523)="", "No Missing Data or Data Entry Errors", Validation!G1523)</t>
  </si>
  <si>
    <t>11/26/2019 V.2.1 TC Cost Summary D57 - =CONCATENATE(Calculations!C16," ",Calculations!C17," ",Calculations!C18)</t>
  </si>
  <si>
    <t>11/26/2019 V.2.1 TC Cost Summary D79 - =Calculations!E420</t>
  </si>
  <si>
    <t>11/26/2019 V.2.1 Stress Test and Attachments K53 - =Calculations!E421</t>
  </si>
  <si>
    <t>12/5/2019 V.2.1 Validation Tab - D1468 =ADDRESS(B1468, 3,4  )</t>
  </si>
  <si>
    <t>12/5/2019 V.2.1 TC Details H20 =Calculations!G298</t>
  </si>
  <si>
    <t>12/5/2019 V.2.1 Calculations G298 =IF($H$39 = 0, 0, E298/$H$39)</t>
  </si>
  <si>
    <t>12/5/2019 V.2.1 Calculations C816 =B816*0.55</t>
  </si>
  <si>
    <t>12/13/2019 V.2.1 Added additional mapping on Prolink Tab on c7-c66/c144/c145/c140/c120-c125/c128/c134-135/c214-c216/c192</t>
  </si>
  <si>
    <t xml:space="preserve">12/13/2019 V.2.1 Added amenities to B66 with a data issue issues error as well </t>
  </si>
  <si>
    <t xml:space="preserve">12/16/2019 V.2.1 Contact Tab M8/N8 didn't need a data issues, removed the data issue </t>
  </si>
  <si>
    <t>12/16/2019 V.2.1 Contact Tab M27 DIDN’T NEED A DATA ISSUES, M28 however did need a data issue applied data issue for M28</t>
  </si>
  <si>
    <t xml:space="preserve">12/16/2019 V.2.1 Application Tab B48-B50 Added data validation </t>
  </si>
  <si>
    <t xml:space="preserve">12/16/2019 V.2.1 Data Issues Tab - couldn’t see the title of Row 17 expanded that </t>
  </si>
  <si>
    <t xml:space="preserve">1/15/2020 v.2.1 Look up Tab - E175, E176 change message to max 55% </t>
  </si>
  <si>
    <t>1/15/20202 V2.1 Contacts - Column J4-J34, J36-J39 and K4-K34, K36-K39 data validation corrected</t>
  </si>
  <si>
    <t>1/30/2020 V.2.1 Validation - Column L127-L191 =INDEX(Calculations!$A$75:$G$82, MATCH(H129, Calculations!$A$75:$A$82),MATCH(J129,Calculations!$A$75:$G$75))</t>
  </si>
  <si>
    <t>1/30/2020 V.2.1 Validation - M127-M191 =INDEX(Calculations!$A$87:$G$94, MATCH(H129, Calculations!$A$75:$A$82),MATCH(J129,Calculations!$A$75:$G$75))</t>
  </si>
  <si>
    <t>2/20/2020 V.2.1 Lookup - A89 changed to Average Income</t>
  </si>
  <si>
    <t>2/20/2020 V.2.1 TC Summary replaced Income Averaging with Average Income</t>
  </si>
  <si>
    <t>2/20/2020 V.2.1 Calculations =B378&lt;=Admin!B9</t>
  </si>
  <si>
    <t xml:space="preserve">2/26/2020 V.2.1 TC Summary C78 changed to Max Allowable Developer Fee </t>
  </si>
  <si>
    <t xml:space="preserve">2/26/2020 V.2.1 TC Summary D78 format for $ </t>
  </si>
  <si>
    <t xml:space="preserve">6/1/2020 V.2.1 Updated 2020 Rents </t>
  </si>
  <si>
    <t>6/8/2020 V.2.1 Calculations B645 =ROUND($B$502,0)</t>
  </si>
  <si>
    <t xml:space="preserve">6/8/2020 V.2.1 Application Tab added Radon Mitigation on line 42 </t>
  </si>
  <si>
    <t xml:space="preserve">6/8/2020 V.2.1 Application Tad added a hyperlink on line 20 </t>
  </si>
  <si>
    <t xml:space="preserve">6/8/2020 V.2.1 Application Tab added C Bonds at 64 and Recycled Bonds at 65 </t>
  </si>
  <si>
    <t>6/9/2020 V.2.1 Calculations - B565=SUM(B563+B564+B161+B573)</t>
  </si>
  <si>
    <t>6/9/2020 V.2.1 Calculations - G817=SUM(M54-M52)</t>
  </si>
  <si>
    <t>6/12/2020 V.2.1 Calculations B420 added: =IF(B418+B419 &gt; B417, B418-B417+B419, 0)</t>
  </si>
  <si>
    <t xml:space="preserve">6/22/2020 V2.2 Application Tab - reordered funding sources, removed; Veterans, 223(a)(7), </t>
  </si>
  <si>
    <t>6/22/2020 V2.2 Application Tab - B50/B51 no decimal spaces</t>
  </si>
  <si>
    <t>6/22/2020 V2.2 Application Tab - Data Validation modified B106-B106, B111</t>
  </si>
  <si>
    <t>6/22/2020 V2.2 TC Summary tab added conditional formatting to F37</t>
  </si>
  <si>
    <t>6/22/2020 V2.2 Final Building Profile format number format using commas</t>
  </si>
  <si>
    <t>6/22/2020 V2.2 TC Details E108 = Calculations !M67</t>
  </si>
  <si>
    <t>6/22/2020 V2.2 TC Summary D36 =Calculations!E390</t>
  </si>
  <si>
    <t>6/22/2020 V2.2 TC Summary D71 =Calculations!E563</t>
  </si>
  <si>
    <t>6/22/2020 V2.2 TC Summary D71, I17 no decimals</t>
  </si>
  <si>
    <t>6/22/2020 V2.2 TC Summary D62, E62, E68 font size corrected</t>
  </si>
  <si>
    <t>6/29/2020 V2.2 Contacts - data validation removed for column K</t>
  </si>
  <si>
    <t>6/29/2020 V2.2 Calculations F390 =ROUNDDOWN(B378,4)&lt;=ROUNDDOWN(Admin!B9,4)</t>
  </si>
  <si>
    <t>6/30/2020 V2.2.1 Prolink - refresh dropdowns, reformat C715 - C774</t>
  </si>
  <si>
    <t xml:space="preserve">7/7/2020 V2.2.1 Reformatted Application B76 </t>
  </si>
  <si>
    <t>7/8/2020 V2.2.1 Calculations - B351 =Application!B80</t>
  </si>
  <si>
    <t>7/8/2020 V2.2.1 Calculations - correct F390 =ROUNDDOWN(B378,4)&gt;=ROUNDDOWN(Admin!B9,4)</t>
  </si>
  <si>
    <t>7/21/2020 V2.2.1 Amenities A54 label changed to - Surface Parking (# of spaces)</t>
  </si>
  <si>
    <t>move the parking space question to the amenities tab from the application tab, double check the mapping</t>
  </si>
  <si>
    <t>7/29/2020 V2.2.1 Prolink - C390 changed to =Scoring!$B$5="Average Income"</t>
  </si>
  <si>
    <t>9/15/2020 V2.2.1 Validation F1541 update formula =IFNA(Calculations!$B$450, 0)</t>
  </si>
  <si>
    <r>
      <t xml:space="preserve">9/15/2020 V2.2.1 Validation A1559 - A3111 - every 16 rows, </t>
    </r>
    <r>
      <rPr>
        <b/>
        <sz val="11"/>
        <color theme="1"/>
        <rFont val="Calibri"/>
        <family val="2"/>
        <scheme val="minor"/>
      </rPr>
      <t>=IF(AND(Calculations!$B$4,Calculations!$B$27&gt;=C1557, E1557 &lt;&gt; 13),F1557,"")</t>
    </r>
    <r>
      <rPr>
        <sz val="11"/>
        <color theme="1"/>
        <rFont val="Calibri"/>
        <family val="2"/>
        <scheme val="minor"/>
      </rPr>
      <t xml:space="preserve">  -  C1557, E1557, F1557 adjust to match row number</t>
    </r>
  </si>
  <si>
    <t>10/13/2020 V2.2.1 TC Details H73, H74 text added</t>
  </si>
  <si>
    <t>10/13/2020 V2.2.1 TC Summary I73 = calculations!B630</t>
  </si>
  <si>
    <t>10/13/2020 V2.2.1 TC Summary I74 = I72+I73</t>
  </si>
  <si>
    <t xml:space="preserve">10/26/2020 V2.2.1 Contacts Information M9 - Updated Legal Status to include some of MF Status </t>
  </si>
  <si>
    <t xml:space="preserve">11/13/2020 V2.2.1 Admin Tab updated the 2021 DDA/SADDA/QCT Numbers/ZIP Codes </t>
  </si>
  <si>
    <t>11/13/2020 V2.2.1 Application Tab - updated the Data Vaildation for B36-B45</t>
  </si>
  <si>
    <t xml:space="preserve">11/13/2020 V2.2.1 Application Tab - updated Timeline Section to match the Quarterly Report </t>
  </si>
  <si>
    <t>11/13/2020 V2.2.1 Application Tab - removed number of parking cell B51 - moved to amenities tab - updated calculation tab - updated validation</t>
  </si>
  <si>
    <t>11/13/2020 V2.2.1 Calculations Tab - I817 Changed equation to =IF(AND(B817&gt;=0.5,B817&lt;=0.55),TRUE,FALSE)</t>
  </si>
  <si>
    <t xml:space="preserve">11/13/2020 V2.2.1 Tax Credit Summary Tab - changed title in row B80 to Deferred Developer Fee % </t>
  </si>
  <si>
    <t>update report</t>
  </si>
  <si>
    <t>11/17/2020 V2.2.1 Tax Credit Summary Tab - add bedroom mix by AMI targeting to chart at row 183</t>
  </si>
  <si>
    <t>11/17/2020 V2.2.1 Tax Credit Summary Tab -L72, L73 removed text messages regarding commercial sources and funds</t>
  </si>
  <si>
    <t>11/17/2020 V2.2.1 Scoring - updated language at C11 = Waiver: 15 year = 30 points, 25 year = 38 points</t>
  </si>
  <si>
    <t>11/17/2020 Instructions, Application Tab - Application year and title changed to 2021 Housing Credit Application</t>
  </si>
  <si>
    <t>11/17/2020 Admin Tab - updated application date range B2,B3</t>
  </si>
  <si>
    <t xml:space="preserve">11/17/2020 search 2020 and replace with 2021 </t>
  </si>
  <si>
    <t>11/17/2020 search LIHTC and replace with Housing Credit</t>
  </si>
  <si>
    <t>11/17/2020 V.3 Contact tab - moved Additional NP questions below GP questions</t>
  </si>
  <si>
    <t>11/17/2020 V.3 Development Budget - added column G for applicant entry</t>
  </si>
  <si>
    <t>11/17/2020 V.3 Development Budget - G3 = Explain changes greater than 5%</t>
  </si>
  <si>
    <t xml:space="preserve">12/1/2020 V.3 TC Summary - Commercial Sources added to C71 and Commercial Sources Amount to D71 </t>
  </si>
  <si>
    <t>12/1/2020 V.3 Calculations A413 added - Less 50% Reduction from Existing Structures</t>
  </si>
  <si>
    <t>12/1/2020 V.3 Calculations B413 =IF(Application!B91 = "Yes", Admin!B47, Admin!B47/2)</t>
  </si>
  <si>
    <t>12/1/2020 V.3 TC Summary - C171 = Less 50% Reduction of Existing Structures</t>
  </si>
  <si>
    <t>12/1/2020 V.3 TC Summary - D171 =Calculations!B413</t>
  </si>
  <si>
    <t>12/1/2020 V.3 Stress Test - columns C - L, adjust width (14)</t>
  </si>
  <si>
    <t>12/1/2020 V.3 Stress Test - C46 - L46 reformatted, no decimals</t>
  </si>
  <si>
    <t>12/1/2020 V.3 Stress Test - C36 - L36 reformatted, no decimals</t>
  </si>
  <si>
    <t>12/2/2020 V.3 Scoring - added new category, update scores and language</t>
  </si>
  <si>
    <t>12/2/2020 V.3 Calculations - A311 - added Developer Characteristics 6 for 5 points</t>
  </si>
  <si>
    <t>12/2/2020 V.3 Calculations - A313 - updated score to 15 points</t>
  </si>
  <si>
    <t>12/7/2020V.3 Validations A106 =IF(AND(E106="",$H$98),F106, "")</t>
  </si>
  <si>
    <t>12/7/2020 V.3 Final Building Profile - A2 = Complete at Final only</t>
  </si>
  <si>
    <t>12/7/2020 Stress Test &amp; Attachments - E122 - K130 added table for bedroom size</t>
  </si>
  <si>
    <t>12/8/2020 Admin Tab - update costs basis limits, increase by .025</t>
  </si>
  <si>
    <t>12/8/2020 Calculations - B413 =IF(Admin!B19&gt;0,Admin!B19,-Calculations!B168*0.5)</t>
  </si>
  <si>
    <t xml:space="preserve">12/8/2020 Added State Milestone Fee to ProLink D571 and added to calculation tab B795 </t>
  </si>
  <si>
    <t>12/10/2020 Added mapping to prolink tab 503-517</t>
  </si>
  <si>
    <t xml:space="preserve">12/10/2020 Calculations Tab changed h125 to application b122 </t>
  </si>
  <si>
    <t>4/12/2021 V3.2 - Application Tab - C20 link updated</t>
  </si>
  <si>
    <t>4/12/2021 V3.2 - Application Tab - comments in column C removed for rows 36,37,38,40,41</t>
  </si>
  <si>
    <t>4/12/2021 V3.2 - Rent &amp; Income Limits updated to 2021 4/1/21 limits</t>
  </si>
  <si>
    <t>4/12/2021 V3.2 - Contact Information - A15 updated to Fee/Turnkey Developer</t>
  </si>
  <si>
    <t>4/12/2021 V3.2 - Calculations B98 =MATCH($B$12, TRIM('Rent &amp; Income Limits'!A9:A709), 0) + ROW('Rent &amp; Income Limits'!A8)</t>
  </si>
  <si>
    <t>4/12/2021 V3.2 - Calculations B109 =MATCH($B$12, TRIM('Rent &amp; Income Limits'!A9:A709), 0) + ROW('Rent &amp; Income Limits'!A8)</t>
  </si>
  <si>
    <t>4/14/2021 V3.2 - Calculations Tab - F3 =SUM(Amenities!B54:B59)</t>
  </si>
  <si>
    <t xml:space="preserve">4/14/2021 V3.2 - Validation F91 =CONCATENATE("Enter a value for '", C91, "' in cell ", D91, ".", CHAR(10)) </t>
  </si>
  <si>
    <t>4/14/2021 V3.1 - Financing B4 - validation added, numbers only</t>
  </si>
  <si>
    <t>4/15/2021 V3.2 - Application Tab - added All Electric at row 45</t>
  </si>
  <si>
    <t xml:space="preserve">4/15/2021 ProLink Tab C503-I516 Updated formula to say if blank keep blank  </t>
  </si>
  <si>
    <t>4/15/2021 V3.2 - Instructions updated - contact information, "Disregard errors for blank contacts if not applicable to this application"</t>
  </si>
  <si>
    <t xml:space="preserve">6/1/2021-  V3.3 ProLink tab edited the proxy entities, and the quarterly report dates changed the formula to not read blank </t>
  </si>
  <si>
    <t xml:space="preserve">7/13/2021 - V3.3 Application Tab B2 - added release date </t>
  </si>
  <si>
    <t>7/13/2021 - V3.3 Calculations - B413 =IF(Admin!B19="yes",0,-Calculations!B168*0.5)</t>
  </si>
  <si>
    <t>7/13/2021 - V3.3 Calculations - C413 =IF(Admin!B19="yes", "existing structures override granted", "")</t>
  </si>
  <si>
    <t xml:space="preserve">7/27/2021 - V3.3 Calculations - B543 =IF(Admin!B17&gt;0, Admin!B17, E487) </t>
  </si>
  <si>
    <t>7/27/2021 - V3.3 Calculations - D548 =IF(Admin!B17&gt;0, "cost basis override granted", "")</t>
  </si>
  <si>
    <t>8/9/2021 - V3.3 Prolink - C144 =Calculations!B817</t>
  </si>
  <si>
    <t>8/9/2021 - V3.3 Prolink - C145 =Calculations!B818</t>
  </si>
  <si>
    <t>9/20/2021 - V3.3 Tax Credit Summary - D120 = Calculations!C380</t>
  </si>
  <si>
    <t>10/19/21 - V3.3 Admin - A89 = 4% Init Determination State Min</t>
  </si>
  <si>
    <t>10/19/21 - V3.3 Admin - A92 = 4% Final App Fee Min</t>
  </si>
  <si>
    <t>10/19/21 - V3.3 Prolink C350 =Calculations!G823</t>
  </si>
  <si>
    <t>10/19/21 - V3.3 Prolink C144 =Calculations!B817</t>
  </si>
  <si>
    <t>10/19/21 - V3.3 Prolink C145 =Calculations!B817</t>
  </si>
  <si>
    <t>10/19/21 - V3.3 Prolink C132 = IFERROR(Calculations!$B$564, 0)</t>
  </si>
  <si>
    <t>11/14/21 - V3.3 Admin update QCT, DDA and SADDA for 2022</t>
  </si>
  <si>
    <t>11/15/21 - V3.3 DOH tabs Replaced and Remaped; Development Budget, Income+Expense, Financing DOH, Rental_Proforma</t>
  </si>
  <si>
    <t>11/15/21 - V3.3 Application - add row 51, number of residential buildings</t>
  </si>
  <si>
    <t>11/15/21 - V3.3 Application - add row 67, name of entity providing Bond Cap</t>
  </si>
  <si>
    <t>11/15/21 - V3.3 Application - add row 68, amount of Bond Cap</t>
  </si>
  <si>
    <t>11/15/21 - V3.3 Amenities - add row 69, number of EV charging stations</t>
  </si>
  <si>
    <t>11/22/21 - V4 2022 - new version created</t>
  </si>
  <si>
    <t>12/09/21 -V4 Change Equation from 1447-1680 =ROW('Contact Information'!B151)</t>
  </si>
  <si>
    <t>12/16/21 - V4 Prolink - C779 - C838 formatted for percentage</t>
  </si>
  <si>
    <t xml:space="preserve">2/1/22 - V4 Prolink - row added at 187 for Entitiy Transferring Bond Cap, C187 mapped to prolink </t>
  </si>
  <si>
    <t xml:space="preserve">2/1/22 - V4 Validation - rows added at 64, 65 for Entity Transferring Bond Cap, Amount of Bond Cap </t>
  </si>
  <si>
    <t>2/28/22 - V4 DOH Financing - formula updated rows E18, E26, E34 to include 4 rows above =IF(E17=0,PMT(E15/12,12*1,E14,0,0)*12,PMT(E15/12,12*E17,E14,0,0)*12)</t>
  </si>
  <si>
    <t>3/3/22 - V4 Prolink - C449 =IF(Scoring!$B$5="Average Income", FALSE, INDEX(Scoring_Threshold_Table[Score 60%], MATCH(Scoring!$B$5, Scoring_Threshold_Table[Scoring Threshold], 0), 1))</t>
  </si>
  <si>
    <t>3/3/22 - V4 Prolink - C450 =IF(Scoring!$B$5="Average Income", FALSE, NOT(INDEX(Scoring_Threshold_Table[Score 60%], MATCH(Scoring!$B$5, Scoring_Threshold_Table[Scoring Threshold], 0), 1)))</t>
  </si>
  <si>
    <t>3/3/22 - V4 TC Summary - Row 98, remove Grand Total Gross Income</t>
  </si>
  <si>
    <t>3/4/22 - V4 Development Budget - lock cells C10, D10 and change formating to white</t>
  </si>
  <si>
    <t>3/25/22 - V4 Calculations column G changed to populate for every application stage =B167-E167</t>
  </si>
  <si>
    <t>3/25/22 - V4 Contacts B104 formated to number</t>
  </si>
  <si>
    <t>3/28/22 - V4 Prolink A174 =ApplicationA52</t>
  </si>
  <si>
    <t>3/28/22 - V4 Prolink C174 =ApplicationB52</t>
  </si>
  <si>
    <t>4/26/22 - V4.1 2022 Rent and Income Limits updated</t>
  </si>
  <si>
    <t>7/1/22 - V4.1 TC Summary - E194 - K194 = Calculation B41 - G41</t>
  </si>
  <si>
    <t>7/1/22 - V4.1 TC Summary - E195 - K195 = Calculations B42 - G42</t>
  </si>
  <si>
    <t>7/1/22 - V4.1 Prolink C220 = Application!B67</t>
  </si>
  <si>
    <t>9/9/22 - V4.1 Calculations - A160, B160 - Commercial Deferred Developer Fee added</t>
  </si>
  <si>
    <t>10/6/222 - V4.1 Calculations - B644 =IF(OR($B$19, $B$583), Admin!$B$61, IF($B$604, MIN(Admin!$B$61, $B$60), 1))</t>
  </si>
  <si>
    <t>11/10/2022 V4.1 Calculations -Removed Row 438 deleting ETC Basis Reduction</t>
  </si>
  <si>
    <t xml:space="preserve">11/10/2022 V4.1 Contact sheet updated </t>
  </si>
  <si>
    <t>11/13/22 V4.1 DOH Tabs updated with provided changes</t>
  </si>
  <si>
    <t>11/13/22 V4.1 Cost Basis Numbers updated</t>
  </si>
  <si>
    <t>11/13/22 V4.1 Zone Calculations updated</t>
  </si>
  <si>
    <t>11/22/22 V4.1 Proforma updated - Partnership/Asset Mgt Fees, Bond Fees, DDF,Other, Cash Flow for Services</t>
  </si>
  <si>
    <t>11/22/22 V4.1 Tax Credit Details - proforma section updated</t>
  </si>
  <si>
    <t>11/22/22 V4.1 Tax Credit Summary - proforma section updated</t>
  </si>
  <si>
    <t>11/22/22 V4.1 Stress Test &amp; Attachments - proforma section updated</t>
  </si>
  <si>
    <t>11/22/22 V4.1 Prolink - additional proforma fields added and mapped</t>
  </si>
  <si>
    <t>11/22/22 V4.1 Application - Heating Type In-Unit, Heating Type Common Area, Cooling Type In-Unit, Cooling Type Common Area, HVAC System In-Unit, How Water Heating Type, Ventalation System added</t>
  </si>
  <si>
    <t>11/22/22 V4.1 Prolink - Heating Type In-Unit, Heating Type Common Area, Cooling Type In-Unit, Cooling Type Common Area, HVAC System In-Unit, How Water Heating Type, Ventalation System added and mapped</t>
  </si>
  <si>
    <t>11/22/22 V4.1 Look Up - Heating Type In-Unit, Heating Type Common Area, Cooling Type In-Unit, Cooling Type Common Area, HVAC System In-Unit, How Water Heating Type, Ventalation System dropdown lists added</t>
  </si>
  <si>
    <t>11/23/22 V4.1 Calculations D389 =MATCH(0,R392:AF392,0)</t>
  </si>
  <si>
    <t>11/23/22 V4.1 Calculations DDF Payoff schedule added Q389-AF392</t>
  </si>
  <si>
    <t xml:space="preserve">2/9/23 V5 Update c254 on prolink tab drop down needed updated and remapped </t>
  </si>
  <si>
    <t xml:space="preserve">2/9/23 V5 Cal Tab B386 WAS LOOK AT YEAR two and older changed year 1-15 to read correct years </t>
  </si>
  <si>
    <t xml:space="preserve">2/9/2023 Application Tab - B2 Made the cell yellow and locked down, and updated the release date </t>
  </si>
  <si>
    <t>2/13/23 V5 ProLink tab 779-784  and 768-778 remapped the cells</t>
  </si>
  <si>
    <t xml:space="preserve">2/16/23 V5 Added census track 83.06 to denver county </t>
  </si>
  <si>
    <t>4/10/23 V5 Proforma, Income &amp; Expense Titles updated - A6 - Deferred Developer Fee Repayment, A8 Cash Flow Paid for Services</t>
  </si>
  <si>
    <t>4/10/23 V5 Application - B55 added to include dropdown yes, no, or N/A for Water-Wise Landscaping</t>
  </si>
  <si>
    <t>4/10/23 V5 Admin - updated rural QCT numbers</t>
  </si>
  <si>
    <t xml:space="preserve">4/10/23 V5 Application B6 - added 'State Milestone Application' to stage dropdown  </t>
  </si>
  <si>
    <t>4/14/23 V5 Prolink: verified that 'is existing LIHTC property' from Application tab is mapped (to be able to identify resyndications)</t>
  </si>
  <si>
    <t>4/14/23 V5 Scoring: A 33-34 and Tax Credit Details row 49-50: changed language to “Projects serving persons experiencing homelessness or special populations” to match QAP</t>
  </si>
  <si>
    <t>4/14/23 V5 Application B124 'Submit Milestone Documention for AHTC' we selected 'Ignore if Blank' in data validation but will ask IT for assistance to align in Validation tab that this is application only for State credit deals. Also added 'State' in front of AHTC and need to confirm that addition with KG</t>
  </si>
  <si>
    <t>4/14/23 V5 Application A78 and A81, added descriptions to Bond Issuer Name (Tax Exempt and Taxable) to clarify/specify for Data Issues if left blank</t>
  </si>
  <si>
    <t>4/17/23 V5 Contact Information: added City Manager back in and mapped in Validation</t>
  </si>
  <si>
    <t>4/17/23 V5 Contact Information Tax ID Number cell B100, changed data validation to be 'whole numbers' 'min 0, max 999999999' and added language "#'s only or leave blank if not yet formed." In Prolink tab, updated C49 to allow the cell to be left blank</t>
  </si>
  <si>
    <t>4/17/23 V5 Prolink: changed formulas in C254-C260 and C263, C264 to allow selection to be blank if not selected instead of giving a zero</t>
  </si>
  <si>
    <t>4/21/23: V5 Calculation F820 updated formula to include studios/0-bedroom units</t>
  </si>
  <si>
    <t>4/27/23: V5 Scoring, C23 changed 10 points to 5 points; Admin B22 changed 10 points to 5 points</t>
  </si>
  <si>
    <t>4/27/23: V5 Admin, B43 changed from 3,900 to 4,500</t>
  </si>
  <si>
    <t>5/5/23: V5 Calculations C389 updated to say 'DDF paid off in year,' and E389 updated to say either 'YEAR #' or 'After Year 15'</t>
  </si>
  <si>
    <t>5/10/23: V5Stress Test, D58=CalculationsE562; D59 =CalculationsE563; D60=CalculationsE564; D61=CalculationsE565; D62=CalculationsE566; D63=CalculationsE567</t>
  </si>
  <si>
    <t>5/15/23: V5 Validation: Row 231, created true or false validations for 4% apps that are selecting AMI to ensure they also meet 40% at 60% AMI OR 20% at 50% AMI, creates data issue if both are FALSE (Wes)</t>
  </si>
  <si>
    <t xml:space="preserve">5/24/2023. Added Mapping and Proxy Enitites back to ProLink Tab 684- 697 </t>
  </si>
  <si>
    <t>6/5/2023: V5.2: Updated to version 5.2</t>
  </si>
  <si>
    <t>6/5/2023: V5.2: Calculations: changed formula in R391 to =IF((R390&lt;(B381)),R390,ABS(B384))</t>
  </si>
  <si>
    <t>6/5/2023: V5.2: Calculations: added formula in G389 =IF(B387:K387&lt;=0,"Cash Flow After Above Obligations Must Be Positive"," ") also added notes in Tax Credit Summary and Tax Credit Details</t>
  </si>
  <si>
    <t>6/5/2023: V5.2: Application Instructions: Proforma, row 6 must be complete if there is a Deferred Developer Fee</t>
  </si>
  <si>
    <t>6/5/23 V5.2: Validation A231 updated =IF(AND(H231,I231,NOT(OR(J231,K231))), F231,"")</t>
  </si>
  <si>
    <t>6/7/23: V5.2: Lookup: Added Average Income table Comments</t>
  </si>
  <si>
    <t>6/7/23 V5.2: Calculations: L41: =AND(B5,M41,NOT(OR(N41,O41))); M41: =Scoring!B5 = "Average Income"; N41 =IF(H43 = 0, TRUE,  SUM(H32:H35)/H43 &gt;= 0.2); O41: =IF(H43 = 0, TRUE,  SUM(H32:H36)/H43 &gt;= 0.4)</t>
  </si>
  <si>
    <t>6/7/23: V5.2: Tax Credit Details: Error Message added in Scoring Details B16: =Calculations!L42</t>
  </si>
  <si>
    <t>9/11/23: V5.3: Admin B8, updated PUPA from 3900 to 4500</t>
  </si>
  <si>
    <t>9/14/23: V5.3: Fixed issue when pushing to ProLink: error "The value in the [Type of Heating in Unit] dropdown is not valid. Please select a value from the dropdown list. Location: =Prolink!$C$254" (Happens with subsequent rows as well) Resolved in ProLink: Utilities - User Defined Fields: Ctrl+F to search for names of Application B43-B49. Then went through list (active) of dropdown names, checked for spaces, delete spaces, saved. Tested successfully from drive (no errors).</t>
  </si>
  <si>
    <t>9/19/23: V5.3: TC Details: Unhid row 125; TC Summary: Unhid rows 122 and 140 (these rows are bond fees)</t>
  </si>
  <si>
    <t>9/19/23: V5.3:  Prolink C375 - updated formula to =CONCATENATE('Contact Summary'!G31, " ", 'Contact Summary'!H31) so that first and last name pull for mail merge, not just organization name</t>
  </si>
  <si>
    <t>9/19/23: V5.3: Contact Summary: added row for City Manager (row 32), dragged down formulas in each column, reviewed and revised where needed K29-K34 to confirm rows from Contact tab are correct because they were changed when City Manager was added in V5.2</t>
  </si>
  <si>
    <t>9/28/23: V5.3: Admin: Updated DDA counties and zip codes</t>
  </si>
  <si>
    <t>9/29/23: V5.3: Fixed issues with mail merge, formulas, and added mayor, city, state, city council to Contact Summary and mapped in Prolink tab (City Manager also mapped)</t>
  </si>
  <si>
    <t xml:space="preserve">10/3/23: V5.3: Contact Information: added rows and notes to help resolve the character maximum issues. </t>
  </si>
  <si>
    <t>10/3/23: V5.3: Tax Credit Details: removed Proforma</t>
  </si>
  <si>
    <t>10/10/23: V5.3: Application: Tax-Exempt Bond Financing Section - moved 'Name of Bond Issuer' to top of section, moved 'Name of Entity Transferring Bond Cap' and 'Amount of Bond Cap Being Transferred' to bottom. Taxable Bond Financing Section - removed 'Name of Taxable Bond Issuer' because it is same as tax-exempt bond issuer</t>
  </si>
  <si>
    <t>10/26/23: V5.3: Proforma: moved note about DDF repayment to Row 9 and added asterisks</t>
  </si>
  <si>
    <t>10/27/23: V5.3: Application: Changed target type 'Senior' to 'Older Adult' - Kaylen also updated the picklist in ProLink system. Updated in Calculations K65 and Amenities A73</t>
  </si>
  <si>
    <t>10/27/23: V5.3: Application: Deleted target type, AIDS/HIV - Kaylen deleted in ProLink system. Removed in Calculations K61, L61, and M61.</t>
  </si>
  <si>
    <t>10/27/23: V5.3: ProLink: updated C297 dropdown Special Needs target type to Special Populations target type. Kaylen updated in ProLink system. Refreshed dropdowns for all changes (older adult, AIDS/HIV deleted, and special populations)</t>
  </si>
  <si>
    <t>10/27/23: V5.3: Tax Credit Details B104: Changed Eldery Independent to Older Adult</t>
  </si>
  <si>
    <t xml:space="preserve">10/27/23: V5.3: Application: Added 45L Energy Efficiency Home Credit and and the yes/no dropdown. Also added in ProLink and Validation tabs. </t>
  </si>
  <si>
    <t>11/01/23: V5.3: Validation: Wes added in row 232: 70% and 80% AMI units are not permitted unless Average Income is selected on Scoring worksheet.</t>
  </si>
  <si>
    <t>11/13/23: V5.3: Amenities: “In-unit Wi-Fi service” to the Owner Paid Utilities and Tenant Paid Utilities sections; Project Amenities section: Under “Laundry Room” added, “Enter number of Laundry Rooms;” “Laundry Room in each building (if more than one bldg.)” and "Laundry room on each floor"; Added “Bike Storage” “Bike Maintenance” “Pet Relief Area” “Pet Wash Area” and “Dog Run” – Other Amenities Section: Added “Transit Passes” “Number of Passes” and “Number of Passes Budgeted for Number of Years”</t>
  </si>
  <si>
    <t>11/13/23: V5.3: Prolink: Added rows for all added amenities named above.</t>
  </si>
  <si>
    <t>11/14/23: V5.3: Amenities A78, B78, added "Number of spaces for commerical or nonresidential"</t>
  </si>
  <si>
    <t xml:space="preserve">11/14/23: V5.3:  Application row 88, added amount for 45L Credit; row 89 added Investment Tax Credit and row 90 added ITC amount. Added in Prolink and Validation tabs. </t>
  </si>
  <si>
    <t xml:space="preserve">11/14/23: V5.3: Application rows 102-104, added "Voucher Administrator(s)" "Number of Vouchers" and "Type of Vouchers" </t>
  </si>
  <si>
    <r>
      <t xml:space="preserve">11/14/23: V5.3: Contact: </t>
    </r>
    <r>
      <rPr>
        <sz val="11"/>
        <rFont val="Calibri"/>
        <family val="2"/>
        <scheme val="minor"/>
      </rPr>
      <t>made notes for names of properties fields to be rebuilt as text fields and 5,000 character limit - Kaylen</t>
    </r>
  </si>
  <si>
    <t>12/21/23: V5.3: ProLink tab - remapped and fixed entities - Kaylen</t>
  </si>
  <si>
    <t>Missing Data</t>
  </si>
  <si>
    <t>Application!</t>
  </si>
  <si>
    <t>Rule</t>
  </si>
  <si>
    <t>Row</t>
  </si>
  <si>
    <t>Field Name</t>
  </si>
  <si>
    <t>Data Entry Cell</t>
  </si>
  <si>
    <t>Cell Value</t>
  </si>
  <si>
    <t>Error</t>
  </si>
  <si>
    <t>Combined Errors</t>
  </si>
  <si>
    <t>?operating reserves rule: 4mo annual opearting exp + 4mo of debt service payments</t>
  </si>
  <si>
    <t>4% rule</t>
  </si>
  <si>
    <t>Final Building Profile'!C4:C102</t>
  </si>
  <si>
    <t># bldgs on final building profile must be greater than or equal to # residential buildings</t>
  </si>
  <si>
    <t>IS PAB?</t>
  </si>
  <si>
    <t>Help with data validation, applicable only for State deals</t>
  </si>
  <si>
    <t>END APPLICATION ERRORS</t>
  </si>
  <si>
    <t>'Unit Mix &amp; Rents'!</t>
  </si>
  <si>
    <t>special IA messaging</t>
  </si>
  <si>
    <t>END UNIT MIX AND RENTS ERRORS</t>
  </si>
  <si>
    <t>ScoringWorksheet</t>
  </si>
  <si>
    <t>'Scoring'!</t>
  </si>
  <si>
    <t>question 1 of Development Characteristics</t>
  </si>
  <si>
    <t>question 2 of Development Characteristics</t>
  </si>
  <si>
    <t>question 3 of Development Characteristics</t>
  </si>
  <si>
    <t>question 4 of Development Characteristics</t>
  </si>
  <si>
    <t>question 5 of Development Characteristics</t>
  </si>
  <si>
    <t>MIN</t>
  </si>
  <si>
    <t>Very,Very Low-Income Targeting can not be combined with Tenant Population with Special Population</t>
  </si>
  <si>
    <t>END SCORING ERRORS</t>
  </si>
  <si>
    <t>'Financing'!</t>
  </si>
  <si>
    <t>total residential financing</t>
  </si>
  <si>
    <t>total commercial financing</t>
  </si>
  <si>
    <t>=IF(E49=E50,"","'Total Funds for Development' do not equal 'Total Development Budget' - They must be equal") -- ALL FUND FROM RESIDENTIAL PLUS EQUITY</t>
  </si>
  <si>
    <t>=IF('Commercial Budget'!E103&gt;E41,"The Commercial Budget excedes the Sources of Commercial Financing, please correct.", "") same as above but no equity</t>
  </si>
  <si>
    <t>END FINANCING ERRORS</t>
  </si>
  <si>
    <t>'Development Budget'!</t>
  </si>
  <si>
    <t>no formulas in col B</t>
  </si>
  <si>
    <t>=DevelopmentBudgetLandAmountstHasFormula</t>
  </si>
  <si>
    <t>=GET.CELL(48, 'Development Budget'!B4:B6)</t>
  </si>
  <si>
    <t>no formulas in col C</t>
  </si>
  <si>
    <t>no formulas in col D</t>
  </si>
  <si>
    <t>no formulas in col E</t>
  </si>
  <si>
    <t>no formulas in col F</t>
  </si>
  <si>
    <t>use formula in "A" for other line items</t>
  </si>
  <si>
    <t>END DEVELOPMENT BUDGET ERRORS</t>
  </si>
  <si>
    <t>'Commercial Budget'!</t>
  </si>
  <si>
    <t>END COMMERCIAL BUDGET ERRORS</t>
  </si>
  <si>
    <t>'Proforma, Income &amp; Expense'!</t>
  </si>
  <si>
    <t>END PROFORMA, INCOME &amp; EXPENSE ERRORS</t>
  </si>
  <si>
    <t>'Contact Information'!</t>
  </si>
  <si>
    <t>Required (TRUE is always rqd. Formula only if prelim)</t>
  </si>
  <si>
    <t xml:space="preserve"># OF CELLS REQUIRED </t>
  </si>
  <si>
    <t xml:space="preserve">Enter a all information for  Developer  in line '3.
</t>
  </si>
  <si>
    <t xml:space="preserve">Enter a all information for  Developer  in line '4.
</t>
  </si>
  <si>
    <t>Not used as an error, but used below to ensure all data is enetered</t>
  </si>
  <si>
    <t>only if 4% and no 9%</t>
  </si>
  <si>
    <t>HAS ONLY  4%</t>
  </si>
  <si>
    <t>END CONTACT INFORMATION ERRORS</t>
  </si>
  <si>
    <t>'Cost Summary'!</t>
  </si>
  <si>
    <t>END COST SUMMARY ERRORS</t>
  </si>
  <si>
    <t>'Final Building Profile'!</t>
  </si>
  <si>
    <t>final sum</t>
  </si>
  <si>
    <t>unit sum</t>
  </si>
  <si>
    <t>calc</t>
  </si>
  <si>
    <t>END FINAL BUILDING PROFILE ERRORS</t>
  </si>
  <si>
    <t>'Amenities'!</t>
  </si>
  <si>
    <t>carryover and final 4%</t>
  </si>
  <si>
    <t>Check this</t>
  </si>
  <si>
    <t>END AMENITIES  ERRORS</t>
  </si>
  <si>
    <t>Lookup Data</t>
  </si>
  <si>
    <t>Yes/No</t>
  </si>
  <si>
    <t>Yes/No/NA</t>
  </si>
  <si>
    <t>Project  Type</t>
  </si>
  <si>
    <t>Radon Migitgation</t>
  </si>
  <si>
    <t>Passive</t>
  </si>
  <si>
    <t>New Construction &amp; Acquisition/Rehabilitation</t>
  </si>
  <si>
    <t>Active</t>
  </si>
  <si>
    <t>New Construction &amp; Rehab Only</t>
  </si>
  <si>
    <t>None</t>
  </si>
  <si>
    <t>Acquisition/Rehabilitation</t>
  </si>
  <si>
    <t>Rehab Only</t>
  </si>
  <si>
    <t>Has State</t>
  </si>
  <si>
    <t>Fee</t>
  </si>
  <si>
    <t>Type of State Tax Credit</t>
  </si>
  <si>
    <t>Use Alternate Credit Calculation</t>
  </si>
  <si>
    <t>9% Competitive Tax Credit</t>
  </si>
  <si>
    <t>9% Competitive and State Tax Credit</t>
  </si>
  <si>
    <t>Standard</t>
  </si>
  <si>
    <t>9% / 4% Competitive Tax Credit</t>
  </si>
  <si>
    <t>9% / 4% and State Tax Credit</t>
  </si>
  <si>
    <t>4% Noncompetitive Tax Credit</t>
  </si>
  <si>
    <t>4% Noncompetitive and State Tax Credit</t>
  </si>
  <si>
    <t>Accelerated</t>
  </si>
  <si>
    <t xml:space="preserve">4% Noncompetitive and Noncompetitive State Tax Credit </t>
  </si>
  <si>
    <t>Is Preliminary</t>
  </si>
  <si>
    <t>Is Carryover</t>
  </si>
  <si>
    <t>Is Final</t>
  </si>
  <si>
    <t>Is State Milestone</t>
  </si>
  <si>
    <t>Preliminary Application</t>
  </si>
  <si>
    <t>Carryover Application</t>
  </si>
  <si>
    <t>State Milestone Application</t>
  </si>
  <si>
    <t>Final Application</t>
  </si>
  <si>
    <t>Basis Limit test Index</t>
  </si>
  <si>
    <t>Multifamily Apartments</t>
  </si>
  <si>
    <t>Townhouse</t>
  </si>
  <si>
    <t>Walk-up</t>
  </si>
  <si>
    <t>Single Family Detached</t>
  </si>
  <si>
    <t>Slab on Grade</t>
  </si>
  <si>
    <t>Manufactured</t>
  </si>
  <si>
    <t>Type of Energy Efficiency Program</t>
  </si>
  <si>
    <t>Domestic Hot Water System</t>
  </si>
  <si>
    <t>Historic Rehabilitation Tax Credits</t>
  </si>
  <si>
    <t>Drawings Complete</t>
  </si>
  <si>
    <t>EGC</t>
  </si>
  <si>
    <t>Natural</t>
  </si>
  <si>
    <t>Deed</t>
  </si>
  <si>
    <t>Construction Drawings</t>
  </si>
  <si>
    <t>EGC Plus</t>
  </si>
  <si>
    <t>Electric Resistance</t>
  </si>
  <si>
    <t>Exhaust Only</t>
  </si>
  <si>
    <t>Option</t>
  </si>
  <si>
    <t>Design Development</t>
  </si>
  <si>
    <t>Energy Star MFNC</t>
  </si>
  <si>
    <t>Electric Heat Pump</t>
  </si>
  <si>
    <t>Mechanical Supply Only</t>
  </si>
  <si>
    <t>Long Term Lease</t>
  </si>
  <si>
    <t>Schematic</t>
  </si>
  <si>
    <t>LEED Certified</t>
  </si>
  <si>
    <t>Balanced Ventilation</t>
  </si>
  <si>
    <t>LEED Gold</t>
  </si>
  <si>
    <t>Balanced Ventilation with Energy or Heat Recovery</t>
  </si>
  <si>
    <t>LEED Platinum</t>
  </si>
  <si>
    <t>LEED Silver</t>
  </si>
  <si>
    <t>Direct Expansion</t>
  </si>
  <si>
    <t>Aquatherm</t>
  </si>
  <si>
    <t>NGBS Bronze</t>
  </si>
  <si>
    <t>Heat Pump</t>
  </si>
  <si>
    <t>Evaporative Cooling</t>
  </si>
  <si>
    <t>Green Roof</t>
  </si>
  <si>
    <t>Baseboard</t>
  </si>
  <si>
    <t>NGBS Emerald</t>
  </si>
  <si>
    <t>Cold Climate Heat Pump</t>
  </si>
  <si>
    <t>Other Cooling System</t>
  </si>
  <si>
    <t>Furnace/Fan Coil</t>
  </si>
  <si>
    <t>NGBS Gold</t>
  </si>
  <si>
    <t>Other Electric Heat System</t>
  </si>
  <si>
    <t>NGBS Silver</t>
  </si>
  <si>
    <t>Gas Heat</t>
  </si>
  <si>
    <t>PV Ready</t>
  </si>
  <si>
    <t>PTAC</t>
  </si>
  <si>
    <t>PHI</t>
  </si>
  <si>
    <t>Condensing Gas Heat (92%+AFUE)</t>
  </si>
  <si>
    <t>Solar</t>
  </si>
  <si>
    <t>VTAC</t>
  </si>
  <si>
    <t>PHIUS</t>
  </si>
  <si>
    <t>Other Gas Heat System</t>
  </si>
  <si>
    <t>ZERH</t>
  </si>
  <si>
    <t>Scoring Weight</t>
  </si>
  <si>
    <t>Unit Mix Type</t>
  </si>
  <si>
    <t>Has Max Rent</t>
  </si>
  <si>
    <t>0 Bed 1 Bath</t>
  </si>
  <si>
    <t>0 Bed 1 Bath Assisted Living</t>
  </si>
  <si>
    <t>0 Bed 1 Bath Subsidized</t>
  </si>
  <si>
    <t>1 Bed 1 Bath</t>
  </si>
  <si>
    <t>1 Bed 1 Bath Assisted Living</t>
  </si>
  <si>
    <t>1 Bed 1 Bath Subsidized</t>
  </si>
  <si>
    <t>2 Bed 1 Bath</t>
  </si>
  <si>
    <t>2 Bed 1 Bath Assisted Living</t>
  </si>
  <si>
    <t>2 Bed 1 Bath Subsidized</t>
  </si>
  <si>
    <t>2 Bed 2 Bath</t>
  </si>
  <si>
    <t>2 Bed 2 Bath Assisted Living</t>
  </si>
  <si>
    <t>2 Bed 2 Bath Subsidized</t>
  </si>
  <si>
    <t>3 Bed 1 Bath</t>
  </si>
  <si>
    <t>3 Bed 1 Bath Assisted Living</t>
  </si>
  <si>
    <t>3 Bed 1 Bath Subsidized</t>
  </si>
  <si>
    <t>3 Bed 2 Bath</t>
  </si>
  <si>
    <t>3 Bed 2 Bath Assisted Living</t>
  </si>
  <si>
    <t>3 Bed 2 Bath Subsidized</t>
  </si>
  <si>
    <t>4 Bed 2 Bath</t>
  </si>
  <si>
    <t>4 Bed 2 Bath Assisted Living</t>
  </si>
  <si>
    <t>4 Bed 2 Bath Subsidized</t>
  </si>
  <si>
    <t>5 Bed 3 Bath</t>
  </si>
  <si>
    <t>5 Bed 3 Bath Assisted Living</t>
  </si>
  <si>
    <t>5 Bed 3 Bath Subsidized</t>
  </si>
  <si>
    <t>Scoring Threshold</t>
  </si>
  <si>
    <t>Score 60%</t>
  </si>
  <si>
    <t>20% at 50% of Area Median Income</t>
  </si>
  <si>
    <t>40% at 60% of Area Median Income</t>
  </si>
  <si>
    <t>10% of Total Units at, or below, 30% of area median income</t>
  </si>
  <si>
    <t>20% of Total Units at, or below, 30% of area median income</t>
  </si>
  <si>
    <t>30% of Total Units at, or below, 30% of area median income</t>
  </si>
  <si>
    <t>Years</t>
  </si>
  <si>
    <t>IsHomelessOption</t>
  </si>
  <si>
    <t>Residential Loan Type</t>
  </si>
  <si>
    <t>Permanent</t>
  </si>
  <si>
    <t>Pending</t>
  </si>
  <si>
    <t>Subsidized</t>
  </si>
  <si>
    <t>Committed</t>
  </si>
  <si>
    <t>Developer Additional Question</t>
  </si>
  <si>
    <t>Dev Fee Max Allowed Percent 1</t>
  </si>
  <si>
    <t>Dev Fee Max Allowed Percent 2</t>
  </si>
  <si>
    <t>Dev Fee Max Allowed Percent 3</t>
  </si>
  <si>
    <t>No Identity of Interest</t>
  </si>
  <si>
    <t>Is Non Profit</t>
  </si>
  <si>
    <t xml:space="preserve">Entity Proxy Type </t>
  </si>
  <si>
    <t>Gender</t>
  </si>
  <si>
    <t>Bond Placement</t>
  </si>
  <si>
    <t>Is Public</t>
  </si>
  <si>
    <t>Legal Status: 501(c)(3)</t>
  </si>
  <si>
    <t>Non-Profit Corporation</t>
  </si>
  <si>
    <t>Female</t>
  </si>
  <si>
    <t>Bonds are Private Placement</t>
  </si>
  <si>
    <t>Legal Status: 501(c)(4)</t>
  </si>
  <si>
    <t>For-Profit Corporation</t>
  </si>
  <si>
    <t>Male</t>
  </si>
  <si>
    <t>Bonds are Public Placement</t>
  </si>
  <si>
    <t>Legal Status: Tax-Exempt Under 501(a)</t>
  </si>
  <si>
    <t>Public Housing Authority</t>
  </si>
  <si>
    <t>I do not wish to answer</t>
  </si>
  <si>
    <t>Legal Status: Public Housing Authority</t>
  </si>
  <si>
    <t xml:space="preserve">Legal Status: General Partnership </t>
  </si>
  <si>
    <t xml:space="preserve">Legal Status: Limited Partnership </t>
  </si>
  <si>
    <t>Consultant</t>
  </si>
  <si>
    <t xml:space="preserve">Race </t>
  </si>
  <si>
    <t>Ethnicity</t>
  </si>
  <si>
    <t>Legal Status: Limited Liability Company</t>
  </si>
  <si>
    <t>American Indian or Alaska Native</t>
  </si>
  <si>
    <t>Hispanic or Latino</t>
  </si>
  <si>
    <t>Legal Status: Limited Liability Limited Partnership</t>
  </si>
  <si>
    <t>Asian</t>
  </si>
  <si>
    <t>Not Hispanic or Latino</t>
  </si>
  <si>
    <t>Legal Status: For-Profit Corporation</t>
  </si>
  <si>
    <t>Black or African American</t>
  </si>
  <si>
    <t>Legal Status: Indivdual</t>
  </si>
  <si>
    <t>Native Hawaiian or Other Pacific Islander</t>
  </si>
  <si>
    <t>Legal Status: Other</t>
  </si>
  <si>
    <t>White</t>
  </si>
  <si>
    <t>Jurisdiction Title</t>
  </si>
  <si>
    <t>Mayor's Designate</t>
  </si>
  <si>
    <t>Number of beds per room</t>
  </si>
  <si>
    <t>Utilitiy Model</t>
  </si>
  <si>
    <t>1 bed per room</t>
  </si>
  <si>
    <t>PHA</t>
  </si>
  <si>
    <t>Not Optional</t>
  </si>
  <si>
    <t>2 beds per room</t>
  </si>
  <si>
    <t>Local Utility Estimates</t>
  </si>
  <si>
    <t>Optional</t>
  </si>
  <si>
    <t>HUD Model</t>
  </si>
  <si>
    <t>Energy Consumption Model</t>
  </si>
  <si>
    <t>Output Form Comments</t>
  </si>
  <si>
    <t>Minimum PUPA</t>
  </si>
  <si>
    <t>The mininum PUPA requirement has been met</t>
  </si>
  <si>
    <t>The construction interest requirement has been met</t>
  </si>
  <si>
    <t>The mininum PUPA requirement has NOT been met</t>
  </si>
  <si>
    <t>Construction interest actual exceeds construction interest test</t>
  </si>
  <si>
    <t>Minimum Operating Reserves</t>
  </si>
  <si>
    <t>Development Funds</t>
  </si>
  <si>
    <t>The minimum development operating reserves requirement has been met</t>
  </si>
  <si>
    <t>The minimum development operating reserves requirement has NOT been met</t>
  </si>
  <si>
    <t>Minimum Replacement Reserves</t>
  </si>
  <si>
    <t>The mininum replacement reserves requirement has been met</t>
  </si>
  <si>
    <t>The minimum score requirement has been met</t>
  </si>
  <si>
    <t>The mininum replacement reserves requirement has NOT been met</t>
  </si>
  <si>
    <t>The minimum score requirement has NOT been met</t>
  </si>
  <si>
    <t>State Tax Credit Test</t>
  </si>
  <si>
    <t>PAB Requirements</t>
  </si>
  <si>
    <t>State Tax Credit Eligible Basis 30% test passed</t>
  </si>
  <si>
    <t>The PAB requirement measures between 50% and 55%</t>
  </si>
  <si>
    <t>State Tax Credit Eligible Basis 30% test failed</t>
  </si>
  <si>
    <t>The PAB requirement should measure between 50% and 55%</t>
  </si>
  <si>
    <t>10 Year Cash Flow</t>
  </si>
  <si>
    <t>15 Year Cash Flow</t>
  </si>
  <si>
    <t>The 10 Year cash flow available after obligations payable test has NOT been met</t>
  </si>
  <si>
    <t>The 15 Year cash flow available after obligations payable test has NOT been met</t>
  </si>
  <si>
    <t>Min DCR</t>
  </si>
  <si>
    <t>The minimum Debt Coverage Ratio test has been met</t>
  </si>
  <si>
    <t>*40% of the units must be less than or equal to 60% AMI OR 20% of the units MUST be less than or equal to 50% AMI</t>
  </si>
  <si>
    <t>The minimum Debt Coverage Ratio test has NOT been met</t>
  </si>
  <si>
    <t xml:space="preserve">CHFA Financing </t>
  </si>
  <si>
    <t xml:space="preserve">Legal Status of Borrower </t>
  </si>
  <si>
    <t xml:space="preserve">Status of Borrowing / Ownership </t>
  </si>
  <si>
    <t xml:space="preserve">General Partnership </t>
  </si>
  <si>
    <t xml:space="preserve">Currently Exists </t>
  </si>
  <si>
    <t xml:space="preserve">Limited Partnership </t>
  </si>
  <si>
    <t>To be Formed</t>
  </si>
  <si>
    <t xml:space="preserve">Limited Liability Company </t>
  </si>
  <si>
    <t xml:space="preserve">Limited Liability Limited Partnership </t>
  </si>
  <si>
    <t xml:space="preserve">Non-Profit Corporation </t>
  </si>
  <si>
    <t xml:space="preserve">For-Profit Corporation </t>
  </si>
  <si>
    <t xml:space="preserve">Individual </t>
  </si>
  <si>
    <t xml:space="preserve">Other </t>
  </si>
  <si>
    <t>AL</t>
  </si>
  <si>
    <t>AK</t>
  </si>
  <si>
    <t>AZ</t>
  </si>
  <si>
    <t>AR</t>
  </si>
  <si>
    <t>CA</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</si>
  <si>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</si>
  <si>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</si>
  <si>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</si>
  <si>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</si>
  <si>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</si>
  <si>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</si>
  <si>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</si>
  <si>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</si>
  <si>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</si>
  <si>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</si>
  <si>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</si>
  <si>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</si>
  <si>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</si>
  <si>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</si>
  <si>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</si>
  <si>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</si>
  <si>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</si>
  <si>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</si>
  <si>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</si>
  <si>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</si>
  <si>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</si>
  <si>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</si>
  <si>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</si>
  <si>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</si>
  <si>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</si>
  <si>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</si>
  <si>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</si>
  <si>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</si>
  <si>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</si>
  <si>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</si>
  <si>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</si>
  <si>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</si>
  <si>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</si>
  <si>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</si>
  <si>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</si>
  <si>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</si>
  <si>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</si>
  <si>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</si>
  <si>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</si>
  <si>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</si>
  <si>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</si>
  <si>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</si>
  <si>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</si>
  <si>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</si>
  <si>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Name Change Fee</t>
  </si>
  <si>
    <t>20</t>
  </si>
  <si>
    <t>20%</t>
  </si>
  <si>
    <t>Second Initial Determination Fee</t>
  </si>
  <si>
    <t>Handicapped</t>
  </si>
  <si>
    <t>25</t>
  </si>
  <si>
    <t>Acquisition</t>
  </si>
  <si>
    <t>1 Story Eff - Elderly</t>
  </si>
  <si>
    <t>Subsidized Funding</t>
  </si>
  <si>
    <t>30%</t>
  </si>
  <si>
    <t>Individual</t>
  </si>
  <si>
    <t>AM Special Activity</t>
  </si>
  <si>
    <t xml:space="preserve">Supplemental/Additional Credit Fee </t>
  </si>
  <si>
    <t>Mixed</t>
  </si>
  <si>
    <t>30</t>
  </si>
  <si>
    <t>1 Story 1BR - Elderly</t>
  </si>
  <si>
    <t>40%</t>
  </si>
  <si>
    <t>Applicant</t>
  </si>
  <si>
    <t>35</t>
  </si>
  <si>
    <t>Purchase Contract</t>
  </si>
  <si>
    <t>1 Story 2BR - Elderly</t>
  </si>
  <si>
    <t>50%</t>
  </si>
  <si>
    <t>Business Relationship</t>
  </si>
  <si>
    <t>40</t>
  </si>
  <si>
    <t>New Const w/Fed Subsidies</t>
  </si>
  <si>
    <t>Eff - Elderly</t>
  </si>
  <si>
    <t>60%</t>
  </si>
  <si>
    <t>Disabled</t>
  </si>
  <si>
    <t>1BR Elderly</t>
  </si>
  <si>
    <t>70%</t>
  </si>
  <si>
    <t>Construction Inspector</t>
  </si>
  <si>
    <t>Rehabilitation w/Fed Subsidies</t>
  </si>
  <si>
    <t>2BR Elderly</t>
  </si>
  <si>
    <t>80%</t>
  </si>
  <si>
    <t>DC</t>
  </si>
  <si>
    <t>Rehabilitation w/out Fed Subsidies</t>
  </si>
  <si>
    <t>Eff - Garden</t>
  </si>
  <si>
    <t>100%</t>
  </si>
  <si>
    <t>1BR Garden</t>
  </si>
  <si>
    <t>2BR Garden</t>
  </si>
  <si>
    <t>Recording Fee</t>
  </si>
  <si>
    <t>3BR Garden</t>
  </si>
  <si>
    <t>Subsidy Layering Review Fee</t>
  </si>
  <si>
    <t>4BR Garden</t>
  </si>
  <si>
    <t>Insurance Broker</t>
  </si>
  <si>
    <t>2+ Story 2BR Townhouse</t>
  </si>
  <si>
    <t>Insurance Carrier</t>
  </si>
  <si>
    <t>2+ Story 3BR Townhouse</t>
  </si>
  <si>
    <t>2+ Story 4BR Townhouse</t>
  </si>
  <si>
    <t>Mortgagor</t>
  </si>
  <si>
    <t>Partner</t>
  </si>
  <si>
    <t>Sponsor</t>
  </si>
  <si>
    <t>Title Company</t>
  </si>
  <si>
    <t>Owner</t>
  </si>
  <si>
    <t>Management Entity</t>
  </si>
  <si>
    <t>Mortgage Banker</t>
  </si>
  <si>
    <t>Partnership</t>
  </si>
  <si>
    <t>Sedwick</t>
  </si>
  <si>
    <t>Alternate Credit</t>
  </si>
  <si>
    <t>TOC</t>
  </si>
  <si>
    <t>Credit Calculation (Basis/Unit)</t>
  </si>
  <si>
    <t>TOC Credit Amount</t>
  </si>
  <si>
    <t>TOC VALUES</t>
  </si>
  <si>
    <t xml:space="preserve"> DDA Boost</t>
  </si>
  <si>
    <t>% of CHFA Designated</t>
  </si>
  <si>
    <t>Minimum 4% and State</t>
  </si>
  <si>
    <t>15 Years Compliance + 15 Year Extended Use</t>
  </si>
  <si>
    <t>15 Years Compliance + 25 Year Extended Use</t>
  </si>
  <si>
    <t>Extended Use: 15 year = 25 points, 25 year = 40 points</t>
  </si>
  <si>
    <t>Yes=2 point</t>
  </si>
  <si>
    <t>Development Characteristics 7</t>
  </si>
  <si>
    <t>Maximum State Credit per Unit Basis Amount</t>
  </si>
  <si>
    <t>Maximum TOC Credit per Unit Basis Amount</t>
  </si>
  <si>
    <t>Replacement Reserves Threshold - Older Adult/New Construction</t>
  </si>
  <si>
    <t>Is Older Adult</t>
  </si>
  <si>
    <t>No Smoking Policy. Projects that will institute a no smoking policy for 100% of the project, which includes anywhere inside the building or on the grounds of the property. The policy needs to be provided at the time of application.</t>
  </si>
  <si>
    <t>Development that provides housing for a mix of incomes by having no more than 80% tax credit-eligible total units.</t>
  </si>
  <si>
    <t>Yes = 3 points</t>
  </si>
  <si>
    <t xml:space="preserve">Development is located in a community that has an identified community affordable housing priority. Applicant must provide evidence, clearly demonstrating the project fits into the community's needs.
</t>
  </si>
  <si>
    <t>Developments maximizing construction efficiency by utilizing modular or factory-built construction, prefabricated components. Applicants must provide supporting documentation detailing modular boxes or type of components, delivery, installation and any cost savings.</t>
  </si>
  <si>
    <t>Developments utilizing Universal Design or providing accessible units which total at least five percent of the project’s total units. Applicants must provide details in supporting documentation.</t>
  </si>
  <si>
    <t>Development be located at an existing or planned Transit Oriented Design (TOD) site, which is defined as that which is within a half-mile walk distance of transit corridors with easy access to job center. Housing proposal should maximize allowable density at TOD site.</t>
  </si>
  <si>
    <t>Development Location 1</t>
  </si>
  <si>
    <t>Development Location 2</t>
  </si>
  <si>
    <t>TOC Application Fee</t>
  </si>
  <si>
    <t>TOC Application Fee (if applicable)</t>
  </si>
  <si>
    <t>Preliminary Application Fee for TOC Credit</t>
  </si>
  <si>
    <t>TOC Credit? Y/N</t>
  </si>
  <si>
    <t>TOC Fee</t>
  </si>
  <si>
    <t>DevCharI</t>
  </si>
  <si>
    <t>DevCharJ</t>
  </si>
  <si>
    <t>Management Company racial/ethnic composition</t>
  </si>
  <si>
    <t>Management Company gender composition</t>
  </si>
  <si>
    <t>NEEDS TO BE ADDED TO PROLINK (check first) AND MAPPED</t>
  </si>
  <si>
    <t>9% Max</t>
  </si>
  <si>
    <t>State Max</t>
  </si>
  <si>
    <t>Minimum 4% Noncompetitive Score</t>
  </si>
  <si>
    <t>TOC Credit Equity</t>
  </si>
  <si>
    <t>TOC Maximum Credit Amount</t>
  </si>
  <si>
    <t>Eligible for a Total Annual TOC Credit</t>
  </si>
  <si>
    <t>HAS TOC</t>
  </si>
  <si>
    <t>TOC Credit Equity (if applicable)</t>
  </si>
  <si>
    <t>Total Finance Sources (other than Tax Credit Equity for non-9%/state deals)</t>
  </si>
  <si>
    <t>TOC Annual Credit Overide</t>
  </si>
  <si>
    <t>Show Method 2?</t>
  </si>
  <si>
    <t xml:space="preserve">Has TOC </t>
  </si>
  <si>
    <t>State Annual Credit Override</t>
  </si>
  <si>
    <t>9%/State Gap Method Credit Amount</t>
  </si>
  <si>
    <t>Is NOT 9% and State</t>
  </si>
  <si>
    <t>Solar Tax Credits/ITC</t>
  </si>
  <si>
    <t>Residential Grants and/or Other Source</t>
  </si>
  <si>
    <t>Number of EV Charging Stations (if applicable)</t>
  </si>
  <si>
    <t>State Credit Equity-Total Funds 9%/State</t>
  </si>
  <si>
    <t>TOC Credit Equity-Total Funds 9%/State</t>
  </si>
  <si>
    <t>TOC Credit Equity Price</t>
  </si>
  <si>
    <t>State Credit Equity Price</t>
  </si>
  <si>
    <t>Federal Credit Equity Price</t>
  </si>
  <si>
    <t>Development Total Funds equal Budget</t>
  </si>
  <si>
    <t>Development Total Funds do not equal Budget</t>
  </si>
  <si>
    <t>Less Federal Credit Equity, if applicable</t>
  </si>
  <si>
    <t>2025 Housing Tax Credit Application</t>
  </si>
  <si>
    <t>2025 V7.1a - released December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</si>
</sst>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00"/>
    <numFmt numFmtId="166" formatCode="_(&quot;$&quot;* #,##0_);_(&quot;$&quot;* \(#,##0\);_(&quot;$&quot;* &quot;-&quot;??_);_(@_)"/>
    <numFmt numFmtId="167" formatCode="0.000%"/>
    <numFmt numFmtId="168" formatCode="_(&quot;$&quot;* #,##0.0000_);_(&quot;$&quot;* \(#,##0.0000\);_(&quot;$&quot;* &quot;-&quot;??_);_(@_)"/>
    <numFmt numFmtId="169" formatCode="_(* #,##0_);_(* \(#,##0\);_(* &quot;-&quot;??_);_(@_)"/>
    <numFmt numFmtId="170" formatCode="_(* #,##0.000_);_(* \(#,##0.000\);_(* &quot;-&quot;??_);_(@_)"/>
    <numFmt numFmtId="171" formatCode="_(&quot;$&quot;* #,##0.0000_);_(&quot;$&quot;* \(#,##0.0000\);_(&quot;$&quot;* &quot;-&quot;_);_(@_)"/>
    <numFmt numFmtId="172" formatCode="_(&quot;$&quot;* #,##0.00_);_(&quot;$&quot;* \(#,##0.00\);_(&quot;$&quot;* &quot;-&quot;_);_(@_)"/>
    <numFmt numFmtId="173" formatCode="0.0000"/>
    <numFmt numFmtId="174" formatCode="_(&quot;$&quot;* #,##0.000_);_(&quot;$&quot;* \(#,##0.000\);_(&quot;$&quot;* &quot;-&quot;??_);_(@_)"/>
    <numFmt numFmtId="175" formatCode="&quot;$&quot;#,##0"/>
    <numFmt numFmtId="176" formatCode="0.0%"/>
    <numFmt numFmtId="177" formatCode="0.0000%"/>
    <numFmt numFmtId="178" formatCode="0.000"/>
    <numFmt numFmtId="179" formatCode="0.00000000"/>
    <numFmt numFmtId="180" formatCode="#,##0.0000_);\(#,##0.0000\)"/>
    <numFmt numFmtId="181" formatCode="#,##0.0_);\(#,##0.0\)"/>
    <numFmt numFmtId="182" formatCode="0.000000"/>
    <numFmt numFmtId="183" formatCode="mm/dd/yy;@"/>
  </numFmts>
  <fonts count="13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sz val="11"/>
      <color theme="0"/>
      <name val="Calibri"/>
      <family val="2"/>
      <scheme val="minor"/>
    </font>
    <font>
      <i/>
      <sz val="11"/>
      <color theme="1"/>
      <name val="Calibri"/>
      <family val="2"/>
      <scheme val="minor"/>
    </font>
    <font>
      <b/>
      <sz val="16"/>
      <color theme="0"/>
      <name val="Calibri"/>
      <family val="2"/>
      <scheme val="minor"/>
    </font>
    <font>
      <sz val="9"/>
      <color theme="1"/>
      <name val="Calibri"/>
      <family val="2"/>
      <scheme val="minor"/>
    </font>
    <font>
      <b/>
      <sz val="14"/>
      <color theme="1"/>
      <name val="Calibri"/>
      <family val="2"/>
      <scheme val="minor"/>
    </font>
    <font>
      <sz val="11"/>
      <color indexed="8"/>
      <name val="Calibri"/>
      <family val="2"/>
    </font>
    <font>
      <sz val="12"/>
      <color theme="1"/>
      <name val="Calibri"/>
      <family val="2"/>
      <scheme val="minor"/>
    </font>
    <font>
      <sz val="16"/>
      <color theme="1"/>
      <name val="Calibri"/>
      <family val="2"/>
      <scheme val="minor"/>
    </font>
    <font>
      <b/>
      <u/>
      <sz val="11"/>
      <color theme="1"/>
      <name val="Calibri"/>
      <family val="2"/>
      <scheme val="minor"/>
    </font>
    <font>
      <sz val="11"/>
      <color rgb="FFFF0000"/>
      <name val="Calibri"/>
      <family val="2"/>
      <scheme val="minor"/>
    </font>
    <font>
      <sz val="11"/>
      <color theme="1"/>
      <name val="Calibri"/>
      <family val="2"/>
      <scheme val="minor"/>
    </font>
    <font>
      <sz val="8"/>
      <name val="Arial"/>
      <family val="2"/>
    </font>
    <font>
      <i/>
      <u/>
      <sz val="11"/>
      <color theme="1"/>
      <name val="Calibri"/>
      <family val="2"/>
      <scheme val="minor"/>
    </font>
    <font>
      <b/>
      <sz val="10"/>
      <name val="CG Times (WN)"/>
    </font>
    <font>
      <sz val="10"/>
      <name val="Arial"/>
      <family val="2"/>
    </font>
    <font>
      <b/>
      <sz val="8"/>
      <name val="CG Times (WN)"/>
    </font>
    <font>
      <b/>
      <i/>
      <sz val="8"/>
      <name val="CG Times (WN)"/>
    </font>
    <font>
      <b/>
      <sz val="8"/>
      <name val="Times New Roman"/>
      <family val="1"/>
    </font>
    <font>
      <b/>
      <sz val="10"/>
      <name val="Courier"/>
      <family val="3"/>
    </font>
    <font>
      <b/>
      <sz val="9"/>
      <name val="Verdana"/>
      <family val="2"/>
    </font>
    <font>
      <sz val="9"/>
      <name val="Verdana"/>
      <family val="2"/>
    </font>
    <font>
      <sz val="8"/>
      <name val="Courier"/>
      <family val="3"/>
    </font>
    <font>
      <b/>
      <sz val="8"/>
      <name val="Courier"/>
      <family val="3"/>
    </font>
    <font>
      <b/>
      <sz val="8"/>
      <name val="CG Times"/>
      <family val="1"/>
    </font>
    <font>
      <b/>
      <sz val="11"/>
      <color rgb="FFFF0000"/>
      <name val="Calibri"/>
      <family val="2"/>
      <scheme val="minor"/>
    </font>
    <font>
      <sz val="11"/>
      <color theme="1"/>
      <name val="Calibri"/>
      <family val="2"/>
      <scheme val="minor"/>
    </font>
    <font>
      <sz val="11"/>
      <color theme="1"/>
      <name val="Calibri"/>
      <family val="2"/>
      <scheme val="minor"/>
    </font>
    <font>
      <b/>
      <sz val="11"/>
      <color rgb="FFC00000"/>
      <name val="Calibri"/>
      <family val="2"/>
      <scheme val="minor"/>
    </font>
    <font>
      <sz val="9"/>
      <name val="Arial"/>
      <family val="2"/>
    </font>
    <font>
      <b/>
      <sz val="10"/>
      <name val="Arial"/>
      <family val="2"/>
    </font>
    <font>
      <sz val="11"/>
      <color theme="2" tint="-0.249977111117893"/>
      <name val="Calibri"/>
      <family val="2"/>
      <scheme val="minor"/>
    </font>
    <font>
      <b/>
      <sz val="11"/>
      <color theme="0"/>
      <name val="Calibri"/>
      <family val="2"/>
      <scheme val="minor"/>
    </font>
    <font>
      <strike/>
      <sz val="11"/>
      <color theme="1"/>
      <name val="Calibri"/>
      <family val="2"/>
      <scheme val="minor"/>
    </font>
    <font>
      <sz val="11"/>
      <name val="Calibri"/>
      <family val="2"/>
      <scheme val="minor"/>
    </font>
    <font>
      <b/>
      <sz val="11"/>
      <name val="Calibri"/>
      <family val="2"/>
      <scheme val="minor"/>
    </font>
    <font>
      <sz val="10"/>
      <name val="Times New Roman"/>
      <family val="1"/>
    </font>
    <font>
      <sz val="9"/>
      <color rgb="FF00B050"/>
      <name val="Calibri"/>
      <family val="2"/>
      <scheme val="minor"/>
    </font>
    <font>
      <b/>
      <i/>
      <sz val="11"/>
      <color theme="1"/>
      <name val="Calibri"/>
      <family val="2"/>
      <scheme val="minor"/>
    </font>
    <font>
      <sz val="10"/>
      <color theme="1"/>
      <name val="Calibri"/>
      <family val="2"/>
      <scheme val="minor"/>
    </font>
    <font>
      <sz val="14"/>
      <color theme="1"/>
      <name val="Calibri"/>
      <family val="2"/>
      <scheme val="minor"/>
    </font>
    <font>
      <b/>
      <sz val="12"/>
      <name val="Arial"/>
      <family val="2"/>
    </font>
    <font>
      <b/>
      <u/>
      <sz val="10"/>
      <name val="Arial"/>
      <family val="2"/>
    </font>
    <font>
      <i/>
      <sz val="14"/>
      <color theme="1"/>
      <name val="Calibri"/>
      <family val="2"/>
      <scheme val="minor"/>
    </font>
    <font>
      <b/>
      <sz val="11"/>
      <color rgb="FF0070C0"/>
      <name val="Calibri"/>
      <family val="2"/>
      <scheme val="minor"/>
    </font>
    <font>
      <b/>
      <sz val="9"/>
      <color theme="1"/>
      <name val="Calibri"/>
      <family val="2"/>
      <scheme val="minor"/>
    </font>
    <font>
      <b/>
      <sz val="11"/>
      <color indexed="8"/>
      <name val="Calibri"/>
      <family val="2"/>
    </font>
    <font>
      <i/>
      <u val="singleAccounting"/>
      <sz val="11"/>
      <color theme="1"/>
      <name val="Calibri"/>
      <family val="2"/>
      <scheme val="minor"/>
    </font>
    <font>
      <sz val="9"/>
      <name val="Calibri"/>
      <family val="2"/>
      <scheme val="minor"/>
    </font>
    <font>
      <b/>
      <sz val="14"/>
      <name val="Arial"/>
      <family val="2"/>
    </font>
    <font>
      <sz val="12"/>
      <name val="Arial"/>
      <family val="2"/>
    </font>
    <font>
      <sz val="12"/>
      <color theme="1"/>
      <name val="Arial"/>
      <family val="2"/>
    </font>
    <font>
      <sz val="12"/>
      <name val="Arial"/>
      <family val="2"/>
    </font>
    <font>
      <b/>
      <sz val="14"/>
      <color theme="0"/>
      <name val="Arial"/>
      <family val="2"/>
    </font>
    <font>
      <b/>
      <sz val="12"/>
      <color theme="0"/>
      <name val="Arial"/>
      <family val="2"/>
    </font>
    <font>
      <sz val="12"/>
      <color theme="0"/>
      <name val="Arial"/>
      <family val="2"/>
    </font>
    <font>
      <sz val="12"/>
      <name val="Arial"/>
      <family val="2"/>
    </font>
    <font>
      <b/>
      <sz val="11"/>
      <color theme="9" tint="-0.499984740745262"/>
      <name val="Calibri"/>
      <family val="2"/>
      <scheme val="minor"/>
    </font>
    <font>
      <b/>
      <sz val="11"/>
      <color theme="5"/>
      <name val="Calibri"/>
      <family val="2"/>
      <scheme val="minor"/>
    </font>
    <font>
      <b/>
      <sz val="11"/>
      <color theme="9" tint="-0.249977111117893"/>
      <name val="Calibri"/>
      <family val="2"/>
      <scheme val="minor"/>
    </font>
    <font>
      <b/>
      <sz val="11"/>
      <color rgb="FF26808E"/>
      <name val="Calibri"/>
      <family val="2"/>
      <scheme val="minor"/>
    </font>
    <font>
      <u/>
      <sz val="11"/>
      <color theme="1"/>
      <name val="Calibri"/>
      <family val="2"/>
      <scheme val="minor"/>
    </font>
    <font>
      <i/>
      <sz val="11"/>
      <name val="Calibri"/>
      <family val="2"/>
      <scheme val="minor"/>
    </font>
    <font>
      <b/>
      <sz val="10"/>
      <color theme="1"/>
      <name val="Calibri"/>
      <family val="2"/>
      <scheme val="minor"/>
    </font>
    <font>
      <sz val="11"/>
      <color rgb="FF9C0006"/>
      <name val="Calibri"/>
      <family val="2"/>
      <scheme val="minor"/>
    </font>
    <font>
      <sz val="8"/>
      <color rgb="FFFF0000"/>
      <name val="Calibri"/>
      <family val="2"/>
      <scheme val="minor"/>
    </font>
    <font>
      <sz val="10"/>
      <color rgb="FF000000"/>
      <name val="Segoe UI"/>
      <family val="2"/>
    </font>
    <font>
      <sz val="11"/>
      <color theme="9"/>
      <name val="Calibri"/>
      <family val="2"/>
      <scheme val="minor"/>
    </font>
    <font>
      <sz val="10"/>
      <color theme="9"/>
      <name val="Segoe UI"/>
      <family val="2"/>
    </font>
    <font>
      <sz val="10"/>
      <name val="Segoe U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rgb="FF9C5700"/>
      <name val="Calibri"/>
      <family val="2"/>
      <scheme val="minor"/>
    </font>
    <font>
      <sz val="9"/>
      <color rgb="FFFF0000"/>
      <name val="Calibri"/>
      <family val="2"/>
      <scheme val="minor"/>
    </font>
    <font>
      <sz val="8"/>
      <name val="Calibri"/>
      <family val="2"/>
      <scheme val="minor"/>
    </font>
    <font>
      <sz val="10"/>
      <color rgb="FFFF0000"/>
      <name val="Calibri"/>
      <family val="2"/>
      <scheme val="minor"/>
    </font>
    <font>
      <b/>
      <sz val="9"/>
      <color indexed="81"/>
      <name val="Tahoma"/>
      <family val="2"/>
    </font>
    <font>
      <sz val="13"/>
      <color rgb="FF3A3A3A"/>
      <name val="Arial"/>
      <family val="2"/>
    </font>
    <font>
      <b/>
      <i/>
      <sz val="16"/>
      <color theme="1"/>
      <name val="Calibri"/>
      <family val="2"/>
      <scheme val="minor"/>
    </font>
    <font>
      <sz val="10"/>
      <color theme="1"/>
      <name val="Verdana"/>
      <family val="2"/>
    </font>
    <font>
      <sz val="11"/>
      <color rgb="FF00789C"/>
      <name val="Calibri"/>
      <family val="2"/>
      <scheme val="minor"/>
    </font>
    <font>
      <sz val="11"/>
      <color theme="1"/>
      <name val="Arial"/>
      <family val="2"/>
    </font>
    <font>
      <b/>
      <i/>
      <sz val="12"/>
      <color theme="1"/>
      <name val="Calibri"/>
      <family val="2"/>
      <scheme val="minor"/>
    </font>
    <font>
      <b/>
      <i/>
      <sz val="14"/>
      <color theme="1"/>
      <name val="Calibri"/>
      <family val="2"/>
      <scheme val="minor"/>
    </font>
    <font>
      <b/>
      <sz val="12"/>
      <name val="Calibri"/>
      <family val="2"/>
      <scheme val="minor"/>
    </font>
    <font>
      <b/>
      <sz val="28"/>
      <name val="Calibri"/>
      <family val="2"/>
      <scheme val="minor"/>
    </font>
    <font>
      <b/>
      <sz val="14"/>
      <color theme="1"/>
      <name val="Arial"/>
      <family val="2"/>
    </font>
    <font>
      <sz val="12"/>
      <color rgb="FF000000"/>
      <name val="Arial"/>
      <family val="2"/>
    </font>
    <font>
      <sz val="16"/>
      <color theme="1"/>
      <name val="Arial"/>
      <family val="2"/>
    </font>
    <font>
      <b/>
      <sz val="12"/>
      <color rgb="FF0000FF"/>
      <name val="Arial"/>
      <family val="2"/>
    </font>
    <font>
      <sz val="14"/>
      <color theme="1"/>
      <name val="Arial"/>
      <family val="2"/>
    </font>
    <font>
      <sz val="12"/>
      <color rgb="FFFF0000"/>
      <name val="Arial"/>
      <family val="2"/>
    </font>
    <font>
      <b/>
      <sz val="12"/>
      <color theme="1"/>
      <name val="Arial"/>
      <family val="2"/>
    </font>
    <font>
      <i/>
      <sz val="12"/>
      <color rgb="FFFF0000"/>
      <name val="Arial"/>
      <family val="2"/>
    </font>
    <font>
      <sz val="12"/>
      <color rgb="FF0000FF"/>
      <name val="Arial"/>
      <family val="2"/>
    </font>
    <font>
      <strike/>
      <sz val="12"/>
      <color theme="1"/>
      <name val="Arial"/>
      <family val="2"/>
    </font>
    <font>
      <b/>
      <i/>
      <sz val="12"/>
      <color theme="1"/>
      <name val="Arial"/>
      <family val="2"/>
    </font>
    <font>
      <b/>
      <sz val="12"/>
      <color rgb="FFFF0000"/>
      <name val="Arial"/>
      <family val="2"/>
    </font>
    <font>
      <sz val="10"/>
      <color theme="1"/>
      <name val="Arial"/>
      <family val="2"/>
    </font>
    <font>
      <b/>
      <sz val="10"/>
      <color theme="1"/>
      <name val="Arial"/>
      <family val="2"/>
    </font>
    <font>
      <i/>
      <sz val="10"/>
      <color theme="1"/>
      <name val="Arial"/>
      <family val="2"/>
    </font>
    <font>
      <i/>
      <sz val="12"/>
      <color theme="1"/>
      <name val="Arial"/>
      <family val="2"/>
    </font>
    <font>
      <strike/>
      <sz val="12"/>
      <color rgb="FFFF0000"/>
      <name val="Arial"/>
      <family val="2"/>
    </font>
    <font>
      <i/>
      <sz val="12"/>
      <color rgb="FF0000FF"/>
      <name val="Arial"/>
      <family val="2"/>
    </font>
    <font>
      <sz val="12"/>
      <color theme="1"/>
      <name val="Calibri"/>
      <family val="2"/>
    </font>
    <font>
      <sz val="9"/>
      <color indexed="81"/>
      <name val="Tahoma"/>
      <family val="2"/>
    </font>
    <font>
      <sz val="10"/>
      <name val="Calibri"/>
      <family val="2"/>
      <scheme val="minor"/>
    </font>
    <font>
      <sz val="11"/>
      <color rgb="FF000000"/>
      <name val="Calibri"/>
      <family val="2"/>
    </font>
    <font>
      <b/>
      <sz val="11"/>
      <color rgb="FF000000"/>
      <name val="Calibri"/>
      <family val="2"/>
    </font>
    <font>
      <sz val="8"/>
      <color theme="1"/>
      <name val="Arial"/>
      <family val="2"/>
    </font>
    <font>
      <sz val="8"/>
      <color theme="1"/>
      <name val="Calibri"/>
      <family val="2"/>
      <scheme val="minor"/>
    </font>
    <font>
      <sz val="7.5"/>
      <color theme="1"/>
      <name val="Calibri"/>
      <family val="2"/>
      <scheme val="minor"/>
    </font>
    <font>
      <b/>
      <u/>
      <sz val="11"/>
      <color rgb="FF000000"/>
      <name val="Calibri"/>
      <family val="2"/>
    </font>
    <font>
      <b/>
      <sz val="11"/>
      <color theme="1"/>
      <name val="Calibri"/>
      <family val="2"/>
      <scheme val="minor"/>
    </font>
  </fonts>
  <fills count="61">
    <fill>
      <patternFill patternType="none"/>
    </fill>
    <fill>
      <patternFill patternType="gray125"/>
    </fill>
    <fill>
      <patternFill patternType="solid">
        <fgColor rgb="FF00789C"/>
        <bgColor indexed="64"/>
      </patternFill>
    </fill>
    <fill>
      <patternFill patternType="solid">
        <fgColor rgb="FFFCF7D1"/>
        <bgColor indexed="64"/>
      </patternFill>
    </fill>
    <fill>
      <patternFill patternType="solid">
        <fgColor rgb="FFB2D6D7"/>
        <bgColor indexed="64"/>
      </patternFill>
    </fill>
    <fill>
      <patternFill patternType="solid">
        <fgColor indexed="6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CCE1E4"/>
        <bgColor indexed="64"/>
      </patternFill>
    </fill>
    <fill>
      <patternFill patternType="solid">
        <fgColor rgb="FF26808E"/>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indexed="43"/>
      </patternFill>
    </fill>
    <fill>
      <patternFill patternType="solid">
        <fgColor rgb="FF92D050"/>
        <bgColor indexed="64"/>
      </patternFill>
    </fill>
    <fill>
      <patternFill patternType="solid">
        <fgColor theme="2"/>
        <bgColor indexed="64"/>
      </patternFill>
    </fill>
    <fill>
      <patternFill patternType="solid">
        <fgColor theme="6" tint="0.39997558519241921"/>
        <bgColor indexed="64"/>
      </patternFill>
    </fill>
    <fill>
      <patternFill patternType="solid">
        <fgColor theme="7"/>
        <bgColor indexed="64"/>
      </patternFill>
    </fill>
    <fill>
      <patternFill patternType="solid">
        <fgColor rgb="FFFFC7CE"/>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rgb="FFFFEB9C"/>
      </patternFill>
    </fill>
    <fill>
      <patternFill patternType="solid">
        <fgColor theme="4"/>
        <bgColor theme="4"/>
      </patternFill>
    </fill>
    <fill>
      <patternFill patternType="solid">
        <fgColor rgb="FFF907C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FFFFCC"/>
        <bgColor rgb="FFFFFFCC"/>
      </patternFill>
    </fill>
    <fill>
      <patternFill patternType="solid">
        <fgColor rgb="FF7F7F7F"/>
        <bgColor rgb="FF7F7F7F"/>
      </patternFill>
    </fill>
    <fill>
      <patternFill patternType="solid">
        <fgColor rgb="FFD8D8D8"/>
        <bgColor rgb="FFD8D8D8"/>
      </patternFill>
    </fill>
    <fill>
      <patternFill patternType="solid">
        <fgColor theme="0"/>
        <bgColor theme="0"/>
      </patternFill>
    </fill>
    <fill>
      <patternFill patternType="solid">
        <fgColor rgb="FFFFFFCC"/>
        <bgColor indexed="64"/>
      </patternFill>
    </fill>
    <fill>
      <patternFill patternType="solid">
        <fgColor theme="7" tint="0.79998168889431442"/>
        <bgColor indexed="64"/>
      </patternFill>
    </fill>
    <fill>
      <patternFill patternType="solid">
        <fgColor rgb="FFDDEBF7"/>
        <bgColor rgb="FF000000"/>
      </patternFill>
    </fill>
    <fill>
      <patternFill patternType="solid">
        <fgColor rgb="FFFCF7D1"/>
        <bgColor rgb="FFCCFFFF"/>
      </patternFill>
    </fill>
    <fill>
      <patternFill patternType="solid">
        <fgColor theme="1"/>
        <bgColor indexed="64"/>
      </patternFill>
    </fill>
    <fill>
      <patternFill patternType="solid">
        <fgColor theme="9" tint="0.59999389629810485"/>
        <bgColor indexed="64"/>
      </patternFill>
    </fill>
  </fills>
  <borders count="128">
    <border>
      <left/>
      <right/>
      <top/>
      <bottom/>
      <diagonal/>
    </border>
    <border>
      <left style="thin">
        <color rgb="FFFCF7D1"/>
      </left>
      <right style="thin">
        <color rgb="FFFCF7D1"/>
      </right>
      <top style="thin">
        <color rgb="FFFCF7D1"/>
      </top>
      <bottom style="thin">
        <color rgb="FFFCF7D1"/>
      </bottom>
      <diagonal/>
    </border>
    <border>
      <left style="medium">
        <color indexed="64"/>
      </left>
      <right/>
      <top style="medium">
        <color indexed="64"/>
      </top>
      <bottom/>
      <diagonal/>
    </border>
    <border>
      <left style="thin">
        <color indexed="64"/>
      </left>
      <right style="thin">
        <color indexed="64"/>
      </right>
      <top style="thick">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thick">
        <color indexed="64"/>
      </bottom>
      <diagonal/>
    </border>
    <border>
      <left/>
      <right/>
      <top style="dotted">
        <color indexed="64"/>
      </top>
      <bottom/>
      <diagonal/>
    </border>
    <border>
      <left/>
      <right/>
      <top/>
      <bottom style="dotted">
        <color indexed="64"/>
      </bottom>
      <diagonal/>
    </border>
    <border>
      <left style="thin">
        <color rgb="FFFCF7D1"/>
      </left>
      <right/>
      <top/>
      <bottom/>
      <diagonal/>
    </border>
    <border>
      <left style="thin">
        <color rgb="FFFCF7D1"/>
      </left>
      <right/>
      <top style="thin">
        <color rgb="FFFCF7D1"/>
      </top>
      <bottom style="thin">
        <color rgb="FFFCF7D1"/>
      </bottom>
      <diagonal/>
    </border>
    <border>
      <left/>
      <right style="thin">
        <color rgb="FFFCF7D1"/>
      </right>
      <top style="thin">
        <color rgb="FFFCF7D1"/>
      </top>
      <bottom style="thin">
        <color rgb="FFFCF7D1"/>
      </bottom>
      <diagonal/>
    </border>
    <border>
      <left style="medium">
        <color theme="4"/>
      </left>
      <right style="medium">
        <color theme="4"/>
      </right>
      <top style="medium">
        <color theme="4"/>
      </top>
      <bottom style="medium">
        <color theme="4"/>
      </bottom>
      <diagonal/>
    </border>
    <border>
      <left/>
      <right/>
      <top style="double">
        <color theme="2" tint="-9.9948118533890809E-2"/>
      </top>
      <bottom/>
      <diagonal/>
    </border>
    <border>
      <left/>
      <right/>
      <top/>
      <bottom style="thin">
        <color theme="0" tint="-0.24994659260841701"/>
      </bottom>
      <diagonal/>
    </border>
    <border>
      <left/>
      <right/>
      <top style="thin">
        <color theme="0" tint="-0.249977111117893"/>
      </top>
      <bottom/>
      <diagonal/>
    </border>
    <border>
      <left/>
      <right/>
      <top/>
      <bottom style="thin">
        <color theme="0" tint="-0.249977111117893"/>
      </bottom>
      <diagonal/>
    </border>
    <border>
      <left/>
      <right/>
      <top/>
      <bottom style="thin">
        <color theme="0" tint="-0.14999847407452621"/>
      </bottom>
      <diagonal/>
    </border>
    <border>
      <left/>
      <right/>
      <top style="thin">
        <color theme="0" tint="-0.149998474074526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right style="medium">
        <color auto="1"/>
      </right>
      <top/>
      <bottom/>
      <diagonal/>
    </border>
    <border>
      <left/>
      <right/>
      <top/>
      <bottom style="thin">
        <color indexed="64"/>
      </bottom>
      <diagonal/>
    </border>
    <border>
      <left/>
      <right/>
      <top style="thin">
        <color auto="1"/>
      </top>
      <bottom/>
      <diagonal/>
    </border>
    <border>
      <left/>
      <right style="thin">
        <color theme="4" tint="0.39997558519241921"/>
      </right>
      <top style="thin">
        <color theme="4" tint="0.39997558519241921"/>
      </top>
      <bottom style="thin">
        <color theme="4" tint="0.39997558519241921"/>
      </bottom>
      <diagonal/>
    </border>
    <border>
      <left/>
      <right/>
      <top/>
      <bottom style="medium">
        <color rgb="FF26808E"/>
      </bottom>
      <diagonal/>
    </border>
    <border>
      <left style="double">
        <color indexed="64"/>
      </left>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double">
        <color theme="2" tint="-9.9917600024414813E-2"/>
      </bottom>
      <diagonal/>
    </border>
    <border>
      <left/>
      <right/>
      <top style="double">
        <color theme="2" tint="-9.9917600024414813E-2"/>
      </top>
      <bottom/>
      <diagonal/>
    </border>
    <border>
      <left/>
      <right/>
      <top/>
      <bottom style="double">
        <color theme="2" tint="-9.9948118533890809E-2"/>
      </bottom>
      <diagonal/>
    </border>
    <border>
      <left/>
      <right/>
      <top/>
      <bottom style="thin">
        <color theme="2" tint="-9.9948118533890809E-2"/>
      </bottom>
      <diagonal/>
    </border>
    <border>
      <left style="thin">
        <color rgb="FFFCF7D1"/>
      </left>
      <right/>
      <top/>
      <bottom style="thin">
        <color rgb="FFFCF7D1"/>
      </bottom>
      <diagonal/>
    </border>
    <border>
      <left/>
      <right/>
      <top/>
      <bottom style="thin">
        <color rgb="FFFCF7D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diagonal/>
    </border>
    <border>
      <left style="medium">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style="thin">
        <color rgb="FFFCF7D1"/>
      </top>
      <bottom style="double">
        <color theme="2" tint="-9.9948118533890809E-2"/>
      </bottom>
      <diagonal/>
    </border>
    <border>
      <left style="thin">
        <color rgb="FFFCF7D1"/>
      </left>
      <right/>
      <top style="thin">
        <color rgb="FFFCF7D1"/>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style="double">
        <color rgb="FF000000"/>
      </right>
      <top/>
      <bottom style="double">
        <color rgb="FF000000"/>
      </bottom>
      <diagonal/>
    </border>
    <border>
      <left/>
      <right/>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double">
        <color rgb="FF000000"/>
      </left>
      <right/>
      <top style="thin">
        <color rgb="FF000000"/>
      </top>
      <bottom/>
      <diagonal/>
    </border>
    <border>
      <left style="thin">
        <color rgb="FF000000"/>
      </left>
      <right/>
      <top style="thin">
        <color rgb="FF000000"/>
      </top>
      <bottom/>
      <diagonal/>
    </border>
    <border>
      <left style="double">
        <color rgb="FF000000"/>
      </left>
      <right/>
      <top style="thin">
        <color rgb="FF000000"/>
      </top>
      <bottom style="thin">
        <color rgb="FF000000"/>
      </bottom>
      <diagonal/>
    </border>
    <border>
      <left/>
      <right/>
      <top style="thin">
        <color rgb="FF000000"/>
      </top>
      <bottom/>
      <diagonal/>
    </border>
    <border>
      <left style="double">
        <color rgb="FF000000"/>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double">
        <color rgb="FF000000"/>
      </top>
      <bottom style="double">
        <color rgb="FF000000"/>
      </bottom>
      <diagonal/>
    </border>
    <border>
      <left/>
      <right/>
      <top style="double">
        <color rgb="FF000000"/>
      </top>
      <bottom style="double">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uble">
        <color rgb="FF000000"/>
      </bottom>
      <diagonal/>
    </border>
    <border>
      <left/>
      <right style="thin">
        <color rgb="FF000000"/>
      </right>
      <top/>
      <bottom style="double">
        <color rgb="FF000000"/>
      </bottom>
      <diagonal/>
    </border>
    <border>
      <left/>
      <right/>
      <top style="thin">
        <color rgb="FF000000"/>
      </top>
      <bottom style="double">
        <color rgb="FF000000"/>
      </bottom>
      <diagonal/>
    </border>
    <border>
      <left style="double">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top style="double">
        <color rgb="FF000000"/>
      </top>
      <bottom/>
      <diagonal/>
    </border>
    <border>
      <left style="double">
        <color rgb="FF000000"/>
      </left>
      <right style="thin">
        <color rgb="FF000000"/>
      </right>
      <top style="thin">
        <color rgb="FF000000"/>
      </top>
      <bottom/>
      <diagonal/>
    </border>
    <border>
      <left style="thin">
        <color rgb="FF000000"/>
      </left>
      <right/>
      <top/>
      <bottom/>
      <diagonal/>
    </border>
    <border>
      <left style="double">
        <color rgb="FF000000"/>
      </left>
      <right style="thin">
        <color rgb="FF000000"/>
      </right>
      <top/>
      <bottom/>
      <diagonal/>
    </border>
    <border>
      <left style="double">
        <color rgb="FF000000"/>
      </left>
      <right style="thin">
        <color rgb="FF000000"/>
      </right>
      <top/>
      <bottom style="thin">
        <color rgb="FF000000"/>
      </bottom>
      <diagonal/>
    </border>
    <border>
      <left style="double">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style="double">
        <color indexed="64"/>
      </right>
      <top style="double">
        <color indexed="64"/>
      </top>
      <bottom/>
      <diagonal/>
    </border>
    <border>
      <left/>
      <right style="double">
        <color auto="1"/>
      </right>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auto="1"/>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right style="medium">
        <color indexed="64"/>
      </right>
      <top/>
      <bottom style="medium">
        <color indexed="64"/>
      </bottom>
      <diagonal/>
    </border>
    <border>
      <left/>
      <right style="double">
        <color rgb="FF000000"/>
      </right>
      <top style="thin">
        <color rgb="FF000000"/>
      </top>
      <bottom style="double">
        <color rgb="FF000000"/>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top style="thin">
        <color theme="4" tint="0.39997558519241921"/>
      </top>
      <bottom/>
      <diagonal/>
    </border>
    <border>
      <left/>
      <right/>
      <top/>
      <bottom style="thin">
        <color theme="4" tint="0.39997558519241921"/>
      </bottom>
      <diagonal/>
    </border>
    <border>
      <left style="thin">
        <color theme="4" tint="0.39997558519241921"/>
      </left>
      <right style="thin">
        <color theme="4" tint="0.39997558519241921"/>
      </right>
      <top/>
      <bottom/>
      <diagonal/>
    </border>
  </borders>
  <cellStyleXfs count="1020">
    <xf numFmtId="0" fontId="0" fillId="0" borderId="0"/>
    <xf numFmtId="9" fontId="1" fillId="0" borderId="0" applyFont="0" applyFill="0" applyBorder="0" applyAlignment="0" applyProtection="0"/>
    <xf numFmtId="0" fontId="4" fillId="0" borderId="0" applyNumberFormat="0" applyFill="0" applyBorder="0" applyAlignment="0" applyProtection="0">
      <alignment vertical="top"/>
      <protection locked="0"/>
    </xf>
    <xf numFmtId="44" fontId="1" fillId="0" borderId="0" applyFont="0" applyFill="0" applyBorder="0" applyAlignment="0" applyProtection="0"/>
    <xf numFmtId="0" fontId="3" fillId="0" borderId="0"/>
    <xf numFmtId="0" fontId="3" fillId="0" borderId="0"/>
    <xf numFmtId="0" fontId="1" fillId="0" borderId="0"/>
    <xf numFmtId="43" fontId="10" fillId="0" borderId="0" applyFont="0" applyFill="0" applyBorder="0" applyAlignment="0" applyProtection="0"/>
    <xf numFmtId="0" fontId="1" fillId="0" borderId="0"/>
    <xf numFmtId="44"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9" fontId="1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54" fillId="0" borderId="0">
      <alignment vertical="top"/>
    </xf>
    <xf numFmtId="4" fontId="54" fillId="0" borderId="0" applyFont="0" applyFill="0" applyBorder="0" applyAlignment="0" applyProtection="0"/>
    <xf numFmtId="0" fontId="54" fillId="0" borderId="0">
      <alignment vertical="top"/>
    </xf>
    <xf numFmtId="0" fontId="56" fillId="0" borderId="0">
      <alignment vertical="top"/>
    </xf>
    <xf numFmtId="10" fontId="54" fillId="0" borderId="0" applyFont="0" applyFill="0" applyBorder="0" applyAlignment="0" applyProtection="0"/>
    <xf numFmtId="7" fontId="54" fillId="0" borderId="0" applyFont="0" applyFill="0" applyBorder="0" applyAlignment="0" applyProtection="0"/>
    <xf numFmtId="0" fontId="54" fillId="0" borderId="0">
      <alignment vertical="top"/>
    </xf>
    <xf numFmtId="0" fontId="54" fillId="0" borderId="0">
      <alignment vertical="top"/>
    </xf>
    <xf numFmtId="0" fontId="60" fillId="0" borderId="0">
      <alignment vertical="top"/>
    </xf>
    <xf numFmtId="0" fontId="54" fillId="0" borderId="0">
      <alignment vertical="top"/>
    </xf>
    <xf numFmtId="0" fontId="68" fillId="22" borderId="0" applyNumberFormat="0" applyBorder="0" applyAlignment="0" applyProtection="0"/>
    <xf numFmtId="0" fontId="3" fillId="0" borderId="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74" fillId="34"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5" borderId="0" applyNumberFormat="0" applyBorder="0" applyAlignment="0" applyProtection="0"/>
    <xf numFmtId="0" fontId="74" fillId="36" borderId="0" applyNumberFormat="0" applyBorder="0" applyAlignment="0" applyProtection="0"/>
    <xf numFmtId="0" fontId="74" fillId="37" borderId="0" applyNumberFormat="0" applyBorder="0" applyAlignment="0" applyProtection="0"/>
    <xf numFmtId="0" fontId="74" fillId="38" borderId="0" applyNumberFormat="0" applyBorder="0" applyAlignment="0" applyProtection="0"/>
    <xf numFmtId="0" fontId="74" fillId="39" borderId="0" applyNumberFormat="0" applyBorder="0" applyAlignment="0" applyProtection="0"/>
    <xf numFmtId="0" fontId="74" fillId="40" borderId="0" applyNumberFormat="0" applyBorder="0" applyAlignment="0" applyProtection="0"/>
    <xf numFmtId="0" fontId="74" fillId="35" borderId="0" applyNumberFormat="0" applyBorder="0" applyAlignment="0" applyProtection="0"/>
    <xf numFmtId="0" fontId="74" fillId="36" borderId="0" applyNumberFormat="0" applyBorder="0" applyAlignment="0" applyProtection="0"/>
    <xf numFmtId="0" fontId="74" fillId="41" borderId="0" applyNumberFormat="0" applyBorder="0" applyAlignment="0" applyProtection="0"/>
    <xf numFmtId="0" fontId="75" fillId="25" borderId="0" applyNumberFormat="0" applyBorder="0" applyAlignment="0" applyProtection="0"/>
    <xf numFmtId="0" fontId="76" fillId="42" borderId="32" applyNumberFormat="0" applyAlignment="0" applyProtection="0"/>
    <xf numFmtId="0" fontId="77" fillId="43" borderId="33"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78" fillId="0" borderId="0" applyNumberFormat="0" applyFill="0" applyBorder="0" applyAlignment="0" applyProtection="0"/>
    <xf numFmtId="0" fontId="79" fillId="26" borderId="0" applyNumberFormat="0" applyBorder="0" applyAlignment="0" applyProtection="0"/>
    <xf numFmtId="0" fontId="80" fillId="0" borderId="34" applyNumberFormat="0" applyFill="0" applyAlignment="0" applyProtection="0"/>
    <xf numFmtId="0" fontId="81" fillId="0" borderId="35" applyNumberFormat="0" applyFill="0" applyAlignment="0" applyProtection="0"/>
    <xf numFmtId="0" fontId="82" fillId="0" borderId="36" applyNumberFormat="0" applyFill="0" applyAlignment="0" applyProtection="0"/>
    <xf numFmtId="0" fontId="82" fillId="0" borderId="0" applyNumberFormat="0" applyFill="0" applyBorder="0" applyAlignment="0" applyProtection="0"/>
    <xf numFmtId="0" fontId="83" fillId="29" borderId="32" applyNumberFormat="0" applyAlignment="0" applyProtection="0"/>
    <xf numFmtId="0" fontId="84" fillId="0" borderId="37" applyNumberFormat="0" applyFill="0" applyAlignment="0" applyProtection="0"/>
    <xf numFmtId="0" fontId="85" fillId="17" borderId="0" applyNumberFormat="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86" fillId="42" borderId="39"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7" fillId="0" borderId="0" applyNumberFormat="0" applyFill="0" applyBorder="0" applyAlignment="0" applyProtection="0"/>
    <xf numFmtId="0" fontId="50" fillId="0" borderId="40" applyNumberFormat="0" applyFill="0" applyAlignment="0" applyProtection="0"/>
    <xf numFmtId="0" fontId="88" fillId="0" borderId="0" applyNumberForma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3" fillId="0" borderId="0"/>
    <xf numFmtId="0" fontId="89" fillId="45" borderId="0" applyNumberFormat="0" applyBorder="0" applyAlignment="0" applyProtection="0"/>
  </cellStyleXfs>
  <cellXfs count="959">
    <xf numFmtId="0" fontId="0" fillId="0" borderId="0" xfId="0"/>
    <xf numFmtId="0" fontId="2" fillId="0" borderId="0" xfId="0" applyFont="1"/>
    <xf numFmtId="164" fontId="5" fillId="2" borderId="0" xfId="0" applyNumberFormat="1" applyFont="1" applyFill="1"/>
    <xf numFmtId="0" fontId="6" fillId="3" borderId="0" xfId="0" applyFont="1" applyFill="1"/>
    <xf numFmtId="0" fontId="7" fillId="2" borderId="0" xfId="0" applyFont="1" applyFill="1"/>
    <xf numFmtId="0" fontId="9" fillId="0" borderId="0" xfId="0" applyFont="1"/>
    <xf numFmtId="0" fontId="8" fillId="0" borderId="0" xfId="0" quotePrefix="1" applyFont="1"/>
    <xf numFmtId="0" fontId="12" fillId="0" borderId="0" xfId="0" applyFont="1"/>
    <xf numFmtId="9" fontId="0" fillId="0" borderId="0" xfId="1" applyFont="1"/>
    <xf numFmtId="0" fontId="0" fillId="0" borderId="0" xfId="0" applyAlignment="1">
      <alignment wrapText="1"/>
    </xf>
    <xf numFmtId="0" fontId="8" fillId="0" borderId="0" xfId="0" applyFont="1"/>
    <xf numFmtId="0" fontId="0" fillId="4" borderId="1" xfId="0" applyFill="1" applyBorder="1"/>
    <xf numFmtId="2" fontId="0" fillId="0" borderId="0" xfId="0" applyNumberFormat="1"/>
    <xf numFmtId="0" fontId="13" fillId="0" borderId="0" xfId="0" applyFont="1"/>
    <xf numFmtId="49" fontId="0" fillId="0" borderId="0" xfId="0" applyNumberFormat="1"/>
    <xf numFmtId="0" fontId="15" fillId="0" borderId="0" xfId="0" applyFont="1"/>
    <xf numFmtId="0" fontId="0" fillId="6" borderId="0" xfId="0" applyFill="1"/>
    <xf numFmtId="0" fontId="2" fillId="0" borderId="0" xfId="0" applyFont="1" applyAlignment="1">
      <alignment horizontal="left" indent="2"/>
    </xf>
    <xf numFmtId="0" fontId="14" fillId="0" borderId="0" xfId="0" applyFont="1"/>
    <xf numFmtId="0" fontId="2" fillId="7" borderId="0" xfId="0" applyFont="1" applyFill="1"/>
    <xf numFmtId="0" fontId="16" fillId="0" borderId="0" xfId="0" applyFont="1"/>
    <xf numFmtId="0" fontId="14" fillId="0" borderId="0" xfId="0" applyFont="1" applyAlignment="1">
      <alignment horizontal="left" vertical="top" wrapText="1"/>
    </xf>
    <xf numFmtId="0" fontId="17" fillId="0" borderId="0" xfId="0" applyFont="1"/>
    <xf numFmtId="0" fontId="19" fillId="5" borderId="0" xfId="4" applyFont="1" applyFill="1"/>
    <xf numFmtId="0" fontId="20" fillId="0" borderId="0" xfId="4" applyFont="1"/>
    <xf numFmtId="0" fontId="21" fillId="0" borderId="0" xfId="4" applyFont="1"/>
    <xf numFmtId="0" fontId="21" fillId="0" borderId="0" xfId="4" applyFont="1" applyAlignment="1">
      <alignment wrapText="1"/>
    </xf>
    <xf numFmtId="0" fontId="20" fillId="0" borderId="0" xfId="4" applyFont="1" applyAlignment="1">
      <alignment wrapText="1"/>
    </xf>
    <xf numFmtId="0" fontId="22" fillId="0" borderId="0" xfId="4" applyFont="1"/>
    <xf numFmtId="0" fontId="23" fillId="0" borderId="0" xfId="4" applyFont="1"/>
    <xf numFmtId="15" fontId="20" fillId="0" borderId="0" xfId="4" applyNumberFormat="1" applyFont="1" applyAlignment="1">
      <alignment horizontal="left"/>
    </xf>
    <xf numFmtId="0" fontId="20" fillId="0" borderId="0" xfId="4" applyFont="1" applyAlignment="1">
      <alignment horizontal="left"/>
    </xf>
    <xf numFmtId="0" fontId="24" fillId="0" borderId="0" xfId="4" applyFont="1" applyAlignment="1">
      <alignment horizontal="center"/>
    </xf>
    <xf numFmtId="0" fontId="24" fillId="0" borderId="0" xfId="4" applyFont="1"/>
    <xf numFmtId="3" fontId="24" fillId="0" borderId="0" xfId="4" applyNumberFormat="1" applyFont="1" applyAlignment="1">
      <alignment horizontal="center"/>
    </xf>
    <xf numFmtId="3" fontId="24" fillId="0" borderId="0" xfId="4" quotePrefix="1" applyNumberFormat="1" applyFont="1" applyAlignment="1">
      <alignment horizontal="center"/>
    </xf>
    <xf numFmtId="0" fontId="24" fillId="0" borderId="2" xfId="4" applyFont="1" applyBorder="1" applyAlignment="1">
      <alignment horizontal="left"/>
    </xf>
    <xf numFmtId="9" fontId="25" fillId="0" borderId="3" xfId="8" applyNumberFormat="1" applyFont="1" applyBorder="1" applyAlignment="1">
      <alignment horizontal="center"/>
    </xf>
    <xf numFmtId="0" fontId="24" fillId="0" borderId="4" xfId="4" applyFont="1" applyBorder="1" applyAlignment="1">
      <alignment horizontal="right"/>
    </xf>
    <xf numFmtId="0" fontId="26" fillId="5" borderId="0" xfId="4" applyFont="1" applyFill="1"/>
    <xf numFmtId="9" fontId="25" fillId="0" borderId="5" xfId="8" applyNumberFormat="1" applyFont="1" applyBorder="1" applyAlignment="1">
      <alignment horizontal="center"/>
    </xf>
    <xf numFmtId="0" fontId="27" fillId="5" borderId="0" xfId="4" applyFont="1" applyFill="1"/>
    <xf numFmtId="0" fontId="26" fillId="5" borderId="6" xfId="4" applyFont="1" applyFill="1" applyBorder="1"/>
    <xf numFmtId="0" fontId="24" fillId="0" borderId="4" xfId="4" quotePrefix="1" applyFont="1" applyBorder="1" applyAlignment="1">
      <alignment horizontal="right"/>
    </xf>
    <xf numFmtId="0" fontId="24" fillId="0" borderId="2" xfId="4" applyFont="1" applyBorder="1" applyAlignment="1">
      <alignment horizontal="right"/>
    </xf>
    <xf numFmtId="0" fontId="27" fillId="5" borderId="7" xfId="4" applyFont="1" applyFill="1" applyBorder="1"/>
    <xf numFmtId="0" fontId="24" fillId="0" borderId="4" xfId="4" applyFont="1" applyBorder="1" applyAlignment="1">
      <alignment horizontal="left"/>
    </xf>
    <xf numFmtId="0" fontId="28" fillId="5" borderId="0" xfId="4" applyFont="1" applyFill="1" applyAlignment="1">
      <alignment horizontal="center"/>
    </xf>
    <xf numFmtId="0" fontId="26" fillId="5" borderId="7" xfId="4" applyFont="1" applyFill="1" applyBorder="1"/>
    <xf numFmtId="0" fontId="0" fillId="0" borderId="0" xfId="0" quotePrefix="1"/>
    <xf numFmtId="14" fontId="0" fillId="8" borderId="11" xfId="0" applyNumberFormat="1" applyFill="1" applyBorder="1"/>
    <xf numFmtId="2" fontId="0" fillId="8" borderId="11" xfId="0" applyNumberFormat="1" applyFill="1" applyBorder="1"/>
    <xf numFmtId="0" fontId="0" fillId="7" borderId="0" xfId="0" applyFill="1"/>
    <xf numFmtId="0" fontId="2" fillId="9" borderId="0" xfId="0" applyFont="1" applyFill="1"/>
    <xf numFmtId="0" fontId="2" fillId="9" borderId="0" xfId="0" quotePrefix="1" applyFont="1" applyFill="1"/>
    <xf numFmtId="0" fontId="29" fillId="9" borderId="0" xfId="0" applyFont="1" applyFill="1"/>
    <xf numFmtId="0" fontId="14" fillId="9" borderId="0" xfId="0" applyFont="1" applyFill="1" applyAlignment="1">
      <alignment wrapText="1"/>
    </xf>
    <xf numFmtId="166" fontId="0" fillId="8" borderId="11" xfId="3" applyNumberFormat="1" applyFont="1" applyFill="1" applyBorder="1"/>
    <xf numFmtId="0" fontId="30" fillId="0" borderId="0" xfId="0" applyFont="1"/>
    <xf numFmtId="0" fontId="31" fillId="0" borderId="0" xfId="0" applyFont="1"/>
    <xf numFmtId="0" fontId="32" fillId="0" borderId="0" xfId="0" applyFont="1"/>
    <xf numFmtId="10" fontId="33" fillId="0" borderId="0" xfId="1" applyNumberFormat="1" applyFont="1" applyAlignment="1">
      <alignment horizontal="left"/>
    </xf>
    <xf numFmtId="0" fontId="33" fillId="0" borderId="0" xfId="0" applyFont="1" applyAlignment="1">
      <alignment horizontal="left"/>
    </xf>
    <xf numFmtId="0" fontId="34" fillId="0" borderId="0" xfId="0" applyFont="1"/>
    <xf numFmtId="0" fontId="0" fillId="6" borderId="0" xfId="0" quotePrefix="1" applyFill="1"/>
    <xf numFmtId="44" fontId="0" fillId="0" borderId="0" xfId="0" applyNumberFormat="1"/>
    <xf numFmtId="166" fontId="0" fillId="0" borderId="0" xfId="0" applyNumberFormat="1"/>
    <xf numFmtId="0" fontId="0" fillId="0" borderId="0" xfId="0" applyAlignment="1">
      <alignment horizontal="right"/>
    </xf>
    <xf numFmtId="0" fontId="35" fillId="0" borderId="0" xfId="0" applyFont="1" applyAlignment="1">
      <alignment horizontal="right"/>
    </xf>
    <xf numFmtId="0" fontId="35" fillId="0" borderId="0" xfId="0" applyFont="1" applyAlignment="1">
      <alignment horizontal="right" wrapText="1"/>
    </xf>
    <xf numFmtId="9" fontId="0" fillId="0" borderId="0" xfId="0" applyNumberFormat="1"/>
    <xf numFmtId="0" fontId="0" fillId="10" borderId="0" xfId="0" applyFill="1"/>
    <xf numFmtId="0" fontId="2" fillId="11" borderId="0" xfId="0" applyFont="1" applyFill="1"/>
    <xf numFmtId="0" fontId="0" fillId="0" borderId="0" xfId="0" applyAlignment="1">
      <alignment horizontal="left"/>
    </xf>
    <xf numFmtId="0" fontId="2" fillId="0" borderId="13" xfId="0" applyFont="1" applyBorder="1" applyAlignment="1">
      <alignment horizontal="center" vertical="center" wrapText="1"/>
    </xf>
    <xf numFmtId="0" fontId="2" fillId="0" borderId="13" xfId="0" applyFont="1" applyBorder="1" applyAlignment="1">
      <alignment horizontal="left" vertical="center"/>
    </xf>
    <xf numFmtId="0" fontId="0" fillId="0" borderId="14" xfId="0" applyBorder="1" applyAlignment="1">
      <alignment horizontal="left" indent="1"/>
    </xf>
    <xf numFmtId="169" fontId="0" fillId="0" borderId="0" xfId="11" applyNumberFormat="1" applyFont="1"/>
    <xf numFmtId="0" fontId="0" fillId="0" borderId="15" xfId="0" applyBorder="1" applyAlignment="1">
      <alignment horizontal="left" indent="1"/>
    </xf>
    <xf numFmtId="169" fontId="0" fillId="0" borderId="15" xfId="11" applyNumberFormat="1" applyFont="1" applyBorder="1" applyAlignment="1">
      <alignment horizontal="center"/>
    </xf>
    <xf numFmtId="169" fontId="0" fillId="0" borderId="0" xfId="11" applyNumberFormat="1" applyFont="1" applyAlignment="1">
      <alignment horizontal="center"/>
    </xf>
    <xf numFmtId="0" fontId="2" fillId="11" borderId="0" xfId="0" applyFont="1" applyFill="1" applyAlignment="1">
      <alignment horizontal="right" indent="1"/>
    </xf>
    <xf numFmtId="0" fontId="0" fillId="0" borderId="0" xfId="0" applyAlignment="1">
      <alignment horizontal="right" indent="1"/>
    </xf>
    <xf numFmtId="166" fontId="1" fillId="0" borderId="0" xfId="11" applyNumberFormat="1"/>
    <xf numFmtId="0" fontId="1" fillId="0" borderId="0" xfId="0" applyFont="1" applyAlignment="1">
      <alignment horizontal="left" indent="1"/>
    </xf>
    <xf numFmtId="1" fontId="0" fillId="0" borderId="1" xfId="0" applyNumberFormat="1" applyBorder="1"/>
    <xf numFmtId="44" fontId="0" fillId="0" borderId="1" xfId="0" applyNumberFormat="1" applyBorder="1"/>
    <xf numFmtId="0" fontId="2" fillId="11" borderId="0" xfId="0" applyFont="1" applyFill="1" applyAlignment="1">
      <alignment horizontal="right"/>
    </xf>
    <xf numFmtId="0" fontId="1" fillId="0" borderId="0" xfId="0" applyFont="1"/>
    <xf numFmtId="9" fontId="1" fillId="0" borderId="0" xfId="0" applyNumberFormat="1" applyFont="1" applyAlignment="1">
      <alignment horizontal="left"/>
    </xf>
    <xf numFmtId="9" fontId="2" fillId="7" borderId="0" xfId="0" applyNumberFormat="1" applyFont="1" applyFill="1"/>
    <xf numFmtId="1" fontId="0" fillId="0" borderId="12" xfId="0" applyNumberFormat="1" applyBorder="1"/>
    <xf numFmtId="1" fontId="0" fillId="0" borderId="0" xfId="0" applyNumberFormat="1"/>
    <xf numFmtId="0" fontId="2" fillId="7" borderId="0" xfId="0" applyFont="1" applyFill="1" applyAlignment="1">
      <alignment wrapText="1"/>
    </xf>
    <xf numFmtId="2" fontId="0" fillId="0" borderId="0" xfId="1" applyNumberFormat="1" applyFont="1"/>
    <xf numFmtId="1" fontId="2" fillId="0" borderId="0" xfId="1" applyNumberFormat="1" applyFont="1"/>
    <xf numFmtId="49" fontId="17" fillId="0" borderId="0" xfId="0" applyNumberFormat="1" applyFont="1"/>
    <xf numFmtId="1" fontId="0" fillId="8" borderId="11" xfId="0" applyNumberFormat="1" applyFill="1" applyBorder="1"/>
    <xf numFmtId="0" fontId="6" fillId="0" borderId="0" xfId="0" applyFont="1"/>
    <xf numFmtId="0" fontId="2" fillId="10" borderId="13" xfId="0" applyFont="1" applyFill="1" applyBorder="1" applyAlignment="1">
      <alignment horizontal="center" vertical="center" wrapText="1"/>
    </xf>
    <xf numFmtId="0" fontId="37" fillId="0" borderId="0" xfId="0" applyFont="1"/>
    <xf numFmtId="0" fontId="2" fillId="0" borderId="16" xfId="0" applyFont="1" applyBorder="1" applyAlignment="1">
      <alignment horizontal="left"/>
    </xf>
    <xf numFmtId="0" fontId="2" fillId="0" borderId="0" xfId="0" applyFont="1" applyAlignment="1">
      <alignment horizontal="left" indent="1"/>
    </xf>
    <xf numFmtId="0" fontId="1" fillId="0" borderId="16" xfId="0" applyFont="1" applyBorder="1"/>
    <xf numFmtId="0" fontId="2" fillId="0" borderId="16" xfId="0" applyFont="1" applyBorder="1" applyAlignment="1">
      <alignment horizontal="right"/>
    </xf>
    <xf numFmtId="166" fontId="1" fillId="0" borderId="0" xfId="11" applyNumberFormat="1" applyAlignment="1">
      <alignment vertical="top"/>
    </xf>
    <xf numFmtId="42" fontId="1" fillId="0" borderId="0" xfId="11" applyNumberFormat="1" applyAlignment="1">
      <alignment vertical="top"/>
    </xf>
    <xf numFmtId="42" fontId="2" fillId="0" borderId="14" xfId="11" applyNumberFormat="1" applyFont="1" applyBorder="1" applyAlignment="1">
      <alignment vertical="top"/>
    </xf>
    <xf numFmtId="0" fontId="39" fillId="5" borderId="14" xfId="0" applyFont="1" applyFill="1" applyBorder="1" applyAlignment="1" applyProtection="1">
      <alignment horizontal="right"/>
      <protection locked="0"/>
    </xf>
    <xf numFmtId="0" fontId="0" fillId="0" borderId="14" xfId="0" applyBorder="1"/>
    <xf numFmtId="0" fontId="38" fillId="5" borderId="0" xfId="0" applyFont="1" applyFill="1" applyAlignment="1" applyProtection="1">
      <alignment horizontal="right"/>
      <protection locked="0"/>
    </xf>
    <xf numFmtId="0" fontId="39" fillId="5" borderId="0" xfId="0" applyFont="1" applyFill="1" applyAlignment="1" applyProtection="1">
      <alignment horizontal="left"/>
      <protection locked="0"/>
    </xf>
    <xf numFmtId="42" fontId="2" fillId="0" borderId="0" xfId="11" applyNumberFormat="1" applyFont="1" applyAlignment="1">
      <alignment vertical="top"/>
    </xf>
    <xf numFmtId="42" fontId="1" fillId="0" borderId="0" xfId="11" applyNumberFormat="1"/>
    <xf numFmtId="0" fontId="39" fillId="5" borderId="0" xfId="0" applyFont="1" applyFill="1" applyAlignment="1" applyProtection="1">
      <alignment horizontal="right"/>
      <protection locked="0"/>
    </xf>
    <xf numFmtId="0" fontId="2" fillId="0" borderId="13" xfId="0" applyFont="1" applyBorder="1" applyAlignment="1">
      <alignment horizontal="center" wrapText="1"/>
    </xf>
    <xf numFmtId="0" fontId="2" fillId="0" borderId="13" xfId="0" applyFont="1" applyBorder="1" applyAlignment="1">
      <alignment horizontal="right"/>
    </xf>
    <xf numFmtId="0" fontId="2" fillId="0" borderId="13" xfId="0" applyFont="1" applyBorder="1" applyAlignment="1">
      <alignment horizontal="left"/>
    </xf>
    <xf numFmtId="0" fontId="41" fillId="0" borderId="0" xfId="0" applyFont="1"/>
    <xf numFmtId="0" fontId="0" fillId="0" borderId="0" xfId="0" applyAlignment="1">
      <alignment horizontal="center" vertical="center"/>
    </xf>
    <xf numFmtId="43" fontId="1" fillId="0" borderId="0" xfId="11" applyAlignment="1">
      <alignment horizontal="right" vertical="top"/>
    </xf>
    <xf numFmtId="0" fontId="2" fillId="0" borderId="0" xfId="0" applyFont="1" applyAlignment="1">
      <alignment horizontal="right"/>
    </xf>
    <xf numFmtId="0" fontId="40" fillId="0" borderId="0" xfId="0" applyFont="1"/>
    <xf numFmtId="0" fontId="38" fillId="0" borderId="0" xfId="0" applyFont="1"/>
    <xf numFmtId="0" fontId="39" fillId="0" borderId="0" xfId="0" applyFont="1" applyAlignment="1" applyProtection="1">
      <alignment horizontal="right"/>
      <protection locked="0"/>
    </xf>
    <xf numFmtId="2" fontId="0" fillId="0" borderId="0" xfId="0" applyNumberFormat="1" applyAlignment="1">
      <alignment horizontal="center"/>
    </xf>
    <xf numFmtId="42" fontId="1" fillId="0" borderId="17" xfId="11" applyNumberFormat="1" applyBorder="1"/>
    <xf numFmtId="0" fontId="2" fillId="0" borderId="17" xfId="0" applyFont="1" applyBorder="1" applyAlignment="1">
      <alignment horizontal="right"/>
    </xf>
    <xf numFmtId="0" fontId="2" fillId="0" borderId="17" xfId="0" applyFont="1" applyBorder="1"/>
    <xf numFmtId="0" fontId="2" fillId="0" borderId="0" xfId="0" applyFont="1" applyAlignment="1">
      <alignment horizontal="left"/>
    </xf>
    <xf numFmtId="171" fontId="1" fillId="0" borderId="0" xfId="11" applyNumberFormat="1" applyAlignment="1">
      <alignment vertical="top"/>
    </xf>
    <xf numFmtId="172" fontId="1" fillId="0" borderId="0" xfId="11" applyNumberFormat="1" applyAlignment="1">
      <alignment vertical="top"/>
    </xf>
    <xf numFmtId="42" fontId="1" fillId="0" borderId="17" xfId="11" applyNumberFormat="1" applyBorder="1" applyAlignment="1">
      <alignment vertical="top"/>
    </xf>
    <xf numFmtId="0" fontId="0" fillId="0" borderId="0" xfId="0" applyAlignment="1">
      <alignment vertical="top"/>
    </xf>
    <xf numFmtId="0" fontId="2" fillId="0" borderId="0" xfId="0" applyFont="1" applyAlignment="1">
      <alignment horizontal="right" vertical="top" wrapText="1"/>
    </xf>
    <xf numFmtId="0" fontId="2" fillId="0" borderId="16" xfId="0" applyFont="1" applyBorder="1" applyAlignment="1">
      <alignment horizontal="center" wrapText="1"/>
    </xf>
    <xf numFmtId="0" fontId="2" fillId="0" borderId="16" xfId="0" applyFont="1" applyBorder="1"/>
    <xf numFmtId="10" fontId="0" fillId="0" borderId="0" xfId="0" applyNumberFormat="1"/>
    <xf numFmtId="0" fontId="2" fillId="0" borderId="0" xfId="0" applyFont="1" applyAlignment="1">
      <alignment horizontal="center" vertical="top" wrapText="1"/>
    </xf>
    <xf numFmtId="166" fontId="0" fillId="0" borderId="0" xfId="11" applyNumberFormat="1" applyFont="1"/>
    <xf numFmtId="166" fontId="0" fillId="0" borderId="0" xfId="11" applyNumberFormat="1" applyFont="1" applyAlignment="1">
      <alignment horizontal="center"/>
    </xf>
    <xf numFmtId="166" fontId="0" fillId="0" borderId="15" xfId="11" applyNumberFormat="1" applyFont="1" applyBorder="1" applyAlignment="1">
      <alignment horizontal="center"/>
    </xf>
    <xf numFmtId="0" fontId="0" fillId="0" borderId="15" xfId="0" applyBorder="1" applyAlignment="1">
      <alignment horizontal="left" indent="4"/>
    </xf>
    <xf numFmtId="0" fontId="0" fillId="0" borderId="0" xfId="0" applyAlignment="1">
      <alignment horizontal="left" indent="4"/>
    </xf>
    <xf numFmtId="0" fontId="2" fillId="0" borderId="14" xfId="0" applyFont="1" applyBorder="1" applyAlignment="1">
      <alignment wrapText="1"/>
    </xf>
    <xf numFmtId="0" fontId="2" fillId="0" borderId="15" xfId="0" applyFont="1" applyBorder="1" applyAlignment="1">
      <alignment wrapText="1"/>
    </xf>
    <xf numFmtId="166" fontId="0" fillId="0" borderId="17" xfId="3" applyNumberFormat="1" applyFont="1" applyBorder="1"/>
    <xf numFmtId="0" fontId="0" fillId="0" borderId="17" xfId="0" applyBorder="1"/>
    <xf numFmtId="166" fontId="0" fillId="0" borderId="0" xfId="3" applyNumberFormat="1" applyFont="1" applyAlignment="1">
      <alignment horizontal="center"/>
    </xf>
    <xf numFmtId="166" fontId="0" fillId="0" borderId="0" xfId="3" applyNumberFormat="1" applyFont="1"/>
    <xf numFmtId="0" fontId="0" fillId="0" borderId="0" xfId="0" applyAlignment="1">
      <alignment horizontal="center"/>
    </xf>
    <xf numFmtId="0" fontId="0" fillId="0" borderId="0" xfId="0" applyAlignment="1">
      <alignment horizontal="left" vertical="top"/>
    </xf>
    <xf numFmtId="0" fontId="1" fillId="0" borderId="0" xfId="0" applyFont="1" applyAlignment="1">
      <alignment horizontal="left"/>
    </xf>
    <xf numFmtId="2" fontId="1" fillId="0" borderId="0" xfId="0" applyNumberFormat="1" applyFont="1"/>
    <xf numFmtId="0" fontId="1" fillId="12" borderId="0" xfId="0" applyFont="1" applyFill="1"/>
    <xf numFmtId="0" fontId="1" fillId="0" borderId="0" xfId="0" applyFont="1" applyAlignment="1">
      <alignment wrapText="1"/>
    </xf>
    <xf numFmtId="0" fontId="2" fillId="0" borderId="16" xfId="0" applyFont="1" applyBorder="1" applyAlignment="1">
      <alignment horizontal="center" vertical="center" wrapText="1"/>
    </xf>
    <xf numFmtId="9" fontId="1" fillId="0" borderId="0" xfId="0" quotePrefix="1" applyNumberFormat="1" applyFont="1" applyAlignment="1">
      <alignment horizontal="center" vertical="center"/>
    </xf>
    <xf numFmtId="0" fontId="1" fillId="0" borderId="0" xfId="0" applyFont="1" applyAlignment="1">
      <alignment horizontal="center" vertical="center"/>
    </xf>
    <xf numFmtId="9" fontId="1" fillId="0" borderId="0" xfId="0" applyNumberFormat="1" applyFont="1" applyAlignment="1">
      <alignment horizontal="center" vertical="center"/>
    </xf>
    <xf numFmtId="0" fontId="0" fillId="0" borderId="14" xfId="0" applyBorder="1" applyAlignment="1">
      <alignment horizontal="left" vertical="center" indent="1"/>
    </xf>
    <xf numFmtId="0" fontId="1" fillId="0" borderId="14" xfId="0" applyFont="1" applyBorder="1" applyAlignment="1">
      <alignment horizontal="left" vertical="center" indent="1"/>
    </xf>
    <xf numFmtId="0" fontId="1" fillId="0" borderId="0" xfId="0" applyFont="1" applyAlignment="1">
      <alignment horizontal="left" wrapText="1"/>
    </xf>
    <xf numFmtId="0" fontId="2" fillId="0" borderId="0" xfId="0" applyFont="1" applyAlignment="1">
      <alignment horizontal="center" vertical="center"/>
    </xf>
    <xf numFmtId="0" fontId="0" fillId="0" borderId="0" xfId="0" applyAlignment="1">
      <alignment horizontal="left" indent="1"/>
    </xf>
    <xf numFmtId="0" fontId="1" fillId="0" borderId="0" xfId="0" applyFont="1" applyAlignment="1">
      <alignment horizontal="center" wrapText="1"/>
    </xf>
    <xf numFmtId="0" fontId="1" fillId="0" borderId="0" xfId="0" applyFont="1" applyAlignment="1">
      <alignment horizontal="left" vertical="center" indent="1"/>
    </xf>
    <xf numFmtId="0" fontId="1" fillId="0" borderId="0" xfId="0" applyFont="1" applyAlignment="1">
      <alignment horizontal="center"/>
    </xf>
    <xf numFmtId="0" fontId="1" fillId="0" borderId="14" xfId="0" applyFont="1" applyBorder="1" applyAlignment="1">
      <alignment horizontal="left" indent="1"/>
    </xf>
    <xf numFmtId="0" fontId="1" fillId="0" borderId="14" xfId="0" applyFont="1" applyBorder="1"/>
    <xf numFmtId="0" fontId="1" fillId="0" borderId="0" xfId="0" applyFont="1" applyAlignment="1">
      <alignment horizontal="left" vertical="center" wrapText="1"/>
    </xf>
    <xf numFmtId="0" fontId="2" fillId="0" borderId="0" xfId="0" applyFont="1" applyAlignment="1">
      <alignment horizontal="left" vertical="center" wrapText="1"/>
    </xf>
    <xf numFmtId="0" fontId="0" fillId="12" borderId="0" xfId="0" applyFill="1"/>
    <xf numFmtId="0" fontId="2" fillId="12" borderId="0" xfId="0" applyFont="1" applyFill="1"/>
    <xf numFmtId="0" fontId="2" fillId="12" borderId="0" xfId="0" applyFont="1" applyFill="1" applyAlignment="1">
      <alignment horizontal="center"/>
    </xf>
    <xf numFmtId="164" fontId="0" fillId="0" borderId="0" xfId="3" applyNumberFormat="1" applyFont="1" applyAlignment="1">
      <alignment horizontal="right" indent="1"/>
    </xf>
    <xf numFmtId="9" fontId="0" fillId="0" borderId="0" xfId="1" applyFont="1" applyAlignment="1">
      <alignment horizontal="right" indent="1"/>
    </xf>
    <xf numFmtId="10" fontId="0" fillId="0" borderId="0" xfId="1" applyNumberFormat="1" applyFont="1" applyAlignment="1">
      <alignment horizontal="right" indent="1"/>
    </xf>
    <xf numFmtId="0" fontId="2" fillId="0" borderId="16" xfId="0" applyFont="1" applyBorder="1" applyAlignment="1">
      <alignment horizontal="center"/>
    </xf>
    <xf numFmtId="166" fontId="2" fillId="0" borderId="16" xfId="3" applyNumberFormat="1" applyFont="1" applyBorder="1" applyAlignment="1">
      <alignment horizontal="center"/>
    </xf>
    <xf numFmtId="9" fontId="1" fillId="0" borderId="0" xfId="1" applyAlignment="1">
      <alignment horizontal="center"/>
    </xf>
    <xf numFmtId="9" fontId="1" fillId="0" borderId="15" xfId="1" applyBorder="1" applyAlignment="1">
      <alignment horizontal="center"/>
    </xf>
    <xf numFmtId="0" fontId="2" fillId="0" borderId="0" xfId="0" applyFont="1" applyAlignment="1">
      <alignment horizontal="center" vertical="center" wrapText="1"/>
    </xf>
    <xf numFmtId="169" fontId="1" fillId="0" borderId="0" xfId="11" applyNumberFormat="1" applyAlignment="1">
      <alignment horizontal="center"/>
    </xf>
    <xf numFmtId="0" fontId="1" fillId="0" borderId="0" xfId="0" applyFont="1" applyAlignment="1">
      <alignment horizontal="right"/>
    </xf>
    <xf numFmtId="0" fontId="1" fillId="0" borderId="16" xfId="0" applyFont="1" applyBorder="1" applyAlignment="1">
      <alignment horizontal="right"/>
    </xf>
    <xf numFmtId="0" fontId="1" fillId="0" borderId="16" xfId="0" applyFont="1" applyBorder="1" applyAlignment="1">
      <alignment horizontal="left" indent="1"/>
    </xf>
    <xf numFmtId="0" fontId="38" fillId="5" borderId="0" xfId="0" applyFont="1" applyFill="1" applyAlignment="1">
      <alignment horizontal="right"/>
    </xf>
    <xf numFmtId="0" fontId="38" fillId="5" borderId="0" xfId="0" applyFont="1" applyFill="1" applyAlignment="1">
      <alignment horizontal="right" wrapText="1"/>
    </xf>
    <xf numFmtId="42" fontId="0" fillId="0" borderId="0" xfId="11" applyNumberFormat="1" applyFont="1" applyAlignment="1">
      <alignment vertical="top"/>
    </xf>
    <xf numFmtId="0" fontId="43" fillId="0" borderId="0" xfId="0" applyFont="1"/>
    <xf numFmtId="0" fontId="0" fillId="0" borderId="0" xfId="0" applyAlignment="1">
      <alignment horizontal="right" vertical="top"/>
    </xf>
    <xf numFmtId="0" fontId="2" fillId="0" borderId="16" xfId="0" applyFont="1" applyBorder="1" applyAlignment="1">
      <alignment horizontal="left" wrapText="1"/>
    </xf>
    <xf numFmtId="42" fontId="1" fillId="0" borderId="16" xfId="11" applyNumberFormat="1" applyBorder="1" applyAlignment="1">
      <alignment vertical="top"/>
    </xf>
    <xf numFmtId="0" fontId="2" fillId="10" borderId="13" xfId="0" applyFont="1" applyFill="1" applyBorder="1" applyAlignment="1">
      <alignment horizontal="left" vertical="center" wrapText="1"/>
    </xf>
    <xf numFmtId="0" fontId="0" fillId="14" borderId="0" xfId="0" applyFill="1"/>
    <xf numFmtId="10" fontId="0" fillId="8" borderId="11" xfId="1" applyNumberFormat="1" applyFont="1" applyFill="1" applyBorder="1"/>
    <xf numFmtId="10" fontId="0" fillId="0" borderId="0" xfId="1" applyNumberFormat="1" applyFont="1"/>
    <xf numFmtId="166" fontId="2" fillId="0" borderId="12" xfId="0" applyNumberFormat="1" applyFont="1" applyBorder="1"/>
    <xf numFmtId="166" fontId="2" fillId="0" borderId="0" xfId="0" applyNumberFormat="1" applyFont="1"/>
    <xf numFmtId="173" fontId="0" fillId="0" borderId="0" xfId="0" applyNumberFormat="1"/>
    <xf numFmtId="1" fontId="2" fillId="0" borderId="12" xfId="0" applyNumberFormat="1" applyFont="1" applyBorder="1"/>
    <xf numFmtId="42" fontId="37" fillId="0" borderId="0" xfId="11" applyNumberFormat="1" applyFont="1" applyAlignment="1">
      <alignment vertical="top"/>
    </xf>
    <xf numFmtId="44" fontId="2" fillId="0" borderId="0" xfId="0" applyNumberFormat="1" applyFont="1"/>
    <xf numFmtId="167" fontId="0" fillId="0" borderId="0" xfId="1" applyNumberFormat="1" applyFont="1"/>
    <xf numFmtId="0" fontId="17" fillId="0" borderId="0" xfId="0" applyFont="1" applyAlignment="1">
      <alignment horizontal="left"/>
    </xf>
    <xf numFmtId="173" fontId="0" fillId="8" borderId="11" xfId="0" applyNumberFormat="1" applyFill="1" applyBorder="1"/>
    <xf numFmtId="9" fontId="0" fillId="0" borderId="0" xfId="0" applyNumberFormat="1" applyAlignment="1">
      <alignment horizontal="left"/>
    </xf>
    <xf numFmtId="166" fontId="2" fillId="0" borderId="0" xfId="0" applyNumberFormat="1" applyFont="1" applyAlignment="1">
      <alignment horizontal="center" vertical="center" wrapText="1"/>
    </xf>
    <xf numFmtId="0" fontId="0" fillId="0" borderId="0" xfId="0" applyAlignment="1">
      <alignment horizontal="left" indent="2"/>
    </xf>
    <xf numFmtId="9" fontId="0" fillId="8" borderId="11" xfId="1" applyFont="1" applyFill="1" applyBorder="1"/>
    <xf numFmtId="174" fontId="0" fillId="0" borderId="0" xfId="0" applyNumberFormat="1"/>
    <xf numFmtId="0" fontId="3" fillId="5" borderId="0" xfId="13" applyFill="1"/>
    <xf numFmtId="0" fontId="34" fillId="5" borderId="19" xfId="13" applyFont="1" applyFill="1" applyBorder="1" applyAlignment="1">
      <alignment horizontal="center"/>
    </xf>
    <xf numFmtId="0" fontId="34" fillId="5" borderId="20" xfId="13" applyFont="1" applyFill="1" applyBorder="1" applyAlignment="1">
      <alignment horizontal="center"/>
    </xf>
    <xf numFmtId="0" fontId="34" fillId="5" borderId="21" xfId="13" applyFont="1" applyFill="1" applyBorder="1" applyAlignment="1">
      <alignment horizontal="center"/>
    </xf>
    <xf numFmtId="0" fontId="3" fillId="5" borderId="22" xfId="13" applyFill="1" applyBorder="1"/>
    <xf numFmtId="175" fontId="3" fillId="5" borderId="23" xfId="14" applyNumberFormat="1" applyFill="1" applyBorder="1"/>
    <xf numFmtId="175" fontId="3" fillId="5" borderId="24" xfId="14" applyNumberFormat="1" applyFill="1" applyBorder="1"/>
    <xf numFmtId="38" fontId="3" fillId="5" borderId="23" xfId="14" applyNumberFormat="1" applyFill="1" applyBorder="1"/>
    <xf numFmtId="38" fontId="3" fillId="5" borderId="24" xfId="14" applyNumberFormat="1" applyFill="1" applyBorder="1"/>
    <xf numFmtId="0" fontId="3" fillId="5" borderId="23" xfId="13" applyFill="1" applyBorder="1"/>
    <xf numFmtId="0" fontId="3" fillId="5" borderId="24" xfId="13" applyFill="1" applyBorder="1"/>
    <xf numFmtId="0" fontId="3" fillId="5" borderId="4" xfId="13" applyFill="1" applyBorder="1"/>
    <xf numFmtId="0" fontId="3" fillId="5" borderId="25" xfId="13" applyFill="1" applyBorder="1"/>
    <xf numFmtId="0" fontId="34" fillId="5" borderId="0" xfId="13" applyFont="1" applyFill="1" applyAlignment="1">
      <alignment horizontal="center"/>
    </xf>
    <xf numFmtId="0" fontId="34" fillId="5" borderId="25" xfId="13" applyFont="1" applyFill="1" applyBorder="1" applyAlignment="1">
      <alignment horizontal="center"/>
    </xf>
    <xf numFmtId="169" fontId="3" fillId="5" borderId="0" xfId="14" applyNumberFormat="1" applyFill="1"/>
    <xf numFmtId="169" fontId="3" fillId="5" borderId="25" xfId="14" applyNumberFormat="1" applyFill="1" applyBorder="1"/>
    <xf numFmtId="166" fontId="3" fillId="5" borderId="0" xfId="14" applyNumberFormat="1" applyFill="1"/>
    <xf numFmtId="166" fontId="3" fillId="5" borderId="25" xfId="14" applyNumberFormat="1" applyFill="1" applyBorder="1"/>
    <xf numFmtId="10" fontId="34" fillId="5" borderId="0" xfId="15" applyNumberFormat="1" applyFont="1" applyFill="1"/>
    <xf numFmtId="0" fontId="46" fillId="5" borderId="22" xfId="13" applyFont="1" applyFill="1" applyBorder="1"/>
    <xf numFmtId="175" fontId="34" fillId="5" borderId="23" xfId="14" applyNumberFormat="1" applyFont="1" applyFill="1" applyBorder="1"/>
    <xf numFmtId="175" fontId="34" fillId="5" borderId="24" xfId="14" applyNumberFormat="1" applyFont="1" applyFill="1" applyBorder="1"/>
    <xf numFmtId="0" fontId="34" fillId="5" borderId="22" xfId="13" applyFont="1" applyFill="1" applyBorder="1"/>
    <xf numFmtId="44" fontId="3" fillId="5" borderId="0" xfId="14" applyFill="1"/>
    <xf numFmtId="44" fontId="3" fillId="5" borderId="25" xfId="14" applyFill="1" applyBorder="1"/>
    <xf numFmtId="169" fontId="34" fillId="5" borderId="0" xfId="14" applyNumberFormat="1" applyFont="1" applyFill="1"/>
    <xf numFmtId="169" fontId="34" fillId="5" borderId="25" xfId="14" applyNumberFormat="1" applyFont="1" applyFill="1" applyBorder="1"/>
    <xf numFmtId="43" fontId="34" fillId="5" borderId="0" xfId="14" applyNumberFormat="1" applyFont="1" applyFill="1"/>
    <xf numFmtId="43" fontId="34" fillId="5" borderId="25" xfId="14" applyNumberFormat="1" applyFont="1" applyFill="1" applyBorder="1"/>
    <xf numFmtId="0" fontId="3" fillId="5" borderId="0" xfId="4" applyFill="1"/>
    <xf numFmtId="1" fontId="0" fillId="0" borderId="0" xfId="0" applyNumberFormat="1" applyAlignment="1">
      <alignment horizontal="center"/>
    </xf>
    <xf numFmtId="0" fontId="1" fillId="0" borderId="0" xfId="0" quotePrefix="1" applyFont="1" applyAlignment="1">
      <alignment horizontal="center" vertical="center"/>
    </xf>
    <xf numFmtId="176" fontId="1" fillId="0" borderId="0" xfId="0" quotePrefix="1" applyNumberFormat="1" applyFont="1" applyAlignment="1">
      <alignment horizontal="center" vertical="center"/>
    </xf>
    <xf numFmtId="1" fontId="1" fillId="0" borderId="0" xfId="0" applyNumberFormat="1" applyFont="1" applyAlignment="1">
      <alignment horizontal="center" vertical="center"/>
    </xf>
    <xf numFmtId="1" fontId="2" fillId="0" borderId="18" xfId="0" applyNumberFormat="1" applyFont="1" applyBorder="1" applyAlignment="1">
      <alignment horizontal="center" vertical="center"/>
    </xf>
    <xf numFmtId="0" fontId="2" fillId="10" borderId="13" xfId="0" applyFont="1" applyFill="1" applyBorder="1" applyAlignment="1">
      <alignment horizontal="left" vertical="center"/>
    </xf>
    <xf numFmtId="0" fontId="47" fillId="0" borderId="0" xfId="0" applyFont="1"/>
    <xf numFmtId="177" fontId="0" fillId="0" borderId="0" xfId="1" applyNumberFormat="1" applyFont="1"/>
    <xf numFmtId="10" fontId="2" fillId="0" borderId="0" xfId="1" applyNumberFormat="1" applyFont="1"/>
    <xf numFmtId="166" fontId="0" fillId="7" borderId="0" xfId="0" applyNumberFormat="1" applyFill="1"/>
    <xf numFmtId="0" fontId="0" fillId="0" borderId="27" xfId="0" applyBorder="1"/>
    <xf numFmtId="166" fontId="0" fillId="0" borderId="27" xfId="0" applyNumberFormat="1" applyBorder="1"/>
    <xf numFmtId="0" fontId="8" fillId="0" borderId="0" xfId="0" quotePrefix="1" applyFont="1" applyAlignment="1">
      <alignment wrapText="1"/>
    </xf>
    <xf numFmtId="3" fontId="0" fillId="0" borderId="12" xfId="0" applyNumberFormat="1" applyBorder="1"/>
    <xf numFmtId="166" fontId="0" fillId="8" borderId="0" xfId="3" applyNumberFormat="1" applyFont="1" applyFill="1"/>
    <xf numFmtId="0" fontId="1" fillId="0" borderId="0" xfId="6" quotePrefix="1" applyAlignment="1">
      <alignment horizontal="center"/>
    </xf>
    <xf numFmtId="0" fontId="0" fillId="0" borderId="0" xfId="6" applyFont="1"/>
    <xf numFmtId="178" fontId="0" fillId="8" borderId="11" xfId="0" applyNumberFormat="1" applyFill="1" applyBorder="1"/>
    <xf numFmtId="0" fontId="1" fillId="0" borderId="0" xfId="6"/>
    <xf numFmtId="0" fontId="1" fillId="0" borderId="0" xfId="6" quotePrefix="1"/>
    <xf numFmtId="0" fontId="48" fillId="0" borderId="0" xfId="6" applyFont="1" applyProtection="1">
      <protection locked="0"/>
    </xf>
    <xf numFmtId="0" fontId="6" fillId="0" borderId="0" xfId="6" applyFont="1"/>
    <xf numFmtId="3" fontId="0" fillId="0" borderId="0" xfId="0" applyNumberFormat="1"/>
    <xf numFmtId="179" fontId="0" fillId="0" borderId="0" xfId="0" applyNumberFormat="1"/>
    <xf numFmtId="0" fontId="42" fillId="0" borderId="0" xfId="0" applyFont="1"/>
    <xf numFmtId="166" fontId="0" fillId="0" borderId="17" xfId="3" applyNumberFormat="1" applyFont="1" applyBorder="1" applyAlignment="1">
      <alignment horizontal="left"/>
    </xf>
    <xf numFmtId="44" fontId="0" fillId="0" borderId="0" xfId="3" applyFont="1" applyAlignment="1">
      <alignment horizontal="right" indent="1"/>
    </xf>
    <xf numFmtId="0" fontId="0" fillId="0" borderId="16" xfId="0" quotePrefix="1" applyBorder="1" applyAlignment="1">
      <alignment horizontal="right" vertical="top"/>
    </xf>
    <xf numFmtId="2" fontId="0" fillId="0" borderId="0" xfId="0" applyNumberFormat="1" applyAlignment="1">
      <alignment horizontal="right" indent="1"/>
    </xf>
    <xf numFmtId="10" fontId="2" fillId="0" borderId="16" xfId="0" applyNumberFormat="1" applyFont="1" applyBorder="1" applyAlignment="1">
      <alignment horizontal="left"/>
    </xf>
    <xf numFmtId="175" fontId="1" fillId="0" borderId="0" xfId="12" applyNumberFormat="1" applyFont="1"/>
    <xf numFmtId="10" fontId="1" fillId="8" borderId="0" xfId="11" applyNumberFormat="1" applyFill="1" applyAlignment="1">
      <alignment vertical="top"/>
    </xf>
    <xf numFmtId="9" fontId="0" fillId="0" borderId="0" xfId="1" applyFont="1" applyAlignment="1">
      <alignment horizontal="right" vertical="center" indent="1"/>
    </xf>
    <xf numFmtId="42" fontId="38" fillId="0" borderId="0" xfId="11" applyNumberFormat="1" applyFont="1" applyAlignment="1">
      <alignment vertical="top"/>
    </xf>
    <xf numFmtId="10" fontId="38" fillId="0" borderId="0" xfId="1" applyNumberFormat="1" applyFont="1" applyAlignment="1">
      <alignment vertical="top"/>
    </xf>
    <xf numFmtId="0" fontId="2" fillId="0" borderId="0" xfId="0" applyFont="1" applyAlignment="1">
      <alignment horizontal="right" indent="1"/>
    </xf>
    <xf numFmtId="1" fontId="1" fillId="0" borderId="0" xfId="6" applyNumberFormat="1"/>
    <xf numFmtId="166" fontId="51" fillId="0" borderId="0" xfId="0" applyNumberFormat="1" applyFont="1"/>
    <xf numFmtId="0" fontId="0" fillId="16" borderId="28" xfId="0" applyFill="1" applyBorder="1"/>
    <xf numFmtId="0" fontId="0" fillId="0" borderId="28" xfId="0" applyBorder="1"/>
    <xf numFmtId="0" fontId="52" fillId="0" borderId="0" xfId="0" applyFont="1"/>
    <xf numFmtId="0" fontId="0" fillId="4" borderId="1" xfId="0" applyFill="1" applyBorder="1" applyAlignment="1" applyProtection="1">
      <alignment horizontal="left"/>
      <protection locked="0"/>
    </xf>
    <xf numFmtId="1" fontId="0" fillId="4" borderId="1" xfId="0" applyNumberFormat="1" applyFill="1" applyBorder="1" applyAlignment="1" applyProtection="1">
      <alignment horizontal="left"/>
      <protection locked="0"/>
    </xf>
    <xf numFmtId="44" fontId="0" fillId="4" borderId="1" xfId="0" applyNumberFormat="1" applyFill="1" applyBorder="1" applyProtection="1">
      <protection locked="0"/>
    </xf>
    <xf numFmtId="0" fontId="0" fillId="4" borderId="1" xfId="0" applyFill="1" applyBorder="1" applyProtection="1">
      <protection locked="0"/>
    </xf>
    <xf numFmtId="1" fontId="0" fillId="4" borderId="1" xfId="0" applyNumberFormat="1" applyFill="1" applyBorder="1" applyProtection="1">
      <protection locked="0"/>
    </xf>
    <xf numFmtId="167" fontId="0" fillId="4" borderId="1" xfId="1" applyNumberFormat="1" applyFont="1" applyFill="1" applyBorder="1" applyProtection="1">
      <protection locked="0"/>
    </xf>
    <xf numFmtId="166" fontId="0" fillId="4" borderId="1" xfId="0" applyNumberFormat="1" applyFill="1" applyBorder="1" applyProtection="1">
      <protection locked="0"/>
    </xf>
    <xf numFmtId="0" fontId="2" fillId="4" borderId="1" xfId="0" applyFont="1" applyFill="1" applyBorder="1" applyProtection="1">
      <protection locked="0"/>
    </xf>
    <xf numFmtId="0" fontId="0" fillId="4" borderId="1" xfId="0" applyFill="1" applyBorder="1" applyAlignment="1" applyProtection="1">
      <alignment vertical="top"/>
      <protection locked="0"/>
    </xf>
    <xf numFmtId="165" fontId="0" fillId="4" borderId="1" xfId="0" applyNumberFormat="1" applyFill="1" applyBorder="1" applyProtection="1">
      <protection locked="0"/>
    </xf>
    <xf numFmtId="49" fontId="0" fillId="4" borderId="1" xfId="0" applyNumberFormat="1" applyFill="1" applyBorder="1" applyProtection="1">
      <protection locked="0"/>
    </xf>
    <xf numFmtId="10" fontId="0" fillId="4" borderId="1" xfId="1" applyNumberFormat="1" applyFont="1" applyFill="1" applyBorder="1" applyProtection="1">
      <protection locked="0"/>
    </xf>
    <xf numFmtId="14" fontId="0" fillId="4" borderId="1" xfId="0" applyNumberFormat="1" applyFill="1" applyBorder="1" applyProtection="1">
      <protection locked="0"/>
    </xf>
    <xf numFmtId="0" fontId="0" fillId="0" borderId="16" xfId="0" applyBorder="1" applyAlignment="1">
      <alignment vertical="top" wrapText="1"/>
    </xf>
    <xf numFmtId="0" fontId="0" fillId="0" borderId="29" xfId="0" applyBorder="1"/>
    <xf numFmtId="0" fontId="2" fillId="0" borderId="29" xfId="0" applyFont="1" applyBorder="1"/>
    <xf numFmtId="0" fontId="42" fillId="0" borderId="26" xfId="0" applyFont="1" applyBorder="1" applyAlignment="1">
      <alignment horizontal="right"/>
    </xf>
    <xf numFmtId="0" fontId="0" fillId="15" borderId="0" xfId="0" applyFill="1"/>
    <xf numFmtId="0" fontId="43" fillId="0" borderId="0" xfId="11" applyNumberFormat="1" applyFont="1"/>
    <xf numFmtId="169" fontId="0" fillId="0" borderId="0" xfId="0" applyNumberFormat="1"/>
    <xf numFmtId="0" fontId="2" fillId="0" borderId="13" xfId="0" applyFont="1" applyBorder="1" applyAlignment="1">
      <alignment horizontal="left" indent="1"/>
    </xf>
    <xf numFmtId="0" fontId="4" fillId="0" borderId="0" xfId="2" applyAlignment="1">
      <protection locked="0"/>
    </xf>
    <xf numFmtId="182" fontId="0" fillId="0" borderId="0" xfId="0" applyNumberFormat="1"/>
    <xf numFmtId="178" fontId="0" fillId="0" borderId="0" xfId="0" applyNumberFormat="1"/>
    <xf numFmtId="0" fontId="4" fillId="0" borderId="0" xfId="2" applyAlignment="1">
      <alignment wrapText="1"/>
      <protection locked="0"/>
    </xf>
    <xf numFmtId="2" fontId="1" fillId="0" borderId="0" xfId="0" applyNumberFormat="1" applyFont="1" applyAlignment="1">
      <alignment horizontal="left"/>
    </xf>
    <xf numFmtId="0" fontId="0" fillId="3" borderId="0" xfId="0" applyFill="1"/>
    <xf numFmtId="10" fontId="2" fillId="0" borderId="14" xfId="1" applyNumberFormat="1" applyFont="1" applyBorder="1" applyAlignment="1">
      <alignment vertical="top"/>
    </xf>
    <xf numFmtId="9" fontId="2" fillId="0" borderId="0" xfId="1" applyFont="1"/>
    <xf numFmtId="9" fontId="2" fillId="0" borderId="13" xfId="1" applyFont="1" applyBorder="1" applyAlignment="1">
      <alignment horizontal="center" vertical="center" wrapText="1"/>
    </xf>
    <xf numFmtId="0" fontId="2" fillId="14" borderId="0" xfId="0" applyFont="1" applyFill="1"/>
    <xf numFmtId="14" fontId="0" fillId="0" borderId="0" xfId="0" applyNumberFormat="1"/>
    <xf numFmtId="0" fontId="0" fillId="0" borderId="0" xfId="0" quotePrefix="1" applyAlignment="1">
      <alignment wrapText="1"/>
    </xf>
    <xf numFmtId="0" fontId="0" fillId="0" borderId="0" xfId="0" applyAlignment="1">
      <alignment vertical="center"/>
    </xf>
    <xf numFmtId="183" fontId="0" fillId="4" borderId="1" xfId="0" applyNumberFormat="1" applyFill="1" applyBorder="1" applyAlignment="1" applyProtection="1">
      <alignment horizontal="left"/>
      <protection locked="0"/>
    </xf>
    <xf numFmtId="183" fontId="0" fillId="4" borderId="1" xfId="0" applyNumberFormat="1" applyFill="1" applyBorder="1" applyProtection="1">
      <protection locked="0"/>
    </xf>
    <xf numFmtId="0" fontId="0" fillId="8" borderId="0" xfId="0" applyFill="1"/>
    <xf numFmtId="0" fontId="0" fillId="20" borderId="0" xfId="0" applyFill="1"/>
    <xf numFmtId="166" fontId="0" fillId="10" borderId="0" xfId="0" applyNumberFormat="1" applyFill="1"/>
    <xf numFmtId="166" fontId="0" fillId="21" borderId="12" xfId="0" applyNumberFormat="1" applyFill="1" applyBorder="1"/>
    <xf numFmtId="10" fontId="0" fillId="18" borderId="0" xfId="0" applyNumberFormat="1" applyFill="1"/>
    <xf numFmtId="0" fontId="56" fillId="0" borderId="0" xfId="28" applyAlignment="1"/>
    <xf numFmtId="0" fontId="3" fillId="0" borderId="0" xfId="28" applyFont="1" applyAlignment="1"/>
    <xf numFmtId="0" fontId="54" fillId="0" borderId="0" xfId="28" applyFont="1" applyAlignment="1"/>
    <xf numFmtId="0" fontId="3" fillId="0" borderId="30" xfId="28" applyFont="1" applyBorder="1" applyAlignment="1"/>
    <xf numFmtId="0" fontId="45" fillId="0" borderId="0" xfId="28" applyFont="1" applyAlignment="1"/>
    <xf numFmtId="5" fontId="56" fillId="0" borderId="0" xfId="28" applyNumberFormat="1" applyAlignment="1"/>
    <xf numFmtId="0" fontId="56" fillId="0" borderId="0" xfId="28" applyAlignment="1">
      <alignment horizontal="left"/>
    </xf>
    <xf numFmtId="0" fontId="66" fillId="0" borderId="0" xfId="0" applyFont="1" applyAlignment="1">
      <alignment horizontal="left" wrapText="1"/>
    </xf>
    <xf numFmtId="0" fontId="32" fillId="0" borderId="0" xfId="0" applyFont="1" applyAlignment="1">
      <alignment wrapText="1"/>
    </xf>
    <xf numFmtId="9" fontId="25" fillId="0" borderId="20" xfId="0" applyNumberFormat="1" applyFont="1" applyBorder="1" applyAlignment="1">
      <alignment horizontal="center"/>
    </xf>
    <xf numFmtId="42" fontId="43" fillId="0" borderId="0" xfId="11" applyNumberFormat="1" applyFont="1"/>
    <xf numFmtId="0" fontId="0" fillId="0" borderId="16" xfId="0" applyBorder="1"/>
    <xf numFmtId="166" fontId="1" fillId="0" borderId="16" xfId="11" applyNumberFormat="1" applyBorder="1" applyAlignment="1">
      <alignment vertical="center"/>
    </xf>
    <xf numFmtId="2" fontId="1" fillId="0" borderId="0" xfId="11" applyNumberFormat="1" applyAlignment="1">
      <alignment vertical="top"/>
    </xf>
    <xf numFmtId="0" fontId="0" fillId="20" borderId="0" xfId="0" applyFill="1" applyAlignment="1">
      <alignment wrapText="1"/>
    </xf>
    <xf numFmtId="0" fontId="36" fillId="0" borderId="0" xfId="0" applyFont="1" applyAlignment="1">
      <alignment horizontal="center"/>
    </xf>
    <xf numFmtId="44" fontId="0" fillId="0" borderId="0" xfId="3" applyFont="1"/>
    <xf numFmtId="169" fontId="1" fillId="0" borderId="0" xfId="11" applyNumberFormat="1" applyAlignment="1">
      <alignment vertical="top"/>
    </xf>
    <xf numFmtId="166" fontId="38" fillId="5" borderId="0" xfId="3" applyNumberFormat="1" applyFont="1" applyFill="1" applyAlignment="1">
      <alignment horizontal="right"/>
    </xf>
    <xf numFmtId="166" fontId="0" fillId="0" borderId="13" xfId="3" applyNumberFormat="1" applyFont="1" applyBorder="1" applyAlignment="1">
      <alignment horizontal="center" vertical="center" wrapText="1"/>
    </xf>
    <xf numFmtId="166" fontId="0" fillId="4" borderId="1" xfId="3" applyNumberFormat="1" applyFont="1" applyFill="1" applyBorder="1" applyProtection="1">
      <protection locked="0"/>
    </xf>
    <xf numFmtId="2" fontId="38" fillId="5" borderId="0" xfId="1" applyNumberFormat="1" applyFont="1" applyFill="1" applyAlignment="1">
      <alignment horizontal="right"/>
    </xf>
    <xf numFmtId="0" fontId="69" fillId="0" borderId="0" xfId="35" applyFont="1" applyFill="1"/>
    <xf numFmtId="168" fontId="0" fillId="0" borderId="0" xfId="3" applyNumberFormat="1" applyFont="1"/>
    <xf numFmtId="0" fontId="70" fillId="0" borderId="0" xfId="0" applyFont="1" applyAlignment="1">
      <alignment vertical="center"/>
    </xf>
    <xf numFmtId="0" fontId="71" fillId="0" borderId="0" xfId="0" applyFont="1"/>
    <xf numFmtId="0" fontId="72" fillId="0" borderId="0" xfId="0" applyFont="1" applyAlignment="1">
      <alignment vertical="center"/>
    </xf>
    <xf numFmtId="0" fontId="39" fillId="0" borderId="0" xfId="0" applyFont="1"/>
    <xf numFmtId="0" fontId="73" fillId="0" borderId="0" xfId="0" applyFont="1" applyAlignment="1">
      <alignment vertical="center"/>
    </xf>
    <xf numFmtId="0" fontId="71" fillId="0" borderId="26" xfId="0" applyFont="1" applyBorder="1"/>
    <xf numFmtId="0" fontId="72" fillId="0" borderId="26" xfId="0" applyFont="1" applyBorder="1" applyAlignment="1">
      <alignment vertical="center"/>
    </xf>
    <xf numFmtId="175" fontId="3" fillId="5" borderId="23" xfId="14" applyNumberFormat="1" applyFill="1" applyBorder="1" applyAlignment="1">
      <alignment horizontal="right"/>
    </xf>
    <xf numFmtId="175" fontId="34" fillId="5" borderId="23" xfId="14" applyNumberFormat="1" applyFont="1" applyFill="1" applyBorder="1" applyAlignment="1">
      <alignment horizontal="right"/>
    </xf>
    <xf numFmtId="9" fontId="0" fillId="0" borderId="1" xfId="1" applyFont="1" applyBorder="1" applyAlignment="1" applyProtection="1">
      <alignment horizontal="left"/>
      <protection locked="0"/>
    </xf>
    <xf numFmtId="0" fontId="0" fillId="0" borderId="1" xfId="0" applyBorder="1" applyProtection="1">
      <protection locked="0"/>
    </xf>
    <xf numFmtId="1" fontId="0" fillId="0" borderId="1" xfId="0" applyNumberFormat="1" applyBorder="1" applyProtection="1">
      <protection locked="0"/>
    </xf>
    <xf numFmtId="166" fontId="0" fillId="0" borderId="1" xfId="0" applyNumberFormat="1" applyBorder="1" applyProtection="1">
      <protection locked="0"/>
    </xf>
    <xf numFmtId="0" fontId="36" fillId="46" borderId="41" xfId="0" applyFont="1" applyFill="1" applyBorder="1"/>
    <xf numFmtId="0" fontId="0" fillId="16" borderId="41" xfId="0" applyFill="1" applyBorder="1"/>
    <xf numFmtId="0" fontId="0" fillId="0" borderId="41" xfId="0" applyBorder="1"/>
    <xf numFmtId="0" fontId="0" fillId="47" borderId="0" xfId="0" applyFill="1"/>
    <xf numFmtId="49" fontId="0" fillId="8" borderId="0" xfId="0" applyNumberFormat="1" applyFill="1"/>
    <xf numFmtId="0" fontId="49" fillId="0" borderId="0" xfId="0" applyFont="1"/>
    <xf numFmtId="9" fontId="2" fillId="0" borderId="0" xfId="1" applyFont="1" applyAlignment="1">
      <alignment horizontal="right"/>
    </xf>
    <xf numFmtId="0" fontId="8" fillId="0" borderId="0" xfId="0" applyFont="1" applyAlignment="1">
      <alignment horizontal="right"/>
    </xf>
    <xf numFmtId="9" fontId="2" fillId="0" borderId="0" xfId="0" applyNumberFormat="1" applyFont="1" applyAlignment="1">
      <alignment horizontal="left"/>
    </xf>
    <xf numFmtId="0" fontId="2" fillId="0" borderId="0" xfId="0" applyFont="1" applyAlignment="1">
      <alignment vertical="top"/>
    </xf>
    <xf numFmtId="166" fontId="90" fillId="0" borderId="0" xfId="3" applyNumberFormat="1" applyFont="1"/>
    <xf numFmtId="0" fontId="6" fillId="3" borderId="0" xfId="0" applyFont="1" applyFill="1" applyAlignment="1">
      <alignment horizontal="left" wrapText="1"/>
    </xf>
    <xf numFmtId="0" fontId="2" fillId="0" borderId="0" xfId="0" quotePrefix="1" applyFont="1" applyAlignment="1">
      <alignment horizontal="right"/>
    </xf>
    <xf numFmtId="10" fontId="0" fillId="0" borderId="0" xfId="1" applyNumberFormat="1" applyFont="1" applyAlignment="1">
      <alignment horizontal="center"/>
    </xf>
    <xf numFmtId="10" fontId="0" fillId="0" borderId="15" xfId="11" applyNumberFormat="1" applyFont="1" applyBorder="1" applyAlignment="1">
      <alignment horizontal="center"/>
    </xf>
    <xf numFmtId="10" fontId="0" fillId="0" borderId="0" xfId="11" applyNumberFormat="1" applyFont="1" applyAlignment="1">
      <alignment horizontal="center"/>
    </xf>
    <xf numFmtId="10" fontId="1" fillId="0" borderId="14" xfId="1" applyNumberFormat="1" applyBorder="1" applyAlignment="1">
      <alignment vertical="top"/>
    </xf>
    <xf numFmtId="10" fontId="1" fillId="0" borderId="0" xfId="1" applyNumberFormat="1" applyAlignment="1">
      <alignment vertical="top"/>
    </xf>
    <xf numFmtId="10" fontId="1" fillId="0" borderId="0" xfId="11" applyNumberFormat="1" applyAlignment="1">
      <alignment vertical="top"/>
    </xf>
    <xf numFmtId="42" fontId="43" fillId="0" borderId="0" xfId="11" applyNumberFormat="1" applyFont="1" applyAlignment="1">
      <alignment vertical="top"/>
    </xf>
    <xf numFmtId="42" fontId="43" fillId="0" borderId="17" xfId="11" applyNumberFormat="1" applyFont="1" applyBorder="1"/>
    <xf numFmtId="0" fontId="67" fillId="0" borderId="0" xfId="0" applyFont="1" applyAlignment="1">
      <alignment horizontal="right"/>
    </xf>
    <xf numFmtId="166" fontId="43" fillId="0" borderId="0" xfId="3" applyNumberFormat="1" applyFont="1"/>
    <xf numFmtId="42" fontId="67" fillId="0" borderId="17" xfId="11" applyNumberFormat="1" applyFont="1" applyBorder="1"/>
    <xf numFmtId="169" fontId="0" fillId="0" borderId="0" xfId="11" applyNumberFormat="1" applyFont="1" applyAlignment="1">
      <alignment horizontal="right"/>
    </xf>
    <xf numFmtId="169" fontId="0" fillId="0" borderId="15" xfId="11" applyNumberFormat="1" applyFont="1" applyBorder="1" applyAlignment="1">
      <alignment horizontal="right"/>
    </xf>
    <xf numFmtId="0" fontId="6" fillId="0" borderId="0" xfId="0" applyFont="1" applyAlignment="1">
      <alignment horizontal="center" wrapText="1"/>
    </xf>
    <xf numFmtId="10" fontId="0" fillId="0" borderId="42" xfId="1" applyNumberFormat="1" applyFont="1" applyBorder="1"/>
    <xf numFmtId="10" fontId="0" fillId="0" borderId="43" xfId="1" applyNumberFormat="1" applyFont="1" applyBorder="1"/>
    <xf numFmtId="10" fontId="0" fillId="0" borderId="0" xfId="0" applyNumberFormat="1" applyAlignment="1">
      <alignment horizontal="right"/>
    </xf>
    <xf numFmtId="0" fontId="2" fillId="6" borderId="0" xfId="0" applyFont="1" applyFill="1" applyAlignment="1">
      <alignment horizontal="right"/>
    </xf>
    <xf numFmtId="10" fontId="0" fillId="6" borderId="0" xfId="1" applyNumberFormat="1" applyFont="1" applyFill="1"/>
    <xf numFmtId="165" fontId="0" fillId="0" borderId="0" xfId="0" applyNumberFormat="1"/>
    <xf numFmtId="0" fontId="0" fillId="0" borderId="26" xfId="0" applyBorder="1"/>
    <xf numFmtId="10" fontId="1" fillId="0" borderId="0" xfId="12" applyNumberFormat="1" applyFont="1"/>
    <xf numFmtId="166" fontId="1" fillId="0" borderId="0" xfId="12" applyNumberFormat="1" applyFont="1"/>
    <xf numFmtId="0" fontId="0" fillId="6" borderId="0" xfId="0" applyFill="1" applyAlignment="1">
      <alignment wrapText="1"/>
    </xf>
    <xf numFmtId="0" fontId="0" fillId="44" borderId="38" xfId="735" applyFont="1"/>
    <xf numFmtId="177" fontId="0" fillId="21" borderId="12" xfId="0" applyNumberFormat="1" applyFill="1" applyBorder="1"/>
    <xf numFmtId="177" fontId="0" fillId="0" borderId="0" xfId="0" applyNumberFormat="1"/>
    <xf numFmtId="0" fontId="38" fillId="0" borderId="0" xfId="1019" applyFont="1" applyFill="1"/>
    <xf numFmtId="10" fontId="2" fillId="0" borderId="44" xfId="1" applyNumberFormat="1" applyFont="1" applyBorder="1"/>
    <xf numFmtId="0" fontId="39" fillId="0" borderId="0" xfId="0" applyFont="1" applyAlignment="1">
      <alignment horizontal="left"/>
    </xf>
    <xf numFmtId="166" fontId="2" fillId="0" borderId="0" xfId="0" applyNumberFormat="1" applyFont="1" applyAlignment="1">
      <alignment horizontal="right"/>
    </xf>
    <xf numFmtId="9" fontId="0" fillId="0" borderId="0" xfId="0" applyNumberFormat="1" applyAlignment="1">
      <alignment horizontal="left" indent="1"/>
    </xf>
    <xf numFmtId="1" fontId="0" fillId="0" borderId="0" xfId="11" applyNumberFormat="1" applyFont="1" applyAlignment="1">
      <alignment horizontal="right" indent="1"/>
    </xf>
    <xf numFmtId="0" fontId="0" fillId="0" borderId="0" xfId="11" applyNumberFormat="1" applyFont="1" applyAlignment="1">
      <alignment horizontal="right" indent="1"/>
    </xf>
    <xf numFmtId="1" fontId="0" fillId="0" borderId="0" xfId="0" applyNumberFormat="1" applyAlignment="1">
      <alignment horizontal="right" indent="1"/>
    </xf>
    <xf numFmtId="175" fontId="0" fillId="0" borderId="0" xfId="0" applyNumberFormat="1" applyAlignment="1">
      <alignment horizontal="right" indent="1"/>
    </xf>
    <xf numFmtId="169" fontId="0" fillId="0" borderId="0" xfId="11" applyNumberFormat="1" applyFont="1" applyAlignment="1">
      <alignment horizontal="right" indent="1"/>
    </xf>
    <xf numFmtId="9" fontId="0" fillId="0" borderId="0" xfId="0" applyNumberFormat="1" applyAlignment="1">
      <alignment horizontal="right" indent="1"/>
    </xf>
    <xf numFmtId="175" fontId="92" fillId="0" borderId="0" xfId="0" applyNumberFormat="1" applyFont="1" applyAlignment="1">
      <alignment horizontal="left" vertical="center"/>
    </xf>
    <xf numFmtId="169" fontId="2" fillId="0" borderId="0" xfId="11" applyNumberFormat="1" applyFont="1" applyAlignment="1">
      <alignment horizontal="right"/>
    </xf>
    <xf numFmtId="0" fontId="0" fillId="0" borderId="0" xfId="0" applyAlignment="1">
      <alignment horizontal="right" vertical="center" wrapText="1"/>
    </xf>
    <xf numFmtId="0" fontId="0" fillId="0" borderId="45" xfId="0" applyBorder="1" applyAlignment="1">
      <alignment horizontal="right" vertical="center" wrapText="1"/>
    </xf>
    <xf numFmtId="0" fontId="0" fillId="9" borderId="0" xfId="0" applyFill="1"/>
    <xf numFmtId="175" fontId="0" fillId="0" borderId="0" xfId="0" applyNumberFormat="1"/>
    <xf numFmtId="9" fontId="0" fillId="0" borderId="15" xfId="0" applyNumberFormat="1" applyBorder="1" applyAlignment="1">
      <alignment horizontal="left" indent="4"/>
    </xf>
    <xf numFmtId="0" fontId="36" fillId="46" borderId="28" xfId="0" applyFont="1" applyFill="1" applyBorder="1"/>
    <xf numFmtId="16" fontId="0" fillId="0" borderId="0" xfId="0" applyNumberFormat="1"/>
    <xf numFmtId="0" fontId="94" fillId="0" borderId="0" xfId="0" applyFont="1"/>
    <xf numFmtId="0" fontId="2" fillId="8" borderId="0" xfId="0" applyFont="1" applyFill="1" applyAlignment="1">
      <alignment horizontal="left" indent="2"/>
    </xf>
    <xf numFmtId="49" fontId="68" fillId="8" borderId="0" xfId="35" applyNumberFormat="1" applyFill="1"/>
    <xf numFmtId="0" fontId="0" fillId="23" borderId="0" xfId="0" applyFill="1"/>
    <xf numFmtId="177" fontId="0" fillId="4" borderId="1" xfId="1" applyNumberFormat="1" applyFont="1" applyFill="1" applyBorder="1" applyProtection="1">
      <protection locked="0"/>
    </xf>
    <xf numFmtId="42" fontId="43" fillId="0" borderId="17" xfId="11" applyNumberFormat="1" applyFont="1" applyBorder="1" applyAlignment="1">
      <alignment vertical="top"/>
    </xf>
    <xf numFmtId="172" fontId="43" fillId="0" borderId="0" xfId="11" applyNumberFormat="1" applyFont="1" applyAlignment="1">
      <alignment vertical="top"/>
    </xf>
    <xf numFmtId="10" fontId="43" fillId="8" borderId="0" xfId="11" applyNumberFormat="1" applyFont="1" applyFill="1" applyAlignment="1">
      <alignment vertical="top"/>
    </xf>
    <xf numFmtId="171" fontId="43" fillId="0" borderId="0" xfId="11" applyNumberFormat="1" applyFont="1" applyAlignment="1">
      <alignment vertical="top"/>
    </xf>
    <xf numFmtId="166" fontId="0" fillId="0" borderId="0" xfId="3" applyNumberFormat="1" applyFont="1" applyFill="1"/>
    <xf numFmtId="0" fontId="0" fillId="8" borderId="0" xfId="0" applyFill="1" applyAlignment="1">
      <alignment wrapText="1"/>
    </xf>
    <xf numFmtId="0" fontId="39" fillId="0" borderId="13" xfId="0" applyFont="1" applyBorder="1" applyAlignment="1">
      <alignment horizontal="center" wrapText="1"/>
    </xf>
    <xf numFmtId="175" fontId="38" fillId="0" borderId="0" xfId="0" applyNumberFormat="1" applyFont="1" applyAlignment="1">
      <alignment horizontal="right" indent="1"/>
    </xf>
    <xf numFmtId="2" fontId="1" fillId="0" borderId="0" xfId="1" applyNumberFormat="1" applyBorder="1" applyAlignment="1">
      <alignment vertical="top"/>
    </xf>
    <xf numFmtId="42" fontId="1" fillId="0" borderId="0" xfId="11" applyNumberFormat="1" applyBorder="1" applyAlignment="1">
      <alignment vertical="top"/>
    </xf>
    <xf numFmtId="0" fontId="0" fillId="0" borderId="48" xfId="0" applyBorder="1"/>
    <xf numFmtId="0" fontId="0" fillId="8" borderId="48" xfId="0" applyFill="1" applyBorder="1"/>
    <xf numFmtId="10" fontId="0" fillId="8" borderId="0" xfId="0" applyNumberFormat="1" applyFill="1"/>
    <xf numFmtId="2" fontId="0" fillId="8" borderId="48" xfId="0" applyNumberFormat="1" applyFill="1" applyBorder="1"/>
    <xf numFmtId="9" fontId="0" fillId="8" borderId="48" xfId="1" applyFont="1" applyFill="1" applyBorder="1"/>
    <xf numFmtId="14" fontId="38" fillId="4" borderId="1" xfId="1019" applyNumberFormat="1" applyFont="1" applyFill="1" applyBorder="1" applyAlignment="1" applyProtection="1">
      <alignment horizontal="left"/>
      <protection locked="0"/>
    </xf>
    <xf numFmtId="10" fontId="0" fillId="0" borderId="49" xfId="0" applyNumberFormat="1" applyBorder="1"/>
    <xf numFmtId="0" fontId="68" fillId="8" borderId="0" xfId="35" applyFill="1" applyAlignment="1">
      <alignment vertical="center"/>
    </xf>
    <xf numFmtId="0" fontId="39" fillId="0" borderId="0" xfId="0" applyFont="1" applyAlignment="1">
      <alignment horizontal="left" indent="2"/>
    </xf>
    <xf numFmtId="0" fontId="39" fillId="0" borderId="26" xfId="0" applyFont="1" applyBorder="1" applyAlignment="1">
      <alignment horizontal="left" indent="2"/>
    </xf>
    <xf numFmtId="0" fontId="4" fillId="0" borderId="0" xfId="2" applyAlignment="1" applyProtection="1"/>
    <xf numFmtId="166" fontId="0" fillId="0" borderId="12" xfId="0" applyNumberFormat="1" applyBorder="1"/>
    <xf numFmtId="0" fontId="5" fillId="2" borderId="0" xfId="0" applyFont="1" applyFill="1"/>
    <xf numFmtId="14" fontId="1" fillId="4" borderId="1" xfId="0" applyNumberFormat="1" applyFont="1" applyFill="1" applyBorder="1" applyAlignment="1" applyProtection="1">
      <alignment horizontal="left"/>
      <protection locked="0"/>
    </xf>
    <xf numFmtId="1" fontId="1" fillId="4" borderId="1" xfId="0" applyNumberFormat="1" applyFont="1" applyFill="1" applyBorder="1" applyAlignment="1" applyProtection="1">
      <alignment horizontal="left"/>
      <protection locked="0"/>
    </xf>
    <xf numFmtId="0" fontId="1" fillId="4" borderId="1" xfId="0" applyFont="1" applyFill="1" applyBorder="1" applyAlignment="1" applyProtection="1">
      <alignment horizontal="left"/>
      <protection locked="0"/>
    </xf>
    <xf numFmtId="168" fontId="1" fillId="4" borderId="1" xfId="3" applyNumberFormat="1" applyFont="1" applyFill="1" applyBorder="1" applyAlignment="1" applyProtection="1">
      <alignment horizontal="left"/>
      <protection locked="0"/>
    </xf>
    <xf numFmtId="10" fontId="1" fillId="0" borderId="0" xfId="1" applyNumberFormat="1" applyFont="1" applyAlignment="1">
      <alignment horizontal="right"/>
    </xf>
    <xf numFmtId="0" fontId="3" fillId="0" borderId="0" xfId="0" applyFont="1" applyAlignment="1">
      <alignment horizontal="right"/>
    </xf>
    <xf numFmtId="0" fontId="2" fillId="0" borderId="0" xfId="0" quotePrefix="1" applyFont="1" applyAlignment="1">
      <alignment horizontal="left"/>
    </xf>
    <xf numFmtId="166" fontId="1" fillId="4" borderId="1" xfId="3" applyNumberFormat="1" applyFont="1" applyFill="1" applyBorder="1" applyAlignment="1" applyProtection="1">
      <alignment horizontal="left"/>
      <protection locked="0"/>
    </xf>
    <xf numFmtId="0" fontId="2" fillId="0" borderId="0" xfId="0" quotePrefix="1" applyFont="1" applyAlignment="1">
      <alignment horizontal="left" indent="2"/>
    </xf>
    <xf numFmtId="0" fontId="2" fillId="0" borderId="0" xfId="0" applyFont="1" applyProtection="1">
      <protection locked="0"/>
    </xf>
    <xf numFmtId="166" fontId="1" fillId="4" borderId="1" xfId="0" applyNumberFormat="1" applyFont="1" applyFill="1" applyBorder="1" applyProtection="1">
      <protection locked="0"/>
    </xf>
    <xf numFmtId="166" fontId="6" fillId="3" borderId="0" xfId="0" applyNumberFormat="1" applyFont="1" applyFill="1"/>
    <xf numFmtId="166" fontId="1" fillId="0" borderId="0" xfId="0" applyNumberFormat="1" applyFont="1"/>
    <xf numFmtId="0" fontId="1" fillId="4" borderId="1" xfId="0" applyFont="1" applyFill="1" applyBorder="1" applyProtection="1">
      <protection locked="0"/>
    </xf>
    <xf numFmtId="9" fontId="1" fillId="4" borderId="1" xfId="1" applyFont="1" applyFill="1" applyBorder="1" applyProtection="1">
      <protection locked="0"/>
    </xf>
    <xf numFmtId="44" fontId="1" fillId="4" borderId="1" xfId="0" applyNumberFormat="1" applyFont="1" applyFill="1" applyBorder="1" applyProtection="1">
      <protection locked="0"/>
    </xf>
    <xf numFmtId="0" fontId="3" fillId="0" borderId="0" xfId="4"/>
    <xf numFmtId="0" fontId="3" fillId="5" borderId="31" xfId="13" applyFill="1" applyBorder="1"/>
    <xf numFmtId="170" fontId="34" fillId="5" borderId="31" xfId="14" applyNumberFormat="1" applyFont="1" applyFill="1" applyBorder="1"/>
    <xf numFmtId="9" fontId="1" fillId="0" borderId="0" xfId="1" applyFont="1"/>
    <xf numFmtId="2" fontId="1" fillId="0" borderId="0" xfId="1" applyNumberFormat="1" applyFont="1"/>
    <xf numFmtId="0" fontId="0" fillId="8" borderId="0" xfId="0" applyFill="1" applyAlignment="1">
      <alignment horizontal="left"/>
    </xf>
    <xf numFmtId="166" fontId="0" fillId="8" borderId="12" xfId="0" applyNumberFormat="1" applyFill="1" applyBorder="1"/>
    <xf numFmtId="0" fontId="0" fillId="8" borderId="0" xfId="0" applyFill="1" applyAlignment="1">
      <alignment horizontal="right"/>
    </xf>
    <xf numFmtId="166" fontId="2" fillId="8" borderId="0" xfId="0" applyNumberFormat="1" applyFont="1" applyFill="1"/>
    <xf numFmtId="0" fontId="8" fillId="8" borderId="0" xfId="0" applyFont="1" applyFill="1"/>
    <xf numFmtId="169" fontId="0" fillId="4" borderId="1" xfId="11" applyNumberFormat="1" applyFont="1" applyFill="1" applyBorder="1" applyProtection="1">
      <protection locked="0"/>
    </xf>
    <xf numFmtId="166" fontId="43" fillId="0" borderId="0" xfId="3" applyNumberFormat="1" applyFont="1" applyAlignment="1">
      <alignment vertical="top"/>
    </xf>
    <xf numFmtId="169" fontId="1" fillId="4" borderId="1" xfId="11" applyNumberFormat="1" applyFont="1" applyFill="1" applyBorder="1" applyAlignment="1" applyProtection="1">
      <alignment horizontal="left"/>
      <protection locked="0"/>
    </xf>
    <xf numFmtId="169" fontId="0" fillId="0" borderId="0" xfId="11" applyNumberFormat="1" applyFont="1" applyFill="1" applyAlignment="1">
      <alignment horizontal="right" indent="1"/>
    </xf>
    <xf numFmtId="0" fontId="0" fillId="0" borderId="0" xfId="11" applyNumberFormat="1" applyFont="1" applyFill="1" applyAlignment="1">
      <alignment horizontal="right" indent="1"/>
    </xf>
    <xf numFmtId="169" fontId="1" fillId="0" borderId="0" xfId="11" applyNumberFormat="1" applyFill="1" applyAlignment="1">
      <alignment horizontal="center"/>
    </xf>
    <xf numFmtId="14" fontId="14" fillId="0" borderId="0" xfId="0" applyNumberFormat="1" applyFont="1"/>
    <xf numFmtId="14" fontId="38" fillId="0" borderId="0" xfId="0" applyNumberFormat="1" applyFont="1"/>
    <xf numFmtId="0" fontId="0" fillId="16" borderId="50" xfId="0" applyFill="1" applyBorder="1"/>
    <xf numFmtId="0" fontId="0" fillId="0" borderId="50" xfId="0" applyBorder="1"/>
    <xf numFmtId="0" fontId="0" fillId="0" borderId="51" xfId="0" applyBorder="1"/>
    <xf numFmtId="0" fontId="36" fillId="46" borderId="50" xfId="0" applyFont="1" applyFill="1" applyBorder="1"/>
    <xf numFmtId="49" fontId="0" fillId="0" borderId="0" xfId="1" applyNumberFormat="1" applyFont="1"/>
    <xf numFmtId="0" fontId="2" fillId="8" borderId="0" xfId="0" applyFont="1" applyFill="1"/>
    <xf numFmtId="169" fontId="2" fillId="0" borderId="0" xfId="11" applyNumberFormat="1" applyFont="1" applyAlignment="1"/>
    <xf numFmtId="0" fontId="97" fillId="0" borderId="0" xfId="0" applyFont="1"/>
    <xf numFmtId="0" fontId="1" fillId="0" borderId="0" xfId="1" applyNumberFormat="1" applyFill="1" applyAlignment="1">
      <alignment horizontal="right" vertical="top"/>
    </xf>
    <xf numFmtId="0" fontId="0" fillId="0" borderId="0" xfId="0" applyAlignment="1">
      <alignment horizontal="left" vertical="center" indent="1"/>
    </xf>
    <xf numFmtId="2" fontId="1" fillId="0" borderId="0" xfId="1" applyNumberFormat="1" applyFill="1" applyAlignment="1">
      <alignment horizontal="right" vertical="top"/>
    </xf>
    <xf numFmtId="42" fontId="1" fillId="0" borderId="0" xfId="11" applyNumberFormat="1" applyFill="1" applyAlignment="1">
      <alignment vertical="top"/>
    </xf>
    <xf numFmtId="0" fontId="2" fillId="0" borderId="13" xfId="0" applyFont="1" applyBorder="1" applyAlignment="1">
      <alignment horizontal="right" vertical="center" wrapText="1"/>
    </xf>
    <xf numFmtId="42" fontId="43" fillId="0" borderId="0" xfId="11" applyNumberFormat="1" applyFont="1" applyFill="1" applyAlignment="1">
      <alignment vertical="top"/>
    </xf>
    <xf numFmtId="171" fontId="1" fillId="0" borderId="0" xfId="11" applyNumberFormat="1" applyFill="1" applyAlignment="1">
      <alignment vertical="top"/>
    </xf>
    <xf numFmtId="166" fontId="43" fillId="0" borderId="0" xfId="3" applyNumberFormat="1" applyFont="1" applyFill="1"/>
    <xf numFmtId="42" fontId="67" fillId="0" borderId="17" xfId="11" applyNumberFormat="1" applyFont="1" applyFill="1" applyBorder="1"/>
    <xf numFmtId="166" fontId="0" fillId="0" borderId="11" xfId="3" applyNumberFormat="1" applyFont="1" applyFill="1" applyBorder="1"/>
    <xf numFmtId="1" fontId="0" fillId="0" borderId="11" xfId="0" applyNumberFormat="1" applyBorder="1"/>
    <xf numFmtId="0" fontId="38" fillId="0" borderId="0" xfId="0" applyFont="1" applyAlignment="1">
      <alignment horizontal="left" vertical="top"/>
    </xf>
    <xf numFmtId="2" fontId="1" fillId="4" borderId="1" xfId="0" applyNumberFormat="1" applyFont="1" applyFill="1" applyBorder="1" applyAlignment="1" applyProtection="1">
      <alignment horizontal="left"/>
      <protection locked="0"/>
    </xf>
    <xf numFmtId="42" fontId="0" fillId="0" borderId="0" xfId="11" applyNumberFormat="1" applyFont="1" applyAlignment="1">
      <alignment horizontal="center" vertical="top"/>
    </xf>
    <xf numFmtId="37" fontId="0" fillId="0" borderId="0" xfId="0" applyNumberFormat="1"/>
    <xf numFmtId="0" fontId="39" fillId="0" borderId="0" xfId="0" applyFont="1" applyAlignment="1">
      <alignment horizontal="center"/>
    </xf>
    <xf numFmtId="166" fontId="52" fillId="0" borderId="0" xfId="3" applyNumberFormat="1" applyFont="1"/>
    <xf numFmtId="166" fontId="0" fillId="8" borderId="0" xfId="0" applyNumberFormat="1" applyFill="1"/>
    <xf numFmtId="0" fontId="2" fillId="0" borderId="0" xfId="0" applyFont="1" applyAlignment="1">
      <alignment wrapText="1"/>
    </xf>
    <xf numFmtId="0" fontId="6" fillId="3" borderId="0" xfId="0" applyFont="1" applyFill="1" applyAlignment="1">
      <alignment wrapText="1"/>
    </xf>
    <xf numFmtId="0" fontId="2" fillId="0" borderId="0" xfId="0" applyFont="1" applyAlignment="1">
      <alignment horizontal="center"/>
    </xf>
    <xf numFmtId="0" fontId="42" fillId="0" borderId="0" xfId="0" applyFont="1" applyAlignment="1">
      <alignment horizontal="left"/>
    </xf>
    <xf numFmtId="0" fontId="0" fillId="0" borderId="0" xfId="0" applyAlignment="1">
      <alignment horizontal="left" wrapText="1"/>
    </xf>
    <xf numFmtId="0" fontId="2" fillId="0" borderId="0" xfId="0" applyFont="1" applyAlignment="1">
      <alignment horizontal="right" wrapText="1"/>
    </xf>
    <xf numFmtId="166" fontId="2" fillId="0" borderId="0" xfId="0" applyNumberFormat="1" applyFont="1" applyAlignment="1">
      <alignment horizontal="left"/>
    </xf>
    <xf numFmtId="0" fontId="2" fillId="0" borderId="0" xfId="0" applyFont="1" applyAlignment="1">
      <alignment horizontal="center" wrapText="1"/>
    </xf>
    <xf numFmtId="0" fontId="5" fillId="0" borderId="0" xfId="0" applyFont="1"/>
    <xf numFmtId="9" fontId="25" fillId="0" borderId="52" xfId="8" applyNumberFormat="1" applyFont="1" applyBorder="1" applyAlignment="1">
      <alignment horizontal="center"/>
    </xf>
    <xf numFmtId="0" fontId="3" fillId="5" borderId="53" xfId="13" applyFill="1" applyBorder="1"/>
    <xf numFmtId="3" fontId="25" fillId="0" borderId="54" xfId="0" applyNumberFormat="1" applyFont="1" applyBorder="1" applyAlignment="1">
      <alignment horizontal="right"/>
    </xf>
    <xf numFmtId="3" fontId="25" fillId="0" borderId="54" xfId="0" applyNumberFormat="1" applyFont="1" applyBorder="1" applyAlignment="1">
      <alignment horizontal="right" wrapText="1"/>
    </xf>
    <xf numFmtId="3" fontId="25" fillId="0" borderId="20" xfId="0" applyNumberFormat="1" applyFont="1" applyBorder="1" applyAlignment="1">
      <alignment horizontal="right"/>
    </xf>
    <xf numFmtId="0" fontId="4" fillId="0" borderId="0" xfId="2" applyFill="1" applyAlignment="1" applyProtection="1"/>
    <xf numFmtId="0" fontId="39" fillId="0" borderId="0" xfId="0" applyFont="1" applyAlignment="1">
      <alignment horizontal="left" indent="1"/>
    </xf>
    <xf numFmtId="1" fontId="0" fillId="4" borderId="1" xfId="11" applyNumberFormat="1" applyFont="1" applyFill="1" applyBorder="1" applyProtection="1">
      <protection locked="0"/>
    </xf>
    <xf numFmtId="0" fontId="49" fillId="0" borderId="0" xfId="0" applyFont="1" applyAlignment="1">
      <alignment horizontal="left"/>
    </xf>
    <xf numFmtId="166" fontId="1" fillId="4" borderId="1" xfId="3" applyNumberFormat="1" applyFont="1" applyFill="1" applyBorder="1" applyProtection="1">
      <protection locked="0"/>
    </xf>
    <xf numFmtId="9" fontId="38" fillId="0" borderId="0" xfId="0" applyNumberFormat="1" applyFont="1"/>
    <xf numFmtId="0" fontId="0" fillId="2" borderId="0" xfId="0" applyFill="1"/>
    <xf numFmtId="0" fontId="0" fillId="48" borderId="0" xfId="0" applyFill="1"/>
    <xf numFmtId="0" fontId="0" fillId="4" borderId="56" xfId="0" applyFill="1" applyBorder="1" applyAlignment="1" applyProtection="1">
      <alignment wrapText="1"/>
      <protection locked="0"/>
    </xf>
    <xf numFmtId="165" fontId="0" fillId="50" borderId="1" xfId="0" applyNumberFormat="1" applyFill="1" applyBorder="1" applyProtection="1">
      <protection locked="0"/>
    </xf>
    <xf numFmtId="0" fontId="14" fillId="0" borderId="0" xfId="0" applyFont="1" applyAlignment="1">
      <alignment wrapText="1"/>
    </xf>
    <xf numFmtId="0" fontId="39" fillId="0" borderId="0" xfId="0" applyFont="1" applyAlignment="1">
      <alignment wrapText="1"/>
    </xf>
    <xf numFmtId="0" fontId="1" fillId="4" borderId="1" xfId="3" applyNumberFormat="1" applyFont="1" applyFill="1" applyBorder="1" applyAlignment="1" applyProtection="1">
      <alignment horizontal="left"/>
      <protection locked="0"/>
    </xf>
    <xf numFmtId="0" fontId="0" fillId="4" borderId="1" xfId="3" applyNumberFormat="1" applyFont="1" applyFill="1" applyBorder="1" applyAlignment="1" applyProtection="1">
      <alignment horizontal="left"/>
      <protection locked="0"/>
    </xf>
    <xf numFmtId="0" fontId="38" fillId="0" borderId="0" xfId="0" applyFont="1" applyAlignment="1">
      <alignment horizontal="left" wrapText="1"/>
    </xf>
    <xf numFmtId="0" fontId="38" fillId="4" borderId="1" xfId="0" applyFont="1" applyFill="1" applyBorder="1" applyAlignment="1" applyProtection="1">
      <alignment horizontal="left"/>
      <protection locked="0"/>
    </xf>
    <xf numFmtId="0" fontId="52" fillId="0" borderId="0" xfId="0" quotePrefix="1" applyFont="1" applyAlignment="1">
      <alignment wrapText="1"/>
    </xf>
    <xf numFmtId="10" fontId="0" fillId="4" borderId="1" xfId="1" applyNumberFormat="1" applyFont="1" applyFill="1" applyBorder="1" applyAlignment="1" applyProtection="1">
      <alignment horizontal="left"/>
      <protection locked="0"/>
    </xf>
    <xf numFmtId="14" fontId="0" fillId="4" borderId="1" xfId="0" applyNumberFormat="1" applyFill="1" applyBorder="1" applyAlignment="1" applyProtection="1">
      <alignment horizontal="left"/>
      <protection locked="0"/>
    </xf>
    <xf numFmtId="0" fontId="0" fillId="4" borderId="1" xfId="0" applyFill="1" applyBorder="1" applyAlignment="1" applyProtection="1">
      <alignment horizontal="left" vertical="top"/>
      <protection locked="0"/>
    </xf>
    <xf numFmtId="0" fontId="99" fillId="48" borderId="0" xfId="0" applyFont="1" applyFill="1"/>
    <xf numFmtId="0" fontId="47" fillId="48" borderId="0" xfId="0" applyFont="1" applyFill="1"/>
    <xf numFmtId="0" fontId="99" fillId="48" borderId="0" xfId="0" applyFont="1" applyFill="1" applyAlignment="1">
      <alignment wrapText="1"/>
    </xf>
    <xf numFmtId="0" fontId="6" fillId="49" borderId="0" xfId="0" applyFont="1" applyFill="1"/>
    <xf numFmtId="0" fontId="2" fillId="0" borderId="0" xfId="0" applyFont="1" applyAlignment="1">
      <alignment horizontal="left" wrapText="1" indent="1"/>
    </xf>
    <xf numFmtId="0" fontId="2" fillId="0" borderId="0" xfId="0" applyFont="1" applyAlignment="1">
      <alignment horizontal="left" wrapText="1"/>
    </xf>
    <xf numFmtId="0" fontId="100" fillId="48" borderId="0" xfId="0" applyFont="1" applyFill="1"/>
    <xf numFmtId="0" fontId="99" fillId="2" borderId="0" xfId="0" applyFont="1" applyFill="1"/>
    <xf numFmtId="0" fontId="47" fillId="2" borderId="0" xfId="0" applyFont="1" applyFill="1"/>
    <xf numFmtId="0" fontId="2" fillId="3" borderId="0" xfId="0" applyFont="1" applyFill="1"/>
    <xf numFmtId="0" fontId="0" fillId="11" borderId="1" xfId="0" applyFill="1" applyBorder="1" applyProtection="1">
      <protection hidden="1"/>
    </xf>
    <xf numFmtId="0" fontId="0" fillId="0" borderId="1" xfId="0" applyBorder="1" applyProtection="1">
      <protection hidden="1"/>
    </xf>
    <xf numFmtId="1" fontId="0" fillId="0" borderId="1" xfId="0" applyNumberFormat="1" applyBorder="1" applyProtection="1">
      <protection hidden="1"/>
    </xf>
    <xf numFmtId="0" fontId="0" fillId="11" borderId="1" xfId="0" applyFill="1" applyBorder="1" applyAlignment="1" applyProtection="1">
      <alignment horizontal="left"/>
      <protection hidden="1"/>
    </xf>
    <xf numFmtId="1" fontId="0" fillId="11" borderId="1" xfId="0" applyNumberFormat="1" applyFill="1" applyBorder="1" applyAlignment="1" applyProtection="1">
      <alignment horizontal="left"/>
      <protection hidden="1"/>
    </xf>
    <xf numFmtId="0" fontId="2" fillId="3" borderId="0" xfId="0" applyFont="1" applyFill="1" applyProtection="1">
      <protection hidden="1"/>
    </xf>
    <xf numFmtId="0" fontId="2" fillId="0" borderId="0" xfId="0" applyFont="1" applyAlignment="1">
      <alignment horizontal="left" vertical="top" wrapText="1"/>
    </xf>
    <xf numFmtId="0" fontId="38" fillId="4" borderId="1" xfId="3" applyNumberFormat="1" applyFont="1" applyFill="1" applyBorder="1" applyAlignment="1" applyProtection="1">
      <alignment horizontal="left"/>
      <protection locked="0"/>
    </xf>
    <xf numFmtId="0" fontId="103" fillId="0" borderId="0" xfId="0" applyFont="1"/>
    <xf numFmtId="0" fontId="53" fillId="0" borderId="0" xfId="0" applyFont="1" applyProtection="1">
      <protection locked="0"/>
    </xf>
    <xf numFmtId="0" fontId="104" fillId="0" borderId="0" xfId="0" applyFont="1"/>
    <xf numFmtId="0" fontId="107" fillId="0" borderId="0" xfId="0" applyFont="1"/>
    <xf numFmtId="0" fontId="108" fillId="0" borderId="0" xfId="0" applyFont="1" applyAlignment="1">
      <alignment horizontal="right"/>
    </xf>
    <xf numFmtId="14" fontId="55" fillId="0" borderId="0" xfId="0" applyNumberFormat="1" applyFont="1" applyAlignment="1">
      <alignment horizontal="left"/>
    </xf>
    <xf numFmtId="0" fontId="103" fillId="0" borderId="0" xfId="0" applyFont="1" applyAlignment="1">
      <alignment horizontal="left"/>
    </xf>
    <xf numFmtId="0" fontId="109" fillId="0" borderId="0" xfId="0" applyFont="1"/>
    <xf numFmtId="0" fontId="57" fillId="52" borderId="57" xfId="0" applyFont="1" applyFill="1" applyBorder="1"/>
    <xf numFmtId="0" fontId="57" fillId="52" borderId="58" xfId="0" applyFont="1" applyFill="1" applyBorder="1"/>
    <xf numFmtId="0" fontId="57" fillId="52" borderId="58" xfId="0" applyFont="1" applyFill="1" applyBorder="1" applyAlignment="1">
      <alignment horizontal="right"/>
    </xf>
    <xf numFmtId="0" fontId="57" fillId="52" borderId="59" xfId="0" applyFont="1" applyFill="1" applyBorder="1" applyAlignment="1">
      <alignment horizontal="right"/>
    </xf>
    <xf numFmtId="0" fontId="58" fillId="53" borderId="0" xfId="0" applyFont="1" applyFill="1"/>
    <xf numFmtId="0" fontId="59" fillId="53" borderId="0" xfId="0" applyFont="1" applyFill="1"/>
    <xf numFmtId="0" fontId="59" fillId="53" borderId="61" xfId="0" applyFont="1" applyFill="1" applyBorder="1"/>
    <xf numFmtId="3" fontId="106" fillId="51" borderId="61" xfId="0" applyNumberFormat="1" applyFont="1" applyFill="1" applyBorder="1"/>
    <xf numFmtId="0" fontId="55" fillId="0" borderId="60" xfId="0" applyFont="1" applyBorder="1"/>
    <xf numFmtId="0" fontId="55" fillId="0" borderId="0" xfId="0" applyFont="1"/>
    <xf numFmtId="3" fontId="55" fillId="0" borderId="0" xfId="0" applyNumberFormat="1" applyFont="1"/>
    <xf numFmtId="4" fontId="55" fillId="0" borderId="61" xfId="0" applyNumberFormat="1" applyFont="1" applyBorder="1"/>
    <xf numFmtId="3" fontId="55" fillId="0" borderId="61" xfId="0" applyNumberFormat="1" applyFont="1" applyBorder="1"/>
    <xf numFmtId="0" fontId="108" fillId="0" borderId="0" xfId="0" applyFont="1"/>
    <xf numFmtId="10" fontId="55" fillId="0" borderId="60" xfId="0" applyNumberFormat="1" applyFont="1" applyBorder="1" applyAlignment="1">
      <alignment horizontal="center"/>
    </xf>
    <xf numFmtId="0" fontId="55" fillId="0" borderId="0" xfId="0" quotePrefix="1" applyFont="1"/>
    <xf numFmtId="7" fontId="55" fillId="0" borderId="0" xfId="0" applyNumberFormat="1" applyFont="1" applyAlignment="1">
      <alignment horizontal="right"/>
    </xf>
    <xf numFmtId="0" fontId="55" fillId="0" borderId="0" xfId="0" applyFont="1" applyAlignment="1">
      <alignment horizontal="left"/>
    </xf>
    <xf numFmtId="0" fontId="110" fillId="0" borderId="0" xfId="0" applyFont="1"/>
    <xf numFmtId="0" fontId="111" fillId="0" borderId="60" xfId="0" applyFont="1" applyBorder="1"/>
    <xf numFmtId="0" fontId="55" fillId="0" borderId="0" xfId="0" applyFont="1" applyAlignment="1">
      <alignment horizontal="right"/>
    </xf>
    <xf numFmtId="7" fontId="55" fillId="0" borderId="0" xfId="0" applyNumberFormat="1" applyFont="1" applyAlignment="1">
      <alignment horizontal="left"/>
    </xf>
    <xf numFmtId="0" fontId="112" fillId="0" borderId="0" xfId="0" applyFont="1"/>
    <xf numFmtId="5" fontId="55" fillId="0" borderId="0" xfId="0" applyNumberFormat="1" applyFont="1" applyAlignment="1">
      <alignment horizontal="left"/>
    </xf>
    <xf numFmtId="176" fontId="55" fillId="0" borderId="0" xfId="0" applyNumberFormat="1" applyFont="1"/>
    <xf numFmtId="180" fontId="55" fillId="0" borderId="0" xfId="0" applyNumberFormat="1" applyFont="1"/>
    <xf numFmtId="5" fontId="55" fillId="0" borderId="0" xfId="0" applyNumberFormat="1" applyFont="1"/>
    <xf numFmtId="0" fontId="113" fillId="0" borderId="0" xfId="0" applyFont="1"/>
    <xf numFmtId="0" fontId="114" fillId="0" borderId="0" xfId="0" applyFont="1"/>
    <xf numFmtId="0" fontId="115" fillId="0" borderId="0" xfId="0" applyFont="1"/>
    <xf numFmtId="0" fontId="103" fillId="0" borderId="64" xfId="0" applyFont="1" applyBorder="1"/>
    <xf numFmtId="0" fontId="109" fillId="53" borderId="74" xfId="0" applyFont="1" applyFill="1" applyBorder="1" applyAlignment="1">
      <alignment horizontal="center"/>
    </xf>
    <xf numFmtId="0" fontId="109" fillId="0" borderId="74" xfId="0" applyFont="1" applyBorder="1" applyAlignment="1">
      <alignment horizontal="right"/>
    </xf>
    <xf numFmtId="0" fontId="109" fillId="0" borderId="73" xfId="0" applyFont="1" applyBorder="1"/>
    <xf numFmtId="0" fontId="109" fillId="0" borderId="76" xfId="0" applyFont="1" applyBorder="1"/>
    <xf numFmtId="0" fontId="109" fillId="0" borderId="76" xfId="0" applyFont="1" applyBorder="1" applyAlignment="1">
      <alignment horizontal="right"/>
    </xf>
    <xf numFmtId="0" fontId="109" fillId="53" borderId="60" xfId="0" applyFont="1" applyFill="1" applyBorder="1" applyAlignment="1">
      <alignment horizontal="left"/>
    </xf>
    <xf numFmtId="0" fontId="109" fillId="53" borderId="0" xfId="0" applyFont="1" applyFill="1" applyAlignment="1">
      <alignment horizontal="left"/>
    </xf>
    <xf numFmtId="0" fontId="109" fillId="53" borderId="84" xfId="0" applyFont="1" applyFill="1" applyBorder="1" applyAlignment="1">
      <alignment horizontal="left"/>
    </xf>
    <xf numFmtId="0" fontId="0" fillId="0" borderId="61" xfId="0" applyBorder="1"/>
    <xf numFmtId="0" fontId="109" fillId="53" borderId="76" xfId="0" applyFont="1" applyFill="1" applyBorder="1" applyAlignment="1">
      <alignment horizontal="left"/>
    </xf>
    <xf numFmtId="0" fontId="109" fillId="52" borderId="76" xfId="0" applyFont="1" applyFill="1" applyBorder="1" applyAlignment="1">
      <alignment horizontal="left"/>
    </xf>
    <xf numFmtId="0" fontId="109" fillId="0" borderId="76" xfId="0" applyFont="1" applyBorder="1" applyAlignment="1">
      <alignment horizontal="left"/>
    </xf>
    <xf numFmtId="0" fontId="116" fillId="0" borderId="0" xfId="0" applyFont="1"/>
    <xf numFmtId="0" fontId="117" fillId="0" borderId="0" xfId="0" applyFont="1"/>
    <xf numFmtId="0" fontId="118" fillId="0" borderId="0" xfId="0" applyFont="1"/>
    <xf numFmtId="0" fontId="59" fillId="0" borderId="0" xfId="0" applyFont="1"/>
    <xf numFmtId="0" fontId="58" fillId="52" borderId="94" xfId="0" applyFont="1" applyFill="1" applyBorder="1"/>
    <xf numFmtId="0" fontId="58" fillId="52" borderId="95" xfId="0" applyFont="1" applyFill="1" applyBorder="1"/>
    <xf numFmtId="0" fontId="58" fillId="52" borderId="96" xfId="0" applyFont="1" applyFill="1" applyBorder="1"/>
    <xf numFmtId="0" fontId="55" fillId="0" borderId="59" xfId="0" applyFont="1" applyBorder="1"/>
    <xf numFmtId="0" fontId="55" fillId="0" borderId="79" xfId="0" applyFont="1" applyBorder="1"/>
    <xf numFmtId="0" fontId="55" fillId="0" borderId="61" xfId="0" applyFont="1" applyBorder="1"/>
    <xf numFmtId="3" fontId="55" fillId="0" borderId="79" xfId="0" applyNumberFormat="1" applyFont="1" applyBorder="1"/>
    <xf numFmtId="0" fontId="55" fillId="0" borderId="79" xfId="0" applyFont="1" applyBorder="1" applyAlignment="1">
      <alignment horizontal="left" wrapText="1"/>
    </xf>
    <xf numFmtId="0" fontId="106" fillId="0" borderId="79" xfId="0" applyFont="1" applyBorder="1" applyAlignment="1">
      <alignment vertical="top"/>
    </xf>
    <xf numFmtId="0" fontId="111" fillId="0" borderId="79" xfId="0" applyFont="1" applyBorder="1" applyAlignment="1">
      <alignment vertical="top"/>
    </xf>
    <xf numFmtId="0" fontId="121" fillId="0" borderId="0" xfId="0" quotePrefix="1" applyFont="1"/>
    <xf numFmtId="0" fontId="55" fillId="53" borderId="75" xfId="0" applyFont="1" applyFill="1" applyBorder="1"/>
    <xf numFmtId="0" fontId="55" fillId="52" borderId="102" xfId="0" applyFont="1" applyFill="1" applyBorder="1"/>
    <xf numFmtId="0" fontId="58" fillId="52" borderId="92" xfId="0" applyFont="1" applyFill="1" applyBorder="1"/>
    <xf numFmtId="0" fontId="58" fillId="52" borderId="103" xfId="0" applyFont="1" applyFill="1" applyBorder="1"/>
    <xf numFmtId="165" fontId="58" fillId="52" borderId="90" xfId="0" applyNumberFormat="1" applyFont="1" applyFill="1" applyBorder="1"/>
    <xf numFmtId="0" fontId="55" fillId="0" borderId="64" xfId="0" applyFont="1" applyBorder="1"/>
    <xf numFmtId="0" fontId="55" fillId="0" borderId="58" xfId="0" applyFont="1" applyBorder="1"/>
    <xf numFmtId="0" fontId="7" fillId="2" borderId="0" xfId="0" applyFont="1" applyFill="1" applyAlignment="1">
      <alignment wrapText="1"/>
    </xf>
    <xf numFmtId="0" fontId="123" fillId="0" borderId="0" xfId="0" applyFont="1" applyAlignment="1" applyProtection="1">
      <alignment horizontal="right"/>
      <protection locked="0"/>
    </xf>
    <xf numFmtId="2" fontId="54" fillId="0" borderId="0" xfId="28" applyNumberFormat="1" applyFont="1" applyAlignment="1"/>
    <xf numFmtId="178" fontId="56" fillId="0" borderId="0" xfId="28" applyNumberFormat="1" applyAlignment="1"/>
    <xf numFmtId="0" fontId="55" fillId="0" borderId="97" xfId="0" applyFont="1" applyBorder="1"/>
    <xf numFmtId="0" fontId="55" fillId="0" borderId="99" xfId="0" applyFont="1" applyBorder="1"/>
    <xf numFmtId="0" fontId="119" fillId="0" borderId="99" xfId="0" applyFont="1" applyBorder="1"/>
    <xf numFmtId="2" fontId="55" fillId="0" borderId="99" xfId="0" applyNumberFormat="1" applyFont="1" applyBorder="1"/>
    <xf numFmtId="165" fontId="111" fillId="0" borderId="79" xfId="0" applyNumberFormat="1" applyFont="1" applyBorder="1"/>
    <xf numFmtId="3" fontId="55" fillId="0" borderId="99" xfId="0" applyNumberFormat="1" applyFont="1" applyBorder="1"/>
    <xf numFmtId="165" fontId="55" fillId="0" borderId="0" xfId="0" applyNumberFormat="1" applyFont="1"/>
    <xf numFmtId="10" fontId="55" fillId="0" borderId="99" xfId="0" applyNumberFormat="1" applyFont="1" applyBorder="1"/>
    <xf numFmtId="3" fontId="56" fillId="0" borderId="0" xfId="28" applyNumberFormat="1" applyAlignment="1"/>
    <xf numFmtId="169" fontId="105" fillId="0" borderId="0" xfId="11" applyNumberFormat="1" applyFont="1"/>
    <xf numFmtId="169" fontId="104" fillId="0" borderId="0" xfId="11" applyNumberFormat="1" applyFont="1"/>
    <xf numFmtId="169" fontId="57" fillId="52" borderId="58" xfId="11" applyNumberFormat="1" applyFont="1" applyFill="1" applyBorder="1" applyAlignment="1">
      <alignment horizontal="right"/>
    </xf>
    <xf numFmtId="169" fontId="59" fillId="53" borderId="0" xfId="11" applyNumberFormat="1" applyFont="1" applyFill="1"/>
    <xf numFmtId="169" fontId="109" fillId="0" borderId="0" xfId="11" applyNumberFormat="1" applyFont="1"/>
    <xf numFmtId="169" fontId="109" fillId="0" borderId="65" xfId="11" applyNumberFormat="1" applyFont="1" applyBorder="1"/>
    <xf numFmtId="169" fontId="109" fillId="0" borderId="68" xfId="11" applyNumberFormat="1" applyFont="1" applyBorder="1"/>
    <xf numFmtId="169" fontId="109" fillId="0" borderId="70" xfId="11" applyNumberFormat="1" applyFont="1" applyBorder="1"/>
    <xf numFmtId="169" fontId="56" fillId="0" borderId="0" xfId="11" applyNumberFormat="1" applyFont="1" applyAlignment="1"/>
    <xf numFmtId="0" fontId="34" fillId="0" borderId="0" xfId="28" applyFont="1" applyAlignment="1"/>
    <xf numFmtId="3" fontId="55" fillId="0" borderId="110" xfId="0" applyNumberFormat="1" applyFont="1" applyBorder="1"/>
    <xf numFmtId="3" fontId="55" fillId="0" borderId="111" xfId="0" applyNumberFormat="1" applyFont="1" applyBorder="1"/>
    <xf numFmtId="9" fontId="55" fillId="0" borderId="0" xfId="0" applyNumberFormat="1" applyFont="1" applyAlignment="1">
      <alignment horizontal="center"/>
    </xf>
    <xf numFmtId="0" fontId="100" fillId="0" borderId="0" xfId="0" applyFont="1"/>
    <xf numFmtId="0" fontId="111" fillId="51" borderId="0" xfId="0" applyFont="1" applyFill="1"/>
    <xf numFmtId="169" fontId="106" fillId="0" borderId="0" xfId="11" applyNumberFormat="1" applyFont="1" applyFill="1"/>
    <xf numFmtId="0" fontId="111" fillId="51" borderId="73" xfId="0" applyFont="1" applyFill="1" applyBorder="1" applyAlignment="1">
      <alignment horizontal="left"/>
    </xf>
    <xf numFmtId="9" fontId="111" fillId="0" borderId="74" xfId="0" applyNumberFormat="1" applyFont="1" applyBorder="1" applyAlignment="1">
      <alignment horizontal="right"/>
    </xf>
    <xf numFmtId="1" fontId="111" fillId="0" borderId="74" xfId="0" applyNumberFormat="1" applyFont="1" applyBorder="1" applyAlignment="1">
      <alignment horizontal="right"/>
    </xf>
    <xf numFmtId="3" fontId="111" fillId="0" borderId="74" xfId="0" applyNumberFormat="1" applyFont="1" applyBorder="1"/>
    <xf numFmtId="3" fontId="111" fillId="51" borderId="74" xfId="0" applyNumberFormat="1" applyFont="1" applyFill="1" applyBorder="1"/>
    <xf numFmtId="3" fontId="55" fillId="0" borderId="74" xfId="0" applyNumberFormat="1" applyFont="1" applyBorder="1"/>
    <xf numFmtId="0" fontId="55" fillId="53" borderId="74" xfId="0" applyFont="1" applyFill="1" applyBorder="1"/>
    <xf numFmtId="3" fontId="55" fillId="53" borderId="74" xfId="0" applyNumberFormat="1" applyFont="1" applyFill="1" applyBorder="1"/>
    <xf numFmtId="3" fontId="59" fillId="52" borderId="74" xfId="0" applyNumberFormat="1" applyFont="1" applyFill="1" applyBorder="1"/>
    <xf numFmtId="3" fontId="55" fillId="54" borderId="74" xfId="0" applyNumberFormat="1" applyFont="1" applyFill="1" applyBorder="1"/>
    <xf numFmtId="0" fontId="55" fillId="54" borderId="77" xfId="0" applyFont="1" applyFill="1" applyBorder="1"/>
    <xf numFmtId="3" fontId="111" fillId="51" borderId="89" xfId="0" applyNumberFormat="1" applyFont="1" applyFill="1" applyBorder="1"/>
    <xf numFmtId="0" fontId="98" fillId="0" borderId="0" xfId="0" quotePrefix="1" applyFont="1" applyAlignment="1">
      <alignment horizontal="right"/>
    </xf>
    <xf numFmtId="0" fontId="111" fillId="51" borderId="79" xfId="0" applyFont="1" applyFill="1" applyBorder="1" applyAlignment="1">
      <alignment horizontal="left" wrapText="1"/>
    </xf>
    <xf numFmtId="0" fontId="111" fillId="0" borderId="79" xfId="0" applyFont="1" applyBorder="1" applyAlignment="1">
      <alignment horizontal="left" wrapText="1"/>
    </xf>
    <xf numFmtId="3" fontId="111" fillId="0" borderId="79" xfId="0" applyNumberFormat="1" applyFont="1" applyBorder="1"/>
    <xf numFmtId="167" fontId="111" fillId="0" borderId="79" xfId="0" applyNumberFormat="1" applyFont="1" applyBorder="1"/>
    <xf numFmtId="1" fontId="111" fillId="0" borderId="79" xfId="0" applyNumberFormat="1" applyFont="1" applyBorder="1"/>
    <xf numFmtId="3" fontId="111" fillId="51" borderId="79" xfId="0" applyNumberFormat="1" applyFont="1" applyFill="1" applyBorder="1"/>
    <xf numFmtId="0" fontId="115" fillId="0" borderId="104" xfId="0" applyFont="1" applyBorder="1"/>
    <xf numFmtId="0" fontId="1" fillId="56" borderId="0" xfId="0" applyFont="1" applyFill="1"/>
    <xf numFmtId="0" fontId="31" fillId="56" borderId="0" xfId="0" applyFont="1" applyFill="1"/>
    <xf numFmtId="0" fontId="39" fillId="0" borderId="16" xfId="0" applyFont="1" applyBorder="1" applyAlignment="1">
      <alignment horizontal="center" wrapText="1"/>
    </xf>
    <xf numFmtId="0" fontId="4" fillId="4" borderId="1" xfId="2" applyNumberFormat="1" applyFill="1" applyBorder="1" applyAlignment="1" applyProtection="1">
      <alignment horizontal="left"/>
      <protection locked="0"/>
    </xf>
    <xf numFmtId="0" fontId="0" fillId="0" borderId="112" xfId="0" applyBorder="1"/>
    <xf numFmtId="14" fontId="0" fillId="8" borderId="112" xfId="0" applyNumberFormat="1" applyFill="1" applyBorder="1"/>
    <xf numFmtId="0" fontId="0" fillId="19" borderId="112" xfId="0" applyFill="1" applyBorder="1"/>
    <xf numFmtId="0" fontId="11" fillId="8" borderId="112" xfId="0" applyFont="1" applyFill="1" applyBorder="1" applyAlignment="1">
      <alignment vertical="center" wrapText="1"/>
    </xf>
    <xf numFmtId="0" fontId="11" fillId="8" borderId="112" xfId="0" applyFont="1" applyFill="1" applyBorder="1" applyAlignment="1">
      <alignment vertical="center"/>
    </xf>
    <xf numFmtId="0" fontId="103" fillId="0" borderId="0" xfId="0" applyFont="1" applyAlignment="1">
      <alignment horizontal="right"/>
    </xf>
    <xf numFmtId="0" fontId="105" fillId="0" borderId="0" xfId="0" applyFont="1"/>
    <xf numFmtId="0" fontId="107" fillId="0" borderId="0" xfId="0" applyFont="1" applyAlignment="1">
      <alignment vertical="top"/>
    </xf>
    <xf numFmtId="0" fontId="57" fillId="0" borderId="0" xfId="0" applyFont="1"/>
    <xf numFmtId="0" fontId="109" fillId="0" borderId="57" xfId="0" applyFont="1" applyBorder="1"/>
    <xf numFmtId="0" fontId="109" fillId="53" borderId="60" xfId="0" applyFont="1" applyFill="1" applyBorder="1"/>
    <xf numFmtId="0" fontId="109" fillId="0" borderId="60" xfId="0" applyFont="1" applyBorder="1"/>
    <xf numFmtId="0" fontId="109" fillId="0" borderId="62" xfId="0" applyFont="1" applyBorder="1"/>
    <xf numFmtId="3" fontId="109" fillId="0" borderId="0" xfId="0" applyNumberFormat="1" applyFont="1"/>
    <xf numFmtId="4" fontId="109" fillId="0" borderId="61" xfId="0" applyNumberFormat="1" applyFont="1" applyBorder="1"/>
    <xf numFmtId="169" fontId="109" fillId="54" borderId="0" xfId="11" applyNumberFormat="1" applyFont="1" applyFill="1"/>
    <xf numFmtId="3" fontId="109" fillId="54" borderId="0" xfId="0" applyNumberFormat="1" applyFont="1" applyFill="1"/>
    <xf numFmtId="4" fontId="109" fillId="54" borderId="61" xfId="0" applyNumberFormat="1" applyFont="1" applyFill="1" applyBorder="1"/>
    <xf numFmtId="0" fontId="109" fillId="53" borderId="62" xfId="0" applyFont="1" applyFill="1" applyBorder="1"/>
    <xf numFmtId="0" fontId="109" fillId="53" borderId="64" xfId="0" applyFont="1" applyFill="1" applyBorder="1"/>
    <xf numFmtId="169" fontId="109" fillId="53" borderId="64" xfId="11" applyNumberFormat="1" applyFont="1" applyFill="1" applyBorder="1"/>
    <xf numFmtId="5" fontId="109" fillId="53" borderId="64" xfId="0" applyNumberFormat="1" applyFont="1" applyFill="1" applyBorder="1"/>
    <xf numFmtId="7" fontId="109" fillId="53" borderId="63" xfId="0" applyNumberFormat="1" applyFont="1" applyFill="1" applyBorder="1"/>
    <xf numFmtId="169" fontId="55" fillId="0" borderId="0" xfId="11" applyNumberFormat="1" applyFont="1"/>
    <xf numFmtId="176" fontId="55" fillId="0" borderId="0" xfId="0" applyNumberFormat="1" applyFont="1" applyAlignment="1">
      <alignment horizontal="left"/>
    </xf>
    <xf numFmtId="9" fontId="55" fillId="0" borderId="0" xfId="0" applyNumberFormat="1" applyFont="1" applyAlignment="1">
      <alignment horizontal="left"/>
    </xf>
    <xf numFmtId="7" fontId="55" fillId="0" borderId="66" xfId="0" applyNumberFormat="1" applyFont="1" applyBorder="1"/>
    <xf numFmtId="7" fontId="55" fillId="0" borderId="67" xfId="0" applyNumberFormat="1" applyFont="1" applyBorder="1"/>
    <xf numFmtId="7" fontId="55" fillId="0" borderId="0" xfId="0" applyNumberFormat="1" applyFont="1"/>
    <xf numFmtId="7" fontId="55" fillId="0" borderId="69" xfId="0" applyNumberFormat="1" applyFont="1" applyBorder="1"/>
    <xf numFmtId="7" fontId="55" fillId="0" borderId="71" xfId="0" applyNumberFormat="1" applyFont="1" applyBorder="1"/>
    <xf numFmtId="7" fontId="55" fillId="0" borderId="72" xfId="0" applyNumberFormat="1" applyFont="1" applyBorder="1"/>
    <xf numFmtId="4" fontId="55" fillId="0" borderId="0" xfId="0" applyNumberFormat="1" applyFont="1"/>
    <xf numFmtId="0" fontId="58" fillId="52" borderId="60" xfId="0" applyFont="1" applyFill="1" applyBorder="1"/>
    <xf numFmtId="0" fontId="58" fillId="52" borderId="0" xfId="0" applyFont="1" applyFill="1"/>
    <xf numFmtId="0" fontId="58" fillId="52" borderId="0" xfId="0" applyFont="1" applyFill="1" applyAlignment="1">
      <alignment horizontal="left"/>
    </xf>
    <xf numFmtId="0" fontId="55" fillId="0" borderId="73" xfId="0" applyFont="1" applyBorder="1" applyAlignment="1">
      <alignment horizontal="center"/>
    </xf>
    <xf numFmtId="0" fontId="55" fillId="0" borderId="74" xfId="0" applyFont="1" applyBorder="1" applyAlignment="1">
      <alignment horizontal="center"/>
    </xf>
    <xf numFmtId="3" fontId="55" fillId="0" borderId="74" xfId="0" applyNumberFormat="1" applyFont="1" applyBorder="1" applyAlignment="1">
      <alignment horizontal="center"/>
    </xf>
    <xf numFmtId="0" fontId="55" fillId="0" borderId="74" xfId="0" applyFont="1" applyBorder="1" applyAlignment="1">
      <alignment horizontal="right" wrapText="1"/>
    </xf>
    <xf numFmtId="10" fontId="55" fillId="0" borderId="60" xfId="0" applyNumberFormat="1" applyFont="1" applyBorder="1"/>
    <xf numFmtId="0" fontId="111" fillId="0" borderId="74" xfId="0" applyFont="1" applyBorder="1" applyAlignment="1">
      <alignment horizontal="right" wrapText="1"/>
    </xf>
    <xf numFmtId="3" fontId="55" fillId="0" borderId="60" xfId="0" applyNumberFormat="1" applyFont="1" applyBorder="1"/>
    <xf numFmtId="0" fontId="55" fillId="0" borderId="75" xfId="0" applyFont="1" applyBorder="1"/>
    <xf numFmtId="0" fontId="55" fillId="0" borderId="76" xfId="0" applyFont="1" applyBorder="1" applyAlignment="1">
      <alignment horizontal="right"/>
    </xf>
    <xf numFmtId="1" fontId="55" fillId="0" borderId="76" xfId="0" applyNumberFormat="1" applyFont="1" applyBorder="1" applyAlignment="1">
      <alignment horizontal="center"/>
    </xf>
    <xf numFmtId="3" fontId="55" fillId="0" borderId="76" xfId="0" applyNumberFormat="1" applyFont="1" applyBorder="1" applyAlignment="1">
      <alignment horizontal="center"/>
    </xf>
    <xf numFmtId="0" fontId="55" fillId="0" borderId="76" xfId="0" applyFont="1" applyBorder="1"/>
    <xf numFmtId="0" fontId="55" fillId="0" borderId="73" xfId="0" applyFont="1" applyBorder="1"/>
    <xf numFmtId="176" fontId="55" fillId="0" borderId="76" xfId="0" applyNumberFormat="1" applyFont="1" applyBorder="1" applyAlignment="1">
      <alignment horizontal="center"/>
    </xf>
    <xf numFmtId="3" fontId="55" fillId="0" borderId="76" xfId="0" applyNumberFormat="1" applyFont="1" applyBorder="1"/>
    <xf numFmtId="0" fontId="111" fillId="0" borderId="76" xfId="0" applyFont="1" applyBorder="1"/>
    <xf numFmtId="0" fontId="55" fillId="0" borderId="77" xfId="0" applyFont="1" applyBorder="1"/>
    <xf numFmtId="0" fontId="55" fillId="0" borderId="74" xfId="0" applyFont="1" applyBorder="1"/>
    <xf numFmtId="37" fontId="55" fillId="0" borderId="79" xfId="0" applyNumberFormat="1" applyFont="1" applyBorder="1"/>
    <xf numFmtId="0" fontId="55" fillId="0" borderId="57" xfId="0" applyFont="1" applyBorder="1"/>
    <xf numFmtId="10" fontId="55" fillId="0" borderId="78" xfId="0" applyNumberFormat="1" applyFont="1" applyBorder="1"/>
    <xf numFmtId="0" fontId="55" fillId="0" borderId="80" xfId="0" applyFont="1" applyBorder="1"/>
    <xf numFmtId="0" fontId="55" fillId="0" borderId="80" xfId="0" applyFont="1" applyBorder="1" applyAlignment="1">
      <alignment horizontal="right"/>
    </xf>
    <xf numFmtId="0" fontId="58" fillId="52" borderId="77" xfId="0" applyFont="1" applyFill="1" applyBorder="1"/>
    <xf numFmtId="0" fontId="58" fillId="52" borderId="80" xfId="0" applyFont="1" applyFill="1" applyBorder="1" applyAlignment="1">
      <alignment horizontal="right"/>
    </xf>
    <xf numFmtId="0" fontId="58" fillId="52" borderId="75" xfId="0" applyFont="1" applyFill="1" applyBorder="1"/>
    <xf numFmtId="0" fontId="58" fillId="52" borderId="82" xfId="0" applyFont="1" applyFill="1" applyBorder="1"/>
    <xf numFmtId="0" fontId="58" fillId="52" borderId="83" xfId="0" applyFont="1" applyFill="1" applyBorder="1"/>
    <xf numFmtId="0" fontId="55" fillId="0" borderId="76" xfId="0" applyFont="1" applyBorder="1" applyAlignment="1">
      <alignment horizontal="right" wrapText="1"/>
    </xf>
    <xf numFmtId="0" fontId="55" fillId="0" borderId="84" xfId="0" applyFont="1" applyBorder="1"/>
    <xf numFmtId="0" fontId="55" fillId="0" borderId="91" xfId="0" applyFont="1" applyBorder="1"/>
    <xf numFmtId="0" fontId="55" fillId="0" borderId="92" xfId="0" applyFont="1" applyBorder="1" applyAlignment="1">
      <alignment horizontal="left" vertical="center"/>
    </xf>
    <xf numFmtId="39" fontId="55" fillId="0" borderId="0" xfId="0" applyNumberFormat="1" applyFont="1"/>
    <xf numFmtId="0" fontId="109" fillId="52" borderId="93" xfId="0" applyFont="1" applyFill="1" applyBorder="1"/>
    <xf numFmtId="0" fontId="109" fillId="0" borderId="0" xfId="0" applyFont="1" applyAlignment="1">
      <alignment horizontal="right"/>
    </xf>
    <xf numFmtId="0" fontId="109" fillId="0" borderId="79" xfId="0" applyFont="1" applyBorder="1"/>
    <xf numFmtId="0" fontId="108" fillId="0" borderId="61" xfId="0" applyFont="1" applyBorder="1" applyAlignment="1">
      <alignment horizontal="center"/>
    </xf>
    <xf numFmtId="0" fontId="108" fillId="0" borderId="61" xfId="0" applyFont="1" applyBorder="1"/>
    <xf numFmtId="0" fontId="109" fillId="53" borderId="82" xfId="0" applyFont="1" applyFill="1" applyBorder="1"/>
    <xf numFmtId="0" fontId="109" fillId="53" borderId="83" xfId="0" applyFont="1" applyFill="1" applyBorder="1"/>
    <xf numFmtId="165" fontId="109" fillId="53" borderId="79" xfId="0" applyNumberFormat="1" applyFont="1" applyFill="1" applyBorder="1"/>
    <xf numFmtId="0" fontId="109" fillId="0" borderId="104" xfId="0" applyFont="1" applyBorder="1"/>
    <xf numFmtId="0" fontId="109" fillId="0" borderId="63" xfId="0" applyFont="1" applyBorder="1"/>
    <xf numFmtId="0" fontId="115" fillId="0" borderId="105" xfId="0" applyFont="1" applyBorder="1"/>
    <xf numFmtId="2" fontId="115" fillId="0" borderId="59" xfId="0" applyNumberFormat="1" applyFont="1" applyBorder="1"/>
    <xf numFmtId="0" fontId="115" fillId="0" borderId="106" xfId="0" applyFont="1" applyBorder="1"/>
    <xf numFmtId="0" fontId="115" fillId="0" borderId="95" xfId="0" applyFont="1" applyBorder="1"/>
    <xf numFmtId="3" fontId="115" fillId="0" borderId="107" xfId="0" applyNumberFormat="1" applyFont="1" applyBorder="1"/>
    <xf numFmtId="0" fontId="115" fillId="0" borderId="108" xfId="0" applyFont="1" applyBorder="1"/>
    <xf numFmtId="178" fontId="115" fillId="0" borderId="109" xfId="0" applyNumberFormat="1" applyFont="1" applyBorder="1"/>
    <xf numFmtId="9" fontId="25" fillId="0" borderId="112" xfId="0" applyNumberFormat="1" applyFont="1" applyBorder="1" applyAlignment="1">
      <alignment horizontal="center"/>
    </xf>
    <xf numFmtId="3" fontId="25" fillId="0" borderId="112" xfId="0" applyNumberFormat="1" applyFont="1" applyBorder="1" applyAlignment="1">
      <alignment horizontal="right"/>
    </xf>
    <xf numFmtId="3" fontId="25" fillId="0" borderId="112" xfId="0" applyNumberFormat="1" applyFont="1" applyBorder="1" applyAlignment="1">
      <alignment horizontal="right" wrapText="1"/>
    </xf>
    <xf numFmtId="3" fontId="25" fillId="0" borderId="112" xfId="3" applyNumberFormat="1" applyFont="1" applyFill="1" applyBorder="1" applyAlignment="1" applyProtection="1">
      <alignment horizontal="right"/>
    </xf>
    <xf numFmtId="9" fontId="25" fillId="0" borderId="112" xfId="8" applyNumberFormat="1" applyFont="1" applyBorder="1" applyAlignment="1">
      <alignment horizontal="center"/>
    </xf>
    <xf numFmtId="0" fontId="24" fillId="0" borderId="116" xfId="4" applyFont="1" applyBorder="1" applyAlignment="1">
      <alignment horizontal="right"/>
    </xf>
    <xf numFmtId="0" fontId="34" fillId="5" borderId="112" xfId="13" applyFont="1" applyFill="1" applyBorder="1" applyAlignment="1">
      <alignment horizontal="center"/>
    </xf>
    <xf numFmtId="0" fontId="34" fillId="5" borderId="117" xfId="13" applyFont="1" applyFill="1" applyBorder="1" applyAlignment="1">
      <alignment horizontal="center"/>
    </xf>
    <xf numFmtId="0" fontId="24" fillId="0" borderId="116" xfId="4" applyFont="1" applyBorder="1" applyAlignment="1">
      <alignment horizontal="center"/>
    </xf>
    <xf numFmtId="14" fontId="11" fillId="8" borderId="112" xfId="0" applyNumberFormat="1" applyFont="1" applyFill="1" applyBorder="1" applyAlignment="1">
      <alignment vertical="center" wrapText="1"/>
    </xf>
    <xf numFmtId="49" fontId="0" fillId="4" borderId="0" xfId="3" applyNumberFormat="1" applyFont="1" applyFill="1" applyBorder="1" applyAlignment="1" applyProtection="1">
      <alignment horizontal="left"/>
      <protection locked="0"/>
    </xf>
    <xf numFmtId="0" fontId="71" fillId="8" borderId="0" xfId="0" applyFont="1" applyFill="1"/>
    <xf numFmtId="0" fontId="72" fillId="8" borderId="0" xfId="0" applyFont="1" applyFill="1" applyAlignment="1">
      <alignment vertical="center"/>
    </xf>
    <xf numFmtId="9" fontId="0" fillId="0" borderId="0" xfId="1" applyFont="1" applyFill="1"/>
    <xf numFmtId="9" fontId="0" fillId="0" borderId="42" xfId="1" applyFont="1" applyBorder="1"/>
    <xf numFmtId="1" fontId="38" fillId="4" borderId="1" xfId="1019" applyNumberFormat="1" applyFont="1" applyFill="1" applyBorder="1" applyAlignment="1" applyProtection="1">
      <alignment horizontal="left"/>
      <protection locked="0"/>
    </xf>
    <xf numFmtId="169" fontId="111" fillId="51" borderId="0" xfId="11" applyNumberFormat="1" applyFont="1" applyFill="1"/>
    <xf numFmtId="9" fontId="55" fillId="0" borderId="0" xfId="1" applyFont="1"/>
    <xf numFmtId="0" fontId="111" fillId="55" borderId="60" xfId="0" applyFont="1" applyFill="1" applyBorder="1"/>
    <xf numFmtId="2" fontId="55" fillId="0" borderId="60" xfId="0" applyNumberFormat="1" applyFont="1" applyBorder="1"/>
    <xf numFmtId="2" fontId="58" fillId="52" borderId="77" xfId="0" applyNumberFormat="1" applyFont="1" applyFill="1" applyBorder="1"/>
    <xf numFmtId="0" fontId="6" fillId="49" borderId="0" xfId="0" applyFont="1" applyFill="1" applyAlignment="1">
      <alignment horizontal="left" indent="1"/>
    </xf>
    <xf numFmtId="0" fontId="0" fillId="0" borderId="0" xfId="0" quotePrefix="1" applyAlignment="1">
      <alignment horizontal="right" vertical="top"/>
    </xf>
    <xf numFmtId="166" fontId="1" fillId="0" borderId="0" xfId="11" applyNumberFormat="1" applyBorder="1" applyAlignment="1">
      <alignment vertical="center"/>
    </xf>
    <xf numFmtId="166" fontId="1" fillId="0" borderId="0" xfId="11" applyNumberFormat="1" applyBorder="1"/>
    <xf numFmtId="176" fontId="1" fillId="0" borderId="0" xfId="1" applyNumberFormat="1" applyAlignment="1">
      <alignment horizontal="center" vertical="center"/>
    </xf>
    <xf numFmtId="0" fontId="2" fillId="7" borderId="0" xfId="0" applyFont="1" applyFill="1" applyAlignment="1">
      <alignment horizontal="left" wrapText="1"/>
    </xf>
    <xf numFmtId="1" fontId="0" fillId="6" borderId="0" xfId="0" applyNumberFormat="1" applyFill="1"/>
    <xf numFmtId="0" fontId="42" fillId="3" borderId="0" xfId="0" applyFont="1" applyFill="1"/>
    <xf numFmtId="0" fontId="24" fillId="0" borderId="118" xfId="4" applyFont="1" applyBorder="1" applyAlignment="1">
      <alignment horizontal="right"/>
    </xf>
    <xf numFmtId="0" fontId="34" fillId="5" borderId="118" xfId="13" applyFont="1" applyFill="1" applyBorder="1"/>
    <xf numFmtId="9" fontId="34" fillId="5" borderId="119" xfId="15" applyFont="1" applyFill="1" applyBorder="1"/>
    <xf numFmtId="9" fontId="34" fillId="5" borderId="120" xfId="15" applyFont="1" applyFill="1" applyBorder="1"/>
    <xf numFmtId="9" fontId="34" fillId="5" borderId="119" xfId="14" applyNumberFormat="1" applyFont="1" applyFill="1" applyBorder="1"/>
    <xf numFmtId="0" fontId="3" fillId="5" borderId="121" xfId="13" applyFill="1" applyBorder="1"/>
    <xf numFmtId="175" fontId="34" fillId="5" borderId="119" xfId="14" applyNumberFormat="1" applyFont="1" applyFill="1" applyBorder="1" applyAlignment="1">
      <alignment horizontal="right"/>
    </xf>
    <xf numFmtId="165" fontId="34" fillId="5" borderId="119" xfId="14" applyNumberFormat="1" applyFont="1" applyFill="1" applyBorder="1" applyAlignment="1">
      <alignment horizontal="right"/>
    </xf>
    <xf numFmtId="165" fontId="34" fillId="5" borderId="119" xfId="14" applyNumberFormat="1" applyFont="1" applyFill="1" applyBorder="1"/>
    <xf numFmtId="175" fontId="34" fillId="5" borderId="119" xfId="14" applyNumberFormat="1" applyFont="1" applyFill="1" applyBorder="1"/>
    <xf numFmtId="170" fontId="34" fillId="5" borderId="121" xfId="14" applyNumberFormat="1" applyFont="1" applyFill="1" applyBorder="1"/>
    <xf numFmtId="1" fontId="0" fillId="0" borderId="0" xfId="11" applyNumberFormat="1" applyFont="1" applyFill="1"/>
    <xf numFmtId="0" fontId="124" fillId="57" borderId="0" xfId="0" applyFont="1" applyFill="1"/>
    <xf numFmtId="0" fontId="124" fillId="57" borderId="0" xfId="0" quotePrefix="1" applyFont="1" applyFill="1"/>
    <xf numFmtId="0" fontId="124" fillId="0" borderId="0" xfId="0" applyFont="1"/>
    <xf numFmtId="0" fontId="125" fillId="0" borderId="0" xfId="0" applyFont="1"/>
    <xf numFmtId="0" fontId="6" fillId="49" borderId="0" xfId="0" applyFont="1" applyFill="1" applyAlignment="1">
      <alignment wrapText="1"/>
    </xf>
    <xf numFmtId="0" fontId="120" fillId="51" borderId="76" xfId="0" applyFont="1" applyFill="1" applyBorder="1" applyAlignment="1">
      <alignment horizontal="left" vertical="center" wrapText="1"/>
    </xf>
    <xf numFmtId="0" fontId="54" fillId="0" borderId="85" xfId="0" applyFont="1" applyBorder="1"/>
    <xf numFmtId="0" fontId="54" fillId="0" borderId="86" xfId="0" applyFont="1" applyBorder="1"/>
    <xf numFmtId="0" fontId="54" fillId="0" borderId="87" xfId="0" applyFont="1" applyBorder="1"/>
    <xf numFmtId="0" fontId="120" fillId="51" borderId="74" xfId="0" applyFont="1" applyFill="1" applyBorder="1" applyAlignment="1">
      <alignment horizontal="left" vertical="center" wrapText="1"/>
    </xf>
    <xf numFmtId="0" fontId="54" fillId="0" borderId="88" xfId="0" applyFont="1" applyBorder="1"/>
    <xf numFmtId="37" fontId="55" fillId="0" borderId="74" xfId="0" applyNumberFormat="1" applyFont="1" applyBorder="1"/>
    <xf numFmtId="3" fontId="55" fillId="0" borderId="0" xfId="0" applyNumberFormat="1" applyFont="1" applyAlignment="1">
      <alignment horizontal="left"/>
    </xf>
    <xf numFmtId="2" fontId="58" fillId="52" borderId="0" xfId="0" applyNumberFormat="1" applyFont="1" applyFill="1"/>
    <xf numFmtId="0" fontId="54" fillId="0" borderId="76" xfId="0" applyFont="1" applyBorder="1"/>
    <xf numFmtId="3" fontId="55" fillId="0" borderId="81" xfId="0" applyNumberFormat="1" applyFont="1" applyBorder="1" applyAlignment="1">
      <alignment horizontal="center"/>
    </xf>
    <xf numFmtId="10" fontId="111" fillId="58" borderId="78" xfId="0" applyNumberFormat="1" applyFont="1" applyFill="1" applyBorder="1"/>
    <xf numFmtId="166" fontId="0" fillId="0" borderId="0" xfId="0" applyNumberFormat="1" applyProtection="1">
      <protection locked="0"/>
    </xf>
    <xf numFmtId="181" fontId="55" fillId="0" borderId="0" xfId="0" applyNumberFormat="1" applyFont="1"/>
    <xf numFmtId="3" fontId="55" fillId="59" borderId="74" xfId="0" applyNumberFormat="1" applyFont="1" applyFill="1" applyBorder="1"/>
    <xf numFmtId="0" fontId="126" fillId="0" borderId="60" xfId="0" applyFont="1" applyBorder="1"/>
    <xf numFmtId="44" fontId="55" fillId="0" borderId="0" xfId="3" applyFont="1" applyBorder="1"/>
    <xf numFmtId="0" fontId="58" fillId="0" borderId="76" xfId="0" applyFont="1" applyBorder="1"/>
    <xf numFmtId="0" fontId="109" fillId="0" borderId="0" xfId="0" applyFont="1" applyAlignment="1">
      <alignment horizontal="left"/>
    </xf>
    <xf numFmtId="0" fontId="54" fillId="0" borderId="0" xfId="0" applyFont="1"/>
    <xf numFmtId="14" fontId="111" fillId="51" borderId="0" xfId="0" applyNumberFormat="1" applyFont="1" applyFill="1" applyAlignment="1">
      <alignment horizontal="left"/>
    </xf>
    <xf numFmtId="0" fontId="111" fillId="51" borderId="0" xfId="0" applyFont="1" applyFill="1" applyAlignment="1">
      <alignment horizontal="left"/>
    </xf>
    <xf numFmtId="9" fontId="111" fillId="55" borderId="74" xfId="0" applyNumberFormat="1" applyFont="1" applyFill="1" applyBorder="1" applyAlignment="1">
      <alignment horizontal="right"/>
    </xf>
    <xf numFmtId="1" fontId="111" fillId="55" borderId="74" xfId="0" applyNumberFormat="1" applyFont="1" applyFill="1" applyBorder="1" applyAlignment="1">
      <alignment horizontal="right"/>
    </xf>
    <xf numFmtId="3" fontId="111" fillId="55" borderId="74" xfId="0" applyNumberFormat="1" applyFont="1" applyFill="1" applyBorder="1"/>
    <xf numFmtId="10" fontId="55" fillId="0" borderId="60" xfId="0" applyNumberFormat="1" applyFont="1" applyBorder="1" applyAlignment="1">
      <alignment horizontal="left"/>
    </xf>
    <xf numFmtId="3" fontId="109" fillId="0" borderId="122" xfId="0" applyNumberFormat="1" applyFont="1" applyBorder="1"/>
    <xf numFmtId="0" fontId="0" fillId="0" borderId="0" xfId="3" applyNumberFormat="1" applyFont="1" applyFill="1" applyBorder="1" applyAlignment="1" applyProtection="1">
      <alignment horizontal="left"/>
      <protection locked="0"/>
    </xf>
    <xf numFmtId="42" fontId="1" fillId="0" borderId="0" xfId="11" applyNumberFormat="1" applyFont="1"/>
    <xf numFmtId="0" fontId="38" fillId="0" borderId="0" xfId="0" applyFont="1" applyAlignment="1">
      <alignment horizontal="right" wrapText="1"/>
    </xf>
    <xf numFmtId="0" fontId="38" fillId="0" borderId="0" xfId="0" applyFont="1" applyAlignment="1">
      <alignment horizontal="right"/>
    </xf>
    <xf numFmtId="49" fontId="43" fillId="0" borderId="0" xfId="0" applyNumberFormat="1" applyFont="1" applyAlignment="1">
      <alignment wrapText="1"/>
    </xf>
    <xf numFmtId="49" fontId="0" fillId="0" borderId="0" xfId="0" applyNumberFormat="1" applyAlignment="1">
      <alignment wrapText="1"/>
    </xf>
    <xf numFmtId="0" fontId="43" fillId="0" borderId="0" xfId="0" applyFont="1" applyAlignment="1">
      <alignment wrapText="1"/>
    </xf>
    <xf numFmtId="0" fontId="8" fillId="0" borderId="0" xfId="0" applyFont="1" applyAlignment="1">
      <alignment horizontal="left"/>
    </xf>
    <xf numFmtId="0" fontId="127" fillId="0" borderId="0" xfId="0" applyFont="1"/>
    <xf numFmtId="2" fontId="0" fillId="8" borderId="0" xfId="0" applyNumberFormat="1" applyFill="1"/>
    <xf numFmtId="0" fontId="0" fillId="9" borderId="0" xfId="0" applyFill="1" applyAlignment="1">
      <alignment wrapText="1"/>
    </xf>
    <xf numFmtId="0" fontId="0" fillId="47" borderId="0" xfId="0" applyFill="1" applyAlignment="1">
      <alignment wrapText="1"/>
    </xf>
    <xf numFmtId="0" fontId="2" fillId="47" borderId="0" xfId="0" applyFont="1" applyFill="1"/>
    <xf numFmtId="0" fontId="0" fillId="8" borderId="0" xfId="3" applyNumberFormat="1" applyFont="1" applyFill="1" applyBorder="1" applyAlignment="1" applyProtection="1">
      <alignment horizontal="left"/>
      <protection locked="0"/>
    </xf>
    <xf numFmtId="0" fontId="11" fillId="8" borderId="112" xfId="0" applyFont="1" applyFill="1" applyBorder="1" applyAlignment="1">
      <alignment horizontal="left" vertical="center" wrapText="1"/>
    </xf>
    <xf numFmtId="0" fontId="14" fillId="8" borderId="0" xfId="0" applyFont="1" applyFill="1"/>
    <xf numFmtId="0" fontId="0" fillId="8" borderId="112" xfId="0" applyFill="1" applyBorder="1"/>
    <xf numFmtId="10" fontId="0" fillId="4" borderId="1" xfId="0" applyNumberFormat="1" applyFill="1" applyBorder="1" applyProtection="1">
      <protection locked="0"/>
    </xf>
    <xf numFmtId="0" fontId="2" fillId="0" borderId="0" xfId="0" applyFont="1" applyAlignment="1">
      <alignment vertical="top" wrapText="1"/>
    </xf>
    <xf numFmtId="0" fontId="14" fillId="9" borderId="0" xfId="0" applyFont="1" applyFill="1" applyAlignment="1">
      <alignment horizontal="left" wrapText="1"/>
    </xf>
    <xf numFmtId="0" fontId="128" fillId="0" borderId="0" xfId="0" applyFont="1"/>
    <xf numFmtId="0" fontId="36" fillId="46" borderId="123" xfId="0" applyFont="1" applyFill="1" applyBorder="1"/>
    <xf numFmtId="0" fontId="36" fillId="46" borderId="124" xfId="0" applyFont="1" applyFill="1" applyBorder="1"/>
    <xf numFmtId="0" fontId="0" fillId="0" borderId="125" xfId="0" applyBorder="1"/>
    <xf numFmtId="0" fontId="0" fillId="16" borderId="51" xfId="0" applyFill="1" applyBorder="1"/>
    <xf numFmtId="0" fontId="36" fillId="46" borderId="126" xfId="0" applyFont="1" applyFill="1" applyBorder="1"/>
    <xf numFmtId="0" fontId="0" fillId="60" borderId="0" xfId="0" applyFill="1"/>
    <xf numFmtId="1" fontId="0" fillId="60" borderId="0" xfId="0" applyNumberFormat="1" applyFill="1"/>
    <xf numFmtId="0" fontId="39" fillId="47" borderId="0" xfId="0" applyFont="1" applyFill="1"/>
    <xf numFmtId="0" fontId="38" fillId="47" borderId="0" xfId="0" applyFont="1" applyFill="1"/>
    <xf numFmtId="0" fontId="1" fillId="4" borderId="0" xfId="0" applyFont="1" applyFill="1" applyProtection="1">
      <protection locked="0"/>
    </xf>
    <xf numFmtId="0" fontId="2" fillId="0" borderId="0" xfId="0" applyFont="1" applyAlignment="1">
      <alignment horizontal="left" wrapText="1" indent="2"/>
    </xf>
    <xf numFmtId="0" fontId="0" fillId="16" borderId="127" xfId="0" applyFill="1" applyBorder="1"/>
    <xf numFmtId="0" fontId="39" fillId="8" borderId="0" xfId="0" applyFont="1" applyFill="1"/>
    <xf numFmtId="0" fontId="70" fillId="8" borderId="0" xfId="0" applyFont="1" applyFill="1" applyAlignment="1">
      <alignment vertical="center"/>
    </xf>
    <xf numFmtId="0" fontId="39" fillId="8" borderId="0" xfId="0" applyFont="1" applyFill="1" applyAlignment="1">
      <alignment horizontal="left" indent="2"/>
    </xf>
    <xf numFmtId="0" fontId="39" fillId="15" borderId="0" xfId="0" applyFont="1" applyFill="1"/>
    <xf numFmtId="0" fontId="70" fillId="15" borderId="0" xfId="0" applyFont="1" applyFill="1" applyAlignment="1">
      <alignment vertical="center"/>
    </xf>
    <xf numFmtId="166" fontId="0" fillId="0" borderId="0" xfId="3" applyNumberFormat="1" applyFont="1" applyFill="1" applyBorder="1"/>
    <xf numFmtId="49" fontId="0" fillId="0" borderId="0" xfId="0" applyNumberFormat="1" applyAlignment="1">
      <alignment horizontal="right"/>
    </xf>
    <xf numFmtId="10" fontId="1" fillId="8" borderId="0" xfId="1" applyNumberFormat="1" applyFont="1" applyFill="1" applyAlignment="1">
      <alignment horizontal="right"/>
    </xf>
    <xf numFmtId="0" fontId="1" fillId="8" borderId="1" xfId="0" applyFont="1" applyFill="1" applyBorder="1" applyAlignment="1">
      <alignment horizontal="left"/>
    </xf>
    <xf numFmtId="0" fontId="129" fillId="0" borderId="0" xfId="0" applyFont="1"/>
    <xf numFmtId="9" fontId="0" fillId="4" borderId="1" xfId="1" applyFont="1" applyFill="1" applyBorder="1" applyAlignment="1" applyProtection="1">
      <alignment horizontal="left"/>
      <protection locked="0"/>
    </xf>
    <xf numFmtId="0" fontId="13" fillId="0" borderId="0" xfId="0" applyFont="1" applyAlignment="1">
      <alignment horizontal="center"/>
    </xf>
    <xf numFmtId="42" fontId="0" fillId="0" borderId="0" xfId="3" applyNumberFormat="1" applyFont="1"/>
    <xf numFmtId="175" fontId="0" fillId="8" borderId="0" xfId="0" applyNumberFormat="1" applyFill="1"/>
    <xf numFmtId="9" fontId="3" fillId="0" borderId="0" xfId="2" applyNumberFormat="1" applyFont="1" applyFill="1" applyAlignment="1" applyProtection="1">
      <alignment horizontal="left"/>
    </xf>
    <xf numFmtId="0" fontId="130" fillId="0" borderId="0" xfId="0" applyFont="1"/>
    <xf numFmtId="0" fontId="2" fillId="0" borderId="0" xfId="0" applyFont="1" applyAlignment="1">
      <alignment horizontal="center"/>
    </xf>
    <xf numFmtId="0" fontId="2" fillId="8" borderId="0" xfId="0" applyFont="1" applyFill="1" applyAlignment="1">
      <alignment horizontal="center" wrapText="1"/>
    </xf>
    <xf numFmtId="0" fontId="39" fillId="0" borderId="0" xfId="0" applyFont="1" applyAlignment="1">
      <alignment horizontal="left" wrapText="1"/>
    </xf>
    <xf numFmtId="0" fontId="99" fillId="48" borderId="0" xfId="0" applyFont="1" applyFill="1" applyAlignment="1">
      <alignment horizontal="left" wrapText="1"/>
    </xf>
    <xf numFmtId="0" fontId="49" fillId="0" borderId="0" xfId="0" applyFont="1" applyAlignment="1">
      <alignment horizontal="left" wrapText="1"/>
    </xf>
    <xf numFmtId="0" fontId="8" fillId="0" borderId="113" xfId="0" quotePrefix="1" applyFont="1" applyBorder="1" applyAlignment="1">
      <alignment wrapText="1"/>
    </xf>
    <xf numFmtId="0" fontId="8" fillId="0" borderId="114" xfId="0" quotePrefix="1" applyFont="1" applyBorder="1" applyAlignment="1">
      <alignment wrapText="1"/>
    </xf>
    <xf numFmtId="0" fontId="8" fillId="0" borderId="115" xfId="0" quotePrefix="1" applyFont="1" applyBorder="1" applyAlignment="1">
      <alignment wrapText="1"/>
    </xf>
    <xf numFmtId="0" fontId="95" fillId="0" borderId="0" xfId="0" applyFont="1" applyAlignment="1">
      <alignment horizontal="center"/>
    </xf>
    <xf numFmtId="0" fontId="2" fillId="0" borderId="0" xfId="0" applyFont="1" applyAlignment="1">
      <alignment horizontal="left" wrapText="1"/>
    </xf>
    <xf numFmtId="0" fontId="6" fillId="3" borderId="0" xfId="0" applyFont="1" applyFill="1" applyAlignment="1">
      <alignment wrapText="1"/>
    </xf>
    <xf numFmtId="166" fontId="1" fillId="4" borderId="9" xfId="0" applyNumberFormat="1" applyFont="1" applyFill="1" applyBorder="1" applyProtection="1">
      <protection locked="0"/>
    </xf>
    <xf numFmtId="166" fontId="1" fillId="4" borderId="10" xfId="0" applyNumberFormat="1" applyFont="1" applyFill="1" applyBorder="1" applyProtection="1">
      <protection locked="0"/>
    </xf>
    <xf numFmtId="166" fontId="1" fillId="4" borderId="9" xfId="3" applyNumberFormat="1" applyFont="1" applyFill="1" applyBorder="1" applyAlignment="1" applyProtection="1">
      <protection locked="0"/>
    </xf>
    <xf numFmtId="166" fontId="1" fillId="4" borderId="10" xfId="3" applyNumberFormat="1" applyFont="1" applyFill="1" applyBorder="1" applyAlignment="1" applyProtection="1">
      <protection locked="0"/>
    </xf>
    <xf numFmtId="166" fontId="0" fillId="0" borderId="12" xfId="0" applyNumberFormat="1" applyBorder="1"/>
    <xf numFmtId="166" fontId="0" fillId="0" borderId="55" xfId="0" applyNumberFormat="1" applyBorder="1"/>
    <xf numFmtId="166" fontId="1" fillId="8" borderId="9" xfId="0" applyNumberFormat="1" applyFont="1" applyFill="1" applyBorder="1" applyProtection="1">
      <protection locked="0"/>
    </xf>
    <xf numFmtId="166" fontId="1" fillId="8" borderId="10" xfId="0" applyNumberFormat="1" applyFont="1" applyFill="1" applyBorder="1" applyProtection="1">
      <protection locked="0"/>
    </xf>
    <xf numFmtId="0" fontId="0" fillId="4" borderId="46" xfId="0" applyFill="1" applyBorder="1" applyAlignment="1" applyProtection="1">
      <alignment horizontal="left"/>
      <protection locked="0"/>
    </xf>
    <xf numFmtId="0" fontId="0" fillId="4" borderId="47" xfId="0" applyFill="1" applyBorder="1" applyAlignment="1" applyProtection="1">
      <alignment horizontal="left"/>
      <protection locked="0"/>
    </xf>
    <xf numFmtId="0" fontId="42" fillId="0" borderId="0" xfId="0" applyFont="1" applyAlignment="1">
      <alignment horizontal="left"/>
    </xf>
    <xf numFmtId="0" fontId="102" fillId="2" borderId="0" xfId="0" applyFont="1" applyFill="1" applyAlignment="1">
      <alignment horizontal="center" wrapText="1"/>
    </xf>
    <xf numFmtId="0" fontId="2" fillId="0" borderId="0" xfId="0" applyFont="1" applyAlignment="1">
      <alignment wrapText="1"/>
    </xf>
    <xf numFmtId="0" fontId="0" fillId="4" borderId="8" xfId="0" applyFill="1" applyBorder="1" applyAlignment="1" applyProtection="1">
      <alignment wrapText="1"/>
      <protection locked="0"/>
    </xf>
    <xf numFmtId="0" fontId="0" fillId="4" borderId="0" xfId="0" applyFill="1" applyAlignment="1" applyProtection="1">
      <alignment wrapText="1"/>
      <protection locked="0"/>
    </xf>
    <xf numFmtId="0" fontId="0" fillId="0" borderId="0" xfId="0" applyAlignment="1">
      <alignment horizontal="left" wrapText="1"/>
    </xf>
    <xf numFmtId="0" fontId="0" fillId="0" borderId="16" xfId="0" applyBorder="1" applyAlignment="1">
      <alignment horizontal="left" vertical="top" wrapText="1"/>
    </xf>
    <xf numFmtId="0" fontId="1" fillId="0" borderId="14" xfId="0" applyFont="1" applyBorder="1" applyAlignment="1">
      <alignment horizontal="left" vertical="center" wrapText="1" indent="1"/>
    </xf>
    <xf numFmtId="0" fontId="1" fillId="0" borderId="0" xfId="0" applyFont="1" applyAlignment="1">
      <alignment horizontal="left" vertical="center" wrapText="1" indent="1"/>
    </xf>
    <xf numFmtId="0" fontId="43" fillId="0" borderId="0" xfId="0" applyFont="1" applyAlignment="1">
      <alignment wrapText="1"/>
    </xf>
    <xf numFmtId="0" fontId="0" fillId="0" borderId="0" xfId="0" applyAlignment="1">
      <alignment vertical="top" wrapText="1"/>
    </xf>
    <xf numFmtId="0" fontId="36" fillId="13" borderId="0" xfId="0" applyFont="1" applyFill="1" applyAlignment="1">
      <alignment horizontal="center"/>
    </xf>
    <xf numFmtId="0" fontId="1" fillId="0" borderId="0" xfId="0" applyFont="1" applyAlignment="1">
      <alignment horizontal="left" vertical="top" wrapText="1" indent="1"/>
    </xf>
    <xf numFmtId="0" fontId="0" fillId="0" borderId="14" xfId="0" applyBorder="1" applyAlignment="1">
      <alignment horizontal="left" vertical="center" wrapText="1" indent="1"/>
    </xf>
    <xf numFmtId="0" fontId="0" fillId="12" borderId="0" xfId="0" applyFill="1" applyAlignment="1">
      <alignment horizontal="center"/>
    </xf>
    <xf numFmtId="0" fontId="38" fillId="0" borderId="0" xfId="0" applyFont="1" applyAlignment="1" applyProtection="1">
      <alignment horizontal="right" wrapText="1"/>
      <protection locked="0"/>
    </xf>
    <xf numFmtId="0" fontId="2" fillId="0" borderId="0" xfId="0" applyFont="1" applyAlignment="1">
      <alignment horizontal="right" wrapText="1"/>
    </xf>
    <xf numFmtId="0" fontId="0" fillId="0" borderId="16" xfId="0" applyBorder="1" applyAlignment="1">
      <alignment horizontal="right" wrapText="1"/>
    </xf>
    <xf numFmtId="0" fontId="1" fillId="0" borderId="16" xfId="0" applyFont="1" applyBorder="1" applyAlignment="1">
      <alignment horizontal="right" wrapText="1"/>
    </xf>
    <xf numFmtId="0" fontId="1" fillId="12" borderId="0" xfId="0" applyFont="1" applyFill="1" applyAlignment="1">
      <alignment horizontal="center"/>
    </xf>
    <xf numFmtId="0" fontId="2" fillId="0" borderId="17" xfId="0" applyFont="1" applyBorder="1" applyAlignment="1">
      <alignment horizontal="right" wrapText="1"/>
    </xf>
    <xf numFmtId="166" fontId="2" fillId="0" borderId="0" xfId="0" applyNumberFormat="1" applyFont="1" applyAlignment="1">
      <alignment horizontal="left"/>
    </xf>
    <xf numFmtId="10" fontId="2" fillId="0" borderId="0" xfId="1" applyNumberFormat="1" applyFont="1" applyAlignment="1">
      <alignment horizontal="center" wrapText="1"/>
    </xf>
    <xf numFmtId="166" fontId="2" fillId="0" borderId="0" xfId="0" applyNumberFormat="1" applyFont="1" applyAlignment="1">
      <alignment horizontal="center"/>
    </xf>
    <xf numFmtId="0" fontId="55" fillId="0" borderId="0" xfId="0" applyFont="1" applyAlignment="1">
      <alignment horizontal="left" wrapText="1"/>
    </xf>
    <xf numFmtId="0" fontId="109" fillId="53" borderId="98" xfId="0" applyFont="1" applyFill="1" applyBorder="1" applyAlignment="1">
      <alignment horizontal="center" vertical="center" textRotation="90"/>
    </xf>
    <xf numFmtId="0" fontId="54" fillId="0" borderId="100" xfId="0" applyFont="1" applyBorder="1"/>
    <xf numFmtId="0" fontId="54" fillId="0" borderId="101" xfId="0" applyFont="1" applyBorder="1"/>
    <xf numFmtId="0" fontId="58" fillId="52" borderId="98" xfId="0" applyFont="1" applyFill="1" applyBorder="1" applyAlignment="1">
      <alignment horizontal="center" vertical="center" textRotation="90"/>
    </xf>
    <xf numFmtId="0" fontId="58" fillId="52" borderId="100" xfId="0" applyFont="1" applyFill="1" applyBorder="1" applyAlignment="1">
      <alignment horizontal="center" vertical="center" textRotation="90"/>
    </xf>
    <xf numFmtId="165" fontId="115" fillId="54" borderId="92" xfId="0" applyNumberFormat="1" applyFont="1" applyFill="1" applyBorder="1"/>
    <xf numFmtId="165" fontId="115" fillId="54" borderId="122" xfId="0" applyNumberFormat="1" applyFont="1" applyFill="1" applyBorder="1"/>
    <xf numFmtId="0" fontId="18" fillId="0" borderId="0" xfId="4" applyFont="1" applyAlignment="1">
      <alignment horizontal="center"/>
    </xf>
    <xf numFmtId="0" fontId="18" fillId="0" borderId="0" xfId="4" quotePrefix="1" applyFont="1" applyAlignment="1">
      <alignment horizontal="center"/>
    </xf>
    <xf numFmtId="0" fontId="96" fillId="0" borderId="0" xfId="0" quotePrefix="1" applyFont="1" applyAlignment="1">
      <alignment horizontal="left" vertical="top" wrapText="1"/>
    </xf>
    <xf numFmtId="9" fontId="43" fillId="0" borderId="0" xfId="0" applyNumberFormat="1" applyFont="1" applyAlignment="1">
      <alignment horizontal="right"/>
    </xf>
    <xf numFmtId="0" fontId="2" fillId="0" borderId="0" xfId="0" applyFont="1" applyAlignment="1">
      <alignment horizontal="center" wrapText="1"/>
    </xf>
    <xf numFmtId="0" fontId="45" fillId="5" borderId="31" xfId="13" applyFont="1" applyFill="1" applyBorder="1" applyAlignment="1">
      <alignment horizontal="center"/>
    </xf>
    <xf numFmtId="166" fontId="0" fillId="0" borderId="0" xfId="3" applyNumberFormat="1" applyFont="1" applyAlignment="1">
      <alignment horizontal="left"/>
    </xf>
    <xf numFmtId="0" fontId="2" fillId="19" borderId="112" xfId="0" applyFont="1" applyFill="1" applyBorder="1" applyAlignment="1">
      <alignment horizontal="center"/>
    </xf>
    <xf numFmtId="0" fontId="7" fillId="2" borderId="0" xfId="0" applyFont="1" applyFill="1" applyAlignment="1">
      <alignment horizontal="left" vertical="top"/>
    </xf>
    <xf numFmtId="0" fontId="0" fillId="0" borderId="0" xfId="0" applyAlignment="1">
      <alignment horizontal="left" vertical="center" wrapText="1"/>
    </xf>
  </cellXfs>
  <cellStyles count="1020">
    <cellStyle name="20% - Accent1 2" xfId="38" xr:uid="{00000000-0005-0000-0000-000000000000}"/>
    <cellStyle name="20% - Accent1 3" xfId="39" xr:uid="{00000000-0005-0000-0000-000001000000}"/>
    <cellStyle name="20% - Accent1 4" xfId="37" xr:uid="{00000000-0005-0000-0000-000002000000}"/>
    <cellStyle name="20% - Accent2 2" xfId="41" xr:uid="{00000000-0005-0000-0000-000003000000}"/>
    <cellStyle name="20% - Accent2 3" xfId="42" xr:uid="{00000000-0005-0000-0000-000004000000}"/>
    <cellStyle name="20% - Accent2 4" xfId="40" xr:uid="{00000000-0005-0000-0000-000005000000}"/>
    <cellStyle name="20% - Accent3 2" xfId="44" xr:uid="{00000000-0005-0000-0000-000006000000}"/>
    <cellStyle name="20% - Accent3 3" xfId="45" xr:uid="{00000000-0005-0000-0000-000007000000}"/>
    <cellStyle name="20% - Accent3 4" xfId="43" xr:uid="{00000000-0005-0000-0000-000008000000}"/>
    <cellStyle name="20% - Accent4 2" xfId="47" xr:uid="{00000000-0005-0000-0000-000009000000}"/>
    <cellStyle name="20% - Accent4 3" xfId="48" xr:uid="{00000000-0005-0000-0000-00000A000000}"/>
    <cellStyle name="20% - Accent4 4" xfId="46" xr:uid="{00000000-0005-0000-0000-00000B000000}"/>
    <cellStyle name="20% - Accent5 2" xfId="50" xr:uid="{00000000-0005-0000-0000-00000C000000}"/>
    <cellStyle name="20% - Accent5 3" xfId="51" xr:uid="{00000000-0005-0000-0000-00000D000000}"/>
    <cellStyle name="20% - Accent5 4" xfId="49" xr:uid="{00000000-0005-0000-0000-00000E000000}"/>
    <cellStyle name="20% - Accent6 2" xfId="53" xr:uid="{00000000-0005-0000-0000-00000F000000}"/>
    <cellStyle name="20% - Accent6 3" xfId="54" xr:uid="{00000000-0005-0000-0000-000010000000}"/>
    <cellStyle name="20% - Accent6 4" xfId="52" xr:uid="{00000000-0005-0000-0000-000011000000}"/>
    <cellStyle name="40% - Accent1 2" xfId="56" xr:uid="{00000000-0005-0000-0000-000012000000}"/>
    <cellStyle name="40% - Accent1 3" xfId="57" xr:uid="{00000000-0005-0000-0000-000013000000}"/>
    <cellStyle name="40% - Accent1 4" xfId="55" xr:uid="{00000000-0005-0000-0000-000014000000}"/>
    <cellStyle name="40% - Accent2 2" xfId="59" xr:uid="{00000000-0005-0000-0000-000015000000}"/>
    <cellStyle name="40% - Accent2 3" xfId="60" xr:uid="{00000000-0005-0000-0000-000016000000}"/>
    <cellStyle name="40% - Accent2 4" xfId="58" xr:uid="{00000000-0005-0000-0000-000017000000}"/>
    <cellStyle name="40% - Accent3 2" xfId="62" xr:uid="{00000000-0005-0000-0000-000018000000}"/>
    <cellStyle name="40% - Accent3 3" xfId="63" xr:uid="{00000000-0005-0000-0000-000019000000}"/>
    <cellStyle name="40% - Accent3 4" xfId="61" xr:uid="{00000000-0005-0000-0000-00001A000000}"/>
    <cellStyle name="40% - Accent4 2" xfId="65" xr:uid="{00000000-0005-0000-0000-00001B000000}"/>
    <cellStyle name="40% - Accent4 3" xfId="66" xr:uid="{00000000-0005-0000-0000-00001C000000}"/>
    <cellStyle name="40% - Accent4 4" xfId="64" xr:uid="{00000000-0005-0000-0000-00001D000000}"/>
    <cellStyle name="40% - Accent5 2" xfId="68" xr:uid="{00000000-0005-0000-0000-00001E000000}"/>
    <cellStyle name="40% - Accent5 3" xfId="69" xr:uid="{00000000-0005-0000-0000-00001F000000}"/>
    <cellStyle name="40% - Accent5 4" xfId="67" xr:uid="{00000000-0005-0000-0000-000020000000}"/>
    <cellStyle name="40% - Accent6 2" xfId="71" xr:uid="{00000000-0005-0000-0000-000021000000}"/>
    <cellStyle name="40% - Accent6 3" xfId="72" xr:uid="{00000000-0005-0000-0000-000022000000}"/>
    <cellStyle name="40% - Accent6 4" xfId="70" xr:uid="{00000000-0005-0000-0000-000023000000}"/>
    <cellStyle name="60% - Accent1 2" xfId="73" xr:uid="{00000000-0005-0000-0000-000024000000}"/>
    <cellStyle name="60% - Accent2 2" xfId="74" xr:uid="{00000000-0005-0000-0000-000025000000}"/>
    <cellStyle name="60% - Accent3 2" xfId="75" xr:uid="{00000000-0005-0000-0000-000026000000}"/>
    <cellStyle name="60% - Accent4 2" xfId="76" xr:uid="{00000000-0005-0000-0000-000027000000}"/>
    <cellStyle name="60% - Accent5 2" xfId="77" xr:uid="{00000000-0005-0000-0000-000028000000}"/>
    <cellStyle name="60% - Accent6 2" xfId="78" xr:uid="{00000000-0005-0000-0000-000029000000}"/>
    <cellStyle name="Accent1 2" xfId="79" xr:uid="{00000000-0005-0000-0000-00002A000000}"/>
    <cellStyle name="Accent2 2" xfId="80" xr:uid="{00000000-0005-0000-0000-00002B000000}"/>
    <cellStyle name="Accent3 2" xfId="81" xr:uid="{00000000-0005-0000-0000-00002C000000}"/>
    <cellStyle name="Accent4 2" xfId="82" xr:uid="{00000000-0005-0000-0000-00002D000000}"/>
    <cellStyle name="Accent5 2" xfId="83" xr:uid="{00000000-0005-0000-0000-00002E000000}"/>
    <cellStyle name="Accent6 2" xfId="84" xr:uid="{00000000-0005-0000-0000-00002F000000}"/>
    <cellStyle name="Bad" xfId="35" builtinId="27"/>
    <cellStyle name="Bad 2" xfId="85" xr:uid="{00000000-0005-0000-0000-000031000000}"/>
    <cellStyle name="Calculation 2" xfId="86" xr:uid="{00000000-0005-0000-0000-000032000000}"/>
    <cellStyle name="Check Cell 2" xfId="87" xr:uid="{00000000-0005-0000-0000-000033000000}"/>
    <cellStyle name="Comma" xfId="11" builtinId="3"/>
    <cellStyle name="Comma 10" xfId="7" xr:uid="{00000000-0005-0000-0000-000035000000}"/>
    <cellStyle name="Comma 15" xfId="89" xr:uid="{00000000-0005-0000-0000-000036000000}"/>
    <cellStyle name="Comma 15 2" xfId="90" xr:uid="{00000000-0005-0000-0000-000037000000}"/>
    <cellStyle name="Comma 15 3" xfId="91" xr:uid="{00000000-0005-0000-0000-000038000000}"/>
    <cellStyle name="Comma 2" xfId="24" xr:uid="{00000000-0005-0000-0000-000039000000}"/>
    <cellStyle name="Comma 2 10" xfId="92" xr:uid="{00000000-0005-0000-0000-00003A000000}"/>
    <cellStyle name="Comma 2 10 2" xfId="93" xr:uid="{00000000-0005-0000-0000-00003B000000}"/>
    <cellStyle name="Comma 2 10 3" xfId="94" xr:uid="{00000000-0005-0000-0000-00003C000000}"/>
    <cellStyle name="Comma 2 11" xfId="95" xr:uid="{00000000-0005-0000-0000-00003D000000}"/>
    <cellStyle name="Comma 2 11 2" xfId="96" xr:uid="{00000000-0005-0000-0000-00003E000000}"/>
    <cellStyle name="Comma 2 11 3" xfId="97" xr:uid="{00000000-0005-0000-0000-00003F000000}"/>
    <cellStyle name="Comma 2 2" xfId="98" xr:uid="{00000000-0005-0000-0000-000040000000}"/>
    <cellStyle name="Comma 2 2 2" xfId="99" xr:uid="{00000000-0005-0000-0000-000041000000}"/>
    <cellStyle name="Comma 2 2 3" xfId="100" xr:uid="{00000000-0005-0000-0000-000042000000}"/>
    <cellStyle name="Comma 2 3" xfId="101" xr:uid="{00000000-0005-0000-0000-000043000000}"/>
    <cellStyle name="Comma 2 3 2" xfId="102" xr:uid="{00000000-0005-0000-0000-000044000000}"/>
    <cellStyle name="Comma 2 3 3" xfId="103" xr:uid="{00000000-0005-0000-0000-000045000000}"/>
    <cellStyle name="Comma 2 4" xfId="104" xr:uid="{00000000-0005-0000-0000-000046000000}"/>
    <cellStyle name="Comma 2 4 2" xfId="105" xr:uid="{00000000-0005-0000-0000-000047000000}"/>
    <cellStyle name="Comma 2 4 3" xfId="106" xr:uid="{00000000-0005-0000-0000-000048000000}"/>
    <cellStyle name="Comma 2 5" xfId="107" xr:uid="{00000000-0005-0000-0000-000049000000}"/>
    <cellStyle name="Comma 2 5 2" xfId="108" xr:uid="{00000000-0005-0000-0000-00004A000000}"/>
    <cellStyle name="Comma 2 5 3" xfId="109" xr:uid="{00000000-0005-0000-0000-00004B000000}"/>
    <cellStyle name="Comma 2 6" xfId="110" xr:uid="{00000000-0005-0000-0000-00004C000000}"/>
    <cellStyle name="Comma 2 6 2" xfId="111" xr:uid="{00000000-0005-0000-0000-00004D000000}"/>
    <cellStyle name="Comma 2 6 3" xfId="112" xr:uid="{00000000-0005-0000-0000-00004E000000}"/>
    <cellStyle name="Comma 2 7" xfId="113" xr:uid="{00000000-0005-0000-0000-00004F000000}"/>
    <cellStyle name="Comma 2 7 2" xfId="114" xr:uid="{00000000-0005-0000-0000-000050000000}"/>
    <cellStyle name="Comma 2 7 3" xfId="115" xr:uid="{00000000-0005-0000-0000-000051000000}"/>
    <cellStyle name="Comma 2 8" xfId="116" xr:uid="{00000000-0005-0000-0000-000052000000}"/>
    <cellStyle name="Comma 2 8 2" xfId="117" xr:uid="{00000000-0005-0000-0000-000053000000}"/>
    <cellStyle name="Comma 2 8 3" xfId="118" xr:uid="{00000000-0005-0000-0000-000054000000}"/>
    <cellStyle name="Comma 2 9" xfId="119" xr:uid="{00000000-0005-0000-0000-000055000000}"/>
    <cellStyle name="Comma 2 9 2" xfId="120" xr:uid="{00000000-0005-0000-0000-000056000000}"/>
    <cellStyle name="Comma 2 9 3" xfId="121" xr:uid="{00000000-0005-0000-0000-000057000000}"/>
    <cellStyle name="Comma 3" xfId="26" xr:uid="{00000000-0005-0000-0000-000058000000}"/>
    <cellStyle name="Comma 3 2" xfId="88" xr:uid="{00000000-0005-0000-0000-000059000000}"/>
    <cellStyle name="Comma 4" xfId="16" xr:uid="{00000000-0005-0000-0000-00005A000000}"/>
    <cellStyle name="Currency" xfId="3" builtinId="4"/>
    <cellStyle name="Currency 10" xfId="123" xr:uid="{00000000-0005-0000-0000-00005C000000}"/>
    <cellStyle name="Currency 10 2" xfId="12" xr:uid="{00000000-0005-0000-0000-00005D000000}"/>
    <cellStyle name="Currency 10 3" xfId="124" xr:uid="{00000000-0005-0000-0000-00005E000000}"/>
    <cellStyle name="Currency 11" xfId="30" xr:uid="{00000000-0005-0000-0000-00005F000000}"/>
    <cellStyle name="Currency 11 2" xfId="19" xr:uid="{00000000-0005-0000-0000-000060000000}"/>
    <cellStyle name="Currency 11 3" xfId="122" xr:uid="{00000000-0005-0000-0000-000061000000}"/>
    <cellStyle name="Currency 12" xfId="18" xr:uid="{00000000-0005-0000-0000-000062000000}"/>
    <cellStyle name="Currency 16" xfId="125" xr:uid="{00000000-0005-0000-0000-000063000000}"/>
    <cellStyle name="Currency 16 2" xfId="126" xr:uid="{00000000-0005-0000-0000-000064000000}"/>
    <cellStyle name="Currency 16 3" xfId="127" xr:uid="{00000000-0005-0000-0000-000065000000}"/>
    <cellStyle name="Currency 17" xfId="128" xr:uid="{00000000-0005-0000-0000-000066000000}"/>
    <cellStyle name="Currency 17 2" xfId="129" xr:uid="{00000000-0005-0000-0000-000067000000}"/>
    <cellStyle name="Currency 17 3" xfId="130" xr:uid="{00000000-0005-0000-0000-000068000000}"/>
    <cellStyle name="Currency 18" xfId="131" xr:uid="{00000000-0005-0000-0000-000069000000}"/>
    <cellStyle name="Currency 18 2" xfId="132" xr:uid="{00000000-0005-0000-0000-00006A000000}"/>
    <cellStyle name="Currency 18 3" xfId="133" xr:uid="{00000000-0005-0000-0000-00006B000000}"/>
    <cellStyle name="Currency 19" xfId="134" xr:uid="{00000000-0005-0000-0000-00006C000000}"/>
    <cellStyle name="Currency 19 2" xfId="135" xr:uid="{00000000-0005-0000-0000-00006D000000}"/>
    <cellStyle name="Currency 19 3" xfId="136" xr:uid="{00000000-0005-0000-0000-00006E000000}"/>
    <cellStyle name="Currency 2" xfId="10" xr:uid="{00000000-0005-0000-0000-00006F000000}"/>
    <cellStyle name="Currency 2 10" xfId="138" xr:uid="{00000000-0005-0000-0000-000070000000}"/>
    <cellStyle name="Currency 2 10 2" xfId="20" xr:uid="{00000000-0005-0000-0000-000071000000}"/>
    <cellStyle name="Currency 2 10 3" xfId="139" xr:uid="{00000000-0005-0000-0000-000072000000}"/>
    <cellStyle name="Currency 2 11" xfId="140" xr:uid="{00000000-0005-0000-0000-000073000000}"/>
    <cellStyle name="Currency 2 11 2" xfId="141" xr:uid="{00000000-0005-0000-0000-000074000000}"/>
    <cellStyle name="Currency 2 11 3" xfId="142" xr:uid="{00000000-0005-0000-0000-000075000000}"/>
    <cellStyle name="Currency 2 12" xfId="143" xr:uid="{00000000-0005-0000-0000-000076000000}"/>
    <cellStyle name="Currency 2 12 2" xfId="144" xr:uid="{00000000-0005-0000-0000-000077000000}"/>
    <cellStyle name="Currency 2 12 3" xfId="145" xr:uid="{00000000-0005-0000-0000-000078000000}"/>
    <cellStyle name="Currency 2 13" xfId="146" xr:uid="{00000000-0005-0000-0000-000079000000}"/>
    <cellStyle name="Currency 2 13 2" xfId="147" xr:uid="{00000000-0005-0000-0000-00007A000000}"/>
    <cellStyle name="Currency 2 13 3" xfId="148" xr:uid="{00000000-0005-0000-0000-00007B000000}"/>
    <cellStyle name="Currency 2 14" xfId="149" xr:uid="{00000000-0005-0000-0000-00007C000000}"/>
    <cellStyle name="Currency 2 14 2" xfId="150" xr:uid="{00000000-0005-0000-0000-00007D000000}"/>
    <cellStyle name="Currency 2 14 3" xfId="151" xr:uid="{00000000-0005-0000-0000-00007E000000}"/>
    <cellStyle name="Currency 2 15" xfId="152" xr:uid="{00000000-0005-0000-0000-00007F000000}"/>
    <cellStyle name="Currency 2 16" xfId="153" xr:uid="{00000000-0005-0000-0000-000080000000}"/>
    <cellStyle name="Currency 2 17" xfId="137" xr:uid="{00000000-0005-0000-0000-000081000000}"/>
    <cellStyle name="Currency 2 2" xfId="154" xr:uid="{00000000-0005-0000-0000-000082000000}"/>
    <cellStyle name="Currency 2 2 2" xfId="155" xr:uid="{00000000-0005-0000-0000-000083000000}"/>
    <cellStyle name="Currency 2 2 3" xfId="156" xr:uid="{00000000-0005-0000-0000-000084000000}"/>
    <cellStyle name="Currency 2 3" xfId="157" xr:uid="{00000000-0005-0000-0000-000085000000}"/>
    <cellStyle name="Currency 2 3 2" xfId="158" xr:uid="{00000000-0005-0000-0000-000086000000}"/>
    <cellStyle name="Currency 2 3 3" xfId="159" xr:uid="{00000000-0005-0000-0000-000087000000}"/>
    <cellStyle name="Currency 2 4" xfId="160" xr:uid="{00000000-0005-0000-0000-000088000000}"/>
    <cellStyle name="Currency 2 4 2" xfId="161" xr:uid="{00000000-0005-0000-0000-000089000000}"/>
    <cellStyle name="Currency 2 4 3" xfId="162" xr:uid="{00000000-0005-0000-0000-00008A000000}"/>
    <cellStyle name="Currency 2 5" xfId="163" xr:uid="{00000000-0005-0000-0000-00008B000000}"/>
    <cellStyle name="Currency 2 5 2" xfId="164" xr:uid="{00000000-0005-0000-0000-00008C000000}"/>
    <cellStyle name="Currency 2 5 3" xfId="165" xr:uid="{00000000-0005-0000-0000-00008D000000}"/>
    <cellStyle name="Currency 2 6" xfId="166" xr:uid="{00000000-0005-0000-0000-00008E000000}"/>
    <cellStyle name="Currency 2 6 2" xfId="167" xr:uid="{00000000-0005-0000-0000-00008F000000}"/>
    <cellStyle name="Currency 2 6 3" xfId="168" xr:uid="{00000000-0005-0000-0000-000090000000}"/>
    <cellStyle name="Currency 2 7" xfId="169" xr:uid="{00000000-0005-0000-0000-000091000000}"/>
    <cellStyle name="Currency 2 7 2" xfId="170" xr:uid="{00000000-0005-0000-0000-000092000000}"/>
    <cellStyle name="Currency 2 7 3" xfId="171" xr:uid="{00000000-0005-0000-0000-000093000000}"/>
    <cellStyle name="Currency 2 8" xfId="172" xr:uid="{00000000-0005-0000-0000-000094000000}"/>
    <cellStyle name="Currency 2 8 2" xfId="173" xr:uid="{00000000-0005-0000-0000-000095000000}"/>
    <cellStyle name="Currency 2 8 3" xfId="174" xr:uid="{00000000-0005-0000-0000-000096000000}"/>
    <cellStyle name="Currency 2 9" xfId="175" xr:uid="{00000000-0005-0000-0000-000097000000}"/>
    <cellStyle name="Currency 2 9 2" xfId="176" xr:uid="{00000000-0005-0000-0000-000098000000}"/>
    <cellStyle name="Currency 2 9 3" xfId="177" xr:uid="{00000000-0005-0000-0000-000099000000}"/>
    <cellStyle name="Currency 20" xfId="178" xr:uid="{00000000-0005-0000-0000-00009A000000}"/>
    <cellStyle name="Currency 20 2" xfId="179" xr:uid="{00000000-0005-0000-0000-00009B000000}"/>
    <cellStyle name="Currency 20 3" xfId="180" xr:uid="{00000000-0005-0000-0000-00009C000000}"/>
    <cellStyle name="Currency 21" xfId="181" xr:uid="{00000000-0005-0000-0000-00009D000000}"/>
    <cellStyle name="Currency 21 2" xfId="182" xr:uid="{00000000-0005-0000-0000-00009E000000}"/>
    <cellStyle name="Currency 21 3" xfId="183" xr:uid="{00000000-0005-0000-0000-00009F000000}"/>
    <cellStyle name="Currency 23" xfId="184" xr:uid="{00000000-0005-0000-0000-0000A0000000}"/>
    <cellStyle name="Currency 23 2" xfId="185" xr:uid="{00000000-0005-0000-0000-0000A1000000}"/>
    <cellStyle name="Currency 23 3" xfId="186" xr:uid="{00000000-0005-0000-0000-0000A2000000}"/>
    <cellStyle name="Currency 24" xfId="187" xr:uid="{00000000-0005-0000-0000-0000A3000000}"/>
    <cellStyle name="Currency 24 2" xfId="188" xr:uid="{00000000-0005-0000-0000-0000A4000000}"/>
    <cellStyle name="Currency 24 3" xfId="189" xr:uid="{00000000-0005-0000-0000-0000A5000000}"/>
    <cellStyle name="Currency 25" xfId="190" xr:uid="{00000000-0005-0000-0000-0000A6000000}"/>
    <cellStyle name="Currency 25 2" xfId="191" xr:uid="{00000000-0005-0000-0000-0000A7000000}"/>
    <cellStyle name="Currency 25 3" xfId="192" xr:uid="{00000000-0005-0000-0000-0000A8000000}"/>
    <cellStyle name="Currency 26" xfId="193" xr:uid="{00000000-0005-0000-0000-0000A9000000}"/>
    <cellStyle name="Currency 26 2" xfId="194" xr:uid="{00000000-0005-0000-0000-0000AA000000}"/>
    <cellStyle name="Currency 26 3" xfId="195" xr:uid="{00000000-0005-0000-0000-0000AB000000}"/>
    <cellStyle name="Currency 27" xfId="196" xr:uid="{00000000-0005-0000-0000-0000AC000000}"/>
    <cellStyle name="Currency 27 2" xfId="197" xr:uid="{00000000-0005-0000-0000-0000AD000000}"/>
    <cellStyle name="Currency 27 3" xfId="198" xr:uid="{00000000-0005-0000-0000-0000AE000000}"/>
    <cellStyle name="Currency 28" xfId="199" xr:uid="{00000000-0005-0000-0000-0000AF000000}"/>
    <cellStyle name="Currency 28 2" xfId="200" xr:uid="{00000000-0005-0000-0000-0000B0000000}"/>
    <cellStyle name="Currency 28 3" xfId="201" xr:uid="{00000000-0005-0000-0000-0000B1000000}"/>
    <cellStyle name="Currency 29" xfId="202" xr:uid="{00000000-0005-0000-0000-0000B2000000}"/>
    <cellStyle name="Currency 29 2" xfId="203" xr:uid="{00000000-0005-0000-0000-0000B3000000}"/>
    <cellStyle name="Currency 29 3" xfId="204" xr:uid="{00000000-0005-0000-0000-0000B4000000}"/>
    <cellStyle name="Currency 3" xfId="205" xr:uid="{00000000-0005-0000-0000-0000B5000000}"/>
    <cellStyle name="Currency 3 2" xfId="206" xr:uid="{00000000-0005-0000-0000-0000B6000000}"/>
    <cellStyle name="Currency 30" xfId="207" xr:uid="{00000000-0005-0000-0000-0000B7000000}"/>
    <cellStyle name="Currency 30 2" xfId="208" xr:uid="{00000000-0005-0000-0000-0000B8000000}"/>
    <cellStyle name="Currency 30 3" xfId="209" xr:uid="{00000000-0005-0000-0000-0000B9000000}"/>
    <cellStyle name="Currency 31" xfId="210" xr:uid="{00000000-0005-0000-0000-0000BA000000}"/>
    <cellStyle name="Currency 31 2" xfId="211" xr:uid="{00000000-0005-0000-0000-0000BB000000}"/>
    <cellStyle name="Currency 31 3" xfId="212" xr:uid="{00000000-0005-0000-0000-0000BC000000}"/>
    <cellStyle name="Currency 32" xfId="213" xr:uid="{00000000-0005-0000-0000-0000BD000000}"/>
    <cellStyle name="Currency 32 2" xfId="214" xr:uid="{00000000-0005-0000-0000-0000BE000000}"/>
    <cellStyle name="Currency 32 3" xfId="215" xr:uid="{00000000-0005-0000-0000-0000BF000000}"/>
    <cellStyle name="Currency 33" xfId="216" xr:uid="{00000000-0005-0000-0000-0000C0000000}"/>
    <cellStyle name="Currency 33 2" xfId="217" xr:uid="{00000000-0005-0000-0000-0000C1000000}"/>
    <cellStyle name="Currency 33 3" xfId="218" xr:uid="{00000000-0005-0000-0000-0000C2000000}"/>
    <cellStyle name="Currency 34" xfId="219" xr:uid="{00000000-0005-0000-0000-0000C3000000}"/>
    <cellStyle name="Currency 34 2" xfId="220" xr:uid="{00000000-0005-0000-0000-0000C4000000}"/>
    <cellStyle name="Currency 34 3" xfId="221" xr:uid="{00000000-0005-0000-0000-0000C5000000}"/>
    <cellStyle name="Currency 35" xfId="222" xr:uid="{00000000-0005-0000-0000-0000C6000000}"/>
    <cellStyle name="Currency 35 2" xfId="223" xr:uid="{00000000-0005-0000-0000-0000C7000000}"/>
    <cellStyle name="Currency 35 3" xfId="224" xr:uid="{00000000-0005-0000-0000-0000C8000000}"/>
    <cellStyle name="Currency 36" xfId="225" xr:uid="{00000000-0005-0000-0000-0000C9000000}"/>
    <cellStyle name="Currency 36 2" xfId="226" xr:uid="{00000000-0005-0000-0000-0000CA000000}"/>
    <cellStyle name="Currency 36 3" xfId="227" xr:uid="{00000000-0005-0000-0000-0000CB000000}"/>
    <cellStyle name="Currency 37" xfId="228" xr:uid="{00000000-0005-0000-0000-0000CC000000}"/>
    <cellStyle name="Currency 37 2" xfId="229" xr:uid="{00000000-0005-0000-0000-0000CD000000}"/>
    <cellStyle name="Currency 37 3" xfId="230" xr:uid="{00000000-0005-0000-0000-0000CE000000}"/>
    <cellStyle name="Currency 38" xfId="231" xr:uid="{00000000-0005-0000-0000-0000CF000000}"/>
    <cellStyle name="Currency 38 2" xfId="232" xr:uid="{00000000-0005-0000-0000-0000D0000000}"/>
    <cellStyle name="Currency 38 3" xfId="233" xr:uid="{00000000-0005-0000-0000-0000D1000000}"/>
    <cellStyle name="Currency 39" xfId="234" xr:uid="{00000000-0005-0000-0000-0000D2000000}"/>
    <cellStyle name="Currency 39 2" xfId="235" xr:uid="{00000000-0005-0000-0000-0000D3000000}"/>
    <cellStyle name="Currency 39 3" xfId="236" xr:uid="{00000000-0005-0000-0000-0000D4000000}"/>
    <cellStyle name="Currency 4" xfId="237" xr:uid="{00000000-0005-0000-0000-0000D5000000}"/>
    <cellStyle name="Currency 40" xfId="238" xr:uid="{00000000-0005-0000-0000-0000D6000000}"/>
    <cellStyle name="Currency 40 2" xfId="239" xr:uid="{00000000-0005-0000-0000-0000D7000000}"/>
    <cellStyle name="Currency 40 3" xfId="240" xr:uid="{00000000-0005-0000-0000-0000D8000000}"/>
    <cellStyle name="Currency 41" xfId="241" xr:uid="{00000000-0005-0000-0000-0000D9000000}"/>
    <cellStyle name="Currency 41 2" xfId="242" xr:uid="{00000000-0005-0000-0000-0000DA000000}"/>
    <cellStyle name="Currency 41 3" xfId="243" xr:uid="{00000000-0005-0000-0000-0000DB000000}"/>
    <cellStyle name="Currency 42" xfId="244" xr:uid="{00000000-0005-0000-0000-0000DC000000}"/>
    <cellStyle name="Currency 42 2" xfId="245" xr:uid="{00000000-0005-0000-0000-0000DD000000}"/>
    <cellStyle name="Currency 42 3" xfId="246" xr:uid="{00000000-0005-0000-0000-0000DE000000}"/>
    <cellStyle name="Currency 43" xfId="247" xr:uid="{00000000-0005-0000-0000-0000DF000000}"/>
    <cellStyle name="Currency 43 2" xfId="248" xr:uid="{00000000-0005-0000-0000-0000E0000000}"/>
    <cellStyle name="Currency 43 3" xfId="249" xr:uid="{00000000-0005-0000-0000-0000E1000000}"/>
    <cellStyle name="Currency 44" xfId="250" xr:uid="{00000000-0005-0000-0000-0000E2000000}"/>
    <cellStyle name="Currency 44 2" xfId="251" xr:uid="{00000000-0005-0000-0000-0000E3000000}"/>
    <cellStyle name="Currency 44 3" xfId="252" xr:uid="{00000000-0005-0000-0000-0000E4000000}"/>
    <cellStyle name="Currency 45" xfId="253" xr:uid="{00000000-0005-0000-0000-0000E5000000}"/>
    <cellStyle name="Currency 45 2" xfId="254" xr:uid="{00000000-0005-0000-0000-0000E6000000}"/>
    <cellStyle name="Currency 45 3" xfId="255" xr:uid="{00000000-0005-0000-0000-0000E7000000}"/>
    <cellStyle name="Currency 46" xfId="256" xr:uid="{00000000-0005-0000-0000-0000E8000000}"/>
    <cellStyle name="Currency 46 2" xfId="257" xr:uid="{00000000-0005-0000-0000-0000E9000000}"/>
    <cellStyle name="Currency 46 3" xfId="258" xr:uid="{00000000-0005-0000-0000-0000EA000000}"/>
    <cellStyle name="Currency 47" xfId="259" xr:uid="{00000000-0005-0000-0000-0000EB000000}"/>
    <cellStyle name="Currency 47 2" xfId="260" xr:uid="{00000000-0005-0000-0000-0000EC000000}"/>
    <cellStyle name="Currency 47 3" xfId="261" xr:uid="{00000000-0005-0000-0000-0000ED000000}"/>
    <cellStyle name="Currency 48" xfId="262" xr:uid="{00000000-0005-0000-0000-0000EE000000}"/>
    <cellStyle name="Currency 48 2" xfId="263" xr:uid="{00000000-0005-0000-0000-0000EF000000}"/>
    <cellStyle name="Currency 48 3" xfId="264" xr:uid="{00000000-0005-0000-0000-0000F0000000}"/>
    <cellStyle name="Currency 49" xfId="265" xr:uid="{00000000-0005-0000-0000-0000F1000000}"/>
    <cellStyle name="Currency 49 2" xfId="266" xr:uid="{00000000-0005-0000-0000-0000F2000000}"/>
    <cellStyle name="Currency 49 3" xfId="267" xr:uid="{00000000-0005-0000-0000-0000F3000000}"/>
    <cellStyle name="Currency 5" xfId="268" xr:uid="{00000000-0005-0000-0000-0000F4000000}"/>
    <cellStyle name="Currency 5 2" xfId="269" xr:uid="{00000000-0005-0000-0000-0000F5000000}"/>
    <cellStyle name="Currency 5 3" xfId="270" xr:uid="{00000000-0005-0000-0000-0000F6000000}"/>
    <cellStyle name="Currency 50" xfId="271" xr:uid="{00000000-0005-0000-0000-0000F7000000}"/>
    <cellStyle name="Currency 50 2" xfId="272" xr:uid="{00000000-0005-0000-0000-0000F8000000}"/>
    <cellStyle name="Currency 50 3" xfId="273" xr:uid="{00000000-0005-0000-0000-0000F9000000}"/>
    <cellStyle name="Currency 51" xfId="274" xr:uid="{00000000-0005-0000-0000-0000FA000000}"/>
    <cellStyle name="Currency 51 2" xfId="275" xr:uid="{00000000-0005-0000-0000-0000FB000000}"/>
    <cellStyle name="Currency 51 3" xfId="276" xr:uid="{00000000-0005-0000-0000-0000FC000000}"/>
    <cellStyle name="Currency 52" xfId="277" xr:uid="{00000000-0005-0000-0000-0000FD000000}"/>
    <cellStyle name="Currency 52 2" xfId="278" xr:uid="{00000000-0005-0000-0000-0000FE000000}"/>
    <cellStyle name="Currency 52 3" xfId="279" xr:uid="{00000000-0005-0000-0000-0000FF000000}"/>
    <cellStyle name="Currency 53" xfId="280" xr:uid="{00000000-0005-0000-0000-000000010000}"/>
    <cellStyle name="Currency 53 2" xfId="281" xr:uid="{00000000-0005-0000-0000-000001010000}"/>
    <cellStyle name="Currency 53 3" xfId="282" xr:uid="{00000000-0005-0000-0000-000002010000}"/>
    <cellStyle name="Currency 54" xfId="283" xr:uid="{00000000-0005-0000-0000-000003010000}"/>
    <cellStyle name="Currency 54 2" xfId="284" xr:uid="{00000000-0005-0000-0000-000004010000}"/>
    <cellStyle name="Currency 54 3" xfId="285" xr:uid="{00000000-0005-0000-0000-000005010000}"/>
    <cellStyle name="Currency 55" xfId="286" xr:uid="{00000000-0005-0000-0000-000006010000}"/>
    <cellStyle name="Currency 55 2" xfId="287" xr:uid="{00000000-0005-0000-0000-000007010000}"/>
    <cellStyle name="Currency 55 3" xfId="288" xr:uid="{00000000-0005-0000-0000-000008010000}"/>
    <cellStyle name="Currency 56" xfId="289" xr:uid="{00000000-0005-0000-0000-000009010000}"/>
    <cellStyle name="Currency 56 2" xfId="290" xr:uid="{00000000-0005-0000-0000-00000A010000}"/>
    <cellStyle name="Currency 56 3" xfId="291" xr:uid="{00000000-0005-0000-0000-00000B010000}"/>
    <cellStyle name="Currency 57" xfId="292" xr:uid="{00000000-0005-0000-0000-00000C010000}"/>
    <cellStyle name="Currency 57 2" xfId="293" xr:uid="{00000000-0005-0000-0000-00000D010000}"/>
    <cellStyle name="Currency 57 3" xfId="294" xr:uid="{00000000-0005-0000-0000-00000E010000}"/>
    <cellStyle name="Currency 58" xfId="295" xr:uid="{00000000-0005-0000-0000-00000F010000}"/>
    <cellStyle name="Currency 58 2" xfId="296" xr:uid="{00000000-0005-0000-0000-000010010000}"/>
    <cellStyle name="Currency 58 3" xfId="297" xr:uid="{00000000-0005-0000-0000-000011010000}"/>
    <cellStyle name="Currency 59" xfId="298" xr:uid="{00000000-0005-0000-0000-000012010000}"/>
    <cellStyle name="Currency 59 2" xfId="299" xr:uid="{00000000-0005-0000-0000-000013010000}"/>
    <cellStyle name="Currency 59 3" xfId="300" xr:uid="{00000000-0005-0000-0000-000014010000}"/>
    <cellStyle name="Currency 6" xfId="301" xr:uid="{00000000-0005-0000-0000-000015010000}"/>
    <cellStyle name="Currency 6 2" xfId="302" xr:uid="{00000000-0005-0000-0000-000016010000}"/>
    <cellStyle name="Currency 60" xfId="303" xr:uid="{00000000-0005-0000-0000-000017010000}"/>
    <cellStyle name="Currency 60 2" xfId="304" xr:uid="{00000000-0005-0000-0000-000018010000}"/>
    <cellStyle name="Currency 60 3" xfId="305" xr:uid="{00000000-0005-0000-0000-000019010000}"/>
    <cellStyle name="Currency 61" xfId="306" xr:uid="{00000000-0005-0000-0000-00001A010000}"/>
    <cellStyle name="Currency 61 2" xfId="307" xr:uid="{00000000-0005-0000-0000-00001B010000}"/>
    <cellStyle name="Currency 61 3" xfId="308" xr:uid="{00000000-0005-0000-0000-00001C010000}"/>
    <cellStyle name="Currency 62" xfId="309" xr:uid="{00000000-0005-0000-0000-00001D010000}"/>
    <cellStyle name="Currency 62 2" xfId="310" xr:uid="{00000000-0005-0000-0000-00001E010000}"/>
    <cellStyle name="Currency 62 3" xfId="311" xr:uid="{00000000-0005-0000-0000-00001F010000}"/>
    <cellStyle name="Currency 63" xfId="312" xr:uid="{00000000-0005-0000-0000-000020010000}"/>
    <cellStyle name="Currency 63 2" xfId="313" xr:uid="{00000000-0005-0000-0000-000021010000}"/>
    <cellStyle name="Currency 63 3" xfId="314" xr:uid="{00000000-0005-0000-0000-000022010000}"/>
    <cellStyle name="Currency 64" xfId="315" xr:uid="{00000000-0005-0000-0000-000023010000}"/>
    <cellStyle name="Currency 64 2" xfId="316" xr:uid="{00000000-0005-0000-0000-000024010000}"/>
    <cellStyle name="Currency 64 3" xfId="317" xr:uid="{00000000-0005-0000-0000-000025010000}"/>
    <cellStyle name="Currency 65" xfId="318" xr:uid="{00000000-0005-0000-0000-000026010000}"/>
    <cellStyle name="Currency 65 2" xfId="319" xr:uid="{00000000-0005-0000-0000-000027010000}"/>
    <cellStyle name="Currency 65 3" xfId="320" xr:uid="{00000000-0005-0000-0000-000028010000}"/>
    <cellStyle name="Currency 66" xfId="321" xr:uid="{00000000-0005-0000-0000-000029010000}"/>
    <cellStyle name="Currency 66 2" xfId="322" xr:uid="{00000000-0005-0000-0000-00002A010000}"/>
    <cellStyle name="Currency 66 3" xfId="323" xr:uid="{00000000-0005-0000-0000-00002B010000}"/>
    <cellStyle name="Currency 67" xfId="324" xr:uid="{00000000-0005-0000-0000-00002C010000}"/>
    <cellStyle name="Currency 67 2" xfId="325" xr:uid="{00000000-0005-0000-0000-00002D010000}"/>
    <cellStyle name="Currency 67 3" xfId="326" xr:uid="{00000000-0005-0000-0000-00002E010000}"/>
    <cellStyle name="Currency 68" xfId="327" xr:uid="{00000000-0005-0000-0000-00002F010000}"/>
    <cellStyle name="Currency 68 2" xfId="328" xr:uid="{00000000-0005-0000-0000-000030010000}"/>
    <cellStyle name="Currency 68 3" xfId="329" xr:uid="{00000000-0005-0000-0000-000031010000}"/>
    <cellStyle name="Currency 69" xfId="330" xr:uid="{00000000-0005-0000-0000-000032010000}"/>
    <cellStyle name="Currency 69 2" xfId="331" xr:uid="{00000000-0005-0000-0000-000033010000}"/>
    <cellStyle name="Currency 69 3" xfId="332" xr:uid="{00000000-0005-0000-0000-000034010000}"/>
    <cellStyle name="Currency 7" xfId="333" xr:uid="{00000000-0005-0000-0000-000035010000}"/>
    <cellStyle name="Currency 7 2" xfId="334" xr:uid="{00000000-0005-0000-0000-000036010000}"/>
    <cellStyle name="Currency 70" xfId="335" xr:uid="{00000000-0005-0000-0000-000037010000}"/>
    <cellStyle name="Currency 70 2" xfId="336" xr:uid="{00000000-0005-0000-0000-000038010000}"/>
    <cellStyle name="Currency 70 3" xfId="337" xr:uid="{00000000-0005-0000-0000-000039010000}"/>
    <cellStyle name="Currency 71" xfId="338" xr:uid="{00000000-0005-0000-0000-00003A010000}"/>
    <cellStyle name="Currency 71 2" xfId="339" xr:uid="{00000000-0005-0000-0000-00003B010000}"/>
    <cellStyle name="Currency 71 3" xfId="340" xr:uid="{00000000-0005-0000-0000-00003C010000}"/>
    <cellStyle name="Currency 72" xfId="341" xr:uid="{00000000-0005-0000-0000-00003D010000}"/>
    <cellStyle name="Currency 72 2" xfId="342" xr:uid="{00000000-0005-0000-0000-00003E010000}"/>
    <cellStyle name="Currency 72 3" xfId="343" xr:uid="{00000000-0005-0000-0000-00003F010000}"/>
    <cellStyle name="Currency 73" xfId="344" xr:uid="{00000000-0005-0000-0000-000040010000}"/>
    <cellStyle name="Currency 73 2" xfId="345" xr:uid="{00000000-0005-0000-0000-000041010000}"/>
    <cellStyle name="Currency 73 3" xfId="346" xr:uid="{00000000-0005-0000-0000-000042010000}"/>
    <cellStyle name="Currency 74" xfId="347" xr:uid="{00000000-0005-0000-0000-000043010000}"/>
    <cellStyle name="Currency 74 2" xfId="348" xr:uid="{00000000-0005-0000-0000-000044010000}"/>
    <cellStyle name="Currency 74 3" xfId="349" xr:uid="{00000000-0005-0000-0000-000045010000}"/>
    <cellStyle name="Currency 75" xfId="350" xr:uid="{00000000-0005-0000-0000-000046010000}"/>
    <cellStyle name="Currency 75 2" xfId="351" xr:uid="{00000000-0005-0000-0000-000047010000}"/>
    <cellStyle name="Currency 75 3" xfId="352" xr:uid="{00000000-0005-0000-0000-000048010000}"/>
    <cellStyle name="Currency 76" xfId="353" xr:uid="{00000000-0005-0000-0000-000049010000}"/>
    <cellStyle name="Currency 76 2" xfId="354" xr:uid="{00000000-0005-0000-0000-00004A010000}"/>
    <cellStyle name="Currency 76 3" xfId="355" xr:uid="{00000000-0005-0000-0000-00004B010000}"/>
    <cellStyle name="Currency 77" xfId="356" xr:uid="{00000000-0005-0000-0000-00004C010000}"/>
    <cellStyle name="Currency 77 2" xfId="357" xr:uid="{00000000-0005-0000-0000-00004D010000}"/>
    <cellStyle name="Currency 77 3" xfId="358" xr:uid="{00000000-0005-0000-0000-00004E010000}"/>
    <cellStyle name="Currency 78" xfId="359" xr:uid="{00000000-0005-0000-0000-00004F010000}"/>
    <cellStyle name="Currency 78 2" xfId="360" xr:uid="{00000000-0005-0000-0000-000050010000}"/>
    <cellStyle name="Currency 78 3" xfId="361" xr:uid="{00000000-0005-0000-0000-000051010000}"/>
    <cellStyle name="Currency 79" xfId="362" xr:uid="{00000000-0005-0000-0000-000052010000}"/>
    <cellStyle name="Currency 79 2" xfId="363" xr:uid="{00000000-0005-0000-0000-000053010000}"/>
    <cellStyle name="Currency 79 3" xfId="364" xr:uid="{00000000-0005-0000-0000-000054010000}"/>
    <cellStyle name="Currency 8" xfId="365" xr:uid="{00000000-0005-0000-0000-000055010000}"/>
    <cellStyle name="Currency 8 2" xfId="790" xr:uid="{00000000-0005-0000-0000-000056010000}"/>
    <cellStyle name="Currency 80" xfId="366" xr:uid="{00000000-0005-0000-0000-000057010000}"/>
    <cellStyle name="Currency 80 2" xfId="367" xr:uid="{00000000-0005-0000-0000-000058010000}"/>
    <cellStyle name="Currency 80 3" xfId="368" xr:uid="{00000000-0005-0000-0000-000059010000}"/>
    <cellStyle name="Currency 81" xfId="369" xr:uid="{00000000-0005-0000-0000-00005A010000}"/>
    <cellStyle name="Currency 81 2" xfId="370" xr:uid="{00000000-0005-0000-0000-00005B010000}"/>
    <cellStyle name="Currency 81 3" xfId="371" xr:uid="{00000000-0005-0000-0000-00005C010000}"/>
    <cellStyle name="Currency 82" xfId="372" xr:uid="{00000000-0005-0000-0000-00005D010000}"/>
    <cellStyle name="Currency 82 2" xfId="373" xr:uid="{00000000-0005-0000-0000-00005E010000}"/>
    <cellStyle name="Currency 82 3" xfId="374" xr:uid="{00000000-0005-0000-0000-00005F010000}"/>
    <cellStyle name="Currency 83" xfId="375" xr:uid="{00000000-0005-0000-0000-000060010000}"/>
    <cellStyle name="Currency 83 2" xfId="376" xr:uid="{00000000-0005-0000-0000-000061010000}"/>
    <cellStyle name="Currency 83 3" xfId="377" xr:uid="{00000000-0005-0000-0000-000062010000}"/>
    <cellStyle name="Currency 84" xfId="378" xr:uid="{00000000-0005-0000-0000-000063010000}"/>
    <cellStyle name="Currency 84 2" xfId="379" xr:uid="{00000000-0005-0000-0000-000064010000}"/>
    <cellStyle name="Currency 84 3" xfId="380" xr:uid="{00000000-0005-0000-0000-000065010000}"/>
    <cellStyle name="Currency 85" xfId="381" xr:uid="{00000000-0005-0000-0000-000066010000}"/>
    <cellStyle name="Currency 85 2" xfId="382" xr:uid="{00000000-0005-0000-0000-000067010000}"/>
    <cellStyle name="Currency 85 3" xfId="383" xr:uid="{00000000-0005-0000-0000-000068010000}"/>
    <cellStyle name="Currency 86" xfId="384" xr:uid="{00000000-0005-0000-0000-000069010000}"/>
    <cellStyle name="Currency 86 2" xfId="385" xr:uid="{00000000-0005-0000-0000-00006A010000}"/>
    <cellStyle name="Currency 86 3" xfId="386" xr:uid="{00000000-0005-0000-0000-00006B010000}"/>
    <cellStyle name="Currency 87" xfId="387" xr:uid="{00000000-0005-0000-0000-00006C010000}"/>
    <cellStyle name="Currency 87 2" xfId="388" xr:uid="{00000000-0005-0000-0000-00006D010000}"/>
    <cellStyle name="Currency 87 3" xfId="389" xr:uid="{00000000-0005-0000-0000-00006E010000}"/>
    <cellStyle name="Currency 88" xfId="390" xr:uid="{00000000-0005-0000-0000-00006F010000}"/>
    <cellStyle name="Currency 88 2" xfId="391" xr:uid="{00000000-0005-0000-0000-000070010000}"/>
    <cellStyle name="Currency 88 3" xfId="392" xr:uid="{00000000-0005-0000-0000-000071010000}"/>
    <cellStyle name="Currency 89" xfId="393" xr:uid="{00000000-0005-0000-0000-000072010000}"/>
    <cellStyle name="Currency 89 2" xfId="394" xr:uid="{00000000-0005-0000-0000-000073010000}"/>
    <cellStyle name="Currency 89 3" xfId="395" xr:uid="{00000000-0005-0000-0000-000074010000}"/>
    <cellStyle name="Currency 9" xfId="9" xr:uid="{00000000-0005-0000-0000-000075010000}"/>
    <cellStyle name="Currency 9 2" xfId="1017" xr:uid="{00000000-0005-0000-0000-000076010000}"/>
    <cellStyle name="Currency 90" xfId="396" xr:uid="{00000000-0005-0000-0000-000077010000}"/>
    <cellStyle name="Currency 90 2" xfId="397" xr:uid="{00000000-0005-0000-0000-000078010000}"/>
    <cellStyle name="Currency 90 3" xfId="398" xr:uid="{00000000-0005-0000-0000-000079010000}"/>
    <cellStyle name="Currency 91" xfId="399" xr:uid="{00000000-0005-0000-0000-00007A010000}"/>
    <cellStyle name="Currency 91 2" xfId="400" xr:uid="{00000000-0005-0000-0000-00007B010000}"/>
    <cellStyle name="Currency 91 3" xfId="401" xr:uid="{00000000-0005-0000-0000-00007C010000}"/>
    <cellStyle name="Currency 92" xfId="402" xr:uid="{00000000-0005-0000-0000-00007D010000}"/>
    <cellStyle name="Currency 92 2" xfId="403" xr:uid="{00000000-0005-0000-0000-00007E010000}"/>
    <cellStyle name="Currency 92 3" xfId="404" xr:uid="{00000000-0005-0000-0000-00007F010000}"/>
    <cellStyle name="Currency_maximum vacancy" xfId="14" xr:uid="{00000000-0005-0000-0000-000080010000}"/>
    <cellStyle name="Explanatory Text 2" xfId="405" xr:uid="{00000000-0005-0000-0000-000081010000}"/>
    <cellStyle name="Good 2" xfId="406" xr:uid="{00000000-0005-0000-0000-000083010000}"/>
    <cellStyle name="Heading 1 2" xfId="407" xr:uid="{00000000-0005-0000-0000-000084010000}"/>
    <cellStyle name="Heading 2 2" xfId="408" xr:uid="{00000000-0005-0000-0000-000085010000}"/>
    <cellStyle name="Heading 3 2" xfId="409" xr:uid="{00000000-0005-0000-0000-000086010000}"/>
    <cellStyle name="Heading 4 2" xfId="410" xr:uid="{00000000-0005-0000-0000-000087010000}"/>
    <cellStyle name="Hyperlink" xfId="2" builtinId="8"/>
    <cellStyle name="Input 2" xfId="411" xr:uid="{00000000-0005-0000-0000-000089010000}"/>
    <cellStyle name="Linked Cell 2" xfId="412" xr:uid="{00000000-0005-0000-0000-00008A010000}"/>
    <cellStyle name="Neutral" xfId="1019" builtinId="28"/>
    <cellStyle name="Neutral 2" xfId="413" xr:uid="{00000000-0005-0000-0000-00008C010000}"/>
    <cellStyle name="Normal" xfId="0" builtinId="0"/>
    <cellStyle name="Normal 10" xfId="4" xr:uid="{00000000-0005-0000-0000-00008E010000}"/>
    <cellStyle name="Normal 10 2" xfId="5" xr:uid="{00000000-0005-0000-0000-00008F010000}"/>
    <cellStyle name="Normal 10 3" xfId="414" xr:uid="{00000000-0005-0000-0000-000090010000}"/>
    <cellStyle name="Normal 11" xfId="415" xr:uid="{00000000-0005-0000-0000-000091010000}"/>
    <cellStyle name="Normal 11 2" xfId="416" xr:uid="{00000000-0005-0000-0000-000092010000}"/>
    <cellStyle name="Normal 11 2 2" xfId="792" xr:uid="{00000000-0005-0000-0000-000093010000}"/>
    <cellStyle name="Normal 11 3" xfId="417" xr:uid="{00000000-0005-0000-0000-000094010000}"/>
    <cellStyle name="Normal 11 3 2" xfId="793" xr:uid="{00000000-0005-0000-0000-000095010000}"/>
    <cellStyle name="Normal 11 4" xfId="791" xr:uid="{00000000-0005-0000-0000-000096010000}"/>
    <cellStyle name="Normal 12" xfId="418" xr:uid="{00000000-0005-0000-0000-000097010000}"/>
    <cellStyle name="Normal 12 2" xfId="419" xr:uid="{00000000-0005-0000-0000-000098010000}"/>
    <cellStyle name="Normal 12 2 2" xfId="795" xr:uid="{00000000-0005-0000-0000-000099010000}"/>
    <cellStyle name="Normal 12 3" xfId="420" xr:uid="{00000000-0005-0000-0000-00009A010000}"/>
    <cellStyle name="Normal 12 3 2" xfId="796" xr:uid="{00000000-0005-0000-0000-00009B010000}"/>
    <cellStyle name="Normal 12 4" xfId="794" xr:uid="{00000000-0005-0000-0000-00009C010000}"/>
    <cellStyle name="Normal 13" xfId="421" xr:uid="{00000000-0005-0000-0000-00009D010000}"/>
    <cellStyle name="Normal 13 2" xfId="422" xr:uid="{00000000-0005-0000-0000-00009E010000}"/>
    <cellStyle name="Normal 13 2 2" xfId="798" xr:uid="{00000000-0005-0000-0000-00009F010000}"/>
    <cellStyle name="Normal 13 3" xfId="423" xr:uid="{00000000-0005-0000-0000-0000A0010000}"/>
    <cellStyle name="Normal 13 3 2" xfId="799" xr:uid="{00000000-0005-0000-0000-0000A1010000}"/>
    <cellStyle name="Normal 13 4" xfId="797" xr:uid="{00000000-0005-0000-0000-0000A2010000}"/>
    <cellStyle name="Normal 14" xfId="424" xr:uid="{00000000-0005-0000-0000-0000A3010000}"/>
    <cellStyle name="Normal 14 2" xfId="425" xr:uid="{00000000-0005-0000-0000-0000A4010000}"/>
    <cellStyle name="Normal 14 2 2" xfId="801" xr:uid="{00000000-0005-0000-0000-0000A5010000}"/>
    <cellStyle name="Normal 14 3" xfId="426" xr:uid="{00000000-0005-0000-0000-0000A6010000}"/>
    <cellStyle name="Normal 14 3 2" xfId="802" xr:uid="{00000000-0005-0000-0000-0000A7010000}"/>
    <cellStyle name="Normal 14 4" xfId="800" xr:uid="{00000000-0005-0000-0000-0000A8010000}"/>
    <cellStyle name="Normal 15" xfId="427" xr:uid="{00000000-0005-0000-0000-0000A9010000}"/>
    <cellStyle name="Normal 15 2" xfId="428" xr:uid="{00000000-0005-0000-0000-0000AA010000}"/>
    <cellStyle name="Normal 15 2 2" xfId="804" xr:uid="{00000000-0005-0000-0000-0000AB010000}"/>
    <cellStyle name="Normal 15 3" xfId="429" xr:uid="{00000000-0005-0000-0000-0000AC010000}"/>
    <cellStyle name="Normal 15 3 2" xfId="805" xr:uid="{00000000-0005-0000-0000-0000AD010000}"/>
    <cellStyle name="Normal 15 4" xfId="803" xr:uid="{00000000-0005-0000-0000-0000AE010000}"/>
    <cellStyle name="Normal 16" xfId="430" xr:uid="{00000000-0005-0000-0000-0000AF010000}"/>
    <cellStyle name="Normal 16 2" xfId="431" xr:uid="{00000000-0005-0000-0000-0000B0010000}"/>
    <cellStyle name="Normal 16 2 2" xfId="807" xr:uid="{00000000-0005-0000-0000-0000B1010000}"/>
    <cellStyle name="Normal 16 3" xfId="432" xr:uid="{00000000-0005-0000-0000-0000B2010000}"/>
    <cellStyle name="Normal 16 3 2" xfId="808" xr:uid="{00000000-0005-0000-0000-0000B3010000}"/>
    <cellStyle name="Normal 16 4" xfId="806" xr:uid="{00000000-0005-0000-0000-0000B4010000}"/>
    <cellStyle name="Normal 18" xfId="433" xr:uid="{00000000-0005-0000-0000-0000B5010000}"/>
    <cellStyle name="Normal 18 2" xfId="434" xr:uid="{00000000-0005-0000-0000-0000B6010000}"/>
    <cellStyle name="Normal 18 2 2" xfId="810" xr:uid="{00000000-0005-0000-0000-0000B7010000}"/>
    <cellStyle name="Normal 18 3" xfId="435" xr:uid="{00000000-0005-0000-0000-0000B8010000}"/>
    <cellStyle name="Normal 18 3 2" xfId="811" xr:uid="{00000000-0005-0000-0000-0000B9010000}"/>
    <cellStyle name="Normal 18 4" xfId="809" xr:uid="{00000000-0005-0000-0000-0000BA010000}"/>
    <cellStyle name="Normal 187" xfId="22" xr:uid="{00000000-0005-0000-0000-0000BB010000}"/>
    <cellStyle name="Normal 19" xfId="436" xr:uid="{00000000-0005-0000-0000-0000BC010000}"/>
    <cellStyle name="Normal 19 2" xfId="437" xr:uid="{00000000-0005-0000-0000-0000BD010000}"/>
    <cellStyle name="Normal 19 2 2" xfId="813" xr:uid="{00000000-0005-0000-0000-0000BE010000}"/>
    <cellStyle name="Normal 19 3" xfId="438" xr:uid="{00000000-0005-0000-0000-0000BF010000}"/>
    <cellStyle name="Normal 19 3 2" xfId="814" xr:uid="{00000000-0005-0000-0000-0000C0010000}"/>
    <cellStyle name="Normal 19 4" xfId="812" xr:uid="{00000000-0005-0000-0000-0000C1010000}"/>
    <cellStyle name="Normal 2" xfId="25" xr:uid="{00000000-0005-0000-0000-0000C2010000}"/>
    <cellStyle name="Normal 2 10" xfId="440" xr:uid="{00000000-0005-0000-0000-0000C3010000}"/>
    <cellStyle name="Normal 2 10 2" xfId="441" xr:uid="{00000000-0005-0000-0000-0000C4010000}"/>
    <cellStyle name="Normal 2 10 3" xfId="442" xr:uid="{00000000-0005-0000-0000-0000C5010000}"/>
    <cellStyle name="Normal 2 11" xfId="443" xr:uid="{00000000-0005-0000-0000-0000C6010000}"/>
    <cellStyle name="Normal 2 11 2" xfId="444" xr:uid="{00000000-0005-0000-0000-0000C7010000}"/>
    <cellStyle name="Normal 2 11 3" xfId="445" xr:uid="{00000000-0005-0000-0000-0000C8010000}"/>
    <cellStyle name="Normal 2 12" xfId="446" xr:uid="{00000000-0005-0000-0000-0000C9010000}"/>
    <cellStyle name="Normal 2 12 2" xfId="447" xr:uid="{00000000-0005-0000-0000-0000CA010000}"/>
    <cellStyle name="Normal 2 12 3" xfId="448" xr:uid="{00000000-0005-0000-0000-0000CB010000}"/>
    <cellStyle name="Normal 2 13" xfId="449" xr:uid="{00000000-0005-0000-0000-0000CC010000}"/>
    <cellStyle name="Normal 2 13 2" xfId="450" xr:uid="{00000000-0005-0000-0000-0000CD010000}"/>
    <cellStyle name="Normal 2 13 3" xfId="451" xr:uid="{00000000-0005-0000-0000-0000CE010000}"/>
    <cellStyle name="Normal 2 14" xfId="452" xr:uid="{00000000-0005-0000-0000-0000CF010000}"/>
    <cellStyle name="Normal 2 14 2" xfId="453" xr:uid="{00000000-0005-0000-0000-0000D0010000}"/>
    <cellStyle name="Normal 2 14 3" xfId="454" xr:uid="{00000000-0005-0000-0000-0000D1010000}"/>
    <cellStyle name="Normal 2 15" xfId="439" xr:uid="{00000000-0005-0000-0000-0000D2010000}"/>
    <cellStyle name="Normal 2 2" xfId="27" xr:uid="{00000000-0005-0000-0000-0000D3010000}"/>
    <cellStyle name="Normal 2 2 2" xfId="456" xr:uid="{00000000-0005-0000-0000-0000D4010000}"/>
    <cellStyle name="Normal 2 2 3" xfId="457" xr:uid="{00000000-0005-0000-0000-0000D5010000}"/>
    <cellStyle name="Normal 2 2 4" xfId="455" xr:uid="{00000000-0005-0000-0000-0000D6010000}"/>
    <cellStyle name="Normal 2 3" xfId="458" xr:uid="{00000000-0005-0000-0000-0000D7010000}"/>
    <cellStyle name="Normal 2 3 2" xfId="459" xr:uid="{00000000-0005-0000-0000-0000D8010000}"/>
    <cellStyle name="Normal 2 3 3" xfId="460" xr:uid="{00000000-0005-0000-0000-0000D9010000}"/>
    <cellStyle name="Normal 2 4" xfId="461" xr:uid="{00000000-0005-0000-0000-0000DA010000}"/>
    <cellStyle name="Normal 2 4 2" xfId="462" xr:uid="{00000000-0005-0000-0000-0000DB010000}"/>
    <cellStyle name="Normal 2 4 3" xfId="463" xr:uid="{00000000-0005-0000-0000-0000DC010000}"/>
    <cellStyle name="Normal 2 5" xfId="464" xr:uid="{00000000-0005-0000-0000-0000DD010000}"/>
    <cellStyle name="Normal 2 5 2" xfId="465" xr:uid="{00000000-0005-0000-0000-0000DE010000}"/>
    <cellStyle name="Normal 2 5 3" xfId="466" xr:uid="{00000000-0005-0000-0000-0000DF010000}"/>
    <cellStyle name="Normal 2 6" xfId="467" xr:uid="{00000000-0005-0000-0000-0000E0010000}"/>
    <cellStyle name="Normal 2 6 2" xfId="468" xr:uid="{00000000-0005-0000-0000-0000E1010000}"/>
    <cellStyle name="Normal 2 6 3" xfId="469" xr:uid="{00000000-0005-0000-0000-0000E2010000}"/>
    <cellStyle name="Normal 2 7" xfId="470" xr:uid="{00000000-0005-0000-0000-0000E3010000}"/>
    <cellStyle name="Normal 2 7 2" xfId="471" xr:uid="{00000000-0005-0000-0000-0000E4010000}"/>
    <cellStyle name="Normal 2 7 3" xfId="472" xr:uid="{00000000-0005-0000-0000-0000E5010000}"/>
    <cellStyle name="Normal 2 8" xfId="473" xr:uid="{00000000-0005-0000-0000-0000E6010000}"/>
    <cellStyle name="Normal 2 8 2" xfId="474" xr:uid="{00000000-0005-0000-0000-0000E7010000}"/>
    <cellStyle name="Normal 2 8 3" xfId="475" xr:uid="{00000000-0005-0000-0000-0000E8010000}"/>
    <cellStyle name="Normal 2 9" xfId="476" xr:uid="{00000000-0005-0000-0000-0000E9010000}"/>
    <cellStyle name="Normal 2 9 2" xfId="477" xr:uid="{00000000-0005-0000-0000-0000EA010000}"/>
    <cellStyle name="Normal 2 9 3" xfId="478" xr:uid="{00000000-0005-0000-0000-0000EB010000}"/>
    <cellStyle name="Normal 20" xfId="479" xr:uid="{00000000-0005-0000-0000-0000EC010000}"/>
    <cellStyle name="Normal 20 2" xfId="480" xr:uid="{00000000-0005-0000-0000-0000ED010000}"/>
    <cellStyle name="Normal 20 2 2" xfId="816" xr:uid="{00000000-0005-0000-0000-0000EE010000}"/>
    <cellStyle name="Normal 20 3" xfId="481" xr:uid="{00000000-0005-0000-0000-0000EF010000}"/>
    <cellStyle name="Normal 20 3 2" xfId="817" xr:uid="{00000000-0005-0000-0000-0000F0010000}"/>
    <cellStyle name="Normal 20 4" xfId="815" xr:uid="{00000000-0005-0000-0000-0000F1010000}"/>
    <cellStyle name="Normal 21" xfId="482" xr:uid="{00000000-0005-0000-0000-0000F2010000}"/>
    <cellStyle name="Normal 21 2" xfId="483" xr:uid="{00000000-0005-0000-0000-0000F3010000}"/>
    <cellStyle name="Normal 21 2 2" xfId="819" xr:uid="{00000000-0005-0000-0000-0000F4010000}"/>
    <cellStyle name="Normal 21 3" xfId="484" xr:uid="{00000000-0005-0000-0000-0000F5010000}"/>
    <cellStyle name="Normal 21 3 2" xfId="820" xr:uid="{00000000-0005-0000-0000-0000F6010000}"/>
    <cellStyle name="Normal 21 4" xfId="818" xr:uid="{00000000-0005-0000-0000-0000F7010000}"/>
    <cellStyle name="Normal 22" xfId="485" xr:uid="{00000000-0005-0000-0000-0000F8010000}"/>
    <cellStyle name="Normal 22 2" xfId="486" xr:uid="{00000000-0005-0000-0000-0000F9010000}"/>
    <cellStyle name="Normal 22 2 2" xfId="822" xr:uid="{00000000-0005-0000-0000-0000FA010000}"/>
    <cellStyle name="Normal 22 3" xfId="487" xr:uid="{00000000-0005-0000-0000-0000FB010000}"/>
    <cellStyle name="Normal 22 3 2" xfId="823" xr:uid="{00000000-0005-0000-0000-0000FC010000}"/>
    <cellStyle name="Normal 22 4" xfId="821" xr:uid="{00000000-0005-0000-0000-0000FD010000}"/>
    <cellStyle name="Normal 23" xfId="488" xr:uid="{00000000-0005-0000-0000-0000FE010000}"/>
    <cellStyle name="Normal 23 2" xfId="489" xr:uid="{00000000-0005-0000-0000-0000FF010000}"/>
    <cellStyle name="Normal 23 2 2" xfId="825" xr:uid="{00000000-0005-0000-0000-000000020000}"/>
    <cellStyle name="Normal 23 3" xfId="490" xr:uid="{00000000-0005-0000-0000-000001020000}"/>
    <cellStyle name="Normal 23 3 2" xfId="826" xr:uid="{00000000-0005-0000-0000-000002020000}"/>
    <cellStyle name="Normal 23 4" xfId="824" xr:uid="{00000000-0005-0000-0000-000003020000}"/>
    <cellStyle name="Normal 24" xfId="491" xr:uid="{00000000-0005-0000-0000-000004020000}"/>
    <cellStyle name="Normal 24 2" xfId="492" xr:uid="{00000000-0005-0000-0000-000005020000}"/>
    <cellStyle name="Normal 24 2 2" xfId="828" xr:uid="{00000000-0005-0000-0000-000006020000}"/>
    <cellStyle name="Normal 24 3" xfId="493" xr:uid="{00000000-0005-0000-0000-000007020000}"/>
    <cellStyle name="Normal 24 3 2" xfId="829" xr:uid="{00000000-0005-0000-0000-000008020000}"/>
    <cellStyle name="Normal 24 4" xfId="827" xr:uid="{00000000-0005-0000-0000-000009020000}"/>
    <cellStyle name="Normal 25" xfId="494" xr:uid="{00000000-0005-0000-0000-00000A020000}"/>
    <cellStyle name="Normal 25 2" xfId="495" xr:uid="{00000000-0005-0000-0000-00000B020000}"/>
    <cellStyle name="Normal 25 2 2" xfId="831" xr:uid="{00000000-0005-0000-0000-00000C020000}"/>
    <cellStyle name="Normal 25 3" xfId="496" xr:uid="{00000000-0005-0000-0000-00000D020000}"/>
    <cellStyle name="Normal 25 3 2" xfId="832" xr:uid="{00000000-0005-0000-0000-00000E020000}"/>
    <cellStyle name="Normal 25 4" xfId="830" xr:uid="{00000000-0005-0000-0000-00000F020000}"/>
    <cellStyle name="Normal 26" xfId="497" xr:uid="{00000000-0005-0000-0000-000010020000}"/>
    <cellStyle name="Normal 26 2" xfId="498" xr:uid="{00000000-0005-0000-0000-000011020000}"/>
    <cellStyle name="Normal 26 2 2" xfId="834" xr:uid="{00000000-0005-0000-0000-000012020000}"/>
    <cellStyle name="Normal 26 3" xfId="499" xr:uid="{00000000-0005-0000-0000-000013020000}"/>
    <cellStyle name="Normal 26 3 2" xfId="835" xr:uid="{00000000-0005-0000-0000-000014020000}"/>
    <cellStyle name="Normal 26 4" xfId="833" xr:uid="{00000000-0005-0000-0000-000015020000}"/>
    <cellStyle name="Normal 27" xfId="500" xr:uid="{00000000-0005-0000-0000-000016020000}"/>
    <cellStyle name="Normal 27 2" xfId="501" xr:uid="{00000000-0005-0000-0000-000017020000}"/>
    <cellStyle name="Normal 27 2 2" xfId="837" xr:uid="{00000000-0005-0000-0000-000018020000}"/>
    <cellStyle name="Normal 27 3" xfId="502" xr:uid="{00000000-0005-0000-0000-000019020000}"/>
    <cellStyle name="Normal 27 3 2" xfId="838" xr:uid="{00000000-0005-0000-0000-00001A020000}"/>
    <cellStyle name="Normal 27 4" xfId="836" xr:uid="{00000000-0005-0000-0000-00001B020000}"/>
    <cellStyle name="Normal 28" xfId="503" xr:uid="{00000000-0005-0000-0000-00001C020000}"/>
    <cellStyle name="Normal 28 2" xfId="504" xr:uid="{00000000-0005-0000-0000-00001D020000}"/>
    <cellStyle name="Normal 28 2 2" xfId="840" xr:uid="{00000000-0005-0000-0000-00001E020000}"/>
    <cellStyle name="Normal 28 3" xfId="505" xr:uid="{00000000-0005-0000-0000-00001F020000}"/>
    <cellStyle name="Normal 28 3 2" xfId="841" xr:uid="{00000000-0005-0000-0000-000020020000}"/>
    <cellStyle name="Normal 28 4" xfId="839" xr:uid="{00000000-0005-0000-0000-000021020000}"/>
    <cellStyle name="Normal 29" xfId="506" xr:uid="{00000000-0005-0000-0000-000022020000}"/>
    <cellStyle name="Normal 29 2" xfId="507" xr:uid="{00000000-0005-0000-0000-000023020000}"/>
    <cellStyle name="Normal 29 2 2" xfId="843" xr:uid="{00000000-0005-0000-0000-000024020000}"/>
    <cellStyle name="Normal 29 3" xfId="508" xr:uid="{00000000-0005-0000-0000-000025020000}"/>
    <cellStyle name="Normal 29 3 2" xfId="844" xr:uid="{00000000-0005-0000-0000-000026020000}"/>
    <cellStyle name="Normal 29 4" xfId="842" xr:uid="{00000000-0005-0000-0000-000027020000}"/>
    <cellStyle name="Normal 3" xfId="8" xr:uid="{00000000-0005-0000-0000-000028020000}"/>
    <cellStyle name="Normal 3 2" xfId="509" xr:uid="{00000000-0005-0000-0000-000029020000}"/>
    <cellStyle name="Normal 3 2 2" xfId="510" xr:uid="{00000000-0005-0000-0000-00002A020000}"/>
    <cellStyle name="Normal 3 2 3" xfId="511" xr:uid="{00000000-0005-0000-0000-00002B020000}"/>
    <cellStyle name="Normal 3 3" xfId="512" xr:uid="{00000000-0005-0000-0000-00002C020000}"/>
    <cellStyle name="Normal 3 3 2" xfId="513" xr:uid="{00000000-0005-0000-0000-00002D020000}"/>
    <cellStyle name="Normal 3 3 3" xfId="514" xr:uid="{00000000-0005-0000-0000-00002E020000}"/>
    <cellStyle name="Normal 3 4" xfId="515" xr:uid="{00000000-0005-0000-0000-00002F020000}"/>
    <cellStyle name="Normal 3 4 2" xfId="516" xr:uid="{00000000-0005-0000-0000-000030020000}"/>
    <cellStyle name="Normal 3 4 3" xfId="517" xr:uid="{00000000-0005-0000-0000-000031020000}"/>
    <cellStyle name="Normal 3 5" xfId="1016" xr:uid="{00000000-0005-0000-0000-000032020000}"/>
    <cellStyle name="Normal 30" xfId="518" xr:uid="{00000000-0005-0000-0000-000033020000}"/>
    <cellStyle name="Normal 30 2" xfId="519" xr:uid="{00000000-0005-0000-0000-000034020000}"/>
    <cellStyle name="Normal 30 2 2" xfId="846" xr:uid="{00000000-0005-0000-0000-000035020000}"/>
    <cellStyle name="Normal 30 3" xfId="520" xr:uid="{00000000-0005-0000-0000-000036020000}"/>
    <cellStyle name="Normal 30 3 2" xfId="847" xr:uid="{00000000-0005-0000-0000-000037020000}"/>
    <cellStyle name="Normal 30 4" xfId="845" xr:uid="{00000000-0005-0000-0000-000038020000}"/>
    <cellStyle name="Normal 31" xfId="521" xr:uid="{00000000-0005-0000-0000-000039020000}"/>
    <cellStyle name="Normal 31 2" xfId="522" xr:uid="{00000000-0005-0000-0000-00003A020000}"/>
    <cellStyle name="Normal 31 2 2" xfId="849" xr:uid="{00000000-0005-0000-0000-00003B020000}"/>
    <cellStyle name="Normal 31 3" xfId="523" xr:uid="{00000000-0005-0000-0000-00003C020000}"/>
    <cellStyle name="Normal 31 3 2" xfId="850" xr:uid="{00000000-0005-0000-0000-00003D020000}"/>
    <cellStyle name="Normal 31 4" xfId="848" xr:uid="{00000000-0005-0000-0000-00003E020000}"/>
    <cellStyle name="Normal 32" xfId="524" xr:uid="{00000000-0005-0000-0000-00003F020000}"/>
    <cellStyle name="Normal 32 2" xfId="525" xr:uid="{00000000-0005-0000-0000-000040020000}"/>
    <cellStyle name="Normal 32 2 2" xfId="852" xr:uid="{00000000-0005-0000-0000-000041020000}"/>
    <cellStyle name="Normal 32 3" xfId="526" xr:uid="{00000000-0005-0000-0000-000042020000}"/>
    <cellStyle name="Normal 32 3 2" xfId="853" xr:uid="{00000000-0005-0000-0000-000043020000}"/>
    <cellStyle name="Normal 32 4" xfId="851" xr:uid="{00000000-0005-0000-0000-000044020000}"/>
    <cellStyle name="Normal 33" xfId="527" xr:uid="{00000000-0005-0000-0000-000045020000}"/>
    <cellStyle name="Normal 33 2" xfId="528" xr:uid="{00000000-0005-0000-0000-000046020000}"/>
    <cellStyle name="Normal 33 2 2" xfId="855" xr:uid="{00000000-0005-0000-0000-000047020000}"/>
    <cellStyle name="Normal 33 3" xfId="529" xr:uid="{00000000-0005-0000-0000-000048020000}"/>
    <cellStyle name="Normal 33 3 2" xfId="856" xr:uid="{00000000-0005-0000-0000-000049020000}"/>
    <cellStyle name="Normal 33 4" xfId="854" xr:uid="{00000000-0005-0000-0000-00004A020000}"/>
    <cellStyle name="Normal 34" xfId="530" xr:uid="{00000000-0005-0000-0000-00004B020000}"/>
    <cellStyle name="Normal 34 2" xfId="531" xr:uid="{00000000-0005-0000-0000-00004C020000}"/>
    <cellStyle name="Normal 34 2 2" xfId="858" xr:uid="{00000000-0005-0000-0000-00004D020000}"/>
    <cellStyle name="Normal 34 3" xfId="532" xr:uid="{00000000-0005-0000-0000-00004E020000}"/>
    <cellStyle name="Normal 34 3 2" xfId="859" xr:uid="{00000000-0005-0000-0000-00004F020000}"/>
    <cellStyle name="Normal 34 4" xfId="857" xr:uid="{00000000-0005-0000-0000-000050020000}"/>
    <cellStyle name="Normal 35" xfId="533" xr:uid="{00000000-0005-0000-0000-000051020000}"/>
    <cellStyle name="Normal 35 2" xfId="534" xr:uid="{00000000-0005-0000-0000-000052020000}"/>
    <cellStyle name="Normal 35 2 2" xfId="861" xr:uid="{00000000-0005-0000-0000-000053020000}"/>
    <cellStyle name="Normal 35 3" xfId="535" xr:uid="{00000000-0005-0000-0000-000054020000}"/>
    <cellStyle name="Normal 35 3 2" xfId="862" xr:uid="{00000000-0005-0000-0000-000055020000}"/>
    <cellStyle name="Normal 35 4" xfId="860" xr:uid="{00000000-0005-0000-0000-000056020000}"/>
    <cellStyle name="Normal 36" xfId="536" xr:uid="{00000000-0005-0000-0000-000057020000}"/>
    <cellStyle name="Normal 36 2" xfId="537" xr:uid="{00000000-0005-0000-0000-000058020000}"/>
    <cellStyle name="Normal 36 2 2" xfId="864" xr:uid="{00000000-0005-0000-0000-000059020000}"/>
    <cellStyle name="Normal 36 3" xfId="538" xr:uid="{00000000-0005-0000-0000-00005A020000}"/>
    <cellStyle name="Normal 36 3 2" xfId="865" xr:uid="{00000000-0005-0000-0000-00005B020000}"/>
    <cellStyle name="Normal 36 4" xfId="863" xr:uid="{00000000-0005-0000-0000-00005C020000}"/>
    <cellStyle name="Normal 37" xfId="539" xr:uid="{00000000-0005-0000-0000-00005D020000}"/>
    <cellStyle name="Normal 37 2" xfId="540" xr:uid="{00000000-0005-0000-0000-00005E020000}"/>
    <cellStyle name="Normal 37 2 2" xfId="867" xr:uid="{00000000-0005-0000-0000-00005F020000}"/>
    <cellStyle name="Normal 37 3" xfId="541" xr:uid="{00000000-0005-0000-0000-000060020000}"/>
    <cellStyle name="Normal 37 3 2" xfId="868" xr:uid="{00000000-0005-0000-0000-000061020000}"/>
    <cellStyle name="Normal 37 4" xfId="866" xr:uid="{00000000-0005-0000-0000-000062020000}"/>
    <cellStyle name="Normal 38" xfId="542" xr:uid="{00000000-0005-0000-0000-000063020000}"/>
    <cellStyle name="Normal 38 2" xfId="543" xr:uid="{00000000-0005-0000-0000-000064020000}"/>
    <cellStyle name="Normal 38 2 2" xfId="870" xr:uid="{00000000-0005-0000-0000-000065020000}"/>
    <cellStyle name="Normal 38 3" xfId="544" xr:uid="{00000000-0005-0000-0000-000066020000}"/>
    <cellStyle name="Normal 38 3 2" xfId="871" xr:uid="{00000000-0005-0000-0000-000067020000}"/>
    <cellStyle name="Normal 38 4" xfId="869" xr:uid="{00000000-0005-0000-0000-000068020000}"/>
    <cellStyle name="Normal 39" xfId="545" xr:uid="{00000000-0005-0000-0000-000069020000}"/>
    <cellStyle name="Normal 39 2" xfId="546" xr:uid="{00000000-0005-0000-0000-00006A020000}"/>
    <cellStyle name="Normal 39 2 2" xfId="873" xr:uid="{00000000-0005-0000-0000-00006B020000}"/>
    <cellStyle name="Normal 39 3" xfId="547" xr:uid="{00000000-0005-0000-0000-00006C020000}"/>
    <cellStyle name="Normal 39 3 2" xfId="874" xr:uid="{00000000-0005-0000-0000-00006D020000}"/>
    <cellStyle name="Normal 39 4" xfId="872" xr:uid="{00000000-0005-0000-0000-00006E020000}"/>
    <cellStyle name="Normal 4" xfId="23" xr:uid="{00000000-0005-0000-0000-00006F020000}"/>
    <cellStyle name="Normal 4 2" xfId="548" xr:uid="{00000000-0005-0000-0000-000070020000}"/>
    <cellStyle name="Normal 40" xfId="549" xr:uid="{00000000-0005-0000-0000-000071020000}"/>
    <cellStyle name="Normal 40 2" xfId="550" xr:uid="{00000000-0005-0000-0000-000072020000}"/>
    <cellStyle name="Normal 40 2 2" xfId="876" xr:uid="{00000000-0005-0000-0000-000073020000}"/>
    <cellStyle name="Normal 40 3" xfId="551" xr:uid="{00000000-0005-0000-0000-000074020000}"/>
    <cellStyle name="Normal 40 3 2" xfId="877" xr:uid="{00000000-0005-0000-0000-000075020000}"/>
    <cellStyle name="Normal 40 4" xfId="875" xr:uid="{00000000-0005-0000-0000-000076020000}"/>
    <cellStyle name="Normal 41" xfId="552" xr:uid="{00000000-0005-0000-0000-000077020000}"/>
    <cellStyle name="Normal 41 2" xfId="553" xr:uid="{00000000-0005-0000-0000-000078020000}"/>
    <cellStyle name="Normal 41 2 2" xfId="879" xr:uid="{00000000-0005-0000-0000-000079020000}"/>
    <cellStyle name="Normal 41 3" xfId="554" xr:uid="{00000000-0005-0000-0000-00007A020000}"/>
    <cellStyle name="Normal 41 3 2" xfId="880" xr:uid="{00000000-0005-0000-0000-00007B020000}"/>
    <cellStyle name="Normal 41 4" xfId="878" xr:uid="{00000000-0005-0000-0000-00007C020000}"/>
    <cellStyle name="Normal 42" xfId="555" xr:uid="{00000000-0005-0000-0000-00007D020000}"/>
    <cellStyle name="Normal 42 2" xfId="556" xr:uid="{00000000-0005-0000-0000-00007E020000}"/>
    <cellStyle name="Normal 42 2 2" xfId="882" xr:uid="{00000000-0005-0000-0000-00007F020000}"/>
    <cellStyle name="Normal 42 3" xfId="557" xr:uid="{00000000-0005-0000-0000-000080020000}"/>
    <cellStyle name="Normal 42 3 2" xfId="883" xr:uid="{00000000-0005-0000-0000-000081020000}"/>
    <cellStyle name="Normal 42 4" xfId="881" xr:uid="{00000000-0005-0000-0000-000082020000}"/>
    <cellStyle name="Normal 43" xfId="558" xr:uid="{00000000-0005-0000-0000-000083020000}"/>
    <cellStyle name="Normal 43 2" xfId="559" xr:uid="{00000000-0005-0000-0000-000084020000}"/>
    <cellStyle name="Normal 43 2 2" xfId="885" xr:uid="{00000000-0005-0000-0000-000085020000}"/>
    <cellStyle name="Normal 43 3" xfId="560" xr:uid="{00000000-0005-0000-0000-000086020000}"/>
    <cellStyle name="Normal 43 3 2" xfId="886" xr:uid="{00000000-0005-0000-0000-000087020000}"/>
    <cellStyle name="Normal 43 4" xfId="884" xr:uid="{00000000-0005-0000-0000-000088020000}"/>
    <cellStyle name="Normal 44" xfId="561" xr:uid="{00000000-0005-0000-0000-000089020000}"/>
    <cellStyle name="Normal 44 2" xfId="562" xr:uid="{00000000-0005-0000-0000-00008A020000}"/>
    <cellStyle name="Normal 44 2 2" xfId="888" xr:uid="{00000000-0005-0000-0000-00008B020000}"/>
    <cellStyle name="Normal 44 3" xfId="563" xr:uid="{00000000-0005-0000-0000-00008C020000}"/>
    <cellStyle name="Normal 44 3 2" xfId="889" xr:uid="{00000000-0005-0000-0000-00008D020000}"/>
    <cellStyle name="Normal 44 4" xfId="887" xr:uid="{00000000-0005-0000-0000-00008E020000}"/>
    <cellStyle name="Normal 45" xfId="564" xr:uid="{00000000-0005-0000-0000-00008F020000}"/>
    <cellStyle name="Normal 45 2" xfId="565" xr:uid="{00000000-0005-0000-0000-000090020000}"/>
    <cellStyle name="Normal 45 2 2" xfId="891" xr:uid="{00000000-0005-0000-0000-000091020000}"/>
    <cellStyle name="Normal 45 3" xfId="566" xr:uid="{00000000-0005-0000-0000-000092020000}"/>
    <cellStyle name="Normal 45 3 2" xfId="892" xr:uid="{00000000-0005-0000-0000-000093020000}"/>
    <cellStyle name="Normal 45 4" xfId="890" xr:uid="{00000000-0005-0000-0000-000094020000}"/>
    <cellStyle name="Normal 46" xfId="567" xr:uid="{00000000-0005-0000-0000-000095020000}"/>
    <cellStyle name="Normal 46 2" xfId="568" xr:uid="{00000000-0005-0000-0000-000096020000}"/>
    <cellStyle name="Normal 46 2 2" xfId="894" xr:uid="{00000000-0005-0000-0000-000097020000}"/>
    <cellStyle name="Normal 46 3" xfId="569" xr:uid="{00000000-0005-0000-0000-000098020000}"/>
    <cellStyle name="Normal 46 3 2" xfId="895" xr:uid="{00000000-0005-0000-0000-000099020000}"/>
    <cellStyle name="Normal 46 4" xfId="893" xr:uid="{00000000-0005-0000-0000-00009A020000}"/>
    <cellStyle name="Normal 47" xfId="570" xr:uid="{00000000-0005-0000-0000-00009B020000}"/>
    <cellStyle name="Normal 47 2" xfId="571" xr:uid="{00000000-0005-0000-0000-00009C020000}"/>
    <cellStyle name="Normal 47 2 2" xfId="897" xr:uid="{00000000-0005-0000-0000-00009D020000}"/>
    <cellStyle name="Normal 47 3" xfId="572" xr:uid="{00000000-0005-0000-0000-00009E020000}"/>
    <cellStyle name="Normal 47 3 2" xfId="898" xr:uid="{00000000-0005-0000-0000-00009F020000}"/>
    <cellStyle name="Normal 47 4" xfId="896" xr:uid="{00000000-0005-0000-0000-0000A0020000}"/>
    <cellStyle name="Normal 48" xfId="573" xr:uid="{00000000-0005-0000-0000-0000A1020000}"/>
    <cellStyle name="Normal 48 2" xfId="574" xr:uid="{00000000-0005-0000-0000-0000A2020000}"/>
    <cellStyle name="Normal 48 2 2" xfId="900" xr:uid="{00000000-0005-0000-0000-0000A3020000}"/>
    <cellStyle name="Normal 48 3" xfId="575" xr:uid="{00000000-0005-0000-0000-0000A4020000}"/>
    <cellStyle name="Normal 48 3 2" xfId="901" xr:uid="{00000000-0005-0000-0000-0000A5020000}"/>
    <cellStyle name="Normal 48 4" xfId="899" xr:uid="{00000000-0005-0000-0000-0000A6020000}"/>
    <cellStyle name="Normal 49" xfId="576" xr:uid="{00000000-0005-0000-0000-0000A7020000}"/>
    <cellStyle name="Normal 49 2" xfId="577" xr:uid="{00000000-0005-0000-0000-0000A8020000}"/>
    <cellStyle name="Normal 49 2 2" xfId="903" xr:uid="{00000000-0005-0000-0000-0000A9020000}"/>
    <cellStyle name="Normal 49 3" xfId="578" xr:uid="{00000000-0005-0000-0000-0000AA020000}"/>
    <cellStyle name="Normal 49 3 2" xfId="904" xr:uid="{00000000-0005-0000-0000-0000AB020000}"/>
    <cellStyle name="Normal 49 4" xfId="902" xr:uid="{00000000-0005-0000-0000-0000AC020000}"/>
    <cellStyle name="Normal 5" xfId="28" xr:uid="{00000000-0005-0000-0000-0000AD020000}"/>
    <cellStyle name="Normal 5 2" xfId="32" xr:uid="{00000000-0005-0000-0000-0000AE020000}"/>
    <cellStyle name="Normal 5 2 2" xfId="580" xr:uid="{00000000-0005-0000-0000-0000AF020000}"/>
    <cellStyle name="Normal 5 3" xfId="31" xr:uid="{00000000-0005-0000-0000-0000B0020000}"/>
    <cellStyle name="Normal 5 3 2" xfId="581" xr:uid="{00000000-0005-0000-0000-0000B1020000}"/>
    <cellStyle name="Normal 5 4" xfId="33" xr:uid="{00000000-0005-0000-0000-0000B2020000}"/>
    <cellStyle name="Normal 5 4 2" xfId="34" xr:uid="{00000000-0005-0000-0000-0000B3020000}"/>
    <cellStyle name="Normal 5 5" xfId="579" xr:uid="{00000000-0005-0000-0000-0000B4020000}"/>
    <cellStyle name="Normal 50" xfId="582" xr:uid="{00000000-0005-0000-0000-0000B5020000}"/>
    <cellStyle name="Normal 50 2" xfId="583" xr:uid="{00000000-0005-0000-0000-0000B6020000}"/>
    <cellStyle name="Normal 50 2 2" xfId="906" xr:uid="{00000000-0005-0000-0000-0000B7020000}"/>
    <cellStyle name="Normal 50 3" xfId="584" xr:uid="{00000000-0005-0000-0000-0000B8020000}"/>
    <cellStyle name="Normal 50 3 2" xfId="907" xr:uid="{00000000-0005-0000-0000-0000B9020000}"/>
    <cellStyle name="Normal 50 4" xfId="905" xr:uid="{00000000-0005-0000-0000-0000BA020000}"/>
    <cellStyle name="Normal 51" xfId="585" xr:uid="{00000000-0005-0000-0000-0000BB020000}"/>
    <cellStyle name="Normal 51 2" xfId="586" xr:uid="{00000000-0005-0000-0000-0000BC020000}"/>
    <cellStyle name="Normal 51 2 2" xfId="909" xr:uid="{00000000-0005-0000-0000-0000BD020000}"/>
    <cellStyle name="Normal 51 3" xfId="587" xr:uid="{00000000-0005-0000-0000-0000BE020000}"/>
    <cellStyle name="Normal 51 3 2" xfId="910" xr:uid="{00000000-0005-0000-0000-0000BF020000}"/>
    <cellStyle name="Normal 51 4" xfId="908" xr:uid="{00000000-0005-0000-0000-0000C0020000}"/>
    <cellStyle name="Normal 52" xfId="588" xr:uid="{00000000-0005-0000-0000-0000C1020000}"/>
    <cellStyle name="Normal 52 2" xfId="589" xr:uid="{00000000-0005-0000-0000-0000C2020000}"/>
    <cellStyle name="Normal 52 2 2" xfId="912" xr:uid="{00000000-0005-0000-0000-0000C3020000}"/>
    <cellStyle name="Normal 52 3" xfId="590" xr:uid="{00000000-0005-0000-0000-0000C4020000}"/>
    <cellStyle name="Normal 52 3 2" xfId="913" xr:uid="{00000000-0005-0000-0000-0000C5020000}"/>
    <cellStyle name="Normal 52 4" xfId="911" xr:uid="{00000000-0005-0000-0000-0000C6020000}"/>
    <cellStyle name="Normal 53" xfId="591" xr:uid="{00000000-0005-0000-0000-0000C7020000}"/>
    <cellStyle name="Normal 53 2" xfId="592" xr:uid="{00000000-0005-0000-0000-0000C8020000}"/>
    <cellStyle name="Normal 53 2 2" xfId="915" xr:uid="{00000000-0005-0000-0000-0000C9020000}"/>
    <cellStyle name="Normal 53 3" xfId="593" xr:uid="{00000000-0005-0000-0000-0000CA020000}"/>
    <cellStyle name="Normal 53 3 2" xfId="916" xr:uid="{00000000-0005-0000-0000-0000CB020000}"/>
    <cellStyle name="Normal 53 4" xfId="914" xr:uid="{00000000-0005-0000-0000-0000CC020000}"/>
    <cellStyle name="Normal 54" xfId="594" xr:uid="{00000000-0005-0000-0000-0000CD020000}"/>
    <cellStyle name="Normal 54 2" xfId="595" xr:uid="{00000000-0005-0000-0000-0000CE020000}"/>
    <cellStyle name="Normal 54 2 2" xfId="918" xr:uid="{00000000-0005-0000-0000-0000CF020000}"/>
    <cellStyle name="Normal 54 3" xfId="596" xr:uid="{00000000-0005-0000-0000-0000D0020000}"/>
    <cellStyle name="Normal 54 3 2" xfId="919" xr:uid="{00000000-0005-0000-0000-0000D1020000}"/>
    <cellStyle name="Normal 54 4" xfId="917" xr:uid="{00000000-0005-0000-0000-0000D2020000}"/>
    <cellStyle name="Normal 55" xfId="597" xr:uid="{00000000-0005-0000-0000-0000D3020000}"/>
    <cellStyle name="Normal 55 2" xfId="598" xr:uid="{00000000-0005-0000-0000-0000D4020000}"/>
    <cellStyle name="Normal 55 2 2" xfId="921" xr:uid="{00000000-0005-0000-0000-0000D5020000}"/>
    <cellStyle name="Normal 55 3" xfId="599" xr:uid="{00000000-0005-0000-0000-0000D6020000}"/>
    <cellStyle name="Normal 55 3 2" xfId="922" xr:uid="{00000000-0005-0000-0000-0000D7020000}"/>
    <cellStyle name="Normal 55 4" xfId="920" xr:uid="{00000000-0005-0000-0000-0000D8020000}"/>
    <cellStyle name="Normal 56" xfId="600" xr:uid="{00000000-0005-0000-0000-0000D9020000}"/>
    <cellStyle name="Normal 56 2" xfId="601" xr:uid="{00000000-0005-0000-0000-0000DA020000}"/>
    <cellStyle name="Normal 56 2 2" xfId="924" xr:uid="{00000000-0005-0000-0000-0000DB020000}"/>
    <cellStyle name="Normal 56 3" xfId="602" xr:uid="{00000000-0005-0000-0000-0000DC020000}"/>
    <cellStyle name="Normal 56 3 2" xfId="925" xr:uid="{00000000-0005-0000-0000-0000DD020000}"/>
    <cellStyle name="Normal 56 4" xfId="923" xr:uid="{00000000-0005-0000-0000-0000DE020000}"/>
    <cellStyle name="Normal 57" xfId="603" xr:uid="{00000000-0005-0000-0000-0000DF020000}"/>
    <cellStyle name="Normal 57 2" xfId="604" xr:uid="{00000000-0005-0000-0000-0000E0020000}"/>
    <cellStyle name="Normal 57 2 2" xfId="927" xr:uid="{00000000-0005-0000-0000-0000E1020000}"/>
    <cellStyle name="Normal 57 3" xfId="605" xr:uid="{00000000-0005-0000-0000-0000E2020000}"/>
    <cellStyle name="Normal 57 3 2" xfId="928" xr:uid="{00000000-0005-0000-0000-0000E3020000}"/>
    <cellStyle name="Normal 57 4" xfId="926" xr:uid="{00000000-0005-0000-0000-0000E4020000}"/>
    <cellStyle name="Normal 58" xfId="606" xr:uid="{00000000-0005-0000-0000-0000E5020000}"/>
    <cellStyle name="Normal 58 2" xfId="607" xr:uid="{00000000-0005-0000-0000-0000E6020000}"/>
    <cellStyle name="Normal 58 2 2" xfId="930" xr:uid="{00000000-0005-0000-0000-0000E7020000}"/>
    <cellStyle name="Normal 58 3" xfId="608" xr:uid="{00000000-0005-0000-0000-0000E8020000}"/>
    <cellStyle name="Normal 58 3 2" xfId="931" xr:uid="{00000000-0005-0000-0000-0000E9020000}"/>
    <cellStyle name="Normal 58 4" xfId="929" xr:uid="{00000000-0005-0000-0000-0000EA020000}"/>
    <cellStyle name="Normal 59" xfId="609" xr:uid="{00000000-0005-0000-0000-0000EB020000}"/>
    <cellStyle name="Normal 59 2" xfId="610" xr:uid="{00000000-0005-0000-0000-0000EC020000}"/>
    <cellStyle name="Normal 59 2 2" xfId="933" xr:uid="{00000000-0005-0000-0000-0000ED020000}"/>
    <cellStyle name="Normal 59 3" xfId="611" xr:uid="{00000000-0005-0000-0000-0000EE020000}"/>
    <cellStyle name="Normal 59 3 2" xfId="934" xr:uid="{00000000-0005-0000-0000-0000EF020000}"/>
    <cellStyle name="Normal 59 4" xfId="932" xr:uid="{00000000-0005-0000-0000-0000F0020000}"/>
    <cellStyle name="Normal 6" xfId="36" xr:uid="{00000000-0005-0000-0000-0000F1020000}"/>
    <cellStyle name="Normal 60" xfId="612" xr:uid="{00000000-0005-0000-0000-0000F2020000}"/>
    <cellStyle name="Normal 60 2" xfId="613" xr:uid="{00000000-0005-0000-0000-0000F3020000}"/>
    <cellStyle name="Normal 60 2 2" xfId="936" xr:uid="{00000000-0005-0000-0000-0000F4020000}"/>
    <cellStyle name="Normal 60 3" xfId="614" xr:uid="{00000000-0005-0000-0000-0000F5020000}"/>
    <cellStyle name="Normal 60 3 2" xfId="937" xr:uid="{00000000-0005-0000-0000-0000F6020000}"/>
    <cellStyle name="Normal 60 4" xfId="935" xr:uid="{00000000-0005-0000-0000-0000F7020000}"/>
    <cellStyle name="Normal 61" xfId="615" xr:uid="{00000000-0005-0000-0000-0000F8020000}"/>
    <cellStyle name="Normal 61 2" xfId="616" xr:uid="{00000000-0005-0000-0000-0000F9020000}"/>
    <cellStyle name="Normal 61 2 2" xfId="939" xr:uid="{00000000-0005-0000-0000-0000FA020000}"/>
    <cellStyle name="Normal 61 3" xfId="617" xr:uid="{00000000-0005-0000-0000-0000FB020000}"/>
    <cellStyle name="Normal 61 3 2" xfId="940" xr:uid="{00000000-0005-0000-0000-0000FC020000}"/>
    <cellStyle name="Normal 61 4" xfId="938" xr:uid="{00000000-0005-0000-0000-0000FD020000}"/>
    <cellStyle name="Normal 62" xfId="618" xr:uid="{00000000-0005-0000-0000-0000FE020000}"/>
    <cellStyle name="Normal 62 2" xfId="619" xr:uid="{00000000-0005-0000-0000-0000FF020000}"/>
    <cellStyle name="Normal 62 2 2" xfId="942" xr:uid="{00000000-0005-0000-0000-000000030000}"/>
    <cellStyle name="Normal 62 3" xfId="620" xr:uid="{00000000-0005-0000-0000-000001030000}"/>
    <cellStyle name="Normal 62 3 2" xfId="943" xr:uid="{00000000-0005-0000-0000-000002030000}"/>
    <cellStyle name="Normal 62 4" xfId="941" xr:uid="{00000000-0005-0000-0000-000003030000}"/>
    <cellStyle name="Normal 63" xfId="621" xr:uid="{00000000-0005-0000-0000-000004030000}"/>
    <cellStyle name="Normal 63 2" xfId="622" xr:uid="{00000000-0005-0000-0000-000005030000}"/>
    <cellStyle name="Normal 63 2 2" xfId="945" xr:uid="{00000000-0005-0000-0000-000006030000}"/>
    <cellStyle name="Normal 63 3" xfId="623" xr:uid="{00000000-0005-0000-0000-000007030000}"/>
    <cellStyle name="Normal 63 3 2" xfId="946" xr:uid="{00000000-0005-0000-0000-000008030000}"/>
    <cellStyle name="Normal 63 4" xfId="944" xr:uid="{00000000-0005-0000-0000-000009030000}"/>
    <cellStyle name="Normal 64" xfId="624" xr:uid="{00000000-0005-0000-0000-00000A030000}"/>
    <cellStyle name="Normal 64 2" xfId="625" xr:uid="{00000000-0005-0000-0000-00000B030000}"/>
    <cellStyle name="Normal 64 2 2" xfId="948" xr:uid="{00000000-0005-0000-0000-00000C030000}"/>
    <cellStyle name="Normal 64 3" xfId="626" xr:uid="{00000000-0005-0000-0000-00000D030000}"/>
    <cellStyle name="Normal 64 3 2" xfId="949" xr:uid="{00000000-0005-0000-0000-00000E030000}"/>
    <cellStyle name="Normal 64 4" xfId="947" xr:uid="{00000000-0005-0000-0000-00000F030000}"/>
    <cellStyle name="Normal 65" xfId="627" xr:uid="{00000000-0005-0000-0000-000010030000}"/>
    <cellStyle name="Normal 65 2" xfId="628" xr:uid="{00000000-0005-0000-0000-000011030000}"/>
    <cellStyle name="Normal 65 2 2" xfId="951" xr:uid="{00000000-0005-0000-0000-000012030000}"/>
    <cellStyle name="Normal 65 3" xfId="629" xr:uid="{00000000-0005-0000-0000-000013030000}"/>
    <cellStyle name="Normal 65 3 2" xfId="952" xr:uid="{00000000-0005-0000-0000-000014030000}"/>
    <cellStyle name="Normal 65 4" xfId="950" xr:uid="{00000000-0005-0000-0000-000015030000}"/>
    <cellStyle name="Normal 66" xfId="630" xr:uid="{00000000-0005-0000-0000-000016030000}"/>
    <cellStyle name="Normal 66 2" xfId="631" xr:uid="{00000000-0005-0000-0000-000017030000}"/>
    <cellStyle name="Normal 66 2 2" xfId="954" xr:uid="{00000000-0005-0000-0000-000018030000}"/>
    <cellStyle name="Normal 66 3" xfId="632" xr:uid="{00000000-0005-0000-0000-000019030000}"/>
    <cellStyle name="Normal 66 3 2" xfId="955" xr:uid="{00000000-0005-0000-0000-00001A030000}"/>
    <cellStyle name="Normal 66 4" xfId="953" xr:uid="{00000000-0005-0000-0000-00001B030000}"/>
    <cellStyle name="Normal 67" xfId="633" xr:uid="{00000000-0005-0000-0000-00001C030000}"/>
    <cellStyle name="Normal 67 2" xfId="634" xr:uid="{00000000-0005-0000-0000-00001D030000}"/>
    <cellStyle name="Normal 67 2 2" xfId="957" xr:uid="{00000000-0005-0000-0000-00001E030000}"/>
    <cellStyle name="Normal 67 3" xfId="635" xr:uid="{00000000-0005-0000-0000-00001F030000}"/>
    <cellStyle name="Normal 67 3 2" xfId="958" xr:uid="{00000000-0005-0000-0000-000020030000}"/>
    <cellStyle name="Normal 67 4" xfId="956" xr:uid="{00000000-0005-0000-0000-000021030000}"/>
    <cellStyle name="Normal 68" xfId="636" xr:uid="{00000000-0005-0000-0000-000022030000}"/>
    <cellStyle name="Normal 68 2" xfId="637" xr:uid="{00000000-0005-0000-0000-000023030000}"/>
    <cellStyle name="Normal 68 2 2" xfId="960" xr:uid="{00000000-0005-0000-0000-000024030000}"/>
    <cellStyle name="Normal 68 3" xfId="638" xr:uid="{00000000-0005-0000-0000-000025030000}"/>
    <cellStyle name="Normal 68 3 2" xfId="961" xr:uid="{00000000-0005-0000-0000-000026030000}"/>
    <cellStyle name="Normal 68 4" xfId="959" xr:uid="{00000000-0005-0000-0000-000027030000}"/>
    <cellStyle name="Normal 69" xfId="639" xr:uid="{00000000-0005-0000-0000-000028030000}"/>
    <cellStyle name="Normal 69 2" xfId="640" xr:uid="{00000000-0005-0000-0000-000029030000}"/>
    <cellStyle name="Normal 69 2 2" xfId="963" xr:uid="{00000000-0005-0000-0000-00002A030000}"/>
    <cellStyle name="Normal 69 3" xfId="641" xr:uid="{00000000-0005-0000-0000-00002B030000}"/>
    <cellStyle name="Normal 69 3 2" xfId="964" xr:uid="{00000000-0005-0000-0000-00002C030000}"/>
    <cellStyle name="Normal 69 4" xfId="962" xr:uid="{00000000-0005-0000-0000-00002D030000}"/>
    <cellStyle name="Normal 7" xfId="6" xr:uid="{00000000-0005-0000-0000-00002E030000}"/>
    <cellStyle name="Normal 7 2" xfId="1018" xr:uid="{00000000-0005-0000-0000-00002F030000}"/>
    <cellStyle name="Normal 70" xfId="642" xr:uid="{00000000-0005-0000-0000-000030030000}"/>
    <cellStyle name="Normal 70 2" xfId="643" xr:uid="{00000000-0005-0000-0000-000031030000}"/>
    <cellStyle name="Normal 70 2 2" xfId="966" xr:uid="{00000000-0005-0000-0000-000032030000}"/>
    <cellStyle name="Normal 70 3" xfId="644" xr:uid="{00000000-0005-0000-0000-000033030000}"/>
    <cellStyle name="Normal 70 3 2" xfId="967" xr:uid="{00000000-0005-0000-0000-000034030000}"/>
    <cellStyle name="Normal 70 4" xfId="965" xr:uid="{00000000-0005-0000-0000-000035030000}"/>
    <cellStyle name="Normal 71" xfId="645" xr:uid="{00000000-0005-0000-0000-000036030000}"/>
    <cellStyle name="Normal 71 2" xfId="646" xr:uid="{00000000-0005-0000-0000-000037030000}"/>
    <cellStyle name="Normal 71 2 2" xfId="969" xr:uid="{00000000-0005-0000-0000-000038030000}"/>
    <cellStyle name="Normal 71 3" xfId="647" xr:uid="{00000000-0005-0000-0000-000039030000}"/>
    <cellStyle name="Normal 71 3 2" xfId="970" xr:uid="{00000000-0005-0000-0000-00003A030000}"/>
    <cellStyle name="Normal 71 4" xfId="968" xr:uid="{00000000-0005-0000-0000-00003B030000}"/>
    <cellStyle name="Normal 72" xfId="648" xr:uid="{00000000-0005-0000-0000-00003C030000}"/>
    <cellStyle name="Normal 72 2" xfId="649" xr:uid="{00000000-0005-0000-0000-00003D030000}"/>
    <cellStyle name="Normal 72 2 2" xfId="972" xr:uid="{00000000-0005-0000-0000-00003E030000}"/>
    <cellStyle name="Normal 72 3" xfId="650" xr:uid="{00000000-0005-0000-0000-00003F030000}"/>
    <cellStyle name="Normal 72 3 2" xfId="973" xr:uid="{00000000-0005-0000-0000-000040030000}"/>
    <cellStyle name="Normal 72 4" xfId="971" xr:uid="{00000000-0005-0000-0000-000041030000}"/>
    <cellStyle name="Normal 73" xfId="651" xr:uid="{00000000-0005-0000-0000-000042030000}"/>
    <cellStyle name="Normal 73 2" xfId="652" xr:uid="{00000000-0005-0000-0000-000043030000}"/>
    <cellStyle name="Normal 73 2 2" xfId="975" xr:uid="{00000000-0005-0000-0000-000044030000}"/>
    <cellStyle name="Normal 73 3" xfId="653" xr:uid="{00000000-0005-0000-0000-000045030000}"/>
    <cellStyle name="Normal 73 3 2" xfId="976" xr:uid="{00000000-0005-0000-0000-000046030000}"/>
    <cellStyle name="Normal 73 4" xfId="974" xr:uid="{00000000-0005-0000-0000-000047030000}"/>
    <cellStyle name="Normal 74" xfId="654" xr:uid="{00000000-0005-0000-0000-000048030000}"/>
    <cellStyle name="Normal 74 2" xfId="655" xr:uid="{00000000-0005-0000-0000-000049030000}"/>
    <cellStyle name="Normal 74 2 2" xfId="978" xr:uid="{00000000-0005-0000-0000-00004A030000}"/>
    <cellStyle name="Normal 74 3" xfId="656" xr:uid="{00000000-0005-0000-0000-00004B030000}"/>
    <cellStyle name="Normal 74 3 2" xfId="979" xr:uid="{00000000-0005-0000-0000-00004C030000}"/>
    <cellStyle name="Normal 74 4" xfId="977" xr:uid="{00000000-0005-0000-0000-00004D030000}"/>
    <cellStyle name="Normal 75" xfId="657" xr:uid="{00000000-0005-0000-0000-00004E030000}"/>
    <cellStyle name="Normal 75 2" xfId="658" xr:uid="{00000000-0005-0000-0000-00004F030000}"/>
    <cellStyle name="Normal 75 2 2" xfId="981" xr:uid="{00000000-0005-0000-0000-000050030000}"/>
    <cellStyle name="Normal 75 3" xfId="659" xr:uid="{00000000-0005-0000-0000-000051030000}"/>
    <cellStyle name="Normal 75 3 2" xfId="982" xr:uid="{00000000-0005-0000-0000-000052030000}"/>
    <cellStyle name="Normal 75 4" xfId="980" xr:uid="{00000000-0005-0000-0000-000053030000}"/>
    <cellStyle name="Normal 76" xfId="660" xr:uid="{00000000-0005-0000-0000-000054030000}"/>
    <cellStyle name="Normal 76 2" xfId="661" xr:uid="{00000000-0005-0000-0000-000055030000}"/>
    <cellStyle name="Normal 76 2 2" xfId="984" xr:uid="{00000000-0005-0000-0000-000056030000}"/>
    <cellStyle name="Normal 76 3" xfId="662" xr:uid="{00000000-0005-0000-0000-000057030000}"/>
    <cellStyle name="Normal 76 3 2" xfId="985" xr:uid="{00000000-0005-0000-0000-000058030000}"/>
    <cellStyle name="Normal 76 4" xfId="983" xr:uid="{00000000-0005-0000-0000-000059030000}"/>
    <cellStyle name="Normal 77" xfId="663" xr:uid="{00000000-0005-0000-0000-00005A030000}"/>
    <cellStyle name="Normal 77 2" xfId="664" xr:uid="{00000000-0005-0000-0000-00005B030000}"/>
    <cellStyle name="Normal 77 2 2" xfId="987" xr:uid="{00000000-0005-0000-0000-00005C030000}"/>
    <cellStyle name="Normal 77 3" xfId="665" xr:uid="{00000000-0005-0000-0000-00005D030000}"/>
    <cellStyle name="Normal 77 3 2" xfId="988" xr:uid="{00000000-0005-0000-0000-00005E030000}"/>
    <cellStyle name="Normal 77 4" xfId="986" xr:uid="{00000000-0005-0000-0000-00005F030000}"/>
    <cellStyle name="Normal 78" xfId="666" xr:uid="{00000000-0005-0000-0000-000060030000}"/>
    <cellStyle name="Normal 78 2" xfId="667" xr:uid="{00000000-0005-0000-0000-000061030000}"/>
    <cellStyle name="Normal 78 2 2" xfId="990" xr:uid="{00000000-0005-0000-0000-000062030000}"/>
    <cellStyle name="Normal 78 3" xfId="668" xr:uid="{00000000-0005-0000-0000-000063030000}"/>
    <cellStyle name="Normal 78 3 2" xfId="991" xr:uid="{00000000-0005-0000-0000-000064030000}"/>
    <cellStyle name="Normal 78 4" xfId="989" xr:uid="{00000000-0005-0000-0000-000065030000}"/>
    <cellStyle name="Normal 79" xfId="669" xr:uid="{00000000-0005-0000-0000-000066030000}"/>
    <cellStyle name="Normal 79 2" xfId="670" xr:uid="{00000000-0005-0000-0000-000067030000}"/>
    <cellStyle name="Normal 79 2 2" xfId="993" xr:uid="{00000000-0005-0000-0000-000068030000}"/>
    <cellStyle name="Normal 79 3" xfId="671" xr:uid="{00000000-0005-0000-0000-000069030000}"/>
    <cellStyle name="Normal 79 3 2" xfId="994" xr:uid="{00000000-0005-0000-0000-00006A030000}"/>
    <cellStyle name="Normal 79 4" xfId="992" xr:uid="{00000000-0005-0000-0000-00006B030000}"/>
    <cellStyle name="Normal 80" xfId="672" xr:uid="{00000000-0005-0000-0000-00006C030000}"/>
    <cellStyle name="Normal 80 2" xfId="673" xr:uid="{00000000-0005-0000-0000-00006D030000}"/>
    <cellStyle name="Normal 80 2 2" xfId="996" xr:uid="{00000000-0005-0000-0000-00006E030000}"/>
    <cellStyle name="Normal 80 3" xfId="674" xr:uid="{00000000-0005-0000-0000-00006F030000}"/>
    <cellStyle name="Normal 80 3 2" xfId="997" xr:uid="{00000000-0005-0000-0000-000070030000}"/>
    <cellStyle name="Normal 80 4" xfId="995" xr:uid="{00000000-0005-0000-0000-000071030000}"/>
    <cellStyle name="Normal 81" xfId="675" xr:uid="{00000000-0005-0000-0000-000072030000}"/>
    <cellStyle name="Normal 81 2" xfId="676" xr:uid="{00000000-0005-0000-0000-000073030000}"/>
    <cellStyle name="Normal 81 2 2" xfId="999" xr:uid="{00000000-0005-0000-0000-000074030000}"/>
    <cellStyle name="Normal 81 3" xfId="677" xr:uid="{00000000-0005-0000-0000-000075030000}"/>
    <cellStyle name="Normal 81 3 2" xfId="1000" xr:uid="{00000000-0005-0000-0000-000076030000}"/>
    <cellStyle name="Normal 81 4" xfId="998" xr:uid="{00000000-0005-0000-0000-000077030000}"/>
    <cellStyle name="Normal 82" xfId="678" xr:uid="{00000000-0005-0000-0000-000078030000}"/>
    <cellStyle name="Normal 82 2" xfId="679" xr:uid="{00000000-0005-0000-0000-000079030000}"/>
    <cellStyle name="Normal 82 2 2" xfId="1002" xr:uid="{00000000-0005-0000-0000-00007A030000}"/>
    <cellStyle name="Normal 82 3" xfId="680" xr:uid="{00000000-0005-0000-0000-00007B030000}"/>
    <cellStyle name="Normal 82 3 2" xfId="1003" xr:uid="{00000000-0005-0000-0000-00007C030000}"/>
    <cellStyle name="Normal 82 4" xfId="1001" xr:uid="{00000000-0005-0000-0000-00007D030000}"/>
    <cellStyle name="Normal 83" xfId="681" xr:uid="{00000000-0005-0000-0000-00007E030000}"/>
    <cellStyle name="Normal 83 2" xfId="682" xr:uid="{00000000-0005-0000-0000-00007F030000}"/>
    <cellStyle name="Normal 83 2 2" xfId="1005" xr:uid="{00000000-0005-0000-0000-000080030000}"/>
    <cellStyle name="Normal 83 3" xfId="683" xr:uid="{00000000-0005-0000-0000-000081030000}"/>
    <cellStyle name="Normal 83 3 2" xfId="1006" xr:uid="{00000000-0005-0000-0000-000082030000}"/>
    <cellStyle name="Normal 83 4" xfId="1004" xr:uid="{00000000-0005-0000-0000-000083030000}"/>
    <cellStyle name="Normal 84" xfId="684" xr:uid="{00000000-0005-0000-0000-000084030000}"/>
    <cellStyle name="Normal 84 2" xfId="685" xr:uid="{00000000-0005-0000-0000-000085030000}"/>
    <cellStyle name="Normal 84 2 2" xfId="1008" xr:uid="{00000000-0005-0000-0000-000086030000}"/>
    <cellStyle name="Normal 84 3" xfId="686" xr:uid="{00000000-0005-0000-0000-000087030000}"/>
    <cellStyle name="Normal 84 3 2" xfId="1009" xr:uid="{00000000-0005-0000-0000-000088030000}"/>
    <cellStyle name="Normal 84 4" xfId="1007" xr:uid="{00000000-0005-0000-0000-000089030000}"/>
    <cellStyle name="Normal 85" xfId="687" xr:uid="{00000000-0005-0000-0000-00008A030000}"/>
    <cellStyle name="Normal 85 2" xfId="688" xr:uid="{00000000-0005-0000-0000-00008B030000}"/>
    <cellStyle name="Normal 85 2 2" xfId="1011" xr:uid="{00000000-0005-0000-0000-00008C030000}"/>
    <cellStyle name="Normal 85 3" xfId="689" xr:uid="{00000000-0005-0000-0000-00008D030000}"/>
    <cellStyle name="Normal 85 3 2" xfId="1012" xr:uid="{00000000-0005-0000-0000-00008E030000}"/>
    <cellStyle name="Normal 85 4" xfId="1010" xr:uid="{00000000-0005-0000-0000-00008F030000}"/>
    <cellStyle name="Normal 86" xfId="690" xr:uid="{00000000-0005-0000-0000-000090030000}"/>
    <cellStyle name="Normal 86 2" xfId="691" xr:uid="{00000000-0005-0000-0000-000091030000}"/>
    <cellStyle name="Normal 86 2 2" xfId="1014" xr:uid="{00000000-0005-0000-0000-000092030000}"/>
    <cellStyle name="Normal 86 3" xfId="692" xr:uid="{00000000-0005-0000-0000-000093030000}"/>
    <cellStyle name="Normal 86 3 2" xfId="1015" xr:uid="{00000000-0005-0000-0000-000094030000}"/>
    <cellStyle name="Normal 86 4" xfId="1013" xr:uid="{00000000-0005-0000-0000-000095030000}"/>
    <cellStyle name="Normal_maximum vacancy" xfId="13" xr:uid="{00000000-0005-0000-0000-000096030000}"/>
    <cellStyle name="Note 10" xfId="694" xr:uid="{00000000-0005-0000-0000-000097030000}"/>
    <cellStyle name="Note 10 2" xfId="695" xr:uid="{00000000-0005-0000-0000-000098030000}"/>
    <cellStyle name="Note 10 3" xfId="696" xr:uid="{00000000-0005-0000-0000-000099030000}"/>
    <cellStyle name="Note 11" xfId="697" xr:uid="{00000000-0005-0000-0000-00009A030000}"/>
    <cellStyle name="Note 11 2" xfId="698" xr:uid="{00000000-0005-0000-0000-00009B030000}"/>
    <cellStyle name="Note 11 3" xfId="699" xr:uid="{00000000-0005-0000-0000-00009C030000}"/>
    <cellStyle name="Note 12" xfId="700" xr:uid="{00000000-0005-0000-0000-00009D030000}"/>
    <cellStyle name="Note 12 2" xfId="701" xr:uid="{00000000-0005-0000-0000-00009E030000}"/>
    <cellStyle name="Note 12 3" xfId="702" xr:uid="{00000000-0005-0000-0000-00009F030000}"/>
    <cellStyle name="Note 13" xfId="703" xr:uid="{00000000-0005-0000-0000-0000A0030000}"/>
    <cellStyle name="Note 13 2" xfId="704" xr:uid="{00000000-0005-0000-0000-0000A1030000}"/>
    <cellStyle name="Note 13 3" xfId="705" xr:uid="{00000000-0005-0000-0000-0000A2030000}"/>
    <cellStyle name="Note 14" xfId="706" xr:uid="{00000000-0005-0000-0000-0000A3030000}"/>
    <cellStyle name="Note 14 2" xfId="707" xr:uid="{00000000-0005-0000-0000-0000A4030000}"/>
    <cellStyle name="Note 14 3" xfId="708" xr:uid="{00000000-0005-0000-0000-0000A5030000}"/>
    <cellStyle name="Note 15" xfId="693" xr:uid="{00000000-0005-0000-0000-0000A6030000}"/>
    <cellStyle name="Note 2" xfId="709" xr:uid="{00000000-0005-0000-0000-0000A7030000}"/>
    <cellStyle name="Note 2 10" xfId="710" xr:uid="{00000000-0005-0000-0000-0000A8030000}"/>
    <cellStyle name="Note 2 10 2" xfId="711" xr:uid="{00000000-0005-0000-0000-0000A9030000}"/>
    <cellStyle name="Note 2 10 3" xfId="712" xr:uid="{00000000-0005-0000-0000-0000AA030000}"/>
    <cellStyle name="Note 2 11" xfId="713" xr:uid="{00000000-0005-0000-0000-0000AB030000}"/>
    <cellStyle name="Note 2 11 2" xfId="714" xr:uid="{00000000-0005-0000-0000-0000AC030000}"/>
    <cellStyle name="Note 2 11 3" xfId="715" xr:uid="{00000000-0005-0000-0000-0000AD030000}"/>
    <cellStyle name="Note 2 12" xfId="716" xr:uid="{00000000-0005-0000-0000-0000AE030000}"/>
    <cellStyle name="Note 2 12 2" xfId="717" xr:uid="{00000000-0005-0000-0000-0000AF030000}"/>
    <cellStyle name="Note 2 12 3" xfId="718" xr:uid="{00000000-0005-0000-0000-0000B0030000}"/>
    <cellStyle name="Note 2 13" xfId="719" xr:uid="{00000000-0005-0000-0000-0000B1030000}"/>
    <cellStyle name="Note 2 13 2" xfId="720" xr:uid="{00000000-0005-0000-0000-0000B2030000}"/>
    <cellStyle name="Note 2 13 3" xfId="721" xr:uid="{00000000-0005-0000-0000-0000B3030000}"/>
    <cellStyle name="Note 2 14" xfId="722" xr:uid="{00000000-0005-0000-0000-0000B4030000}"/>
    <cellStyle name="Note 2 14 2" xfId="723" xr:uid="{00000000-0005-0000-0000-0000B5030000}"/>
    <cellStyle name="Note 2 14 3" xfId="724" xr:uid="{00000000-0005-0000-0000-0000B6030000}"/>
    <cellStyle name="Note 2 15" xfId="725" xr:uid="{00000000-0005-0000-0000-0000B7030000}"/>
    <cellStyle name="Note 2 16" xfId="726" xr:uid="{00000000-0005-0000-0000-0000B8030000}"/>
    <cellStyle name="Note 2 2" xfId="727" xr:uid="{00000000-0005-0000-0000-0000B9030000}"/>
    <cellStyle name="Note 2 2 2" xfId="728" xr:uid="{00000000-0005-0000-0000-0000BA030000}"/>
    <cellStyle name="Note 2 2 3" xfId="729" xr:uid="{00000000-0005-0000-0000-0000BB030000}"/>
    <cellStyle name="Note 2 3" xfId="730" xr:uid="{00000000-0005-0000-0000-0000BC030000}"/>
    <cellStyle name="Note 2 3 2" xfId="731" xr:uid="{00000000-0005-0000-0000-0000BD030000}"/>
    <cellStyle name="Note 2 3 3" xfId="732" xr:uid="{00000000-0005-0000-0000-0000BE030000}"/>
    <cellStyle name="Note 2 4" xfId="733" xr:uid="{00000000-0005-0000-0000-0000BF030000}"/>
    <cellStyle name="Note 2 4 2" xfId="734" xr:uid="{00000000-0005-0000-0000-0000C0030000}"/>
    <cellStyle name="Note 2 4 3" xfId="735" xr:uid="{00000000-0005-0000-0000-0000C1030000}"/>
    <cellStyle name="Note 2 5" xfId="736" xr:uid="{00000000-0005-0000-0000-0000C2030000}"/>
    <cellStyle name="Note 2 5 2" xfId="737" xr:uid="{00000000-0005-0000-0000-0000C3030000}"/>
    <cellStyle name="Note 2 5 3" xfId="738" xr:uid="{00000000-0005-0000-0000-0000C4030000}"/>
    <cellStyle name="Note 2 6" xfId="739" xr:uid="{00000000-0005-0000-0000-0000C5030000}"/>
    <cellStyle name="Note 2 6 2" xfId="740" xr:uid="{00000000-0005-0000-0000-0000C6030000}"/>
    <cellStyle name="Note 2 6 3" xfId="741" xr:uid="{00000000-0005-0000-0000-0000C7030000}"/>
    <cellStyle name="Note 2 7" xfId="742" xr:uid="{00000000-0005-0000-0000-0000C8030000}"/>
    <cellStyle name="Note 2 7 2" xfId="743" xr:uid="{00000000-0005-0000-0000-0000C9030000}"/>
    <cellStyle name="Note 2 7 3" xfId="744" xr:uid="{00000000-0005-0000-0000-0000CA030000}"/>
    <cellStyle name="Note 2 8" xfId="745" xr:uid="{00000000-0005-0000-0000-0000CB030000}"/>
    <cellStyle name="Note 2 8 2" xfId="746" xr:uid="{00000000-0005-0000-0000-0000CC030000}"/>
    <cellStyle name="Note 2 8 3" xfId="747" xr:uid="{00000000-0005-0000-0000-0000CD030000}"/>
    <cellStyle name="Note 2 9" xfId="748" xr:uid="{00000000-0005-0000-0000-0000CE030000}"/>
    <cellStyle name="Note 2 9 2" xfId="749" xr:uid="{00000000-0005-0000-0000-0000CF030000}"/>
    <cellStyle name="Note 2 9 3" xfId="750" xr:uid="{00000000-0005-0000-0000-0000D0030000}"/>
    <cellStyle name="Note 3" xfId="751" xr:uid="{00000000-0005-0000-0000-0000D1030000}"/>
    <cellStyle name="Note 3 2" xfId="752" xr:uid="{00000000-0005-0000-0000-0000D2030000}"/>
    <cellStyle name="Note 3 2 2" xfId="753" xr:uid="{00000000-0005-0000-0000-0000D3030000}"/>
    <cellStyle name="Note 3 2 3" xfId="754" xr:uid="{00000000-0005-0000-0000-0000D4030000}"/>
    <cellStyle name="Note 3 3" xfId="755" xr:uid="{00000000-0005-0000-0000-0000D5030000}"/>
    <cellStyle name="Note 3 3 2" xfId="756" xr:uid="{00000000-0005-0000-0000-0000D6030000}"/>
    <cellStyle name="Note 3 3 3" xfId="757" xr:uid="{00000000-0005-0000-0000-0000D7030000}"/>
    <cellStyle name="Note 3 4" xfId="758" xr:uid="{00000000-0005-0000-0000-0000D8030000}"/>
    <cellStyle name="Note 3 4 2" xfId="759" xr:uid="{00000000-0005-0000-0000-0000D9030000}"/>
    <cellStyle name="Note 3 4 3" xfId="760" xr:uid="{00000000-0005-0000-0000-0000DA030000}"/>
    <cellStyle name="Note 3 5" xfId="761" xr:uid="{00000000-0005-0000-0000-0000DB030000}"/>
    <cellStyle name="Note 3 6" xfId="762" xr:uid="{00000000-0005-0000-0000-0000DC030000}"/>
    <cellStyle name="Note 4" xfId="763" xr:uid="{00000000-0005-0000-0000-0000DD030000}"/>
    <cellStyle name="Note 4 2" xfId="764" xr:uid="{00000000-0005-0000-0000-0000DE030000}"/>
    <cellStyle name="Note 4 3" xfId="765" xr:uid="{00000000-0005-0000-0000-0000DF030000}"/>
    <cellStyle name="Note 5" xfId="766" xr:uid="{00000000-0005-0000-0000-0000E0030000}"/>
    <cellStyle name="Note 5 2" xfId="767" xr:uid="{00000000-0005-0000-0000-0000E1030000}"/>
    <cellStyle name="Note 5 3" xfId="768" xr:uid="{00000000-0005-0000-0000-0000E2030000}"/>
    <cellStyle name="Note 6" xfId="769" xr:uid="{00000000-0005-0000-0000-0000E3030000}"/>
    <cellStyle name="Note 6 2" xfId="770" xr:uid="{00000000-0005-0000-0000-0000E4030000}"/>
    <cellStyle name="Note 6 3" xfId="771" xr:uid="{00000000-0005-0000-0000-0000E5030000}"/>
    <cellStyle name="Note 7" xfId="772" xr:uid="{00000000-0005-0000-0000-0000E6030000}"/>
    <cellStyle name="Note 7 2" xfId="773" xr:uid="{00000000-0005-0000-0000-0000E7030000}"/>
    <cellStyle name="Note 7 3" xfId="774" xr:uid="{00000000-0005-0000-0000-0000E8030000}"/>
    <cellStyle name="Note 8" xfId="775" xr:uid="{00000000-0005-0000-0000-0000E9030000}"/>
    <cellStyle name="Note 8 2" xfId="776" xr:uid="{00000000-0005-0000-0000-0000EA030000}"/>
    <cellStyle name="Note 8 3" xfId="777" xr:uid="{00000000-0005-0000-0000-0000EB030000}"/>
    <cellStyle name="Note 9" xfId="778" xr:uid="{00000000-0005-0000-0000-0000EC030000}"/>
    <cellStyle name="Note 9 2" xfId="779" xr:uid="{00000000-0005-0000-0000-0000ED030000}"/>
    <cellStyle name="Note 9 3" xfId="780" xr:uid="{00000000-0005-0000-0000-0000EE030000}"/>
    <cellStyle name="Output 2" xfId="781" xr:uid="{00000000-0005-0000-0000-0000EF030000}"/>
    <cellStyle name="Percent" xfId="1" builtinId="5"/>
    <cellStyle name="Percent 15" xfId="783" xr:uid="{00000000-0005-0000-0000-0000F1030000}"/>
    <cellStyle name="Percent 15 2" xfId="784" xr:uid="{00000000-0005-0000-0000-0000F2030000}"/>
    <cellStyle name="Percent 15 3" xfId="785" xr:uid="{00000000-0005-0000-0000-0000F3030000}"/>
    <cellStyle name="Percent 2" xfId="15" xr:uid="{00000000-0005-0000-0000-0000F4030000}"/>
    <cellStyle name="Percent 2 2" xfId="786" xr:uid="{00000000-0005-0000-0000-0000F5030000}"/>
    <cellStyle name="Percent 3" xfId="29" xr:uid="{00000000-0005-0000-0000-0000F6030000}"/>
    <cellStyle name="Percent 3 2" xfId="782" xr:uid="{00000000-0005-0000-0000-0000F7030000}"/>
    <cellStyle name="Percent 4" xfId="17" xr:uid="{00000000-0005-0000-0000-0000F8030000}"/>
    <cellStyle name="Percent 9" xfId="21" xr:uid="{00000000-0005-0000-0000-0000F9030000}"/>
    <cellStyle name="Title 2" xfId="787" xr:uid="{00000000-0005-0000-0000-0000FA030000}"/>
    <cellStyle name="Total 2" xfId="788" xr:uid="{00000000-0005-0000-0000-0000FB030000}"/>
    <cellStyle name="Warning Text 2" xfId="789" xr:uid="{00000000-0005-0000-0000-0000FC030000}"/>
  </cellStyles>
  <dxfs count="102">
    <dxf>
      <font>
        <b val="0"/>
        <i val="0"/>
        <strike val="0"/>
        <color rgb="FFFF0000"/>
      </font>
      <fill>
        <patternFill>
          <bgColor theme="0"/>
        </patternFill>
      </fill>
    </dxf>
    <dxf>
      <font>
        <color rgb="FFFF0000"/>
      </font>
    </dxf>
    <dxf>
      <font>
        <color rgb="FFFF0000"/>
      </font>
    </dxf>
    <dxf>
      <fill>
        <patternFill>
          <bgColor rgb="FFE3F2F1"/>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alignment horizontal="general" vertical="center" textRotation="0" wrapText="0" indent="0" justifyLastLine="0" shrinkToFit="0" readingOrder="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9"/>
        <color rgb="FF00B050"/>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ill>
        <patternFill patternType="none">
          <fgColor indexed="64"/>
          <bgColor indexed="65"/>
        </patternFill>
      </fill>
      <protection locked="1" hidden="0"/>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protection locked="1" hidden="0"/>
    </dxf>
    <dxf>
      <font>
        <b/>
        <i val="0"/>
        <strike val="0"/>
        <condense val="0"/>
        <extend val="0"/>
        <outline val="0"/>
        <shadow val="0"/>
        <u val="none"/>
        <vertAlign val="baseline"/>
        <sz val="11"/>
        <color theme="1"/>
        <name val="Calibri"/>
        <scheme val="minor"/>
      </font>
      <protection locked="1" hidden="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protection locked="1" hidden="0"/>
    </dxf>
    <dxf>
      <font>
        <b/>
        <i val="0"/>
        <strike val="0"/>
        <condense val="0"/>
        <extend val="0"/>
        <outline val="0"/>
        <shadow val="0"/>
        <u val="none"/>
        <vertAlign val="baseline"/>
        <sz val="11"/>
        <color theme="1"/>
        <name val="Calibri"/>
        <scheme val="minor"/>
      </font>
    </dxf>
    <dxf>
      <protection locked="1" hidden="0"/>
    </dxf>
    <dxf>
      <fill>
        <patternFill patternType="none">
          <fgColor indexed="64"/>
          <bgColor indexed="65"/>
        </patternFill>
      </fill>
      <protection locked="1" hidden="0"/>
    </dxf>
    <dxf>
      <protection locked="1" hidden="0"/>
    </dxf>
    <dxf>
      <protection locked="1" hidden="0"/>
    </dxf>
    <dxf>
      <protection locked="1" hidden="0"/>
    </dxf>
    <dxf>
      <protection locked="1" hidden="0"/>
    </dxf>
    <dxf>
      <font>
        <b/>
        <i val="0"/>
        <strike val="0"/>
        <condense val="0"/>
        <extend val="0"/>
        <outline val="0"/>
        <shadow val="0"/>
        <u val="none"/>
        <vertAlign val="baseline"/>
        <sz val="11"/>
        <color theme="1"/>
        <name val="Calibri"/>
        <scheme val="minor"/>
      </font>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protection locked="1" hidden="0"/>
    </dxf>
    <dxf>
      <fill>
        <patternFill patternType="none">
          <fgColor indexed="64"/>
          <bgColor indexed="65"/>
        </patternFill>
      </fill>
      <protection locked="1" hidden="0"/>
    </dxf>
    <dxf>
      <fill>
        <patternFill patternType="none">
          <fgColor indexed="64"/>
          <bgColor indexed="65"/>
        </patternFill>
      </fill>
      <protection locked="1" hidden="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numFmt numFmtId="2" formatCode="0.00"/>
    </dxf>
    <dxf>
      <numFmt numFmtId="2" formatCode="0.00"/>
    </dxf>
    <dxf>
      <protection locked="1" hidden="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dxf>
  </dxfs>
  <tableStyles count="0" defaultTableStyle="TableStyleMedium2" defaultPivotStyle="PivotStyleLight16"/>
  <colors>
    <mruColors>
      <color rgb="FFF907C5"/>
      <color rgb="FFFFFFCC"/>
      <color rgb="FFFCF7D1"/>
      <color rgb="FFB2D6D7"/>
      <color rgb="FF66FFFF"/>
      <color rgb="FF99C9D7"/>
      <color rgb="FF00789C"/>
      <color rgb="FF26808E"/>
      <color rgb="FF558537"/>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onnections" Target="connections.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eetMetadata" Target="metadata.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tyles" Target="styles.xml"/><Relationship Id="rId43"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122202</xdr:colOff>
      <xdr:row>0</xdr:row>
      <xdr:rowOff>110067</xdr:rowOff>
    </xdr:from>
    <xdr:ext cx="3880072" cy="711200"/>
    <xdr:pic>
      <xdr:nvPicPr>
        <xdr:cNvPr id="3" name="image1.png">
          <a:extLst>
            <a:ext uri="{FF2B5EF4-FFF2-40B4-BE49-F238E27FC236}">
              <a16:creationId xmlns:a16="http://schemas.microsoft.com/office/drawing/2014/main" id="{32E366B7-1383-4F85-A3D5-492D6665A79D}"/>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0935" y="110067"/>
          <a:ext cx="3880072" cy="7112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203200</xdr:colOff>
      <xdr:row>1</xdr:row>
      <xdr:rowOff>63500</xdr:rowOff>
    </xdr:from>
    <xdr:ext cx="4107543" cy="711200"/>
    <xdr:pic>
      <xdr:nvPicPr>
        <xdr:cNvPr id="3" name="image1.png">
          <a:extLst>
            <a:ext uri="{FF2B5EF4-FFF2-40B4-BE49-F238E27FC236}">
              <a16:creationId xmlns:a16="http://schemas.microsoft.com/office/drawing/2014/main" id="{2BAA57E1-1053-4F72-BEE6-7088FEAF3981}"/>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225" y="257175"/>
          <a:ext cx="4107543" cy="7112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34071</xdr:colOff>
      <xdr:row>3</xdr:row>
      <xdr:rowOff>90721</xdr:rowOff>
    </xdr:from>
    <xdr:ext cx="3260894" cy="564607"/>
    <xdr:pic>
      <xdr:nvPicPr>
        <xdr:cNvPr id="3" name="image1.png">
          <a:extLst>
            <a:ext uri="{FF2B5EF4-FFF2-40B4-BE49-F238E27FC236}">
              <a16:creationId xmlns:a16="http://schemas.microsoft.com/office/drawing/2014/main" id="{3986276D-1EFD-42A6-8BF7-182AB2B61546}"/>
            </a:ext>
          </a:extLst>
        </xdr:cNvPr>
        <xdr:cNvPicPr preferRelativeResize="0"/>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6031646" y="811446"/>
          <a:ext cx="3260894" cy="564607"/>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asdfs.chfa.colohfa.org\data\nasdfs.chfa.colohfa.org\data\CHFAFILE01\Divisions$\Information%20Technology\Application%20Development\LIHTC%20Application\New%20LIHTC%20Application%20-%20CDO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asdfs.chfa.colohfa.org\data\nasdfs.chfa.colohfa.org\data\nasdfs.chfa.colohfa.org\data\Home\trobbins\My%20Documents\CHFA\Joint%20Application%20Project\CHFA\Vida_DHA_4_Application.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or%209%25%20and%20State%20Credit/archived%20applications/2017_LIHTC_Application%20V2.1%20new%20fee%20layout.xlsx?BD32AFA0" TargetMode="External"/><Relationship Id="rId1" Type="http://schemas.openxmlformats.org/officeDocument/2006/relationships/externalLinkPath" Target="file:///\\BD32AFA0\2017_LIHTC_Application%20V2.1%20new%20fee%20lay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LIHTC Application - CDOH"/>
      <sheetName val="Calculations"/>
      <sheetName val="Application Instructions"/>
      <sheetName val="Data Issues"/>
      <sheetName val="Application"/>
      <sheetName val="Unit Mix &amp; Rents"/>
      <sheetName val="Financing"/>
      <sheetName val="Development Budget"/>
      <sheetName val="Commercial Budget"/>
      <sheetName val="Proforma, Income &amp; Expense"/>
      <sheetName val="Tax Credit Details"/>
      <sheetName val="Tax Credit Summary"/>
      <sheetName val="Budget Output"/>
      <sheetName val="Scoring"/>
      <sheetName val="Contact Information"/>
      <sheetName val="Cost Summary"/>
      <sheetName val="Final Building Profile"/>
      <sheetName val="Amenities"/>
      <sheetName val="Rent &amp; Income Limits"/>
      <sheetName val="Admin"/>
      <sheetName val="Lookup"/>
      <sheetName val="Final Totals"/>
      <sheetName val="Cost Summary Analysis"/>
      <sheetName val="Stress Test"/>
      <sheetName val="Sinking Fund Test"/>
      <sheetName val="OpPro"/>
      <sheetName val="DevCosts"/>
      <sheetName val="Financing CDOH"/>
      <sheetName val="Prolink"/>
      <sheetName val="Eligible Credit Amount"/>
      <sheetName val="New%20LIHTC%20Application%20-%2"/>
      <sheetName val="New LIHTC Application - CDOH.xl"/>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_Dropdowns"/>
      <sheetName val="Application Instructions"/>
      <sheetName val="Template Key"/>
      <sheetName val="Application Fee"/>
      <sheetName val="Development Summary"/>
      <sheetName val="Missing Information"/>
      <sheetName val=" Development Information"/>
      <sheetName val="Green Communities"/>
      <sheetName val="Development Timeline"/>
      <sheetName val="Development Budget"/>
      <sheetName val="Commercial Budget"/>
      <sheetName val="Dev Commercial Financing"/>
      <sheetName val="Development Financing"/>
      <sheetName val="Federal Credit Amount"/>
      <sheetName val="State Credit Amount"/>
      <sheetName val="CHFA DDA Calculation"/>
      <sheetName val="15 Yr. Pro Forma"/>
      <sheetName val="Unit Mix &amp; Rents"/>
      <sheetName val=" Development Income"/>
      <sheetName val="Development Expenses"/>
      <sheetName val="Contractor-Developer Fee Limits"/>
      <sheetName val="Scoring"/>
      <sheetName val="Non-Profit Questionnaire"/>
      <sheetName val="Applicant Info-Development Team"/>
      <sheetName val="Applicant Certification"/>
      <sheetName val="Conduit Certification"/>
      <sheetName val="Official Notification"/>
      <sheetName val="10% Test for Carryover"/>
      <sheetName val="Final Building Profile"/>
      <sheetName val="Update"/>
      <sheetName val="QCT-DDA Calc."/>
      <sheetName val="QCT &amp; DDA"/>
      <sheetName val="C1 &amp; C2 tables"/>
      <sheetName val="County Med. Incomes"/>
      <sheetName val=" Basis  Limits"/>
      <sheetName val="Rent &amp; Income Limits"/>
      <sheetName val="CHFA Loan Budget"/>
      <sheetName val="Stress Test &amp; Lease-up Proj."/>
      <sheetName val="Sheet1"/>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Instructions"/>
      <sheetName val="Application Fee"/>
      <sheetName val="Development Summary"/>
      <sheetName val="Missing Information"/>
      <sheetName val=" Development Information"/>
      <sheetName val="Development Timeline"/>
      <sheetName val="Cost Summary"/>
      <sheetName val="Development Budget"/>
      <sheetName val="Commercial Budget"/>
      <sheetName val="Dev Commercial Financing"/>
      <sheetName val="Development Financing"/>
      <sheetName val="Federal Credit Amount"/>
      <sheetName val="State Credit Amount"/>
      <sheetName val="CHFA DDA Calculation"/>
      <sheetName val="15 Yr. Pro Forma"/>
      <sheetName val="Unit Mix &amp; Rents"/>
      <sheetName val="SD_Dropdowns"/>
      <sheetName val=" Development Income"/>
      <sheetName val="Development Expenses"/>
      <sheetName val="Contractor-Developer Fee Limits"/>
      <sheetName val="Scoring"/>
      <sheetName val="Non-Profit Questionnaire"/>
      <sheetName val="Applicant Info-Development Team"/>
      <sheetName val="Applicant Certification"/>
      <sheetName val="Conduit Certification"/>
      <sheetName val="Official Notification"/>
      <sheetName val="10% Test for Carryover"/>
      <sheetName val="Final Building Profile"/>
      <sheetName val="Update"/>
      <sheetName val="QCT-DDA Calc."/>
      <sheetName val="QCT &amp; DDA"/>
      <sheetName val="C1 &amp; C2 tables"/>
      <sheetName val="County Med. Incomes"/>
      <sheetName val="Rent &amp; Income Limits"/>
      <sheetName val="Stress Test &amp; Lease-up Proj."/>
      <sheetName val="Sheet1"/>
    </sheetNames>
  </externalBook>
</externalLink>
</file>

<file path=xl/persons/person.xml><?xml version="1.0" encoding="utf-8"?>
<personList xmlns="http://schemas.microsoft.com/office/spreadsheetml/2018/threadedcomments" xmlns:x="http://schemas.openxmlformats.org/spreadsheetml/2006/main">
  <person displayName="Paula Harrison" id="{6EE1915F-6B87-428B-94CA-90AFDE4F1385}" userId="S::pharrison@chfainfo.com::12c0a963-15c7-44bf-8890-63ba79adea8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A2E1AA7-3036-4A12-9174-0C5CF432325B}" name="Table47" displayName="Table47" ref="F49:F55" totalsRowShown="0">
  <autoFilter ref="F49:F55" xr:uid="{6A2E1AA7-3036-4A12-9174-0C5CF432325B}"/>
  <tableColumns count="1">
    <tableColumn id="1" xr3:uid="{F0287D5D-8698-4148-B1DD-B36693A0FFC1}" name="Column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8000000}" name="Project_Type_Table" displayName="Project_Type_Table" ref="A10:E15" totalsRowShown="0" headerRowDxfId="82" dataDxfId="81">
  <autoFilter ref="A10:E15" xr:uid="{00000000-0009-0000-0100-000004000000}"/>
  <tableColumns count="5">
    <tableColumn id="1" xr3:uid="{00000000-0010-0000-0800-000001000000}" name="Project  Type" dataDxfId="80"/>
    <tableColumn id="2" xr3:uid="{00000000-0010-0000-0800-000002000000}" name="Has Acq/Rehab" dataDxfId="79"/>
    <tableColumn id="3" xr3:uid="{00000000-0010-0000-0800-000003000000}" name="Has New Construction" dataDxfId="78"/>
    <tableColumn id="4" xr3:uid="{00000000-0010-0000-0800-000004000000}" name="Has Rehab" dataDxfId="77"/>
    <tableColumn id="5" xr3:uid="{09C2C332-193A-40C2-BD94-F88FC6739CCF}" name="Radon Migitgation" dataDxfId="7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9000000}" name="Site_Control_Table" displayName="Site_Control_Table" ref="A45:A48" totalsRowShown="0" headerRowDxfId="75">
  <autoFilter ref="A45:A48" xr:uid="{00000000-0009-0000-0100-000005000000}"/>
  <tableColumns count="1">
    <tableColumn id="1" xr3:uid="{00000000-0010-0000-0900-000001000000}" name="Site Control"/>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A000000}" name="Historic_Rehabilitation_Tax_Credits_Table" displayName="Historic_Rehabilitation_Tax_Credits_Table" ref="C45:C48" totalsRowShown="0" headerRowDxfId="74">
  <autoFilter ref="C45:C48" xr:uid="{00000000-0009-0000-0100-000006000000}"/>
  <tableColumns count="1">
    <tableColumn id="1" xr3:uid="{00000000-0010-0000-0A00-000001000000}" name="Historic Rehabilitation Tax Credits"/>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B000000}" name="Type_of_Units_Housing_Table" displayName="Type_of_Units_Housing_Table" ref="A36:A40" totalsRowShown="0" headerRowDxfId="73">
  <autoFilter ref="A36:A40" xr:uid="{00000000-0009-0000-0100-000007000000}"/>
  <tableColumns count="1">
    <tableColumn id="1" xr3:uid="{00000000-0010-0000-0B00-000001000000}" name="Type of Units/Housing"/>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C000000}" name="Building_Construction_Table" displayName="Building_Construction_Table" ref="F36:H39" totalsRowShown="0" headerRowDxfId="72">
  <autoFilter ref="F36:H39" xr:uid="{00000000-0009-0000-0100-000008000000}"/>
  <tableColumns count="3">
    <tableColumn id="1" xr3:uid="{00000000-0010-0000-0C00-000001000000}" name="Building Construction"/>
    <tableColumn id="2" xr3:uid="{00000000-0010-0000-0C00-000002000000}" name="Podium"/>
    <tableColumn id="3" xr3:uid="{00000000-0010-0000-0C00-000003000000}" name="Underground Parking"/>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D000000}" name="Building_Type_Table" displayName="Building_Type_Table" ref="C36:D38" totalsRowShown="0" headerRowDxfId="71">
  <autoFilter ref="C36:D38" xr:uid="{00000000-0009-0000-0100-000009000000}"/>
  <tableColumns count="2">
    <tableColumn id="1" xr3:uid="{00000000-0010-0000-0D00-000001000000}" name="Building Type"/>
    <tableColumn id="2" xr3:uid="{00000000-0010-0000-0D00-000002000000}" name="Basis Limit test Index"/>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E000000}" name="Income_Level_Table" displayName="Income_Level_Table" ref="A62:B71" totalsRowShown="0" headerRowDxfId="70" dataDxfId="69" dataCellStyle="Percent">
  <autoFilter ref="A62:B71" xr:uid="{00000000-0009-0000-0100-00000A000000}"/>
  <sortState xmlns:xlrd2="http://schemas.microsoft.com/office/spreadsheetml/2017/richdata2" ref="A63:B71">
    <sortCondition ref="A62:A71"/>
  </sortState>
  <tableColumns count="2">
    <tableColumn id="1" xr3:uid="{00000000-0010-0000-0E00-000001000000}" name="Income Level" dataDxfId="68" dataCellStyle="Percent"/>
    <tableColumn id="2" xr3:uid="{00000000-0010-0000-0E00-000002000000}" name="Scoring Weight" dataDxfId="67" dataCellStyle="Percent"/>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F000000}" name="Unit_Mix_Type_Table" displayName="Unit_Mix_Type_Table" ref="E62:G87" totalsRowShown="0" headerRowDxfId="66">
  <autoFilter ref="E62:G87" xr:uid="{00000000-0009-0000-0100-00000B000000}"/>
  <sortState xmlns:xlrd2="http://schemas.microsoft.com/office/spreadsheetml/2017/richdata2" ref="E63:G87">
    <sortCondition ref="E62:E87"/>
  </sortState>
  <tableColumns count="3">
    <tableColumn id="1" xr3:uid="{00000000-0010-0000-0F00-000001000000}" name="Unit Mix Type"/>
    <tableColumn id="2" xr3:uid="{00000000-0010-0000-0F00-000002000000}" name="Bedrooms" dataDxfId="65"/>
    <tableColumn id="3" xr3:uid="{00000000-0010-0000-0F00-000003000000}" name="Has Max Rent"/>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0000000}" name="Scoring_Threshold_Table" displayName="Scoring_Threshold_Table" ref="A90:B93" totalsRowShown="0" headerRowDxfId="64">
  <autoFilter ref="A90:B93" xr:uid="{00000000-0009-0000-0100-00000C000000}"/>
  <sortState xmlns:xlrd2="http://schemas.microsoft.com/office/spreadsheetml/2017/richdata2" ref="A91:B93">
    <sortCondition ref="A90:A93"/>
  </sortState>
  <tableColumns count="2">
    <tableColumn id="1" xr3:uid="{00000000-0010-0000-1000-000001000000}" name="Scoring Threshold"/>
    <tableColumn id="2" xr3:uid="{00000000-0010-0000-1000-000002000000}" name="Score 60%"/>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1000000}" name="Very_Very_Low_Income_Targeting_Table" displayName="Very_Very_Low_Income_Targeting_Table" ref="A96:B100" totalsRowShown="0" headerRowDxfId="63">
  <autoFilter ref="A96:B100" xr:uid="{00000000-0009-0000-0100-00000D000000}"/>
  <tableColumns count="2">
    <tableColumn id="1" xr3:uid="{00000000-0010-0000-1100-000001000000}" name="Very, Very Low-Income Targeting"/>
    <tableColumn id="2" xr3:uid="{00000000-0010-0000-1100-000002000000}" name="Scor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0000000}" name="SADDA_Zip_Table" displayName="SADDA_Zip_Table" ref="A187:A247" totalsRowShown="0">
  <autoFilter ref="A187:A247" xr:uid="{00000000-0009-0000-0100-00001C000000}"/>
  <sortState xmlns:xlrd2="http://schemas.microsoft.com/office/spreadsheetml/2017/richdata2" ref="A188:A247">
    <sortCondition ref="A189:A247"/>
  </sortState>
  <tableColumns count="1">
    <tableColumn id="1" xr3:uid="{00000000-0010-0000-0000-000001000000}" name="SADDA Zip" dataDxfId="101"/>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2000000}" name="Extended_Low_Income_Use_Table" displayName="Extended_Low_Income_Use_Table" ref="A104:C106" totalsRowShown="0" headerRowDxfId="62">
  <autoFilter ref="A104:C106" xr:uid="{00000000-0009-0000-0100-00000E000000}"/>
  <tableColumns count="3">
    <tableColumn id="1" xr3:uid="{00000000-0010-0000-1200-000001000000}" name="Extended Low-Income Use"/>
    <tableColumn id="2" xr3:uid="{00000000-0010-0000-1200-000002000000}" name="Years"/>
    <tableColumn id="3" xr3:uid="{00000000-0010-0000-1200-000003000000}" name="Scor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4000000}" name="Tenant_Population_with_Special_Housing_Needs_Table" displayName="Tenant_Population_with_Special_Housing_Needs_Table" ref="A110:C113" totalsRowShown="0" headerRowDxfId="61">
  <autoFilter ref="A110:C113" xr:uid="{00000000-0009-0000-0100-000010000000}"/>
  <tableColumns count="3">
    <tableColumn id="1" xr3:uid="{00000000-0010-0000-1400-000001000000}" name="Tenant Population with Special Housing Needs"/>
    <tableColumn id="2" xr3:uid="{00000000-0010-0000-1400-000002000000}" name="Score"/>
    <tableColumn id="3" xr3:uid="{00000000-0010-0000-1400-000003000000}" name="IsHomelessOptio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5000000}" name="Residential_Loan_Type_Table" displayName="Residential_Loan_Type_Table" ref="A118:A120" totalsRowShown="0" headerRowDxfId="60">
  <autoFilter ref="A118:A120" xr:uid="{00000000-0009-0000-0100-000011000000}"/>
  <tableColumns count="1">
    <tableColumn id="1" xr3:uid="{00000000-0010-0000-1500-000001000000}" name="Residential Loan Typ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6000000}" name="Developer_Additional_Question_Table" displayName="Developer_Additional_Question_Table" ref="A125:D127" totalsRowShown="0" headerRowDxfId="59">
  <autoFilter ref="A125:D127" xr:uid="{00000000-0009-0000-0100-000012000000}"/>
  <tableColumns count="4">
    <tableColumn id="1" xr3:uid="{00000000-0010-0000-1600-000001000000}" name="Developer Additional Question"/>
    <tableColumn id="2" xr3:uid="{00000000-0010-0000-1600-000002000000}" name="Dev Fee Max Allowed Percent 1" dataCellStyle="Percent"/>
    <tableColumn id="3" xr3:uid="{00000000-0010-0000-1600-000003000000}" name="Dev Fee Max Allowed Percent 2" dataCellStyle="Percent"/>
    <tableColumn id="4" xr3:uid="{00000000-0010-0000-1600-000004000000}" name="Dev Fee Max Allowed Percent 3" dataCellStyle="Percent"/>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7000000}" name="Legal_Status_Table" displayName="Legal_Status_Table" ref="A131:C145" totalsRowShown="0" headerRowDxfId="58">
  <autoFilter ref="A131:C145" xr:uid="{00000000-0009-0000-0100-000013000000}"/>
  <tableColumns count="3">
    <tableColumn id="1" xr3:uid="{00000000-0010-0000-1700-000001000000}" name="Legal Status"/>
    <tableColumn id="2" xr3:uid="{00000000-0010-0000-1700-000002000000}" name="Is Non Profit" dataDxfId="57" dataCellStyle="Percent"/>
    <tableColumn id="3" xr3:uid="{C0DF6699-5128-4F78-8453-C624BAB00621}" name="Entity Proxy Type "/>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8000000}" name="Bond_Placement_Table" displayName="Bond_Placement_Table" ref="F131:G133" totalsRowShown="0" headerRowDxfId="56">
  <autoFilter ref="F131:G133" xr:uid="{00000000-0009-0000-0100-000014000000}"/>
  <tableColumns count="2">
    <tableColumn id="1" xr3:uid="{00000000-0010-0000-1800-000001000000}" name="Bond Placement"/>
    <tableColumn id="2" xr3:uid="{00000000-0010-0000-1800-000002000000}" name="Is Public"/>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Entity_Type_Table" displayName="Entity_Type_Table" ref="D131:E134" totalsRowShown="0" headerRowDxfId="55">
  <autoFilter ref="D131:E134" xr:uid="{00000000-0009-0000-0100-000015000000}"/>
  <tableColumns count="2">
    <tableColumn id="1" xr3:uid="{00000000-0010-0000-1900-000001000000}" name="Entity Type"/>
    <tableColumn id="2" xr3:uid="{E4CBEBF7-A69C-421D-B0C4-D88170A554BB}" name="Gender"/>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Number_of_beds_per_room_Table" displayName="Number_of_beds_per_room_Table" ref="A154:A156" totalsRowShown="0" headerRowDxfId="54">
  <autoFilter ref="A154:A156" xr:uid="{00000000-0009-0000-0100-000016000000}"/>
  <tableColumns count="1">
    <tableColumn id="1" xr3:uid="{00000000-0010-0000-1A00-000001000000}" name="Number of beds per room"/>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Utilitiy_Model_Table" displayName="Utilitiy_Model_Table" ref="C154:C158" totalsRowShown="0">
  <autoFilter ref="C154:C158" xr:uid="{00000000-0009-0000-0100-000017000000}"/>
  <tableColumns count="1">
    <tableColumn id="1" xr3:uid="{00000000-0010-0000-1B00-000001000000}" name="Utilitiy Model"/>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Cable_Table" displayName="Cable_Table" ref="E154:E157" totalsRowShown="0">
  <autoFilter ref="E154:E157" xr:uid="{00000000-0009-0000-0100-000018000000}"/>
  <tableColumns count="1">
    <tableColumn id="1" xr3:uid="{00000000-0010-0000-1C00-000001000000}" name="Cabl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1000000}" name="Dev_Fee_Aggregate_Max_Allowed_Table" displayName="Dev_Fee_Aggregate_Max_Allowed_Table" ref="A75:D77" totalsRowShown="0">
  <autoFilter ref="A75:D77" xr:uid="{00000000-0009-0000-0100-00001D000000}"/>
  <tableColumns count="4">
    <tableColumn id="1" xr3:uid="{00000000-0010-0000-0100-000001000000}" name="Aggregate"/>
    <tableColumn id="2" xr3:uid="{00000000-0010-0000-0100-000002000000}" name="unit min" dataDxfId="100"/>
    <tableColumn id="3" xr3:uid="{00000000-0010-0000-0100-000003000000}" name="unit max" dataDxfId="99"/>
    <tableColumn id="4" xr3:uid="{00000000-0010-0000-0100-000004000000}" name="%" dataDxfId="98" dataCellStyle="Percent"/>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Yes_No_NA_Table" displayName="Yes_No_NA_Table" ref="C3:C6" totalsRowShown="0" headerRowDxfId="53">
  <autoFilter ref="C3:C6" xr:uid="{00000000-0009-0000-0100-000019000000}"/>
  <tableColumns count="1">
    <tableColumn id="1" xr3:uid="{00000000-0010-0000-1D00-000001000000}" name="Yes/No/NA"/>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Approval_Table" displayName="Approval_Table" ref="C118:C120" totalsRowShown="0">
  <autoFilter ref="C118:C120" xr:uid="{00000000-0009-0000-0100-00001A000000}"/>
  <tableColumns count="1">
    <tableColumn id="1" xr3:uid="{00000000-0010-0000-1E00-000001000000}" name="Approval"/>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Comments_Min_Oper_Reserves_table" displayName="Comments_Min_Oper_Reserves_table" ref="A167:B169" totalsRowShown="0">
  <autoFilter ref="A167:B169" xr:uid="{00000000-0009-0000-0100-000021000000}"/>
  <tableColumns count="2">
    <tableColumn id="1" xr3:uid="{00000000-0010-0000-1F00-000001000000}" name="Minimum Operating Reserves"/>
    <tableColumn id="2" xr3:uid="{00000000-0010-0000-1F00-000002000000}" name="Comment"/>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Comments_Min_PUPA_table" displayName="Comments_Min_PUPA_table" ref="A162:B164" totalsRowShown="0">
  <autoFilter ref="A162:B164" xr:uid="{00000000-0009-0000-0100-000022000000}"/>
  <tableColumns count="2">
    <tableColumn id="1" xr3:uid="{00000000-0010-0000-2000-000001000000}" name="Minimum PUPA"/>
    <tableColumn id="2" xr3:uid="{00000000-0010-0000-2000-000002000000}" name="Comment"/>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Comments_Min_Replacement_Reserves_table" displayName="Comments_Min_Replacement_Reserves_table" ref="A172:B174" totalsRowShown="0">
  <autoFilter ref="A172:B174" xr:uid="{00000000-0009-0000-0100-000023000000}"/>
  <tableColumns count="2">
    <tableColumn id="1" xr3:uid="{00000000-0010-0000-2100-000001000000}" name="Minimum Replacement Reserves"/>
    <tableColumn id="2" xr3:uid="{00000000-0010-0000-2100-000002000000}" name="Comment"/>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Comments_Construction_Interest_table" displayName="Comments_Construction_Interest_table" ref="D162:E164" totalsRowShown="0">
  <autoFilter ref="D162:E164" xr:uid="{00000000-0009-0000-0100-000024000000}"/>
  <tableColumns count="2">
    <tableColumn id="1" xr3:uid="{00000000-0010-0000-2200-000001000000}" name="Construction Interest"/>
    <tableColumn id="2" xr3:uid="{00000000-0010-0000-2200-000002000000}" name="Comment"/>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Comments_Development_Funds_table" displayName="Comments_Development_Funds_table" ref="D167:E169" totalsRowShown="0">
  <autoFilter ref="D167:E169" xr:uid="{00000000-0009-0000-0100-000026000000}"/>
  <tableColumns count="2">
    <tableColumn id="1" xr3:uid="{00000000-0010-0000-2300-000001000000}" name="Development Funds"/>
    <tableColumn id="2" xr3:uid="{00000000-0010-0000-2300-000002000000}" name="Comment"/>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Comments_Minimum_Score_table" displayName="Comments_Minimum_Score_table" ref="D172:E174" totalsRowShown="0">
  <autoFilter ref="D172:E174" xr:uid="{00000000-0009-0000-0100-000027000000}"/>
  <tableColumns count="2">
    <tableColumn id="1" xr3:uid="{00000000-0010-0000-2400-000001000000}" name="Minimum Score"/>
    <tableColumn id="2" xr3:uid="{00000000-0010-0000-2400-000002000000}" name="Comment"/>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Comments_State_TC_Test_table" displayName="Comments_State_TC_Test_table" ref="A177:B179" totalsRowShown="0">
  <autoFilter ref="A177:B179" xr:uid="{00000000-0009-0000-0100-000028000000}"/>
  <tableColumns count="2">
    <tableColumn id="1" xr3:uid="{00000000-0010-0000-2500-000001000000}" name="State Tax Credit Test"/>
    <tableColumn id="2" xr3:uid="{00000000-0010-0000-2500-000002000000}" name="Comment"/>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Comments_PAB_Requirements_table" displayName="Comments_PAB_Requirements_table" ref="D177:E179" totalsRowShown="0">
  <autoFilter ref="D177:E179" xr:uid="{00000000-0009-0000-0100-000029000000}"/>
  <tableColumns count="2">
    <tableColumn id="1" xr3:uid="{00000000-0010-0000-2600-000001000000}" name="PAB Requirements"/>
    <tableColumn id="2" xr3:uid="{00000000-0010-0000-2600-000002000000}" name="Commen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2000000}" name="Zone_Factor_Table" displayName="Zone_Factor_Table" ref="A94:B97" totalsRowShown="0">
  <autoFilter ref="A94:B97" xr:uid="{00000000-0009-0000-0100-00001F000000}"/>
  <tableColumns count="2">
    <tableColumn id="1" xr3:uid="{00000000-0010-0000-0200-000001000000}" name="Zone" dataDxfId="97"/>
    <tableColumn id="2" xr3:uid="{00000000-0010-0000-0200-000002000000}" name="Factor"/>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Comments_10_Year_Test_table" displayName="Comments_10_Year_Test_table" ref="A182:B184" totalsRowShown="0">
  <autoFilter ref="A182:B184" xr:uid="{00000000-0009-0000-0100-00002A000000}"/>
  <tableColumns count="2">
    <tableColumn id="1" xr3:uid="{00000000-0010-0000-2700-000001000000}" name="10 Year Cash Flow"/>
    <tableColumn id="2" xr3:uid="{00000000-0010-0000-2700-000002000000}" name="Comment" dataDxfId="52"/>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Comments_15_Year_Test_Table" displayName="Comments_15_Year_Test_Table" ref="D182:E184" totalsRowShown="0">
  <autoFilter ref="D182:E184" xr:uid="{00000000-0009-0000-0100-00002B000000}"/>
  <tableColumns count="2">
    <tableColumn id="1" xr3:uid="{00000000-0010-0000-2800-000001000000}" name="15 Year Cash Flow"/>
    <tableColumn id="2" xr3:uid="{00000000-0010-0000-2800-000002000000}" name="Comment"/>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Comments_Min_DCR_table" displayName="Comments_Min_DCR_table" ref="A187:B189" totalsRowShown="0">
  <autoFilter ref="A187:B189" xr:uid="{00000000-0009-0000-0100-00002C000000}"/>
  <tableColumns count="2">
    <tableColumn id="1" xr3:uid="{00000000-0010-0000-2900-000001000000}" name="Min DCR"/>
    <tableColumn id="2" xr3:uid="{00000000-0010-0000-2900-000002000000}" name="Comment"/>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A000000}" name="Jurisdiction_Title_Table" displayName="Jurisdiction_Title_Table" ref="A146:A148" totalsRowShown="0">
  <autoFilter ref="A146:A148" xr:uid="{00000000-0009-0000-0100-000025000000}"/>
  <tableColumns count="1">
    <tableColumn id="1" xr3:uid="{00000000-0010-0000-2A00-000001000000}" name="Jurisdiction Title"/>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B000000}" name="Type_of_Heating_Table" displayName="Type_of_Heating_Table" ref="A51:B58" totalsRowShown="0" headerRowDxfId="51" dataDxfId="50">
  <autoFilter ref="A51:B58" xr:uid="{00000000-0009-0000-0100-00002D000000}"/>
  <tableColumns count="2">
    <tableColumn id="1" xr3:uid="{00000000-0010-0000-2B00-000001000000}" name="Type of Heating In-Unit" dataDxfId="49"/>
    <tableColumn id="2" xr3:uid="{DFF82ECF-7EFB-478A-A661-0722414B953F}" name="Type of Heating Common Area" dataDxfId="48"/>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ype_of_Cooling_Table" displayName="Type_of_Cooling_Table" ref="C51:D59" totalsRowShown="0">
  <autoFilter ref="C51:D59" xr:uid="{00000000-0009-0000-0100-00002E000000}"/>
  <sortState xmlns:xlrd2="http://schemas.microsoft.com/office/spreadsheetml/2017/richdata2" ref="C52:C56">
    <sortCondition ref="C52"/>
  </sortState>
  <tableColumns count="2">
    <tableColumn id="1" xr3:uid="{00000000-0010-0000-2C00-000001000000}" name="Type of Cooling In-Unit"/>
    <tableColumn id="2" xr3:uid="{0648D47E-8893-4799-AFD6-764478618EDB}" name="Type of Cooling Common Area" dataDxfId="47"/>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21144EF-F610-4B9C-BCDE-63838E9A3284}" name="Comments_Average_Income_table" displayName="Comments_Average_Income_table" ref="D187:E189" totalsRowShown="0" headerRowDxfId="46" headerRowBorderDxfId="45" tableBorderDxfId="44">
  <autoFilter ref="D187:E189" xr:uid="{8E988C72-7812-48E6-998B-B04FC0767E0D}"/>
  <tableColumns count="2">
    <tableColumn id="1" xr3:uid="{463421AC-8DDE-4681-BF3C-6AF8744FFB9C}" name="Average Income"/>
    <tableColumn id="2" xr3:uid="{728EB12F-86D9-4054-A616-962A4B9A1E5E}" name="Comment"/>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FC7CF1E-BC41-4B6F-8A05-5CC3105116F5}" name="Table48" displayName="Table48" ref="F51:F57" totalsRowShown="0" headerRowDxfId="43" headerRowBorderDxfId="42" tableBorderDxfId="41" totalsRowBorderDxfId="40">
  <autoFilter ref="F51:F57" xr:uid="{5FC7CF1E-BC41-4B6F-8A05-5CC3105116F5}"/>
  <tableColumns count="1">
    <tableColumn id="1" xr3:uid="{56080F7A-121B-4ECC-BE00-B48F665A2165}" name="HVAC System In-Unit" dataDxfId="3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3000000}" name="Basis_Limit_Test_Table" displayName="Basis_Limit_Test_Table" ref="A85:C91" totalsRowShown="0">
  <autoFilter ref="A85:C91" xr:uid="{00000000-0009-0000-0100-000020000000}"/>
  <tableColumns count="3">
    <tableColumn id="1" xr3:uid="{00000000-0010-0000-0300-000001000000}" name="Bedrooms" dataDxfId="96"/>
    <tableColumn id="2" xr3:uid="{00000000-0010-0000-0300-000002000000}" name="Elevator Base" dataDxfId="95"/>
    <tableColumn id="3" xr3:uid="{00000000-0010-0000-0300-000003000000}" name="Non-Elevator Base" dataDxfId="9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4000000}" name="City_Table" displayName="City_Table" ref="A249:B577" totalsRowShown="0">
  <autoFilter ref="A249:B577" xr:uid="{00000000-0009-0000-0100-00001E000000}"/>
  <tableColumns count="2">
    <tableColumn id="1" xr3:uid="{00000000-0010-0000-0400-000001000000}" name="City"/>
    <tableColumn id="2" xr3:uid="{00000000-0010-0000-0400-000002000000}" name="Scor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Yes_No_Table" displayName="Yes_No_Table" ref="A3:A5" totalsRowShown="0" headerRowDxfId="93">
  <autoFilter ref="A3:A5" xr:uid="{00000000-0009-0000-0100-000001000000}"/>
  <tableColumns count="1">
    <tableColumn id="1" xr3:uid="{00000000-0010-0000-0500-000001000000}" name="Yes/No"/>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Application_Stage_Table" displayName="Application_Stage_Table" ref="A30:E34" totalsRowShown="0" headerRowDxfId="92">
  <autoFilter ref="A30:E34" xr:uid="{00000000-0009-0000-0100-000002000000}"/>
  <tableColumns count="5">
    <tableColumn id="1" xr3:uid="{00000000-0010-0000-0600-000001000000}" name="Application Stage"/>
    <tableColumn id="2" xr3:uid="{00000000-0010-0000-0600-000002000000}" name="Is Preliminary"/>
    <tableColumn id="3" xr3:uid="{00000000-0010-0000-0600-000003000000}" name="Is Carryover"/>
    <tableColumn id="4" xr3:uid="{00000000-0010-0000-0600-000004000000}" name="Is Final"/>
    <tableColumn id="5" xr3:uid="{81D053A3-E7B3-4BB0-BF5F-D6EAADB0EF93}" name="Is State Mileston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ax_Credit_Type_Table" displayName="Tax_Credit_Type_Table" ref="A19:I26" totalsRowShown="0" headerRowDxfId="91">
  <autoFilter ref="A19:I26" xr:uid="{00000000-0009-0000-0100-000003000000}"/>
  <sortState xmlns:xlrd2="http://schemas.microsoft.com/office/spreadsheetml/2017/richdata2" ref="A20:G26">
    <sortCondition descending="1" ref="A19:A26"/>
  </sortState>
  <tableColumns count="9">
    <tableColumn id="1" xr3:uid="{00000000-0010-0000-0700-000001000000}" name="Type Of Tax Credit"/>
    <tableColumn id="2" xr3:uid="{00000000-0010-0000-0700-000002000000}" name="Has 4%" dataDxfId="90"/>
    <tableColumn id="3" xr3:uid="{00000000-0010-0000-0700-000003000000}" name="Has 9%" dataDxfId="89"/>
    <tableColumn id="6" xr3:uid="{00000000-0010-0000-0700-000006000000}" name="Has State" dataDxfId="88"/>
    <tableColumn id="4" xr3:uid="{00000000-0010-0000-0700-000004000000}" name="Fee" dataDxfId="87"/>
    <tableColumn id="5" xr3:uid="{B514F5C2-1E83-407E-8714-2586B03F6514}" name="Type of State Tax Credit" dataDxfId="86"/>
    <tableColumn id="7" xr3:uid="{18F2442C-8697-464E-AB37-A9D175BF77F3}" name="Use Alternate Credit Calculation" dataDxfId="85"/>
    <tableColumn id="8" xr3:uid="{42BF657D-656B-4FB6-BADF-D3F65329AC75}" name="9% Max" dataDxfId="84"/>
    <tableColumn id="9" xr3:uid="{A2EC9DB2-DCF2-4D23-B050-FDD0E2C08D7B}" name="State Max" dataDxfId="8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18" dT="2022-03-22T21:35:20.39" personId="{6EE1915F-6B87-428B-94CA-90AFDE4F1385}" id="{D0BA92AF-16A0-450A-BE52-0AF6056702AD}">
    <text>counties with lowest area median income (AMI)</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chfainfo.com/rental-housing/housing-credit/qualified-allocation-pla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4.vml"/><Relationship Id="rId1" Type="http://schemas.openxmlformats.org/officeDocument/2006/relationships/printerSettings" Target="../printerSettings/printerSettings24.bin"/><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vmlDrawing" Target="../drawings/vmlDrawing5.vml"/><Relationship Id="rId1" Type="http://schemas.openxmlformats.org/officeDocument/2006/relationships/printerSettings" Target="../printerSettings/printerSettings26.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microsoft.com/office/2017/10/relationships/threadedComment" Target="../threadedComments/threadedComment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18" Type="http://schemas.openxmlformats.org/officeDocument/2006/relationships/table" Target="../tables/table23.xml"/><Relationship Id="rId26" Type="http://schemas.openxmlformats.org/officeDocument/2006/relationships/table" Target="../tables/table31.xml"/><Relationship Id="rId39" Type="http://schemas.openxmlformats.org/officeDocument/2006/relationships/table" Target="../tables/table44.xml"/><Relationship Id="rId3" Type="http://schemas.openxmlformats.org/officeDocument/2006/relationships/table" Target="../tables/table8.xml"/><Relationship Id="rId21" Type="http://schemas.openxmlformats.org/officeDocument/2006/relationships/table" Target="../tables/table26.xml"/><Relationship Id="rId34" Type="http://schemas.openxmlformats.org/officeDocument/2006/relationships/table" Target="../tables/table39.xml"/><Relationship Id="rId42" Type="http://schemas.openxmlformats.org/officeDocument/2006/relationships/table" Target="../tables/table47.xml"/><Relationship Id="rId7" Type="http://schemas.openxmlformats.org/officeDocument/2006/relationships/table" Target="../tables/table12.xml"/><Relationship Id="rId12" Type="http://schemas.openxmlformats.org/officeDocument/2006/relationships/table" Target="../tables/table17.xml"/><Relationship Id="rId17" Type="http://schemas.openxmlformats.org/officeDocument/2006/relationships/table" Target="../tables/table22.xml"/><Relationship Id="rId25" Type="http://schemas.openxmlformats.org/officeDocument/2006/relationships/table" Target="../tables/table30.xml"/><Relationship Id="rId33" Type="http://schemas.openxmlformats.org/officeDocument/2006/relationships/table" Target="../tables/table38.xml"/><Relationship Id="rId38" Type="http://schemas.openxmlformats.org/officeDocument/2006/relationships/table" Target="../tables/table43.xml"/><Relationship Id="rId2" Type="http://schemas.openxmlformats.org/officeDocument/2006/relationships/table" Target="../tables/table7.xml"/><Relationship Id="rId16" Type="http://schemas.openxmlformats.org/officeDocument/2006/relationships/table" Target="../tables/table21.xml"/><Relationship Id="rId20" Type="http://schemas.openxmlformats.org/officeDocument/2006/relationships/table" Target="../tables/table25.xml"/><Relationship Id="rId29" Type="http://schemas.openxmlformats.org/officeDocument/2006/relationships/table" Target="../tables/table34.xml"/><Relationship Id="rId41" Type="http://schemas.openxmlformats.org/officeDocument/2006/relationships/table" Target="../tables/table46.xml"/><Relationship Id="rId1" Type="http://schemas.openxmlformats.org/officeDocument/2006/relationships/printerSettings" Target="../printerSettings/printerSettings28.bin"/><Relationship Id="rId6" Type="http://schemas.openxmlformats.org/officeDocument/2006/relationships/table" Target="../tables/table11.xml"/><Relationship Id="rId11" Type="http://schemas.openxmlformats.org/officeDocument/2006/relationships/table" Target="../tables/table16.xml"/><Relationship Id="rId24" Type="http://schemas.openxmlformats.org/officeDocument/2006/relationships/table" Target="../tables/table29.xml"/><Relationship Id="rId32" Type="http://schemas.openxmlformats.org/officeDocument/2006/relationships/table" Target="../tables/table37.xml"/><Relationship Id="rId37" Type="http://schemas.openxmlformats.org/officeDocument/2006/relationships/table" Target="../tables/table42.xml"/><Relationship Id="rId40" Type="http://schemas.openxmlformats.org/officeDocument/2006/relationships/table" Target="../tables/table45.xml"/><Relationship Id="rId5" Type="http://schemas.openxmlformats.org/officeDocument/2006/relationships/table" Target="../tables/table10.xml"/><Relationship Id="rId15" Type="http://schemas.openxmlformats.org/officeDocument/2006/relationships/table" Target="../tables/table20.xml"/><Relationship Id="rId23" Type="http://schemas.openxmlformats.org/officeDocument/2006/relationships/table" Target="../tables/table28.xml"/><Relationship Id="rId28" Type="http://schemas.openxmlformats.org/officeDocument/2006/relationships/table" Target="../tables/table33.xml"/><Relationship Id="rId36" Type="http://schemas.openxmlformats.org/officeDocument/2006/relationships/table" Target="../tables/table41.xml"/><Relationship Id="rId10" Type="http://schemas.openxmlformats.org/officeDocument/2006/relationships/table" Target="../tables/table15.xml"/><Relationship Id="rId19" Type="http://schemas.openxmlformats.org/officeDocument/2006/relationships/table" Target="../tables/table24.xml"/><Relationship Id="rId31" Type="http://schemas.openxmlformats.org/officeDocument/2006/relationships/table" Target="../tables/table36.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 Id="rId22" Type="http://schemas.openxmlformats.org/officeDocument/2006/relationships/table" Target="../tables/table27.xml"/><Relationship Id="rId27" Type="http://schemas.openxmlformats.org/officeDocument/2006/relationships/table" Target="../tables/table32.xml"/><Relationship Id="rId30" Type="http://schemas.openxmlformats.org/officeDocument/2006/relationships/table" Target="../tables/table35.xml"/><Relationship Id="rId35" Type="http://schemas.openxmlformats.org/officeDocument/2006/relationships/table" Target="../tables/table40.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K112"/>
  <sheetViews>
    <sheetView showGridLines="0" tabSelected="1" zoomScaleNormal="100" workbookViewId="0"/>
  </sheetViews>
  <sheetFormatPr defaultRowHeight="15"/>
  <cols>
    <col min="1" max="1" width="173.5703125" customWidth="1"/>
  </cols>
  <sheetData>
    <row r="1" spans="1:1" ht="21">
      <c r="A1" s="4" t="s">
        <v>0</v>
      </c>
    </row>
    <row r="3" spans="1:1" s="9" customFormat="1" ht="30" customHeight="1">
      <c r="A3" s="9" t="s">
        <v>1</v>
      </c>
    </row>
    <row r="4" spans="1:1">
      <c r="A4" s="510" t="s">
        <v>2</v>
      </c>
    </row>
    <row r="5" spans="1:1">
      <c r="A5" s="9" t="s">
        <v>3</v>
      </c>
    </row>
    <row r="6" spans="1:1" ht="30" customHeight="1">
      <c r="A6" s="9" t="s">
        <v>4</v>
      </c>
    </row>
    <row r="7" spans="1:1">
      <c r="A7" t="s">
        <v>5</v>
      </c>
    </row>
    <row r="8" spans="1:1">
      <c r="A8" s="9" t="s">
        <v>6</v>
      </c>
    </row>
    <row r="9" spans="1:1">
      <c r="A9" s="9" t="s">
        <v>7</v>
      </c>
    </row>
    <row r="10" spans="1:1">
      <c r="A10" s="308" t="s">
        <v>8</v>
      </c>
    </row>
    <row r="12" spans="1:1">
      <c r="A12" s="154" t="s">
        <v>9</v>
      </c>
    </row>
    <row r="13" spans="1:1">
      <c r="A13" s="514" t="s">
        <v>10</v>
      </c>
    </row>
    <row r="14" spans="1:1">
      <c r="A14" s="514" t="s">
        <v>11</v>
      </c>
    </row>
    <row r="16" spans="1:1">
      <c r="A16" s="154" t="s">
        <v>12</v>
      </c>
    </row>
    <row r="17" spans="1:1">
      <c r="A17" t="s">
        <v>13</v>
      </c>
    </row>
    <row r="18" spans="1:1">
      <c r="A18" t="s">
        <v>14</v>
      </c>
    </row>
    <row r="20" spans="1:1">
      <c r="A20" t="s">
        <v>15</v>
      </c>
    </row>
    <row r="21" spans="1:1" ht="30">
      <c r="A21" s="9" t="s">
        <v>16</v>
      </c>
    </row>
    <row r="22" spans="1:1">
      <c r="A22" s="172" t="s">
        <v>17</v>
      </c>
    </row>
    <row r="23" spans="1:1">
      <c r="A23" s="514" t="s">
        <v>18</v>
      </c>
    </row>
    <row r="24" spans="1:1">
      <c r="A24" s="491"/>
    </row>
    <row r="25" spans="1:1">
      <c r="A25" s="154" t="s">
        <v>19</v>
      </c>
    </row>
    <row r="26" spans="1:1">
      <c r="A26" s="514" t="s">
        <v>20</v>
      </c>
    </row>
    <row r="27" spans="1:1">
      <c r="A27" s="514" t="s">
        <v>21</v>
      </c>
    </row>
    <row r="28" spans="1:1">
      <c r="A28" s="514" t="s">
        <v>22</v>
      </c>
    </row>
    <row r="29" spans="1:1">
      <c r="A29" s="514" t="s">
        <v>23</v>
      </c>
    </row>
    <row r="30" spans="1:1">
      <c r="A30" s="514" t="s">
        <v>24</v>
      </c>
    </row>
    <row r="31" spans="1:1">
      <c r="A31" s="514" t="s">
        <v>25</v>
      </c>
    </row>
    <row r="32" spans="1:1">
      <c r="A32" s="514" t="s">
        <v>26</v>
      </c>
    </row>
    <row r="33" spans="1:1">
      <c r="A33" s="514"/>
    </row>
    <row r="34" spans="1:1">
      <c r="A34" s="154" t="s">
        <v>27</v>
      </c>
    </row>
    <row r="35" spans="1:1">
      <c r="A35" s="514" t="s">
        <v>28</v>
      </c>
    </row>
    <row r="36" spans="1:1">
      <c r="A36" s="514" t="s">
        <v>29</v>
      </c>
    </row>
    <row r="37" spans="1:1">
      <c r="A37" t="s">
        <v>30</v>
      </c>
    </row>
    <row r="38" spans="1:1">
      <c r="A38" t="s">
        <v>31</v>
      </c>
    </row>
    <row r="39" spans="1:1">
      <c r="A39" t="s">
        <v>32</v>
      </c>
    </row>
    <row r="40" spans="1:1">
      <c r="A40" t="s">
        <v>33</v>
      </c>
    </row>
    <row r="41" spans="1:1">
      <c r="A41" t="s">
        <v>34</v>
      </c>
    </row>
    <row r="42" spans="1:1">
      <c r="A42" t="s">
        <v>35</v>
      </c>
    </row>
    <row r="43" spans="1:1">
      <c r="A43" s="1" t="s">
        <v>36</v>
      </c>
    </row>
    <row r="44" spans="1:1">
      <c r="A44" t="s">
        <v>37</v>
      </c>
    </row>
    <row r="45" spans="1:1">
      <c r="A45" t="s">
        <v>38</v>
      </c>
    </row>
    <row r="46" spans="1:1">
      <c r="A46" t="s">
        <v>39</v>
      </c>
    </row>
    <row r="47" spans="1:1">
      <c r="A47" t="s">
        <v>40</v>
      </c>
    </row>
    <row r="49" spans="1:11">
      <c r="A49" s="154" t="s">
        <v>41</v>
      </c>
      <c r="B49" s="88"/>
      <c r="C49" s="88"/>
      <c r="D49" s="88"/>
      <c r="E49" s="88"/>
      <c r="F49" s="88"/>
      <c r="G49" s="88"/>
      <c r="H49" s="88"/>
      <c r="I49" s="88"/>
      <c r="J49" s="88"/>
      <c r="K49" s="88"/>
    </row>
    <row r="50" spans="1:11">
      <c r="A50" s="514" t="s">
        <v>42</v>
      </c>
    </row>
    <row r="51" spans="1:11">
      <c r="A51" t="s">
        <v>43</v>
      </c>
    </row>
    <row r="52" spans="1:11">
      <c r="A52" s="70" t="s">
        <v>44</v>
      </c>
    </row>
    <row r="53" spans="1:11">
      <c r="A53" t="s">
        <v>45</v>
      </c>
    </row>
    <row r="54" spans="1:11">
      <c r="A54" s="332" t="s">
        <v>46</v>
      </c>
    </row>
    <row r="55" spans="1:11">
      <c r="A55" t="s">
        <v>47</v>
      </c>
    </row>
    <row r="56" spans="1:11">
      <c r="A56" t="s">
        <v>48</v>
      </c>
    </row>
    <row r="58" spans="1:11">
      <c r="A58" s="154" t="s">
        <v>49</v>
      </c>
    </row>
    <row r="59" spans="1:11">
      <c r="A59" s="514" t="s">
        <v>50</v>
      </c>
    </row>
    <row r="60" spans="1:11">
      <c r="A60" t="s">
        <v>51</v>
      </c>
    </row>
    <row r="62" spans="1:11">
      <c r="A62" s="154" t="s">
        <v>52</v>
      </c>
    </row>
    <row r="63" spans="1:11">
      <c r="A63" s="514" t="s">
        <v>53</v>
      </c>
    </row>
    <row r="64" spans="1:11">
      <c r="A64" s="514" t="s">
        <v>54</v>
      </c>
    </row>
    <row r="65" spans="1:1">
      <c r="A65" s="514" t="s">
        <v>55</v>
      </c>
    </row>
    <row r="66" spans="1:1">
      <c r="A66" s="514" t="s">
        <v>56</v>
      </c>
    </row>
    <row r="67" spans="1:1">
      <c r="A67" s="514" t="s">
        <v>57</v>
      </c>
    </row>
    <row r="68" spans="1:1">
      <c r="A68" s="514" t="s">
        <v>58</v>
      </c>
    </row>
    <row r="69" spans="1:1">
      <c r="A69" s="514" t="s">
        <v>59</v>
      </c>
    </row>
    <row r="70" spans="1:1">
      <c r="A70" s="514" t="s">
        <v>60</v>
      </c>
    </row>
    <row r="72" spans="1:1">
      <c r="A72" s="154" t="s">
        <v>61</v>
      </c>
    </row>
    <row r="73" spans="1:1">
      <c r="A73" t="s">
        <v>62</v>
      </c>
    </row>
    <row r="75" spans="1:1">
      <c r="A75" s="154" t="s">
        <v>63</v>
      </c>
    </row>
    <row r="76" spans="1:1">
      <c r="A76" t="s">
        <v>62</v>
      </c>
    </row>
    <row r="78" spans="1:1">
      <c r="A78" s="154" t="s">
        <v>64</v>
      </c>
    </row>
    <row r="79" spans="1:1">
      <c r="A79" t="s">
        <v>62</v>
      </c>
    </row>
    <row r="81" spans="1:1">
      <c r="A81" s="172" t="s">
        <v>65</v>
      </c>
    </row>
    <row r="82" spans="1:1">
      <c r="A82" t="s">
        <v>62</v>
      </c>
    </row>
    <row r="84" spans="1:1">
      <c r="A84" s="154" t="s">
        <v>66</v>
      </c>
    </row>
    <row r="85" spans="1:1">
      <c r="A85" t="s">
        <v>67</v>
      </c>
    </row>
    <row r="86" spans="1:1">
      <c r="A86" t="s">
        <v>68</v>
      </c>
    </row>
    <row r="87" spans="1:1">
      <c r="A87" t="s">
        <v>69</v>
      </c>
    </row>
    <row r="89" spans="1:1">
      <c r="A89" s="154" t="s">
        <v>70</v>
      </c>
    </row>
    <row r="90" spans="1:1">
      <c r="A90" t="s">
        <v>71</v>
      </c>
    </row>
    <row r="91" spans="1:1">
      <c r="A91" t="s">
        <v>72</v>
      </c>
    </row>
    <row r="93" spans="1:1">
      <c r="A93" s="154" t="s">
        <v>73</v>
      </c>
    </row>
    <row r="94" spans="1:1">
      <c r="A94" t="s">
        <v>74</v>
      </c>
    </row>
    <row r="95" spans="1:1" ht="30">
      <c r="A95" s="9" t="s">
        <v>75</v>
      </c>
    </row>
    <row r="96" spans="1:1" ht="60">
      <c r="A96" s="9" t="s">
        <v>76</v>
      </c>
    </row>
    <row r="98" spans="1:1">
      <c r="A98" s="154" t="s">
        <v>77</v>
      </c>
    </row>
    <row r="99" spans="1:1">
      <c r="A99" t="s">
        <v>78</v>
      </c>
    </row>
    <row r="100" spans="1:1">
      <c r="A100" t="s">
        <v>79</v>
      </c>
    </row>
    <row r="101" spans="1:1">
      <c r="A101" t="s">
        <v>80</v>
      </c>
    </row>
    <row r="103" spans="1:1">
      <c r="A103" s="154" t="s">
        <v>81</v>
      </c>
    </row>
    <row r="104" spans="1:1">
      <c r="A104" t="s">
        <v>82</v>
      </c>
    </row>
    <row r="106" spans="1:1">
      <c r="A106" s="154" t="s">
        <v>83</v>
      </c>
    </row>
    <row r="107" spans="1:1">
      <c r="A107" t="s">
        <v>84</v>
      </c>
    </row>
    <row r="109" spans="1:1">
      <c r="A109" s="172" t="s">
        <v>85</v>
      </c>
    </row>
    <row r="110" spans="1:1">
      <c r="A110" s="1" t="s">
        <v>86</v>
      </c>
    </row>
    <row r="111" spans="1:1">
      <c r="A111" t="s">
        <v>87</v>
      </c>
    </row>
    <row r="112" spans="1:1">
      <c r="A112" s="310"/>
    </row>
  </sheetData>
  <sheetProtection algorithmName="SHA-512" hashValue="9RTphCGNmakCwsYOqA67Be9OMCDM+Y4rX2PRc3WlQVTD6uiCqVVAdzTtuLbh8xGUJ1Li1vcINggdDDf//OR/Fg==" saltValue="QpX2fSK38gKWw6lWQYCJWg==" spinCount="100000" sheet="1" objects="1" scenarios="1"/>
  <hyperlinks>
    <hyperlink ref="A12" location="'Data Issues'!A1" display="Data Issues" xr:uid="{00000000-0004-0000-0000-000000000000}"/>
    <hyperlink ref="A22" location="Application!A1" display="Application" xr:uid="{00000000-0004-0000-0000-000001000000}"/>
    <hyperlink ref="A25" location="'Unit Mix &amp; Rents'!A1" display="Unit Mix &amp; Rents" xr:uid="{00000000-0004-0000-0000-000002000000}"/>
    <hyperlink ref="A34" location="Financing!A1" display="Financing" xr:uid="{00000000-0004-0000-0000-000003000000}"/>
    <hyperlink ref="A49" location="'Development Budget'!A1" display="Development Budget" xr:uid="{00000000-0004-0000-0000-000004000000}"/>
    <hyperlink ref="A58" location="'Commercial Budget'!A1" display="Commercial Budget" xr:uid="{00000000-0004-0000-0000-000005000000}"/>
    <hyperlink ref="A62" location="'Proforma, Income &amp; Expense'!A1" display="Proforma, Income &amp; Expense" xr:uid="{00000000-0004-0000-0000-000006000000}"/>
    <hyperlink ref="A72" location="'Tax Credit Details'!A1" display="Tax Credit Details" xr:uid="{00000000-0004-0000-0000-000007000000}"/>
    <hyperlink ref="A75" location="'Tax Credit Summary'!A1" display="Tax Credit Summary" xr:uid="{00000000-0004-0000-0000-000008000000}"/>
    <hyperlink ref="A78" location="'Budget Output'!A1" display="Budget Output" xr:uid="{00000000-0004-0000-0000-000009000000}"/>
    <hyperlink ref="A84" location="Scoring!A1" display="Scoring" xr:uid="{00000000-0004-0000-0000-00000A000000}"/>
    <hyperlink ref="A89" location="Amenities!A1" display="Amenities" xr:uid="{00000000-0004-0000-0000-00000B000000}"/>
    <hyperlink ref="A16" location="'Contact Information'!A1" display="Contact Information" xr:uid="{00000000-0004-0000-0000-00000C000000}"/>
    <hyperlink ref="A93" location="'Cost Summary'!A1" display="Cost Summary" xr:uid="{00000000-0004-0000-0000-00000D000000}"/>
    <hyperlink ref="A98" location="'Final Building Profile'!A1" display="Final Building Profile" xr:uid="{00000000-0004-0000-0000-00000E000000}"/>
    <hyperlink ref="A103" location="'Rent &amp; Income Limits'!A1" display="Rent &amp; Income Limits" xr:uid="{00000000-0004-0000-0000-00000F000000}"/>
    <hyperlink ref="A10" r:id="rId1" xr:uid="{00000000-0004-0000-0000-000010000000}"/>
    <hyperlink ref="A106" location="Calculations!A1" display="Calculations" xr:uid="{00000000-0004-0000-0000-000011000000}"/>
    <hyperlink ref="A109" location="DevCosts!A1" display="CDOH Worksheets" xr:uid="{00000000-0004-0000-0000-000012000000}"/>
    <hyperlink ref="A81" location="'Budget Output'!A1" display="Budget Output" xr:uid="{4888BBF2-3C60-4510-9564-88EA2273F3AA}"/>
  </hyperlinks>
  <pageMargins left="0.7" right="0.7" top="0.75" bottom="0.75" header="0.3" footer="0.3"/>
  <pageSetup orientation="portrait" horizontalDpi="3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92D050"/>
  </sheetPr>
  <dimension ref="A1:R80"/>
  <sheetViews>
    <sheetView showGridLines="0" zoomScaleNormal="100" workbookViewId="0"/>
  </sheetViews>
  <sheetFormatPr defaultColWidth="9" defaultRowHeight="15"/>
  <cols>
    <col min="1" max="1" width="33" style="58" customWidth="1"/>
    <col min="2" max="2" width="12.5703125" style="58" customWidth="1"/>
    <col min="3" max="4" width="12" style="58" customWidth="1"/>
    <col min="5" max="5" width="12.5703125" style="58" customWidth="1"/>
    <col min="6" max="16" width="12" style="58" customWidth="1"/>
    <col min="17" max="16384" width="9" style="58"/>
  </cols>
  <sheetData>
    <row r="1" spans="1:18" ht="21">
      <c r="A1" s="4" t="s">
        <v>52</v>
      </c>
      <c r="B1" s="4"/>
      <c r="C1" s="4"/>
      <c r="D1" s="4"/>
      <c r="E1" s="4"/>
      <c r="F1" s="4"/>
      <c r="G1" s="4"/>
      <c r="H1" s="4"/>
      <c r="I1" s="4"/>
      <c r="J1" s="4"/>
      <c r="K1" s="4"/>
      <c r="L1" s="4"/>
      <c r="M1" s="4"/>
      <c r="N1" s="4"/>
      <c r="O1" s="4"/>
      <c r="P1" s="4"/>
      <c r="Q1" s="88"/>
      <c r="R1" s="88"/>
    </row>
    <row r="2" spans="1:18">
      <c r="A2" s="88"/>
      <c r="B2" s="305" t="s">
        <v>535</v>
      </c>
      <c r="C2" s="88"/>
      <c r="D2"/>
      <c r="E2" s="88"/>
      <c r="F2" s="88"/>
      <c r="G2" s="88"/>
      <c r="H2" s="88"/>
      <c r="I2" s="88"/>
      <c r="J2" s="88"/>
      <c r="K2" s="88"/>
      <c r="L2" s="88"/>
      <c r="M2" s="88"/>
      <c r="N2" s="88"/>
      <c r="O2" s="88"/>
      <c r="P2" s="88"/>
      <c r="Q2" s="88"/>
      <c r="R2" s="88"/>
    </row>
    <row r="3" spans="1:18">
      <c r="A3" s="3" t="s">
        <v>536</v>
      </c>
      <c r="B3" s="3" t="s">
        <v>537</v>
      </c>
      <c r="C3" s="3" t="s">
        <v>538</v>
      </c>
      <c r="D3" s="3" t="s">
        <v>539</v>
      </c>
      <c r="E3" s="3" t="s">
        <v>540</v>
      </c>
      <c r="F3" s="3" t="s">
        <v>541</v>
      </c>
      <c r="G3" s="3" t="s">
        <v>542</v>
      </c>
      <c r="H3" s="3" t="s">
        <v>543</v>
      </c>
      <c r="I3" s="3" t="s">
        <v>544</v>
      </c>
      <c r="J3" s="3" t="s">
        <v>545</v>
      </c>
      <c r="K3" s="3" t="s">
        <v>546</v>
      </c>
      <c r="L3" s="3" t="s">
        <v>547</v>
      </c>
      <c r="M3" s="3" t="s">
        <v>548</v>
      </c>
      <c r="N3" s="3" t="s">
        <v>549</v>
      </c>
      <c r="O3" s="3" t="s">
        <v>550</v>
      </c>
      <c r="P3" s="3" t="s">
        <v>551</v>
      </c>
      <c r="Q3" s="88"/>
      <c r="R3" s="88"/>
    </row>
    <row r="4" spans="1:18">
      <c r="A4" s="1" t="s">
        <v>552</v>
      </c>
      <c r="B4" s="290">
        <v>0</v>
      </c>
      <c r="C4" s="290">
        <v>0</v>
      </c>
      <c r="D4" s="290">
        <v>0</v>
      </c>
      <c r="E4" s="290">
        <v>0</v>
      </c>
      <c r="F4" s="290">
        <v>0</v>
      </c>
      <c r="G4" s="290">
        <v>0</v>
      </c>
      <c r="H4" s="290">
        <v>0</v>
      </c>
      <c r="I4" s="290">
        <v>0</v>
      </c>
      <c r="J4" s="290">
        <v>0</v>
      </c>
      <c r="K4" s="290">
        <v>0</v>
      </c>
      <c r="L4" s="290">
        <v>0</v>
      </c>
      <c r="M4" s="290">
        <v>0</v>
      </c>
      <c r="N4" s="290">
        <v>0</v>
      </c>
      <c r="O4" s="290">
        <v>0</v>
      </c>
      <c r="P4" s="290">
        <v>0</v>
      </c>
      <c r="Q4" s="88"/>
      <c r="R4" s="88"/>
    </row>
    <row r="5" spans="1:18" ht="13.15" customHeight="1">
      <c r="A5" s="510" t="s">
        <v>553</v>
      </c>
      <c r="B5" s="290">
        <v>0</v>
      </c>
      <c r="C5" s="290">
        <v>0</v>
      </c>
      <c r="D5" s="290">
        <v>0</v>
      </c>
      <c r="E5" s="290">
        <v>0</v>
      </c>
      <c r="F5" s="290">
        <v>0</v>
      </c>
      <c r="G5" s="290">
        <v>0</v>
      </c>
      <c r="H5" s="290">
        <v>0</v>
      </c>
      <c r="I5" s="290">
        <v>0</v>
      </c>
      <c r="J5" s="290">
        <v>0</v>
      </c>
      <c r="K5" s="290">
        <v>0</v>
      </c>
      <c r="L5" s="290">
        <v>0</v>
      </c>
      <c r="M5" s="290">
        <v>0</v>
      </c>
      <c r="N5" s="290">
        <v>0</v>
      </c>
      <c r="O5" s="290">
        <v>0</v>
      </c>
      <c r="P5" s="290">
        <v>0</v>
      </c>
      <c r="Q5" s="88"/>
      <c r="R5" s="88"/>
    </row>
    <row r="6" spans="1:18" ht="13.15" customHeight="1">
      <c r="A6" s="510" t="s">
        <v>554</v>
      </c>
      <c r="B6" s="290">
        <v>0</v>
      </c>
      <c r="C6" s="290">
        <v>0</v>
      </c>
      <c r="D6" s="290">
        <v>0</v>
      </c>
      <c r="E6" s="290">
        <v>0</v>
      </c>
      <c r="F6" s="290">
        <v>0</v>
      </c>
      <c r="G6" s="290">
        <v>0</v>
      </c>
      <c r="H6" s="290">
        <v>0</v>
      </c>
      <c r="I6" s="290">
        <v>0</v>
      </c>
      <c r="J6" s="290">
        <v>0</v>
      </c>
      <c r="K6" s="290">
        <v>0</v>
      </c>
      <c r="L6" s="290">
        <v>0</v>
      </c>
      <c r="M6" s="290">
        <v>0</v>
      </c>
      <c r="N6" s="290">
        <v>0</v>
      </c>
      <c r="O6" s="290">
        <v>0</v>
      </c>
      <c r="P6" s="290">
        <v>0</v>
      </c>
      <c r="Q6"/>
      <c r="R6" s="88"/>
    </row>
    <row r="7" spans="1:18" customFormat="1">
      <c r="A7" s="291" t="str">
        <f>"Other (Specify)"</f>
        <v>Other (Specify)</v>
      </c>
      <c r="B7" s="290">
        <v>0</v>
      </c>
      <c r="C7" s="290">
        <v>0</v>
      </c>
      <c r="D7" s="290">
        <v>0</v>
      </c>
      <c r="E7" s="290">
        <v>0</v>
      </c>
      <c r="F7" s="290">
        <v>0</v>
      </c>
      <c r="G7" s="290">
        <v>0</v>
      </c>
      <c r="H7" s="290">
        <v>0</v>
      </c>
      <c r="I7" s="290">
        <v>0</v>
      </c>
      <c r="J7" s="290">
        <v>0</v>
      </c>
      <c r="K7" s="290">
        <v>0</v>
      </c>
      <c r="L7" s="290">
        <v>0</v>
      </c>
      <c r="M7" s="290">
        <v>0</v>
      </c>
      <c r="N7" s="290">
        <v>0</v>
      </c>
      <c r="O7" s="290">
        <v>0</v>
      </c>
      <c r="P7" s="290">
        <v>0</v>
      </c>
    </row>
    <row r="8" spans="1:18" customFormat="1">
      <c r="A8" s="510" t="s">
        <v>555</v>
      </c>
      <c r="B8" s="290">
        <v>0</v>
      </c>
      <c r="C8" s="290">
        <v>0</v>
      </c>
      <c r="D8" s="290">
        <v>0</v>
      </c>
      <c r="E8" s="290">
        <v>0</v>
      </c>
      <c r="F8" s="290">
        <v>0</v>
      </c>
      <c r="G8" s="290">
        <v>0</v>
      </c>
      <c r="H8" s="290">
        <v>0</v>
      </c>
      <c r="I8" s="290">
        <v>0</v>
      </c>
      <c r="J8" s="290">
        <v>0</v>
      </c>
      <c r="K8" s="290">
        <v>0</v>
      </c>
      <c r="L8" s="290">
        <v>0</v>
      </c>
      <c r="M8" s="290">
        <v>0</v>
      </c>
      <c r="N8" s="290">
        <v>0</v>
      </c>
      <c r="O8" s="290">
        <v>0</v>
      </c>
      <c r="P8" s="290">
        <v>0</v>
      </c>
    </row>
    <row r="9" spans="1:18">
      <c r="A9" s="905" t="s">
        <v>556</v>
      </c>
      <c r="B9" s="905"/>
      <c r="C9" s="905"/>
      <c r="D9" s="832"/>
      <c r="E9" s="832"/>
      <c r="F9" s="832"/>
      <c r="G9" s="832"/>
      <c r="H9" s="832"/>
      <c r="I9" s="832"/>
      <c r="J9" s="832"/>
      <c r="K9" s="832"/>
      <c r="L9" s="832"/>
      <c r="M9" s="832"/>
      <c r="N9" s="832"/>
      <c r="O9" s="832"/>
      <c r="P9" s="832"/>
      <c r="Q9" s="88"/>
      <c r="R9" s="88"/>
    </row>
    <row r="10" spans="1:18" customFormat="1" ht="21">
      <c r="A10" s="7" t="s">
        <v>557</v>
      </c>
    </row>
    <row r="11" spans="1:18" ht="30" customHeight="1">
      <c r="A11" s="3" t="s">
        <v>558</v>
      </c>
      <c r="B11" s="3" t="s">
        <v>397</v>
      </c>
      <c r="C11" s="906" t="s">
        <v>400</v>
      </c>
      <c r="D11" s="906"/>
      <c r="E11" s="10" t="s">
        <v>559</v>
      </c>
      <c r="F11" s="88"/>
      <c r="G11" s="88"/>
      <c r="H11" s="88"/>
      <c r="I11" s="88"/>
      <c r="J11" s="88"/>
      <c r="K11" s="88"/>
      <c r="L11" s="88"/>
      <c r="M11" s="88"/>
      <c r="N11" s="88"/>
      <c r="O11" s="88"/>
      <c r="P11" s="88"/>
      <c r="Q11" s="88"/>
      <c r="R11" s="88"/>
    </row>
    <row r="12" spans="1:18">
      <c r="A12" s="1" t="s">
        <v>560</v>
      </c>
      <c r="B12" s="460">
        <v>0</v>
      </c>
      <c r="C12" s="909">
        <v>0</v>
      </c>
      <c r="D12" s="910"/>
      <c r="E12" s="305" t="s">
        <v>561</v>
      </c>
      <c r="F12" s="88"/>
      <c r="G12"/>
      <c r="H12" s="88"/>
      <c r="I12" s="88"/>
      <c r="J12" s="88"/>
      <c r="K12" s="88"/>
      <c r="L12" s="88"/>
      <c r="M12" s="88"/>
      <c r="N12" s="88"/>
      <c r="O12" s="88"/>
      <c r="P12" s="88"/>
      <c r="Q12" s="88"/>
      <c r="R12" s="88"/>
    </row>
    <row r="13" spans="1:18">
      <c r="A13" s="1" t="s">
        <v>562</v>
      </c>
      <c r="B13" s="528">
        <v>0</v>
      </c>
      <c r="C13" s="909">
        <v>0</v>
      </c>
      <c r="D13" s="910"/>
      <c r="E13" s="88"/>
      <c r="F13" s="88"/>
      <c r="G13" s="88"/>
      <c r="H13" s="88"/>
      <c r="I13" s="88"/>
      <c r="J13" s="88"/>
      <c r="K13" s="88"/>
      <c r="L13" s="88"/>
      <c r="M13" s="88"/>
      <c r="N13" s="88"/>
      <c r="O13" s="88"/>
      <c r="P13" s="88"/>
      <c r="Q13" s="88"/>
      <c r="R13" s="88"/>
    </row>
    <row r="14" spans="1:18">
      <c r="A14" s="291" t="str">
        <f>"Other (Specify)"</f>
        <v>Other (Specify)</v>
      </c>
      <c r="B14" s="460">
        <v>0</v>
      </c>
      <c r="C14" s="909">
        <v>0</v>
      </c>
      <c r="D14" s="910"/>
      <c r="E14" s="88"/>
      <c r="F14" s="88"/>
      <c r="G14" s="88"/>
      <c r="H14" s="88"/>
      <c r="I14" s="88"/>
      <c r="J14" s="88"/>
      <c r="K14" s="88"/>
      <c r="L14" s="88"/>
      <c r="M14" s="88"/>
      <c r="N14" s="88"/>
      <c r="O14" s="88"/>
      <c r="P14" s="88"/>
      <c r="Q14" s="88"/>
      <c r="R14" s="88" t="s">
        <v>563</v>
      </c>
    </row>
    <row r="15" spans="1:18">
      <c r="A15" s="291" t="str">
        <f>"Other (Specify)"</f>
        <v>Other (Specify)</v>
      </c>
      <c r="B15" s="460">
        <v>0</v>
      </c>
      <c r="C15" s="909">
        <v>0</v>
      </c>
      <c r="D15" s="910"/>
      <c r="E15" s="88"/>
      <c r="F15" s="88"/>
      <c r="G15" s="88"/>
      <c r="H15" s="88"/>
      <c r="I15" s="88"/>
      <c r="J15" s="88"/>
      <c r="K15" s="88"/>
      <c r="L15" s="88"/>
      <c r="M15" s="88"/>
      <c r="N15" s="88"/>
      <c r="O15" s="88"/>
      <c r="P15" s="88"/>
      <c r="Q15" s="88"/>
      <c r="R15" s="88"/>
    </row>
    <row r="16" spans="1:18">
      <c r="A16" s="88"/>
      <c r="B16" s="88"/>
      <c r="C16" s="88"/>
      <c r="D16" s="88"/>
      <c r="E16" s="88"/>
      <c r="F16" s="88"/>
      <c r="G16" s="88"/>
      <c r="H16" s="88"/>
      <c r="I16" s="88"/>
      <c r="J16" s="88"/>
      <c r="K16" s="88"/>
      <c r="L16" s="88"/>
      <c r="M16" s="88"/>
      <c r="N16" s="88"/>
      <c r="O16" s="88"/>
      <c r="P16" s="88"/>
      <c r="Q16" s="88"/>
      <c r="R16" s="88" t="s">
        <v>563</v>
      </c>
    </row>
    <row r="17" spans="1:18">
      <c r="A17" s="88"/>
      <c r="B17" s="3" t="s">
        <v>397</v>
      </c>
      <c r="C17" s="88"/>
      <c r="D17" s="88"/>
      <c r="E17" s="88"/>
      <c r="F17" s="88"/>
      <c r="G17" s="88"/>
      <c r="H17" s="88"/>
      <c r="I17" s="88"/>
      <c r="J17" s="88"/>
      <c r="K17" s="88"/>
      <c r="L17" s="88"/>
      <c r="M17" s="88"/>
      <c r="N17" s="88"/>
      <c r="O17" s="88"/>
      <c r="P17" s="88"/>
      <c r="Q17" s="88"/>
      <c r="R17" s="88"/>
    </row>
    <row r="18" spans="1:18" ht="30">
      <c r="A18" s="510" t="s">
        <v>564</v>
      </c>
      <c r="B18" s="290">
        <v>0</v>
      </c>
      <c r="C18" s="88"/>
      <c r="D18" s="88"/>
      <c r="E18" s="88"/>
      <c r="F18" s="88"/>
      <c r="G18" s="88"/>
      <c r="H18" s="88"/>
      <c r="I18" s="88"/>
      <c r="J18" s="88"/>
      <c r="K18" s="88"/>
      <c r="L18" s="88"/>
      <c r="M18" s="88"/>
      <c r="N18" s="88"/>
      <c r="O18" s="88"/>
      <c r="P18" s="88"/>
      <c r="Q18" s="88"/>
      <c r="R18" s="88"/>
    </row>
    <row r="19" spans="1:18" customFormat="1"/>
    <row r="20" spans="1:18" ht="21">
      <c r="A20" s="7" t="s">
        <v>565</v>
      </c>
      <c r="B20" s="88"/>
      <c r="C20" s="88"/>
      <c r="D20" s="88"/>
      <c r="E20" s="88"/>
      <c r="F20" s="88"/>
      <c r="G20" s="88"/>
      <c r="H20" s="88"/>
      <c r="I20" s="88"/>
      <c r="J20" s="88"/>
      <c r="K20" s="88"/>
      <c r="L20" s="88"/>
      <c r="M20" s="88"/>
      <c r="N20" s="88"/>
      <c r="O20" s="88"/>
      <c r="P20" s="88"/>
      <c r="Q20" s="88"/>
      <c r="R20" s="88"/>
    </row>
    <row r="21" spans="1:18" ht="30" customHeight="1">
      <c r="A21" s="3" t="s">
        <v>566</v>
      </c>
      <c r="B21" s="3" t="s">
        <v>567</v>
      </c>
      <c r="C21" s="906" t="s">
        <v>400</v>
      </c>
      <c r="D21" s="906"/>
      <c r="E21" s="3" t="s">
        <v>568</v>
      </c>
      <c r="F21" s="10" t="s">
        <v>559</v>
      </c>
      <c r="G21" s="88"/>
      <c r="H21" s="88"/>
      <c r="I21" s="88"/>
      <c r="J21" s="88"/>
      <c r="K21" s="88"/>
      <c r="L21" s="88"/>
      <c r="M21" s="88"/>
      <c r="N21" s="88"/>
      <c r="O21" s="88"/>
      <c r="P21" s="88"/>
      <c r="Q21" s="88"/>
      <c r="R21" s="88"/>
    </row>
    <row r="22" spans="1:18">
      <c r="A22" s="1" t="s">
        <v>569</v>
      </c>
      <c r="B22" s="290">
        <v>0</v>
      </c>
      <c r="C22" s="907">
        <v>0</v>
      </c>
      <c r="D22" s="908"/>
      <c r="E22" s="290">
        <v>0</v>
      </c>
      <c r="F22" s="88"/>
      <c r="G22" s="88"/>
      <c r="H22" s="88"/>
      <c r="I22" s="88"/>
      <c r="J22" s="88"/>
      <c r="K22" s="88"/>
      <c r="L22" s="88"/>
      <c r="M22" s="88"/>
      <c r="N22" s="88"/>
      <c r="O22" s="88"/>
      <c r="P22" s="88"/>
      <c r="Q22" s="88"/>
      <c r="R22" s="88"/>
    </row>
    <row r="23" spans="1:18">
      <c r="A23" s="1" t="s">
        <v>570</v>
      </c>
      <c r="B23" s="290">
        <v>0</v>
      </c>
      <c r="C23" s="907">
        <v>0</v>
      </c>
      <c r="D23" s="908"/>
      <c r="E23" s="290">
        <v>0</v>
      </c>
      <c r="F23" s="88"/>
      <c r="G23" s="88"/>
      <c r="H23" s="88"/>
      <c r="I23" s="88"/>
      <c r="J23" s="88"/>
      <c r="K23" s="88"/>
      <c r="L23" s="88"/>
      <c r="M23" s="88"/>
      <c r="N23" s="88"/>
      <c r="O23" s="88"/>
      <c r="P23" s="88"/>
      <c r="Q23" s="88"/>
      <c r="R23" s="88"/>
    </row>
    <row r="24" spans="1:18">
      <c r="A24" s="1" t="s">
        <v>571</v>
      </c>
      <c r="B24" s="290">
        <v>0</v>
      </c>
      <c r="C24" s="907">
        <v>0</v>
      </c>
      <c r="D24" s="908"/>
      <c r="E24" s="290">
        <v>0</v>
      </c>
      <c r="F24" s="88"/>
      <c r="G24" s="88"/>
      <c r="H24" s="88"/>
      <c r="I24" s="88"/>
      <c r="J24" s="88"/>
      <c r="K24" s="88"/>
      <c r="L24" s="88"/>
      <c r="M24" s="88"/>
      <c r="N24" s="88"/>
      <c r="O24" s="88"/>
      <c r="P24" s="88"/>
      <c r="Q24" s="88"/>
      <c r="R24" s="88"/>
    </row>
    <row r="25" spans="1:18">
      <c r="A25" s="1" t="s">
        <v>572</v>
      </c>
      <c r="B25" s="290">
        <v>0</v>
      </c>
      <c r="C25" s="907">
        <v>0</v>
      </c>
      <c r="D25" s="908"/>
      <c r="E25" s="290">
        <v>0</v>
      </c>
      <c r="F25"/>
      <c r="G25" s="88"/>
      <c r="H25" s="88"/>
      <c r="I25" s="88"/>
      <c r="J25" s="88"/>
      <c r="K25" s="88"/>
      <c r="L25" s="88"/>
      <c r="M25" s="88"/>
      <c r="N25" s="88"/>
      <c r="O25" s="88"/>
      <c r="P25" s="88"/>
      <c r="Q25" s="88"/>
      <c r="R25" s="88"/>
    </row>
    <row r="26" spans="1:18">
      <c r="A26" s="1" t="s">
        <v>573</v>
      </c>
      <c r="B26" s="290">
        <v>0</v>
      </c>
      <c r="C26" s="907">
        <v>0</v>
      </c>
      <c r="D26" s="908"/>
      <c r="E26" s="290">
        <v>0</v>
      </c>
      <c r="F26" s="88"/>
      <c r="G26" s="88"/>
      <c r="H26" s="88"/>
      <c r="I26" s="88"/>
      <c r="J26" s="88"/>
      <c r="K26" s="88"/>
      <c r="L26" s="88"/>
      <c r="M26" s="88"/>
      <c r="N26" s="88"/>
      <c r="O26" s="88"/>
      <c r="P26" s="88"/>
      <c r="Q26" s="88"/>
      <c r="R26" s="88"/>
    </row>
    <row r="27" spans="1:18">
      <c r="A27" s="1" t="s">
        <v>574</v>
      </c>
      <c r="B27" s="290">
        <v>0</v>
      </c>
      <c r="C27" s="907">
        <v>0</v>
      </c>
      <c r="D27" s="908"/>
      <c r="E27" s="290">
        <v>0</v>
      </c>
      <c r="F27" s="88"/>
      <c r="G27" s="88"/>
      <c r="H27" s="88"/>
      <c r="I27" s="88"/>
      <c r="J27" s="88"/>
      <c r="K27" s="88"/>
      <c r="L27" s="88"/>
      <c r="M27" s="88"/>
      <c r="N27" s="88"/>
      <c r="O27" s="88"/>
      <c r="P27" s="88"/>
      <c r="Q27" s="88"/>
      <c r="R27" s="88"/>
    </row>
    <row r="28" spans="1:18">
      <c r="A28" s="1" t="s">
        <v>575</v>
      </c>
      <c r="B28" s="290">
        <v>0</v>
      </c>
      <c r="C28" s="907">
        <v>0</v>
      </c>
      <c r="D28" s="908"/>
      <c r="E28" s="290">
        <v>0</v>
      </c>
      <c r="F28" s="88"/>
      <c r="G28" s="88"/>
      <c r="H28" s="88"/>
      <c r="I28" s="88"/>
      <c r="J28" s="88"/>
      <c r="K28" s="88"/>
      <c r="L28" s="88"/>
      <c r="M28" s="88"/>
      <c r="N28" s="88"/>
      <c r="O28" s="88"/>
      <c r="P28" s="88"/>
      <c r="Q28" s="88"/>
      <c r="R28" s="88"/>
    </row>
    <row r="29" spans="1:18">
      <c r="A29" s="1" t="s">
        <v>576</v>
      </c>
      <c r="B29" s="290">
        <v>0</v>
      </c>
      <c r="C29" s="907">
        <v>0</v>
      </c>
      <c r="D29" s="908"/>
      <c r="E29" s="290">
        <v>0</v>
      </c>
      <c r="F29" s="88"/>
      <c r="G29" s="88"/>
      <c r="H29" s="88"/>
      <c r="I29" s="88"/>
      <c r="J29" s="88"/>
      <c r="K29" s="88"/>
      <c r="L29" s="88"/>
      <c r="M29" s="88"/>
      <c r="N29" s="88"/>
      <c r="O29" s="88"/>
      <c r="P29" s="88"/>
      <c r="Q29" s="88"/>
      <c r="R29" s="88"/>
    </row>
    <row r="30" spans="1:18">
      <c r="A30" s="1" t="s">
        <v>577</v>
      </c>
      <c r="B30" s="290">
        <v>0</v>
      </c>
      <c r="C30" s="907">
        <v>0</v>
      </c>
      <c r="D30" s="908"/>
      <c r="E30" s="290">
        <v>0</v>
      </c>
      <c r="F30" s="88"/>
      <c r="G30" s="88"/>
      <c r="H30" s="88"/>
      <c r="I30" s="88"/>
      <c r="J30" s="88"/>
      <c r="K30" s="88"/>
      <c r="L30" s="88"/>
      <c r="M30" s="88"/>
      <c r="N30" s="88"/>
      <c r="O30" s="88"/>
      <c r="P30" s="88"/>
      <c r="Q30" s="88"/>
      <c r="R30" s="88"/>
    </row>
    <row r="31" spans="1:18">
      <c r="A31" s="1" t="s">
        <v>578</v>
      </c>
      <c r="B31" s="290">
        <v>0</v>
      </c>
      <c r="C31" s="907">
        <v>0</v>
      </c>
      <c r="D31" s="908"/>
      <c r="E31" s="290">
        <v>0</v>
      </c>
      <c r="F31" s="88"/>
      <c r="G31" s="88"/>
      <c r="H31" s="88"/>
      <c r="I31" s="88"/>
      <c r="J31" s="88"/>
      <c r="K31" s="88"/>
      <c r="L31" s="88"/>
      <c r="M31" s="88"/>
      <c r="N31" s="88"/>
      <c r="O31" s="88"/>
      <c r="P31" s="88"/>
      <c r="Q31" s="88"/>
      <c r="R31" s="88"/>
    </row>
    <row r="32" spans="1:18">
      <c r="A32" s="291" t="str">
        <f>"Other (Specify)"</f>
        <v>Other (Specify)</v>
      </c>
      <c r="B32" s="290">
        <v>0</v>
      </c>
      <c r="C32" s="907">
        <v>0</v>
      </c>
      <c r="D32" s="908"/>
      <c r="E32" s="290">
        <v>0</v>
      </c>
      <c r="F32" s="88"/>
      <c r="G32" s="88"/>
      <c r="H32" s="88"/>
      <c r="I32" s="88"/>
      <c r="J32" s="88"/>
      <c r="K32" s="88"/>
      <c r="L32" s="88"/>
      <c r="M32" s="88"/>
      <c r="N32" s="88"/>
      <c r="O32" s="88"/>
      <c r="P32" s="88"/>
      <c r="Q32" s="88"/>
      <c r="R32" s="88"/>
    </row>
    <row r="33" spans="1:6">
      <c r="A33" s="291" t="str">
        <f t="shared" ref="A33:A34" si="0">"Other (Specify)"</f>
        <v>Other (Specify)</v>
      </c>
      <c r="B33" s="290">
        <v>0</v>
      </c>
      <c r="C33" s="907">
        <v>0</v>
      </c>
      <c r="D33" s="908"/>
      <c r="E33" s="290">
        <v>0</v>
      </c>
      <c r="F33" s="88"/>
    </row>
    <row r="34" spans="1:6">
      <c r="A34" s="291" t="str">
        <f t="shared" si="0"/>
        <v>Other (Specify)</v>
      </c>
      <c r="B34" s="290">
        <v>0</v>
      </c>
      <c r="C34" s="907">
        <v>0</v>
      </c>
      <c r="D34" s="908"/>
      <c r="E34" s="290">
        <v>0</v>
      </c>
      <c r="F34" s="88"/>
    </row>
    <row r="35" spans="1:6" customFormat="1">
      <c r="B35" s="66">
        <f>SUM(B22:B34)</f>
        <v>0</v>
      </c>
      <c r="C35" s="913">
        <f>SUM(C22:C34)</f>
        <v>0</v>
      </c>
      <c r="D35" s="914"/>
      <c r="E35" s="66">
        <f>SUM(E22:E34)</f>
        <v>0</v>
      </c>
    </row>
    <row r="36" spans="1:6">
      <c r="A36" s="3" t="s">
        <v>579</v>
      </c>
      <c r="B36" s="461"/>
      <c r="C36" s="3"/>
      <c r="D36" s="3"/>
      <c r="E36" s="461"/>
      <c r="F36" s="88"/>
    </row>
    <row r="37" spans="1:6">
      <c r="A37" s="1" t="s">
        <v>580</v>
      </c>
      <c r="B37" s="290">
        <v>0</v>
      </c>
      <c r="C37" s="907">
        <v>0</v>
      </c>
      <c r="D37" s="908"/>
      <c r="E37" s="290">
        <v>0</v>
      </c>
      <c r="F37" s="88"/>
    </row>
    <row r="38" spans="1:6">
      <c r="A38" s="1" t="s">
        <v>581</v>
      </c>
      <c r="B38" s="290">
        <v>0</v>
      </c>
      <c r="C38" s="907">
        <v>0</v>
      </c>
      <c r="D38" s="908"/>
      <c r="E38" s="290">
        <v>0</v>
      </c>
      <c r="F38" s="88"/>
    </row>
    <row r="39" spans="1:6">
      <c r="A39" s="1" t="s">
        <v>582</v>
      </c>
      <c r="B39" s="290">
        <v>0</v>
      </c>
      <c r="C39" s="907">
        <v>0</v>
      </c>
      <c r="D39" s="908"/>
      <c r="E39" s="290">
        <v>0</v>
      </c>
      <c r="F39" s="88"/>
    </row>
    <row r="40" spans="1:6">
      <c r="A40" s="1" t="s">
        <v>583</v>
      </c>
      <c r="B40" s="290">
        <v>0</v>
      </c>
      <c r="C40" s="907">
        <v>0</v>
      </c>
      <c r="D40" s="908"/>
      <c r="E40" s="290">
        <v>0</v>
      </c>
      <c r="F40" s="88"/>
    </row>
    <row r="41" spans="1:6">
      <c r="A41" s="1" t="s">
        <v>584</v>
      </c>
      <c r="B41" s="290">
        <v>0</v>
      </c>
      <c r="C41" s="907">
        <v>0</v>
      </c>
      <c r="D41" s="908"/>
      <c r="E41" s="290">
        <v>0</v>
      </c>
      <c r="F41" s="88"/>
    </row>
    <row r="42" spans="1:6">
      <c r="A42" s="1" t="s">
        <v>585</v>
      </c>
      <c r="B42" s="290">
        <v>0</v>
      </c>
      <c r="C42" s="907">
        <v>0</v>
      </c>
      <c r="D42" s="908"/>
      <c r="E42" s="290">
        <v>0</v>
      </c>
      <c r="F42" s="88"/>
    </row>
    <row r="43" spans="1:6">
      <c r="A43" s="1" t="s">
        <v>586</v>
      </c>
      <c r="B43" s="290">
        <v>0</v>
      </c>
      <c r="C43" s="907">
        <v>0</v>
      </c>
      <c r="D43" s="908"/>
      <c r="E43" s="290">
        <v>0</v>
      </c>
      <c r="F43" s="88"/>
    </row>
    <row r="44" spans="1:6">
      <c r="A44" s="1" t="s">
        <v>587</v>
      </c>
      <c r="B44" s="290">
        <v>0</v>
      </c>
      <c r="C44" s="907">
        <v>0</v>
      </c>
      <c r="D44" s="908"/>
      <c r="E44" s="290">
        <v>0</v>
      </c>
      <c r="F44" s="88"/>
    </row>
    <row r="45" spans="1:6">
      <c r="A45" s="291" t="str">
        <f t="shared" ref="A45:A48" si="1">"Other (Specify)"</f>
        <v>Other (Specify)</v>
      </c>
      <c r="B45" s="290">
        <v>0</v>
      </c>
      <c r="C45" s="907">
        <v>0</v>
      </c>
      <c r="D45" s="908"/>
      <c r="E45" s="290">
        <v>0</v>
      </c>
      <c r="F45" s="88"/>
    </row>
    <row r="46" spans="1:6">
      <c r="A46" s="291" t="str">
        <f t="shared" si="1"/>
        <v>Other (Specify)</v>
      </c>
      <c r="B46" s="290">
        <v>0</v>
      </c>
      <c r="C46" s="907">
        <v>0</v>
      </c>
      <c r="D46" s="908"/>
      <c r="E46" s="290">
        <v>0</v>
      </c>
      <c r="F46" s="88"/>
    </row>
    <row r="47" spans="1:6">
      <c r="A47" s="291" t="str">
        <f t="shared" si="1"/>
        <v>Other (Specify)</v>
      </c>
      <c r="B47" s="290">
        <v>0</v>
      </c>
      <c r="C47" s="907">
        <v>0</v>
      </c>
      <c r="D47" s="908"/>
      <c r="E47" s="290">
        <v>0</v>
      </c>
      <c r="F47" s="88"/>
    </row>
    <row r="48" spans="1:6">
      <c r="A48" s="291" t="str">
        <f t="shared" si="1"/>
        <v>Other (Specify)</v>
      </c>
      <c r="B48" s="290">
        <v>0</v>
      </c>
      <c r="C48" s="907">
        <v>0</v>
      </c>
      <c r="D48" s="908"/>
      <c r="E48" s="290">
        <v>0</v>
      </c>
      <c r="F48" s="88"/>
    </row>
    <row r="49" spans="1:5" customFormat="1">
      <c r="B49" s="66">
        <f>SUM(B37:B48)</f>
        <v>0</v>
      </c>
      <c r="C49" s="913">
        <f>SUM(C36:C48)</f>
        <v>0</v>
      </c>
      <c r="D49" s="914"/>
      <c r="E49" s="66">
        <f>SUM(E37:E48)</f>
        <v>0</v>
      </c>
    </row>
    <row r="50" spans="1:5">
      <c r="A50" s="3" t="s">
        <v>588</v>
      </c>
      <c r="B50" s="461"/>
      <c r="C50" s="3"/>
      <c r="D50" s="3"/>
      <c r="E50" s="461"/>
    </row>
    <row r="51" spans="1:5">
      <c r="A51" s="1" t="s">
        <v>589</v>
      </c>
      <c r="B51" s="290">
        <v>0</v>
      </c>
      <c r="C51" s="907">
        <v>0</v>
      </c>
      <c r="D51" s="908"/>
      <c r="E51" s="290">
        <v>0</v>
      </c>
    </row>
    <row r="52" spans="1:5">
      <c r="A52" s="1" t="s">
        <v>590</v>
      </c>
      <c r="B52" s="290">
        <v>0</v>
      </c>
      <c r="C52" s="907">
        <v>0</v>
      </c>
      <c r="D52" s="908"/>
      <c r="E52" s="290">
        <v>0</v>
      </c>
    </row>
    <row r="53" spans="1:5">
      <c r="A53" s="1" t="s">
        <v>591</v>
      </c>
      <c r="B53" s="290">
        <v>0</v>
      </c>
      <c r="C53" s="907">
        <v>0</v>
      </c>
      <c r="D53" s="908"/>
      <c r="E53" s="290">
        <v>0</v>
      </c>
    </row>
    <row r="54" spans="1:5">
      <c r="A54" s="1" t="s">
        <v>592</v>
      </c>
      <c r="B54" s="290">
        <v>0</v>
      </c>
      <c r="C54" s="907">
        <v>0</v>
      </c>
      <c r="D54" s="908"/>
      <c r="E54" s="290">
        <v>0</v>
      </c>
    </row>
    <row r="55" spans="1:5">
      <c r="A55" s="1" t="s">
        <v>593</v>
      </c>
      <c r="B55" s="290">
        <v>0</v>
      </c>
      <c r="C55" s="907">
        <v>0</v>
      </c>
      <c r="D55" s="908"/>
      <c r="E55" s="290">
        <v>0</v>
      </c>
    </row>
    <row r="56" spans="1:5">
      <c r="A56" s="1" t="s">
        <v>594</v>
      </c>
      <c r="B56" s="290">
        <v>0</v>
      </c>
      <c r="C56" s="907">
        <v>0</v>
      </c>
      <c r="D56" s="908"/>
      <c r="E56" s="290">
        <v>0</v>
      </c>
    </row>
    <row r="57" spans="1:5">
      <c r="A57" s="1" t="s">
        <v>595</v>
      </c>
      <c r="B57" s="290">
        <v>0</v>
      </c>
      <c r="C57" s="907">
        <v>0</v>
      </c>
      <c r="D57" s="908"/>
      <c r="E57" s="290">
        <v>0</v>
      </c>
    </row>
    <row r="58" spans="1:5">
      <c r="A58" s="1" t="s">
        <v>596</v>
      </c>
      <c r="B58" s="290">
        <v>0</v>
      </c>
      <c r="C58" s="907">
        <v>0</v>
      </c>
      <c r="D58" s="908"/>
      <c r="E58" s="290">
        <v>0</v>
      </c>
    </row>
    <row r="59" spans="1:5">
      <c r="A59" s="1" t="s">
        <v>597</v>
      </c>
      <c r="B59" s="290">
        <v>0</v>
      </c>
      <c r="C59" s="907">
        <v>0</v>
      </c>
      <c r="D59" s="908"/>
      <c r="E59" s="290">
        <v>0</v>
      </c>
    </row>
    <row r="60" spans="1:5">
      <c r="A60" s="291" t="str">
        <f t="shared" ref="A60:A62" si="2">"Other (Specify)"</f>
        <v>Other (Specify)</v>
      </c>
      <c r="B60" s="290">
        <v>0</v>
      </c>
      <c r="C60" s="907">
        <v>0</v>
      </c>
      <c r="D60" s="908"/>
      <c r="E60" s="290">
        <v>0</v>
      </c>
    </row>
    <row r="61" spans="1:5">
      <c r="A61" s="291" t="str">
        <f t="shared" si="2"/>
        <v>Other (Specify)</v>
      </c>
      <c r="B61" s="290">
        <v>0</v>
      </c>
      <c r="C61" s="907">
        <v>0</v>
      </c>
      <c r="D61" s="908"/>
      <c r="E61" s="290">
        <v>0</v>
      </c>
    </row>
    <row r="62" spans="1:5">
      <c r="A62" s="291" t="str">
        <f t="shared" si="2"/>
        <v>Other (Specify)</v>
      </c>
      <c r="B62" s="290">
        <v>0</v>
      </c>
      <c r="C62" s="907">
        <v>0</v>
      </c>
      <c r="D62" s="908"/>
      <c r="E62" s="290">
        <v>0</v>
      </c>
    </row>
    <row r="63" spans="1:5" customFormat="1">
      <c r="B63" s="66">
        <f>SUM(B51:B62)</f>
        <v>0</v>
      </c>
      <c r="C63" s="913">
        <f>SUM(C50:C62)</f>
        <v>0</v>
      </c>
      <c r="D63" s="914"/>
      <c r="E63" s="66">
        <f>SUM(E51:E62)</f>
        <v>0</v>
      </c>
    </row>
    <row r="64" spans="1:5">
      <c r="A64" s="3" t="s">
        <v>598</v>
      </c>
      <c r="B64" s="461"/>
      <c r="C64" s="3"/>
      <c r="D64" s="3"/>
      <c r="E64" s="461"/>
    </row>
    <row r="65" spans="1:5">
      <c r="A65" s="1" t="s">
        <v>599</v>
      </c>
      <c r="B65" s="290">
        <v>0</v>
      </c>
      <c r="C65" s="907">
        <v>0</v>
      </c>
      <c r="D65" s="908"/>
      <c r="E65" s="290">
        <v>0</v>
      </c>
    </row>
    <row r="66" spans="1:5">
      <c r="A66" s="1" t="s">
        <v>600</v>
      </c>
      <c r="B66" s="290">
        <v>0</v>
      </c>
      <c r="C66" s="907">
        <v>0</v>
      </c>
      <c r="D66" s="908"/>
      <c r="E66" s="290">
        <v>0</v>
      </c>
    </row>
    <row r="67" spans="1:5">
      <c r="A67" s="1" t="s">
        <v>601</v>
      </c>
      <c r="B67" s="290">
        <v>0</v>
      </c>
      <c r="C67" s="907">
        <v>0</v>
      </c>
      <c r="D67" s="908"/>
      <c r="E67" s="290">
        <v>0</v>
      </c>
    </row>
    <row r="68" spans="1:5">
      <c r="A68" s="1" t="s">
        <v>602</v>
      </c>
      <c r="B68" s="290">
        <v>0</v>
      </c>
      <c r="C68" s="907">
        <v>0</v>
      </c>
      <c r="D68" s="908"/>
      <c r="E68" s="290">
        <v>0</v>
      </c>
    </row>
    <row r="69" spans="1:5">
      <c r="A69" s="1" t="s">
        <v>603</v>
      </c>
      <c r="B69" s="290">
        <v>0</v>
      </c>
      <c r="C69" s="907">
        <v>0</v>
      </c>
      <c r="D69" s="908"/>
      <c r="E69" s="290">
        <v>0</v>
      </c>
    </row>
    <row r="70" spans="1:5">
      <c r="A70" s="291" t="str">
        <f t="shared" ref="A70:A71" si="3">"Other (Specify)"</f>
        <v>Other (Specify)</v>
      </c>
      <c r="B70" s="290">
        <v>0</v>
      </c>
      <c r="C70" s="907">
        <v>0</v>
      </c>
      <c r="D70" s="908"/>
      <c r="E70" s="290">
        <v>0</v>
      </c>
    </row>
    <row r="71" spans="1:5">
      <c r="A71" s="291" t="str">
        <f t="shared" si="3"/>
        <v>Other (Specify)</v>
      </c>
      <c r="B71" s="290">
        <v>0</v>
      </c>
      <c r="C71" s="907">
        <v>0</v>
      </c>
      <c r="D71" s="908"/>
      <c r="E71" s="290">
        <v>0</v>
      </c>
    </row>
    <row r="72" spans="1:5" ht="15.75" thickBot="1">
      <c r="A72" s="68"/>
      <c r="B72" s="462">
        <f>SUM(B65:B71)</f>
        <v>0</v>
      </c>
      <c r="C72" s="912">
        <f>SUM(C65:C71)</f>
        <v>0</v>
      </c>
      <c r="D72" s="912"/>
      <c r="E72" s="462">
        <f>SUM(E65:E71)</f>
        <v>0</v>
      </c>
    </row>
    <row r="73" spans="1:5" ht="15.75" thickTop="1">
      <c r="A73" s="68" t="s">
        <v>377</v>
      </c>
      <c r="B73" s="448">
        <f>SUM(B22:B34,B37:B48,B51:B62,B65:B71)</f>
        <v>0</v>
      </c>
      <c r="C73" s="911">
        <f>SUM(C22:C34,C37:C48,C51:C62,C65:C71)</f>
        <v>0</v>
      </c>
      <c r="D73" s="911"/>
      <c r="E73" s="448">
        <f>SUM(E22:E34,E37:E48,E51:E62,E65:E71)</f>
        <v>0</v>
      </c>
    </row>
    <row r="76" spans="1:5" ht="30">
      <c r="A76" s="510" t="s">
        <v>604</v>
      </c>
      <c r="B76" s="290"/>
      <c r="C76" s="88"/>
      <c r="D76" s="88"/>
      <c r="E76" s="88"/>
    </row>
    <row r="77" spans="1:5" ht="30">
      <c r="A77" s="510" t="s">
        <v>605</v>
      </c>
      <c r="B77" s="463" t="s">
        <v>606</v>
      </c>
      <c r="C77" s="88"/>
      <c r="D77" s="88"/>
      <c r="E77" s="88"/>
    </row>
    <row r="80" spans="1:5">
      <c r="A80" s="88"/>
      <c r="B80" s="49"/>
      <c r="C80" s="88"/>
      <c r="D80" s="88"/>
      <c r="E80" s="88"/>
    </row>
  </sheetData>
  <sheetProtection algorithmName="SHA-512" hashValue="rwfREqgHKaK8KagFor1aiui/+Koz17CpOjwMJklVbyrhnjkJz5DqCzm9aWJnP97sSG7pxGZNqiAmG/t4ZkhN+Q==" saltValue="OnTj5u1cEETpwXe0HUo90Q==" spinCount="100000" sheet="1" objects="1" scenarios="1"/>
  <mergeCells count="56">
    <mergeCell ref="C73:D73"/>
    <mergeCell ref="C51:D51"/>
    <mergeCell ref="C52:D52"/>
    <mergeCell ref="C72:D72"/>
    <mergeCell ref="C35:D35"/>
    <mergeCell ref="C49:D49"/>
    <mergeCell ref="C63:D63"/>
    <mergeCell ref="C71:D71"/>
    <mergeCell ref="C65:D65"/>
    <mergeCell ref="C66:D66"/>
    <mergeCell ref="C67:D67"/>
    <mergeCell ref="C68:D68"/>
    <mergeCell ref="C69:D69"/>
    <mergeCell ref="C58:D58"/>
    <mergeCell ref="C59:D59"/>
    <mergeCell ref="C60:D60"/>
    <mergeCell ref="C61:D61"/>
    <mergeCell ref="C70:D70"/>
    <mergeCell ref="C62:D62"/>
    <mergeCell ref="C53:D53"/>
    <mergeCell ref="C54:D54"/>
    <mergeCell ref="C55:D55"/>
    <mergeCell ref="C56:D56"/>
    <mergeCell ref="C57:D57"/>
    <mergeCell ref="C48:D48"/>
    <mergeCell ref="C37:D37"/>
    <mergeCell ref="C38:D38"/>
    <mergeCell ref="C39:D39"/>
    <mergeCell ref="C40:D40"/>
    <mergeCell ref="C41:D41"/>
    <mergeCell ref="C42:D42"/>
    <mergeCell ref="C43:D43"/>
    <mergeCell ref="C44:D44"/>
    <mergeCell ref="C45:D45"/>
    <mergeCell ref="C46:D46"/>
    <mergeCell ref="C47:D47"/>
    <mergeCell ref="C34:D34"/>
    <mergeCell ref="C23:D23"/>
    <mergeCell ref="C24:D24"/>
    <mergeCell ref="C25:D25"/>
    <mergeCell ref="C26:D26"/>
    <mergeCell ref="C27:D27"/>
    <mergeCell ref="C28:D28"/>
    <mergeCell ref="C29:D29"/>
    <mergeCell ref="C30:D30"/>
    <mergeCell ref="C31:D31"/>
    <mergeCell ref="C32:D32"/>
    <mergeCell ref="C33:D33"/>
    <mergeCell ref="A9:C9"/>
    <mergeCell ref="C21:D21"/>
    <mergeCell ref="C22:D22"/>
    <mergeCell ref="C11:D11"/>
    <mergeCell ref="C12:D12"/>
    <mergeCell ref="C13:D13"/>
    <mergeCell ref="C14:D14"/>
    <mergeCell ref="C15:D15"/>
  </mergeCells>
  <dataValidations count="5">
    <dataValidation type="list" allowBlank="1" showInputMessage="1" showErrorMessage="1" errorTitle="Minimum PUPA Requirement" error="Please select a valid value for Waiver of Minimum PUPA Requirement." sqref="B77" xr:uid="{00000000-0002-0000-0800-000000000000}">
      <formula1>Yes_No_List</formula1>
    </dataValidation>
    <dataValidation type="whole" allowBlank="1" showInputMessage="1" showErrorMessage="1" errorTitle="Whole Numbers Only" error="All numbers on Annual Operating Expenses must be entered as a whole number." sqref="B65:E71 B22:E34 B37:E48 B51:E62" xr:uid="{00000000-0002-0000-0800-000001000000}">
      <formula1>0</formula1>
      <formula2>100000000</formula2>
    </dataValidation>
    <dataValidation type="whole" allowBlank="1" showInputMessage="1" showErrorMessage="1" errorTitle="Whole Numbers Only" error="Total Per Unit Annual Replacement Reserves must be entered as a whole number." sqref="B76" xr:uid="{00000000-0002-0000-0800-000002000000}">
      <formula1>0</formula1>
      <formula2>1000</formula2>
    </dataValidation>
    <dataValidation type="whole" allowBlank="1" showInputMessage="1" showErrorMessage="1" errorTitle="Whole Numbers Only" error="Total Annual Retail/Commercial Income must be entered as a whole number." sqref="B18" xr:uid="{00000000-0002-0000-0800-000003000000}">
      <formula1>0</formula1>
      <formula2>100000000</formula2>
    </dataValidation>
    <dataValidation type="whole" allowBlank="1" showInputMessage="1" showErrorMessage="1" errorTitle="Whole Numbers Only" error="All numbers on proforma must be entered as a whole number." sqref="B4:P8" xr:uid="{00000000-0002-0000-0800-000004000000}">
      <formula1>0</formula1>
      <formula2>100000000</formula2>
    </dataValidation>
  </dataValidations>
  <hyperlinks>
    <hyperlink ref="B2" location="'Tax Credit Summary'!A106" tooltip="Show me the full proforma" display="Show me the full proforma" xr:uid="{00000000-0004-0000-0800-000000000000}"/>
    <hyperlink ref="E12" location="'Tax Credit Summary'!A113" tooltip="Show me the income details" display="Show me the income details" xr:uid="{00000000-0004-0000-0800-000001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92D050"/>
  </sheetPr>
  <dimension ref="A1:C118"/>
  <sheetViews>
    <sheetView showGridLines="0" workbookViewId="0"/>
  </sheetViews>
  <sheetFormatPr defaultRowHeight="15"/>
  <cols>
    <col min="1" max="1" width="45.140625" customWidth="1"/>
    <col min="2" max="2" width="28.5703125" customWidth="1"/>
    <col min="3" max="3" width="70" customWidth="1"/>
  </cols>
  <sheetData>
    <row r="1" spans="1:3" ht="21">
      <c r="A1" s="4" t="s">
        <v>607</v>
      </c>
      <c r="B1" s="4"/>
      <c r="C1" s="4"/>
    </row>
    <row r="3" spans="1:3">
      <c r="A3" s="3" t="s">
        <v>608</v>
      </c>
      <c r="B3" s="3"/>
      <c r="C3" s="3"/>
    </row>
    <row r="4" spans="1:3">
      <c r="A4" s="1" t="s">
        <v>609</v>
      </c>
      <c r="B4" s="287"/>
    </row>
    <row r="5" spans="1:3">
      <c r="A5" s="1" t="s">
        <v>610</v>
      </c>
      <c r="B5" s="287"/>
    </row>
    <row r="6" spans="1:3">
      <c r="A6" s="1" t="s">
        <v>611</v>
      </c>
      <c r="B6" s="287"/>
    </row>
    <row r="7" spans="1:3">
      <c r="A7" s="1" t="s">
        <v>612</v>
      </c>
      <c r="B7" s="287"/>
    </row>
    <row r="8" spans="1:3">
      <c r="A8" s="1" t="s">
        <v>613</v>
      </c>
      <c r="B8" s="287"/>
    </row>
    <row r="9" spans="1:3">
      <c r="A9" s="1" t="s">
        <v>614</v>
      </c>
      <c r="B9" s="287"/>
    </row>
    <row r="10" spans="1:3">
      <c r="A10" s="1" t="s">
        <v>615</v>
      </c>
      <c r="B10" s="287"/>
    </row>
    <row r="11" spans="1:3">
      <c r="A11" s="1" t="s">
        <v>616</v>
      </c>
      <c r="B11" s="287"/>
    </row>
    <row r="12" spans="1:3">
      <c r="A12" s="1" t="s">
        <v>617</v>
      </c>
      <c r="B12" s="287"/>
    </row>
    <row r="13" spans="1:3">
      <c r="A13" s="1" t="s">
        <v>618</v>
      </c>
      <c r="B13" s="287"/>
    </row>
    <row r="14" spans="1:3">
      <c r="A14" s="1" t="s">
        <v>619</v>
      </c>
      <c r="B14" s="287"/>
    </row>
    <row r="15" spans="1:3">
      <c r="A15" s="1" t="s">
        <v>620</v>
      </c>
      <c r="B15" s="287"/>
    </row>
    <row r="16" spans="1:3">
      <c r="A16" s="3" t="s">
        <v>621</v>
      </c>
      <c r="B16" s="3"/>
      <c r="C16" s="3"/>
    </row>
    <row r="17" spans="1:3">
      <c r="A17" s="1" t="s">
        <v>622</v>
      </c>
      <c r="B17" s="287"/>
    </row>
    <row r="18" spans="1:3">
      <c r="A18" s="1" t="s">
        <v>623</v>
      </c>
      <c r="B18" s="287"/>
    </row>
    <row r="19" spans="1:3">
      <c r="A19" s="1" t="s">
        <v>624</v>
      </c>
      <c r="B19" s="287"/>
    </row>
    <row r="20" spans="1:3">
      <c r="A20" s="1" t="s">
        <v>625</v>
      </c>
      <c r="B20" s="287"/>
    </row>
    <row r="21" spans="1:3">
      <c r="A21" s="1" t="s">
        <v>626</v>
      </c>
      <c r="B21" s="287"/>
    </row>
    <row r="22" spans="1:3">
      <c r="A22" s="1" t="s">
        <v>627</v>
      </c>
      <c r="B22" s="287"/>
    </row>
    <row r="23" spans="1:3">
      <c r="A23" s="1" t="s">
        <v>628</v>
      </c>
      <c r="B23" s="287"/>
    </row>
    <row r="24" spans="1:3">
      <c r="A24" s="1" t="s">
        <v>629</v>
      </c>
      <c r="B24" s="287"/>
    </row>
    <row r="25" spans="1:3">
      <c r="A25" s="1" t="s">
        <v>620</v>
      </c>
      <c r="B25" s="287"/>
    </row>
    <row r="26" spans="1:3">
      <c r="A26" s="3" t="s">
        <v>630</v>
      </c>
      <c r="B26" s="3"/>
      <c r="C26" s="3"/>
    </row>
    <row r="27" spans="1:3">
      <c r="A27" s="1" t="s">
        <v>631</v>
      </c>
      <c r="B27" s="287"/>
    </row>
    <row r="28" spans="1:3">
      <c r="A28" s="17" t="s">
        <v>632</v>
      </c>
      <c r="B28" s="287"/>
    </row>
    <row r="29" spans="1:3">
      <c r="A29" s="17" t="s">
        <v>633</v>
      </c>
      <c r="B29" s="287"/>
    </row>
    <row r="30" spans="1:3">
      <c r="A30" s="17" t="s">
        <v>634</v>
      </c>
      <c r="B30" s="287"/>
    </row>
    <row r="31" spans="1:3">
      <c r="A31" s="17" t="s">
        <v>635</v>
      </c>
      <c r="B31" s="287"/>
    </row>
    <row r="32" spans="1:3">
      <c r="A32" s="17" t="s">
        <v>636</v>
      </c>
      <c r="B32" s="287"/>
    </row>
    <row r="33" spans="1:3">
      <c r="A33" s="17" t="s">
        <v>637</v>
      </c>
      <c r="B33" s="287">
        <v>0</v>
      </c>
      <c r="C33" s="6" t="s">
        <v>290</v>
      </c>
    </row>
    <row r="34" spans="1:3" ht="30">
      <c r="A34" s="878" t="s">
        <v>638</v>
      </c>
      <c r="B34" s="287"/>
      <c r="C34" s="6"/>
    </row>
    <row r="35" spans="1:3">
      <c r="A35" s="878" t="s">
        <v>639</v>
      </c>
      <c r="B35" s="287"/>
      <c r="C35" s="6"/>
    </row>
    <row r="36" spans="1:3">
      <c r="A36" s="17" t="s">
        <v>640</v>
      </c>
      <c r="B36" s="287"/>
    </row>
    <row r="37" spans="1:3">
      <c r="A37" s="17" t="s">
        <v>641</v>
      </c>
      <c r="B37" s="287"/>
    </row>
    <row r="38" spans="1:3">
      <c r="A38" s="17" t="s">
        <v>642</v>
      </c>
      <c r="B38" s="287"/>
    </row>
    <row r="39" spans="1:3">
      <c r="A39" s="17" t="s">
        <v>643</v>
      </c>
      <c r="B39" s="287"/>
    </row>
    <row r="40" spans="1:3">
      <c r="A40" s="1" t="s">
        <v>644</v>
      </c>
      <c r="B40" s="287"/>
      <c r="C40" s="6" t="s">
        <v>290</v>
      </c>
    </row>
    <row r="41" spans="1:3">
      <c r="A41" s="1" t="s">
        <v>645</v>
      </c>
      <c r="B41" s="287"/>
      <c r="C41" s="6"/>
    </row>
    <row r="42" spans="1:3">
      <c r="A42" s="1" t="s">
        <v>646</v>
      </c>
      <c r="B42" s="287"/>
    </row>
    <row r="43" spans="1:3">
      <c r="A43" s="1" t="s">
        <v>647</v>
      </c>
      <c r="B43" s="287"/>
    </row>
    <row r="44" spans="1:3">
      <c r="A44" s="1" t="s">
        <v>648</v>
      </c>
      <c r="B44" s="287"/>
    </row>
    <row r="45" spans="1:3">
      <c r="A45" s="1" t="s">
        <v>649</v>
      </c>
      <c r="B45" s="287"/>
    </row>
    <row r="46" spans="1:3">
      <c r="A46" s="1" t="s">
        <v>650</v>
      </c>
      <c r="B46" s="287"/>
    </row>
    <row r="47" spans="1:3">
      <c r="A47" s="1" t="s">
        <v>651</v>
      </c>
      <c r="B47" s="287"/>
    </row>
    <row r="48" spans="1:3">
      <c r="A48" s="1" t="s">
        <v>652</v>
      </c>
      <c r="B48" s="287"/>
    </row>
    <row r="49" spans="1:3">
      <c r="A49" s="1" t="s">
        <v>653</v>
      </c>
      <c r="B49" s="287"/>
    </row>
    <row r="50" spans="1:3">
      <c r="A50" s="1" t="s">
        <v>654</v>
      </c>
      <c r="B50" s="287"/>
    </row>
    <row r="51" spans="1:3">
      <c r="A51" s="1" t="s">
        <v>655</v>
      </c>
      <c r="B51" s="287"/>
    </row>
    <row r="52" spans="1:3">
      <c r="A52" s="1" t="s">
        <v>656</v>
      </c>
      <c r="B52" s="287"/>
    </row>
    <row r="53" spans="1:3">
      <c r="A53" s="1" t="s">
        <v>620</v>
      </c>
      <c r="B53" s="287"/>
    </row>
    <row r="54" spans="1:3">
      <c r="A54" s="1" t="s">
        <v>620</v>
      </c>
      <c r="B54" s="287"/>
    </row>
    <row r="55" spans="1:3">
      <c r="A55" s="3" t="s">
        <v>586</v>
      </c>
      <c r="B55" s="3"/>
      <c r="C55" s="3"/>
    </row>
    <row r="56" spans="1:3">
      <c r="A56" s="1" t="s">
        <v>657</v>
      </c>
      <c r="B56" s="287"/>
    </row>
    <row r="57" spans="1:3">
      <c r="A57" s="1" t="s">
        <v>658</v>
      </c>
      <c r="B57" s="287"/>
    </row>
    <row r="58" spans="1:3">
      <c r="A58" s="1" t="s">
        <v>659</v>
      </c>
      <c r="B58" s="287"/>
    </row>
    <row r="59" spans="1:3">
      <c r="A59" s="1" t="s">
        <v>660</v>
      </c>
      <c r="B59" s="287"/>
    </row>
    <row r="60" spans="1:3">
      <c r="A60" s="1" t="s">
        <v>661</v>
      </c>
      <c r="B60" s="287"/>
    </row>
    <row r="61" spans="1:3">
      <c r="A61" s="3" t="s">
        <v>662</v>
      </c>
      <c r="B61" s="3"/>
      <c r="C61" s="3"/>
    </row>
    <row r="62" spans="1:3">
      <c r="A62" s="489" t="s">
        <v>663</v>
      </c>
      <c r="B62" s="287">
        <v>0</v>
      </c>
      <c r="C62" s="6" t="s">
        <v>290</v>
      </c>
    </row>
    <row r="63" spans="1:3">
      <c r="A63" s="1" t="s">
        <v>664</v>
      </c>
      <c r="B63" s="287">
        <v>0</v>
      </c>
      <c r="C63" s="6" t="s">
        <v>290</v>
      </c>
    </row>
    <row r="64" spans="1:3">
      <c r="A64" s="1" t="s">
        <v>665</v>
      </c>
      <c r="B64" s="287">
        <v>0</v>
      </c>
      <c r="C64" s="6" t="s">
        <v>290</v>
      </c>
    </row>
    <row r="65" spans="1:3">
      <c r="A65" s="1" t="s">
        <v>666</v>
      </c>
      <c r="B65" s="287">
        <v>0</v>
      </c>
      <c r="C65" s="6" t="s">
        <v>290</v>
      </c>
    </row>
    <row r="66" spans="1:3">
      <c r="A66" s="1" t="s">
        <v>667</v>
      </c>
      <c r="B66" s="287">
        <v>0</v>
      </c>
      <c r="C66" s="6" t="s">
        <v>290</v>
      </c>
    </row>
    <row r="67" spans="1:3">
      <c r="A67" s="1" t="s">
        <v>668</v>
      </c>
      <c r="B67" s="287">
        <v>0</v>
      </c>
      <c r="C67" s="6" t="s">
        <v>290</v>
      </c>
    </row>
    <row r="68" spans="1:3">
      <c r="A68" s="1" t="s">
        <v>669</v>
      </c>
      <c r="B68" s="320">
        <f>Calculations!F3</f>
        <v>0</v>
      </c>
      <c r="C68" s="6"/>
    </row>
    <row r="69" spans="1:3">
      <c r="A69" s="1" t="s">
        <v>670</v>
      </c>
      <c r="B69" s="287"/>
    </row>
    <row r="70" spans="1:3">
      <c r="A70" s="1" t="s">
        <v>671</v>
      </c>
      <c r="B70" s="287"/>
    </row>
    <row r="71" spans="1:3">
      <c r="A71" s="17" t="s">
        <v>672</v>
      </c>
      <c r="B71" s="345">
        <v>0</v>
      </c>
      <c r="C71" s="6" t="s">
        <v>290</v>
      </c>
    </row>
    <row r="72" spans="1:3">
      <c r="A72" s="17" t="s">
        <v>673</v>
      </c>
      <c r="B72" s="526"/>
      <c r="C72" s="6" t="s">
        <v>290</v>
      </c>
    </row>
    <row r="73" spans="1:3">
      <c r="A73" s="1" t="s">
        <v>674</v>
      </c>
      <c r="B73" s="287"/>
    </row>
    <row r="74" spans="1:3">
      <c r="A74" s="1" t="s">
        <v>675</v>
      </c>
      <c r="B74" s="287"/>
    </row>
    <row r="75" spans="1:3">
      <c r="A75" s="17" t="s">
        <v>672</v>
      </c>
      <c r="B75" s="345">
        <v>0</v>
      </c>
      <c r="C75" s="6" t="s">
        <v>290</v>
      </c>
    </row>
    <row r="76" spans="1:3">
      <c r="A76" s="1" t="s">
        <v>676</v>
      </c>
      <c r="B76" s="287"/>
      <c r="C76" s="18"/>
    </row>
    <row r="77" spans="1:3">
      <c r="A77" s="17" t="s">
        <v>4241</v>
      </c>
      <c r="B77" s="287">
        <v>0</v>
      </c>
      <c r="C77" s="283" t="s">
        <v>290</v>
      </c>
    </row>
    <row r="78" spans="1:3" ht="30">
      <c r="A78" s="510" t="s">
        <v>678</v>
      </c>
      <c r="B78" s="287">
        <v>0</v>
      </c>
      <c r="C78" s="6" t="s">
        <v>290</v>
      </c>
    </row>
    <row r="79" spans="1:3">
      <c r="A79" s="1" t="s">
        <v>679</v>
      </c>
      <c r="B79" s="287"/>
    </row>
    <row r="80" spans="1:3">
      <c r="A80" s="1" t="s">
        <v>680</v>
      </c>
      <c r="B80" s="287">
        <v>0</v>
      </c>
      <c r="C80" s="6" t="s">
        <v>290</v>
      </c>
    </row>
    <row r="81" spans="1:3" ht="30">
      <c r="A81" s="510" t="s">
        <v>681</v>
      </c>
      <c r="B81" s="287"/>
      <c r="C81" s="6"/>
    </row>
    <row r="82" spans="1:3">
      <c r="A82" s="1" t="s">
        <v>620</v>
      </c>
      <c r="B82" s="287"/>
    </row>
    <row r="83" spans="1:3">
      <c r="A83" s="1" t="s">
        <v>620</v>
      </c>
      <c r="B83" s="287"/>
    </row>
    <row r="84" spans="1:3">
      <c r="A84" s="1" t="s">
        <v>620</v>
      </c>
      <c r="B84" s="287"/>
    </row>
    <row r="85" spans="1:3">
      <c r="A85" s="3" t="s">
        <v>682</v>
      </c>
      <c r="B85" s="3"/>
      <c r="C85" s="3"/>
    </row>
    <row r="86" spans="1:3">
      <c r="A86" s="1" t="s">
        <v>683</v>
      </c>
      <c r="B86" s="287"/>
    </row>
    <row r="87" spans="1:3">
      <c r="A87" s="1" t="s">
        <v>684</v>
      </c>
      <c r="B87" s="287"/>
    </row>
    <row r="88" spans="1:3">
      <c r="A88" s="1" t="s">
        <v>685</v>
      </c>
      <c r="B88" s="287"/>
    </row>
    <row r="89" spans="1:3">
      <c r="A89" s="1" t="s">
        <v>686</v>
      </c>
      <c r="B89" s="287"/>
    </row>
    <row r="90" spans="1:3">
      <c r="A90" s="3" t="s">
        <v>687</v>
      </c>
      <c r="B90" s="3"/>
      <c r="C90" s="3"/>
    </row>
    <row r="91" spans="1:3">
      <c r="A91" s="1" t="s">
        <v>688</v>
      </c>
      <c r="B91" s="287"/>
      <c r="C91" s="6" t="s">
        <v>290</v>
      </c>
    </row>
    <row r="92" spans="1:3">
      <c r="A92" s="1" t="s">
        <v>689</v>
      </c>
      <c r="B92" s="287"/>
      <c r="C92" s="6" t="s">
        <v>290</v>
      </c>
    </row>
    <row r="93" spans="1:3">
      <c r="A93" s="3" t="s">
        <v>692</v>
      </c>
      <c r="B93" s="3"/>
      <c r="C93" s="3"/>
    </row>
    <row r="94" spans="1:3">
      <c r="A94" s="1" t="s">
        <v>693</v>
      </c>
      <c r="B94" s="463"/>
    </row>
    <row r="95" spans="1:3">
      <c r="A95" s="3" t="s">
        <v>694</v>
      </c>
      <c r="B95" s="3"/>
      <c r="C95" s="3"/>
    </row>
    <row r="96" spans="1:3">
      <c r="A96" s="1" t="s">
        <v>584</v>
      </c>
      <c r="B96" s="463"/>
    </row>
    <row r="97" spans="1:3">
      <c r="A97" s="1" t="s">
        <v>581</v>
      </c>
      <c r="B97" s="463"/>
    </row>
    <row r="98" spans="1:3">
      <c r="A98" s="1" t="s">
        <v>582</v>
      </c>
      <c r="B98" s="463"/>
    </row>
    <row r="99" spans="1:3">
      <c r="A99" s="1" t="s">
        <v>583</v>
      </c>
      <c r="B99" s="463"/>
    </row>
    <row r="100" spans="1:3">
      <c r="A100" s="1" t="s">
        <v>585</v>
      </c>
      <c r="B100" s="463"/>
    </row>
    <row r="101" spans="1:3">
      <c r="A101" s="1" t="s">
        <v>695</v>
      </c>
      <c r="B101" s="463"/>
    </row>
    <row r="102" spans="1:3">
      <c r="A102" s="1" t="s">
        <v>696</v>
      </c>
      <c r="B102" s="877"/>
    </row>
    <row r="103" spans="1:3">
      <c r="A103" s="3" t="s">
        <v>697</v>
      </c>
      <c r="B103" s="3"/>
      <c r="C103" s="3"/>
    </row>
    <row r="104" spans="1:3">
      <c r="A104" s="1" t="s">
        <v>584</v>
      </c>
      <c r="B104" s="463"/>
    </row>
    <row r="105" spans="1:3">
      <c r="A105" s="1" t="s">
        <v>581</v>
      </c>
      <c r="B105" s="463"/>
    </row>
    <row r="106" spans="1:3">
      <c r="A106" s="1" t="s">
        <v>582</v>
      </c>
      <c r="B106" s="463"/>
    </row>
    <row r="107" spans="1:3">
      <c r="A107" s="1" t="s">
        <v>583</v>
      </c>
      <c r="B107" s="463"/>
    </row>
    <row r="108" spans="1:3">
      <c r="A108" s="1" t="s">
        <v>585</v>
      </c>
      <c r="B108" s="463"/>
    </row>
    <row r="109" spans="1:3">
      <c r="A109" s="1" t="s">
        <v>587</v>
      </c>
      <c r="B109" s="463"/>
    </row>
    <row r="110" spans="1:3">
      <c r="A110" s="1" t="s">
        <v>696</v>
      </c>
      <c r="B110" s="877"/>
    </row>
    <row r="111" spans="1:3">
      <c r="A111" s="3" t="s">
        <v>698</v>
      </c>
      <c r="B111" s="3"/>
      <c r="C111" s="3"/>
    </row>
    <row r="112" spans="1:3">
      <c r="A112" s="1" t="s">
        <v>699</v>
      </c>
      <c r="B112" s="287"/>
      <c r="C112" s="6" t="s">
        <v>700</v>
      </c>
    </row>
    <row r="113" spans="1:3">
      <c r="A113" s="1" t="s">
        <v>701</v>
      </c>
      <c r="B113" s="287"/>
      <c r="C113" s="6" t="s">
        <v>700</v>
      </c>
    </row>
    <row r="114" spans="1:3">
      <c r="A114" s="1" t="s">
        <v>702</v>
      </c>
      <c r="B114" s="287"/>
      <c r="C114" s="6" t="s">
        <v>700</v>
      </c>
    </row>
    <row r="115" spans="1:3">
      <c r="A115" s="1" t="s">
        <v>620</v>
      </c>
      <c r="B115" s="287"/>
      <c r="C115" s="6" t="s">
        <v>700</v>
      </c>
    </row>
    <row r="118" spans="1:3" ht="15" customHeight="1">
      <c r="A118" s="5"/>
    </row>
  </sheetData>
  <sheetProtection algorithmName="SHA-512" hashValue="ccQig45jZtbY1GmrHPZgOjTlA5bYxSJOLV+kw0D8gf5jKlY/4TyGlqLLr3yuJRFzDCASS00TAmlPy5bV8mYMcg==" saltValue="nmd7lF21SQ4VyxQz0zHqSA==" spinCount="100000" sheet="1" objects="1" scenarios="1"/>
  <dataValidations count="10">
    <dataValidation type="list" allowBlank="1" showInputMessage="1" showErrorMessage="1" errorTitle="Window Coverings/Blinds" error="Please select a valid value for Window Coverings/Blinds." sqref="B4:B14 B17:B24 B41:B52 B56:B60 B69:B70 B73:B74 B79 B76 B27:B32 B34:B39 B86:B89" xr:uid="{00000000-0002-0000-0D00-000000000000}">
      <formula1>Yes_No_List</formula1>
    </dataValidation>
    <dataValidation type="list" allowBlank="1" showInputMessage="1" showErrorMessage="1" errorTitle="Utilitiy Model" error="Please select a valid value for Utilitiy Model." sqref="B94" xr:uid="{00000000-0002-0000-0D00-000002000000}">
      <formula1>Utilitiy_Model_List</formula1>
    </dataValidation>
    <dataValidation type="list" allowBlank="1" showInputMessage="1" showErrorMessage="1" errorTitle="Owner Paid Utilities - Gas" error="Please select a valid value for Owner Paid Utilities - Gas." sqref="B96:B100 B104:B110" xr:uid="{00000000-0002-0000-0D00-000003000000}">
      <formula1>Yes_No_List</formula1>
    </dataValidation>
    <dataValidation type="list" allowBlank="1" showInputMessage="1" showErrorMessage="1" errorTitle="Owner Paid Utilities - Cable" error="Please select a valid value for Owner Paid Utilities - Cable." sqref="B101:B102" xr:uid="{00000000-0002-0000-0D00-000004000000}">
      <formula1>Yes_No_List</formula1>
    </dataValidation>
    <dataValidation type="list" allowBlank="1" showInputMessage="1" showErrorMessage="1" errorTitle="Is parking in eligible basis" error="Please select a valid value for Is parking in eligible basis." sqref="B112 B114" xr:uid="{00000000-0002-0000-0D00-000005000000}">
      <formula1>Yes_No_List</formula1>
    </dataValidation>
    <dataValidation type="whole" allowBlank="1" showInputMessage="1" showErrorMessage="1" sqref="B40 B33" xr:uid="{00000000-0002-0000-0D00-000006000000}">
      <formula1>0</formula1>
      <formula2>100</formula2>
    </dataValidation>
    <dataValidation type="whole" allowBlank="1" showInputMessage="1" showErrorMessage="1" sqref="B71:B72 B75 B63:B68 B78 B80" xr:uid="{00000000-0002-0000-0D00-000007000000}">
      <formula1>0</formula1>
      <formula2>1000</formula2>
    </dataValidation>
    <dataValidation type="decimal" allowBlank="1" showInputMessage="1" showErrorMessage="1" sqref="B62" xr:uid="{F891DDD3-978E-4BBA-96A1-C1267740816F}">
      <formula1>0</formula1>
      <formula2>1000</formula2>
    </dataValidation>
    <dataValidation type="whole" allowBlank="1" showInputMessage="1" showErrorMessage="1" errorTitle="Window Coverings/Blinds" error="Please select a valid value for Window Coverings/Blinds." sqref="B77" xr:uid="{3B5ABED7-B512-47EF-B479-09182F44F695}">
      <formula1>0</formula1>
      <formula2>900</formula2>
    </dataValidation>
    <dataValidation type="whole" allowBlank="1" showInputMessage="1" showErrorMessage="1" sqref="B91:B92" xr:uid="{F70BDE28-3459-42AC-8BD0-3B1FFAB82C5E}">
      <formula1>0</formula1>
      <formula2>2000</formula2>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92D050"/>
  </sheetPr>
  <dimension ref="A1:F58"/>
  <sheetViews>
    <sheetView showGridLines="0" zoomScaleNormal="100" workbookViewId="0"/>
  </sheetViews>
  <sheetFormatPr defaultColWidth="9" defaultRowHeight="15"/>
  <cols>
    <col min="1" max="1" width="14" style="15" customWidth="1"/>
    <col min="2" max="2" width="46.5703125" style="15" bestFit="1" customWidth="1"/>
    <col min="3" max="3" width="23.5703125" style="15" customWidth="1"/>
    <col min="4" max="4" width="41.140625" style="15" customWidth="1"/>
    <col min="5" max="5" width="93" style="15" bestFit="1" customWidth="1"/>
    <col min="6" max="16384" width="9" style="15"/>
  </cols>
  <sheetData>
    <row r="1" spans="1:6" ht="21">
      <c r="A1" s="4" t="s">
        <v>73</v>
      </c>
      <c r="B1" s="4"/>
      <c r="C1" s="4"/>
      <c r="D1" s="4"/>
      <c r="E1" s="4"/>
      <c r="F1" s="88"/>
    </row>
    <row r="2" spans="1:6">
      <c r="A2" s="917"/>
      <c r="B2" s="917"/>
      <c r="C2" s="896" t="s">
        <v>703</v>
      </c>
      <c r="D2" s="896"/>
      <c r="E2" s="88"/>
      <c r="F2" s="88"/>
    </row>
    <row r="3" spans="1:6">
      <c r="A3" s="1" t="s">
        <v>704</v>
      </c>
      <c r="B3" s="88"/>
      <c r="C3" s="915"/>
      <c r="D3" s="916"/>
      <c r="E3"/>
      <c r="F3" s="88"/>
    </row>
    <row r="4" spans="1:6">
      <c r="A4" s="1" t="s">
        <v>705</v>
      </c>
      <c r="B4" s="88"/>
      <c r="C4" s="464">
        <v>0</v>
      </c>
      <c r="D4"/>
      <c r="E4" s="88"/>
      <c r="F4" s="88"/>
    </row>
    <row r="5" spans="1:6">
      <c r="A5" s="1" t="s">
        <v>706</v>
      </c>
      <c r="B5" s="88"/>
      <c r="C5" s="287"/>
      <c r="D5" s="88"/>
      <c r="E5" s="88"/>
      <c r="F5" s="88"/>
    </row>
    <row r="6" spans="1:6">
      <c r="A6" s="88"/>
      <c r="B6" s="88"/>
      <c r="C6" s="917" t="s">
        <v>707</v>
      </c>
      <c r="D6" s="917"/>
      <c r="E6" s="88"/>
      <c r="F6" s="88"/>
    </row>
    <row r="7" spans="1:6">
      <c r="A7" s="3" t="s">
        <v>708</v>
      </c>
      <c r="B7" s="3" t="s">
        <v>709</v>
      </c>
      <c r="C7" s="3" t="s">
        <v>710</v>
      </c>
      <c r="D7" s="3" t="s">
        <v>711</v>
      </c>
      <c r="E7" s="3"/>
      <c r="F7" s="88"/>
    </row>
    <row r="8" spans="1:6">
      <c r="A8" s="1" t="s">
        <v>712</v>
      </c>
      <c r="B8" s="1" t="s">
        <v>414</v>
      </c>
      <c r="C8" s="465">
        <v>0</v>
      </c>
      <c r="D8" s="463"/>
      <c r="E8" s="10" t="s">
        <v>713</v>
      </c>
      <c r="F8" s="88"/>
    </row>
    <row r="9" spans="1:6">
      <c r="A9" s="1" t="s">
        <v>714</v>
      </c>
      <c r="B9" s="1" t="s">
        <v>715</v>
      </c>
      <c r="C9" s="465">
        <v>0</v>
      </c>
      <c r="D9" s="463"/>
      <c r="E9" s="88"/>
      <c r="F9" s="88"/>
    </row>
    <row r="10" spans="1:6">
      <c r="A10" s="1" t="s">
        <v>716</v>
      </c>
      <c r="B10" s="1" t="s">
        <v>717</v>
      </c>
      <c r="C10" s="465">
        <v>0</v>
      </c>
      <c r="D10" s="463"/>
      <c r="E10" s="88"/>
      <c r="F10" s="88"/>
    </row>
    <row r="11" spans="1:6">
      <c r="A11" s="1" t="s">
        <v>718</v>
      </c>
      <c r="B11" s="1" t="s">
        <v>719</v>
      </c>
      <c r="C11" s="465">
        <v>0</v>
      </c>
      <c r="D11" s="463"/>
      <c r="E11" s="88"/>
      <c r="F11"/>
    </row>
    <row r="12" spans="1:6">
      <c r="A12" s="1" t="s">
        <v>720</v>
      </c>
      <c r="B12" s="1" t="s">
        <v>721</v>
      </c>
      <c r="C12" s="465">
        <v>0</v>
      </c>
      <c r="D12" s="463"/>
      <c r="E12" s="88"/>
      <c r="F12" s="88"/>
    </row>
    <row r="13" spans="1:6">
      <c r="A13" s="1" t="s">
        <v>722</v>
      </c>
      <c r="B13" s="1" t="s">
        <v>723</v>
      </c>
      <c r="C13" s="465">
        <v>0</v>
      </c>
      <c r="D13" s="463"/>
      <c r="E13" s="88"/>
      <c r="F13" s="88"/>
    </row>
    <row r="14" spans="1:6">
      <c r="A14" s="1" t="s">
        <v>724</v>
      </c>
      <c r="B14" s="1" t="s">
        <v>725</v>
      </c>
      <c r="C14" s="465">
        <v>0</v>
      </c>
      <c r="D14" s="463"/>
      <c r="E14" s="88"/>
      <c r="F14" s="88"/>
    </row>
    <row r="15" spans="1:6">
      <c r="A15" s="1" t="s">
        <v>726</v>
      </c>
      <c r="B15" s="1" t="s">
        <v>727</v>
      </c>
      <c r="C15" s="465">
        <v>0</v>
      </c>
      <c r="D15" s="463"/>
      <c r="E15" s="88"/>
      <c r="F15" s="88"/>
    </row>
    <row r="16" spans="1:6">
      <c r="A16" s="1" t="s">
        <v>728</v>
      </c>
      <c r="B16" s="1" t="s">
        <v>729</v>
      </c>
      <c r="C16" s="465">
        <v>0</v>
      </c>
      <c r="D16" s="463"/>
      <c r="E16" s="88"/>
      <c r="F16" s="88"/>
    </row>
    <row r="17" spans="1:5">
      <c r="A17" s="1" t="s">
        <v>730</v>
      </c>
      <c r="B17" s="1" t="s">
        <v>731</v>
      </c>
      <c r="C17" s="465">
        <v>0</v>
      </c>
      <c r="D17" s="463"/>
      <c r="E17"/>
    </row>
    <row r="18" spans="1:5">
      <c r="A18" s="1" t="s">
        <v>732</v>
      </c>
      <c r="B18" s="1" t="s">
        <v>733</v>
      </c>
      <c r="C18" s="465">
        <v>0</v>
      </c>
      <c r="D18" s="463"/>
      <c r="E18" s="88"/>
    </row>
    <row r="19" spans="1:5">
      <c r="A19" s="1" t="s">
        <v>734</v>
      </c>
      <c r="B19" s="1" t="s">
        <v>735</v>
      </c>
      <c r="C19" s="465">
        <v>0</v>
      </c>
      <c r="D19" s="463"/>
      <c r="E19" s="88"/>
    </row>
    <row r="20" spans="1:5">
      <c r="A20" s="1" t="s">
        <v>736</v>
      </c>
      <c r="B20" s="1" t="s">
        <v>737</v>
      </c>
      <c r="C20" s="465">
        <v>0</v>
      </c>
      <c r="D20" s="463"/>
      <c r="E20" s="88"/>
    </row>
    <row r="21" spans="1:5">
      <c r="A21" s="1" t="s">
        <v>738</v>
      </c>
      <c r="B21" s="1" t="s">
        <v>739</v>
      </c>
      <c r="C21" s="465">
        <v>0</v>
      </c>
      <c r="D21" s="463"/>
      <c r="E21" s="88"/>
    </row>
    <row r="22" spans="1:5">
      <c r="A22" s="1" t="s">
        <v>740</v>
      </c>
      <c r="B22" s="1" t="s">
        <v>741</v>
      </c>
      <c r="C22" s="465">
        <v>0</v>
      </c>
      <c r="D22" s="463"/>
      <c r="E22" s="88"/>
    </row>
    <row r="23" spans="1:5">
      <c r="A23" s="1" t="s">
        <v>742</v>
      </c>
      <c r="B23" s="1" t="s">
        <v>743</v>
      </c>
      <c r="C23" s="465">
        <v>0</v>
      </c>
      <c r="D23" s="463"/>
      <c r="E23" s="88"/>
    </row>
    <row r="24" spans="1:5">
      <c r="A24" s="1" t="s">
        <v>744</v>
      </c>
      <c r="B24" s="1" t="s">
        <v>745</v>
      </c>
      <c r="C24" s="465">
        <v>0</v>
      </c>
      <c r="D24" s="463"/>
      <c r="E24" s="88"/>
    </row>
    <row r="25" spans="1:5">
      <c r="A25" s="1" t="s">
        <v>746</v>
      </c>
      <c r="B25" s="1" t="s">
        <v>747</v>
      </c>
      <c r="C25" s="465">
        <v>0</v>
      </c>
      <c r="D25" s="463"/>
      <c r="E25" s="88"/>
    </row>
    <row r="26" spans="1:5">
      <c r="A26" s="1" t="s">
        <v>748</v>
      </c>
      <c r="B26" s="1" t="s">
        <v>749</v>
      </c>
      <c r="C26" s="465">
        <v>0</v>
      </c>
      <c r="D26" s="463"/>
      <c r="E26" s="88"/>
    </row>
    <row r="27" spans="1:5">
      <c r="A27" s="1" t="s">
        <v>750</v>
      </c>
      <c r="B27" s="1" t="s">
        <v>751</v>
      </c>
      <c r="C27" s="465">
        <v>0</v>
      </c>
      <c r="D27" s="463"/>
      <c r="E27" s="88"/>
    </row>
    <row r="28" spans="1:5">
      <c r="A28" s="1" t="s">
        <v>752</v>
      </c>
      <c r="B28" s="1" t="s">
        <v>753</v>
      </c>
      <c r="C28" s="465">
        <v>0</v>
      </c>
      <c r="D28" s="463"/>
      <c r="E28" s="88"/>
    </row>
    <row r="29" spans="1:5">
      <c r="A29" s="1" t="s">
        <v>754</v>
      </c>
      <c r="B29" s="1" t="s">
        <v>755</v>
      </c>
      <c r="C29" s="465">
        <v>0</v>
      </c>
      <c r="D29" s="463"/>
      <c r="E29" s="88"/>
    </row>
    <row r="30" spans="1:5">
      <c r="A30" s="1" t="s">
        <v>756</v>
      </c>
      <c r="B30" s="1" t="s">
        <v>757</v>
      </c>
      <c r="C30" s="465">
        <v>0</v>
      </c>
      <c r="D30" s="463"/>
      <c r="E30" s="88"/>
    </row>
    <row r="31" spans="1:5">
      <c r="A31" s="1" t="s">
        <v>758</v>
      </c>
      <c r="B31" s="1" t="s">
        <v>692</v>
      </c>
      <c r="C31" s="465">
        <v>0</v>
      </c>
      <c r="D31" s="463"/>
      <c r="E31" s="88"/>
    </row>
    <row r="32" spans="1:5">
      <c r="A32" s="1" t="s">
        <v>759</v>
      </c>
      <c r="B32" s="1" t="s">
        <v>760</v>
      </c>
      <c r="C32" s="465">
        <v>0</v>
      </c>
      <c r="D32" s="463"/>
      <c r="E32" s="88"/>
    </row>
    <row r="33" spans="1:5">
      <c r="A33" s="1" t="s">
        <v>761</v>
      </c>
      <c r="B33" s="1" t="s">
        <v>762</v>
      </c>
      <c r="C33" s="465">
        <v>0</v>
      </c>
      <c r="D33" s="463"/>
      <c r="E33" s="88"/>
    </row>
    <row r="34" spans="1:5">
      <c r="A34" s="1"/>
      <c r="B34" s="291" t="str">
        <f>"[Other - describe]"</f>
        <v>[Other - describe]</v>
      </c>
      <c r="C34" s="465">
        <v>0</v>
      </c>
      <c r="D34" s="463"/>
      <c r="E34" s="88"/>
    </row>
    <row r="35" spans="1:5">
      <c r="A35" s="1"/>
      <c r="B35" s="291" t="str">
        <f>"[Other - describe]"</f>
        <v>[Other - describe]</v>
      </c>
      <c r="C35" s="465">
        <v>0</v>
      </c>
      <c r="D35" s="463"/>
      <c r="E35" s="88"/>
    </row>
    <row r="36" spans="1:5" customFormat="1">
      <c r="C36" s="65">
        <f>SUM(C8:C35)</f>
        <v>0</v>
      </c>
    </row>
    <row r="37" spans="1:5">
      <c r="A37" s="3" t="s">
        <v>763</v>
      </c>
      <c r="B37" s="3"/>
      <c r="C37" s="3"/>
      <c r="D37" s="3"/>
      <c r="E37" s="3"/>
    </row>
    <row r="38" spans="1:5">
      <c r="A38" s="88"/>
      <c r="B38" s="1" t="s">
        <v>764</v>
      </c>
      <c r="C38" s="465">
        <v>0</v>
      </c>
      <c r="D38" s="463"/>
      <c r="E38" s="88"/>
    </row>
    <row r="39" spans="1:5">
      <c r="A39" s="88"/>
      <c r="B39" s="291" t="str">
        <f>"[Other - describe]"</f>
        <v>[Other - describe]</v>
      </c>
      <c r="C39" s="465">
        <v>0</v>
      </c>
      <c r="D39" s="463"/>
      <c r="E39" s="88"/>
    </row>
    <row r="40" spans="1:5">
      <c r="A40" s="88"/>
      <c r="B40" s="291" t="str">
        <f>"[Other - describe]"</f>
        <v>[Other - describe]</v>
      </c>
      <c r="C40" s="465">
        <v>0</v>
      </c>
      <c r="D40" s="463"/>
      <c r="E40" s="88"/>
    </row>
    <row r="41" spans="1:5">
      <c r="A41" s="88"/>
      <c r="B41" s="291" t="str">
        <f>"[Other - describe]"</f>
        <v>[Other - describe]</v>
      </c>
      <c r="C41" s="465">
        <v>0</v>
      </c>
      <c r="D41" s="463"/>
      <c r="E41" s="88"/>
    </row>
    <row r="42" spans="1:5" customFormat="1">
      <c r="C42" s="65">
        <f>SUM(C38:C41)</f>
        <v>0</v>
      </c>
    </row>
    <row r="43" spans="1:5">
      <c r="A43" s="3" t="s">
        <v>765</v>
      </c>
      <c r="B43" s="3"/>
      <c r="C43" s="3"/>
      <c r="D43" s="3"/>
      <c r="E43" s="3"/>
    </row>
    <row r="44" spans="1:5">
      <c r="A44" s="88"/>
      <c r="B44" s="1" t="s">
        <v>766</v>
      </c>
      <c r="C44" s="465">
        <v>0</v>
      </c>
      <c r="D44" s="463"/>
      <c r="E44" s="88"/>
    </row>
    <row r="45" spans="1:5">
      <c r="A45" s="88"/>
      <c r="B45" s="1" t="s">
        <v>767</v>
      </c>
      <c r="C45" s="465">
        <v>0</v>
      </c>
      <c r="D45" s="463"/>
      <c r="E45" s="88"/>
    </row>
    <row r="46" spans="1:5">
      <c r="A46" s="88"/>
      <c r="B46" s="1" t="s">
        <v>768</v>
      </c>
      <c r="C46" s="465">
        <v>0</v>
      </c>
      <c r="D46" s="463"/>
      <c r="E46" s="88"/>
    </row>
    <row r="47" spans="1:5">
      <c r="A47" s="88"/>
      <c r="B47" s="1" t="s">
        <v>769</v>
      </c>
      <c r="C47" s="465">
        <v>0</v>
      </c>
      <c r="D47" s="463"/>
      <c r="E47" s="88"/>
    </row>
    <row r="48" spans="1:5">
      <c r="A48" s="88"/>
      <c r="B48" s="291" t="str">
        <f>"[Other - describe]"</f>
        <v>[Other - describe]</v>
      </c>
      <c r="C48" s="465">
        <v>0</v>
      </c>
      <c r="D48" s="463"/>
      <c r="E48" s="88"/>
    </row>
    <row r="49" spans="1:5" customFormat="1">
      <c r="C49" s="65">
        <f>SUM(C44:C48)</f>
        <v>0</v>
      </c>
    </row>
    <row r="50" spans="1:5">
      <c r="A50" s="3" t="s">
        <v>770</v>
      </c>
      <c r="B50" s="3"/>
      <c r="C50" s="3"/>
      <c r="D50" s="3"/>
      <c r="E50" s="3"/>
    </row>
    <row r="51" spans="1:5">
      <c r="A51" s="88"/>
      <c r="B51" s="1" t="s">
        <v>771</v>
      </c>
      <c r="C51" s="465">
        <v>0</v>
      </c>
      <c r="D51" s="463"/>
      <c r="E51" s="88"/>
    </row>
    <row r="52" spans="1:5">
      <c r="A52" s="88"/>
      <c r="B52" s="1" t="s">
        <v>415</v>
      </c>
      <c r="C52" s="465">
        <v>0</v>
      </c>
      <c r="D52" s="463"/>
      <c r="E52" s="88"/>
    </row>
    <row r="53" spans="1:5">
      <c r="A53" s="88"/>
      <c r="B53" s="1" t="s">
        <v>416</v>
      </c>
      <c r="C53" s="465">
        <v>0</v>
      </c>
      <c r="D53" s="463"/>
      <c r="E53" s="88"/>
    </row>
    <row r="54" spans="1:5">
      <c r="A54" s="88"/>
      <c r="B54" s="1" t="s">
        <v>772</v>
      </c>
      <c r="C54" s="465">
        <v>0</v>
      </c>
      <c r="D54" s="463"/>
      <c r="E54" s="88"/>
    </row>
    <row r="55" spans="1:5">
      <c r="A55" s="88"/>
      <c r="B55" s="1" t="s">
        <v>773</v>
      </c>
      <c r="C55" s="465">
        <v>0</v>
      </c>
      <c r="D55" s="463"/>
      <c r="E55" s="88"/>
    </row>
    <row r="56" spans="1:5">
      <c r="A56" s="88"/>
      <c r="B56" s="1" t="s">
        <v>774</v>
      </c>
      <c r="C56" s="465">
        <v>0</v>
      </c>
      <c r="D56" s="463"/>
      <c r="E56" s="88"/>
    </row>
    <row r="57" spans="1:5" ht="15.75" thickBot="1">
      <c r="A57" s="88"/>
      <c r="B57"/>
      <c r="C57" s="66">
        <f>SUM(C51:C56)</f>
        <v>0</v>
      </c>
      <c r="D57" s="88"/>
      <c r="E57" s="88"/>
    </row>
    <row r="58" spans="1:5" ht="15.75" thickTop="1">
      <c r="A58" s="88"/>
      <c r="B58" s="68" t="s">
        <v>377</v>
      </c>
      <c r="C58" s="448">
        <f>SUM(C8:C35,C38:C41,C44:C48,C51:C56)</f>
        <v>0</v>
      </c>
      <c r="D58" s="88"/>
      <c r="E58" s="88"/>
    </row>
  </sheetData>
  <sheetProtection algorithmName="SHA-512" hashValue="ZoWYgILp/IRpoPGj06JObB0JZBTIx1W/4emKXvg/Yt0RgzpkKhWOk7aWomp0c+IdopFDhXUplxSU2qOT9ZFvgw==" saltValue="dHI2LYe+TfO/f/C39Cr0Ww==" spinCount="100000" sheet="1" objects="1" scenarios="1"/>
  <mergeCells count="4">
    <mergeCell ref="C3:D3"/>
    <mergeCell ref="C2:D2"/>
    <mergeCell ref="A2:B2"/>
    <mergeCell ref="C6:D6"/>
  </mergeCells>
  <dataValidations count="3">
    <dataValidation type="whole" allowBlank="1" showInputMessage="1" showErrorMessage="1" errorTitle="Whole Numbers Only" error="All numbers on Cost Summary must be entered as a whole number." sqref="C8:C35 C38:C41 C44:C48 C51:C56" xr:uid="{00000000-0002-0000-0E00-000000000000}">
      <formula1>0</formula1>
      <formula2>100000000</formula2>
    </dataValidation>
    <dataValidation type="list" allowBlank="1" showInputMessage="1" showErrorMessage="1" errorTitle="Window Coverings/Blinds" error="Please select a valid value for Window Coverings/Blinds." sqref="C5" xr:uid="{00000000-0002-0000-0E00-000001000000}">
      <formula1>Yes_No_List</formula1>
    </dataValidation>
    <dataValidation type="list" allowBlank="1" showInputMessage="1" showErrorMessage="1" errorTitle="Window Coverings/Blinds" error="Please select a valid value for Window Coverings/Blinds." sqref="C3" xr:uid="{00000000-0002-0000-0E00-000002000000}">
      <formula1>Drawings_Complete</formula1>
    </dataValidation>
  </dataValidations>
  <pageMargins left="0.7" right="0.7" top="0.75" bottom="0.75" header="0.3" footer="0.3"/>
  <pageSetup paperSize="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sheetPr>
  <dimension ref="A1:R108"/>
  <sheetViews>
    <sheetView showGridLines="0" workbookViewId="0"/>
  </sheetViews>
  <sheetFormatPr defaultRowHeight="15"/>
  <cols>
    <col min="1" max="1" width="3.5703125" customWidth="1"/>
    <col min="2" max="2" width="13" hidden="1" customWidth="1"/>
    <col min="3" max="3" width="35" customWidth="1"/>
    <col min="4" max="4" width="14" customWidth="1"/>
    <col min="5" max="5" width="12" customWidth="1"/>
    <col min="6" max="6" width="13" customWidth="1"/>
    <col min="7" max="9" width="17.140625" customWidth="1"/>
    <col min="10" max="10" width="16" customWidth="1"/>
    <col min="11" max="11" width="16.5703125" customWidth="1"/>
    <col min="12" max="14" width="17.140625" customWidth="1"/>
    <col min="15" max="15" width="25.140625" customWidth="1"/>
    <col min="16" max="17" width="20.5703125" customWidth="1"/>
  </cols>
  <sheetData>
    <row r="1" spans="1:18" ht="21">
      <c r="A1" s="4" t="s">
        <v>77</v>
      </c>
      <c r="B1" s="4"/>
      <c r="C1" s="4"/>
      <c r="D1" s="4"/>
      <c r="E1" s="4"/>
      <c r="F1" s="4"/>
      <c r="G1" s="4"/>
      <c r="H1" s="4"/>
      <c r="I1" s="4"/>
      <c r="J1" s="4"/>
      <c r="K1" s="4"/>
      <c r="L1" s="4"/>
      <c r="M1" s="4"/>
      <c r="N1" s="4"/>
      <c r="O1" s="4"/>
      <c r="P1" s="4"/>
      <c r="Q1" s="4"/>
    </row>
    <row r="2" spans="1:18" ht="25.5" customHeight="1">
      <c r="A2" s="661" t="s">
        <v>775</v>
      </c>
      <c r="B2" s="98"/>
      <c r="C2" s="267"/>
    </row>
    <row r="3" spans="1:18" ht="48.75" customHeight="1">
      <c r="A3" s="3"/>
      <c r="B3" s="3" t="s">
        <v>776</v>
      </c>
      <c r="C3" s="511" t="s">
        <v>777</v>
      </c>
      <c r="D3" s="511" t="s">
        <v>778</v>
      </c>
      <c r="E3" s="511" t="s">
        <v>779</v>
      </c>
      <c r="F3" s="511" t="s">
        <v>780</v>
      </c>
      <c r="G3" s="511" t="s">
        <v>781</v>
      </c>
      <c r="H3" s="511" t="s">
        <v>782</v>
      </c>
      <c r="I3" s="511" t="s">
        <v>783</v>
      </c>
      <c r="J3" s="511" t="s">
        <v>784</v>
      </c>
      <c r="K3" s="511" t="s">
        <v>785</v>
      </c>
      <c r="L3" s="511" t="s">
        <v>786</v>
      </c>
      <c r="M3" s="511" t="s">
        <v>787</v>
      </c>
      <c r="N3" s="511" t="s">
        <v>788</v>
      </c>
      <c r="O3" s="511" t="s">
        <v>789</v>
      </c>
      <c r="P3" s="511" t="s">
        <v>790</v>
      </c>
      <c r="Q3" s="511" t="s">
        <v>791</v>
      </c>
      <c r="R3" s="6" t="s">
        <v>792</v>
      </c>
    </row>
    <row r="4" spans="1:18">
      <c r="A4" s="3">
        <v>1</v>
      </c>
      <c r="B4" s="11"/>
      <c r="C4" s="287"/>
      <c r="D4" s="287"/>
      <c r="E4" s="287"/>
      <c r="F4" s="287"/>
      <c r="G4" s="476"/>
      <c r="H4" s="476"/>
      <c r="I4" s="476"/>
      <c r="J4" s="319"/>
      <c r="K4" s="289"/>
      <c r="L4" s="476"/>
      <c r="M4" s="476"/>
      <c r="N4" s="476"/>
      <c r="O4" s="476"/>
      <c r="P4" s="296"/>
      <c r="Q4" s="289"/>
      <c r="R4" s="6"/>
    </row>
    <row r="5" spans="1:18">
      <c r="A5" s="3">
        <v>2</v>
      </c>
      <c r="B5" s="11"/>
      <c r="C5" s="287"/>
      <c r="D5" s="287"/>
      <c r="E5" s="287"/>
      <c r="F5" s="287"/>
      <c r="G5" s="476"/>
      <c r="H5" s="476"/>
      <c r="I5" s="476"/>
      <c r="J5" s="319"/>
      <c r="K5" s="289"/>
      <c r="L5" s="476"/>
      <c r="M5" s="476"/>
      <c r="N5" s="476"/>
      <c r="O5" s="476"/>
      <c r="P5" s="296"/>
      <c r="Q5" s="289"/>
      <c r="R5" s="6" t="s">
        <v>793</v>
      </c>
    </row>
    <row r="6" spans="1:18">
      <c r="A6" s="3">
        <v>3</v>
      </c>
      <c r="B6" s="11"/>
      <c r="C6" s="287"/>
      <c r="D6" s="287"/>
      <c r="E6" s="287"/>
      <c r="F6" s="287"/>
      <c r="G6" s="476"/>
      <c r="H6" s="476"/>
      <c r="I6" s="476"/>
      <c r="J6" s="319"/>
      <c r="K6" s="289"/>
      <c r="L6" s="476"/>
      <c r="M6" s="476"/>
      <c r="N6" s="476"/>
      <c r="O6" s="476"/>
      <c r="P6" s="296"/>
      <c r="Q6" s="289"/>
      <c r="R6" s="6" t="s">
        <v>794</v>
      </c>
    </row>
    <row r="7" spans="1:18">
      <c r="A7" s="3">
        <v>4</v>
      </c>
      <c r="B7" s="11"/>
      <c r="C7" s="287"/>
      <c r="D7" s="287"/>
      <c r="E7" s="287"/>
      <c r="F7" s="287"/>
      <c r="G7" s="476"/>
      <c r="H7" s="476"/>
      <c r="I7" s="476"/>
      <c r="J7" s="319"/>
      <c r="K7" s="289"/>
      <c r="L7" s="476"/>
      <c r="M7" s="476"/>
      <c r="N7" s="476"/>
      <c r="O7" s="476"/>
      <c r="P7" s="296"/>
      <c r="Q7" s="289"/>
    </row>
    <row r="8" spans="1:18">
      <c r="A8" s="3">
        <v>5</v>
      </c>
      <c r="B8" s="11"/>
      <c r="C8" s="287"/>
      <c r="D8" s="287"/>
      <c r="E8" s="287"/>
      <c r="F8" s="287"/>
      <c r="G8" s="476"/>
      <c r="H8" s="476"/>
      <c r="I8" s="476"/>
      <c r="J8" s="319"/>
      <c r="K8" s="289"/>
      <c r="L8" s="476"/>
      <c r="M8" s="476"/>
      <c r="N8" s="476"/>
      <c r="O8" s="476"/>
      <c r="P8" s="296"/>
      <c r="Q8" s="289"/>
    </row>
    <row r="9" spans="1:18">
      <c r="A9" s="3">
        <v>6</v>
      </c>
      <c r="B9" s="11"/>
      <c r="C9" s="287"/>
      <c r="D9" s="287"/>
      <c r="E9" s="287"/>
      <c r="F9" s="287"/>
      <c r="G9" s="476"/>
      <c r="H9" s="476"/>
      <c r="I9" s="476"/>
      <c r="J9" s="319"/>
      <c r="K9" s="289"/>
      <c r="L9" s="476"/>
      <c r="M9" s="476"/>
      <c r="N9" s="476"/>
      <c r="O9" s="476"/>
      <c r="P9" s="296"/>
      <c r="Q9" s="289"/>
    </row>
    <row r="10" spans="1:18">
      <c r="A10" s="3">
        <v>7</v>
      </c>
      <c r="B10" s="11"/>
      <c r="C10" s="287"/>
      <c r="D10" s="287"/>
      <c r="E10" s="287"/>
      <c r="F10" s="287"/>
      <c r="G10" s="476"/>
      <c r="H10" s="476"/>
      <c r="I10" s="476"/>
      <c r="J10" s="319"/>
      <c r="K10" s="289"/>
      <c r="L10" s="476"/>
      <c r="M10" s="476"/>
      <c r="N10" s="476"/>
      <c r="O10" s="476"/>
      <c r="P10" s="296"/>
      <c r="Q10" s="289"/>
    </row>
    <row r="11" spans="1:18">
      <c r="A11" s="3">
        <v>8</v>
      </c>
      <c r="B11" s="11"/>
      <c r="C11" s="287"/>
      <c r="D11" s="287"/>
      <c r="E11" s="287"/>
      <c r="F11" s="287"/>
      <c r="G11" s="476"/>
      <c r="H11" s="476"/>
      <c r="I11" s="476"/>
      <c r="J11" s="319"/>
      <c r="K11" s="289"/>
      <c r="L11" s="476"/>
      <c r="M11" s="476"/>
      <c r="N11" s="476"/>
      <c r="O11" s="476"/>
      <c r="P11" s="296"/>
      <c r="Q11" s="289"/>
    </row>
    <row r="12" spans="1:18">
      <c r="A12" s="3">
        <v>9</v>
      </c>
      <c r="B12" s="11"/>
      <c r="C12" s="287"/>
      <c r="D12" s="287"/>
      <c r="E12" s="287"/>
      <c r="F12" s="287"/>
      <c r="G12" s="476"/>
      <c r="H12" s="476"/>
      <c r="I12" s="476"/>
      <c r="J12" s="319"/>
      <c r="K12" s="289"/>
      <c r="L12" s="476"/>
      <c r="M12" s="476"/>
      <c r="N12" s="476"/>
      <c r="O12" s="476"/>
      <c r="P12" s="296"/>
      <c r="Q12" s="289"/>
    </row>
    <row r="13" spans="1:18">
      <c r="A13" s="3">
        <v>10</v>
      </c>
      <c r="B13" s="11"/>
      <c r="C13" s="287"/>
      <c r="D13" s="287"/>
      <c r="E13" s="287"/>
      <c r="F13" s="287"/>
      <c r="G13" s="476"/>
      <c r="H13" s="476"/>
      <c r="I13" s="476"/>
      <c r="J13" s="319"/>
      <c r="K13" s="289"/>
      <c r="L13" s="476"/>
      <c r="M13" s="476"/>
      <c r="N13" s="476"/>
      <c r="O13" s="476"/>
      <c r="P13" s="296"/>
      <c r="Q13" s="289"/>
    </row>
    <row r="14" spans="1:18">
      <c r="A14" s="3">
        <v>11</v>
      </c>
      <c r="B14" s="11"/>
      <c r="C14" s="287"/>
      <c r="D14" s="287"/>
      <c r="E14" s="287"/>
      <c r="F14" s="287"/>
      <c r="G14" s="476"/>
      <c r="H14" s="476"/>
      <c r="I14" s="476"/>
      <c r="J14" s="319"/>
      <c r="K14" s="289"/>
      <c r="L14" s="476"/>
      <c r="M14" s="476"/>
      <c r="N14" s="476"/>
      <c r="O14" s="476"/>
      <c r="P14" s="296"/>
      <c r="Q14" s="289"/>
    </row>
    <row r="15" spans="1:18">
      <c r="A15" s="3">
        <v>12</v>
      </c>
      <c r="B15" s="11"/>
      <c r="C15" s="287"/>
      <c r="D15" s="287"/>
      <c r="E15" s="287"/>
      <c r="F15" s="287"/>
      <c r="G15" s="476"/>
      <c r="H15" s="476"/>
      <c r="I15" s="476"/>
      <c r="J15" s="319"/>
      <c r="K15" s="289"/>
      <c r="L15" s="476"/>
      <c r="M15" s="476"/>
      <c r="N15" s="476"/>
      <c r="O15" s="476"/>
      <c r="P15" s="296"/>
      <c r="Q15" s="289"/>
    </row>
    <row r="16" spans="1:18">
      <c r="A16" s="3">
        <v>13</v>
      </c>
      <c r="B16" s="11"/>
      <c r="C16" s="287"/>
      <c r="D16" s="287"/>
      <c r="E16" s="287"/>
      <c r="F16" s="287"/>
      <c r="G16" s="476"/>
      <c r="H16" s="476"/>
      <c r="I16" s="476"/>
      <c r="J16" s="319"/>
      <c r="K16" s="289"/>
      <c r="L16" s="476"/>
      <c r="M16" s="476"/>
      <c r="N16" s="476"/>
      <c r="O16" s="476"/>
      <c r="P16" s="296"/>
      <c r="Q16" s="289"/>
    </row>
    <row r="17" spans="1:17">
      <c r="A17" s="3">
        <v>14</v>
      </c>
      <c r="B17" s="11"/>
      <c r="C17" s="287"/>
      <c r="D17" s="287"/>
      <c r="E17" s="287"/>
      <c r="F17" s="287"/>
      <c r="G17" s="476"/>
      <c r="H17" s="476"/>
      <c r="I17" s="476"/>
      <c r="J17" s="319"/>
      <c r="K17" s="289"/>
      <c r="L17" s="476"/>
      <c r="M17" s="476"/>
      <c r="N17" s="476"/>
      <c r="O17" s="476"/>
      <c r="P17" s="296"/>
      <c r="Q17" s="289"/>
    </row>
    <row r="18" spans="1:17">
      <c r="A18" s="3">
        <v>15</v>
      </c>
      <c r="B18" s="11"/>
      <c r="C18" s="287"/>
      <c r="D18" s="287"/>
      <c r="E18" s="287"/>
      <c r="F18" s="287"/>
      <c r="G18" s="476"/>
      <c r="H18" s="476"/>
      <c r="I18" s="476"/>
      <c r="J18" s="319"/>
      <c r="K18" s="289"/>
      <c r="L18" s="476"/>
      <c r="M18" s="476"/>
      <c r="N18" s="476"/>
      <c r="O18" s="476"/>
      <c r="P18" s="296"/>
      <c r="Q18" s="289"/>
    </row>
    <row r="19" spans="1:17">
      <c r="A19" s="3">
        <v>16</v>
      </c>
      <c r="B19" s="11"/>
      <c r="C19" s="287"/>
      <c r="D19" s="287"/>
      <c r="E19" s="287"/>
      <c r="F19" s="287"/>
      <c r="G19" s="476"/>
      <c r="H19" s="476"/>
      <c r="I19" s="476"/>
      <c r="J19" s="319"/>
      <c r="K19" s="289"/>
      <c r="L19" s="476"/>
      <c r="M19" s="476"/>
      <c r="N19" s="476"/>
      <c r="O19" s="476"/>
      <c r="P19" s="296"/>
      <c r="Q19" s="289"/>
    </row>
    <row r="20" spans="1:17">
      <c r="A20" s="3">
        <v>17</v>
      </c>
      <c r="B20" s="11"/>
      <c r="C20" s="287"/>
      <c r="D20" s="287"/>
      <c r="E20" s="287"/>
      <c r="F20" s="287"/>
      <c r="G20" s="476"/>
      <c r="H20" s="476"/>
      <c r="I20" s="476"/>
      <c r="J20" s="319"/>
      <c r="K20" s="289"/>
      <c r="L20" s="476"/>
      <c r="M20" s="476"/>
      <c r="N20" s="476"/>
      <c r="O20" s="476"/>
      <c r="P20" s="296"/>
      <c r="Q20" s="289"/>
    </row>
    <row r="21" spans="1:17">
      <c r="A21" s="3">
        <v>18</v>
      </c>
      <c r="B21" s="11"/>
      <c r="C21" s="287"/>
      <c r="D21" s="287"/>
      <c r="E21" s="287"/>
      <c r="F21" s="287"/>
      <c r="G21" s="476"/>
      <c r="H21" s="476"/>
      <c r="I21" s="476"/>
      <c r="J21" s="319"/>
      <c r="K21" s="289"/>
      <c r="L21" s="476"/>
      <c r="M21" s="476"/>
      <c r="N21" s="476"/>
      <c r="O21" s="476"/>
      <c r="P21" s="296"/>
      <c r="Q21" s="289"/>
    </row>
    <row r="22" spans="1:17">
      <c r="A22" s="3">
        <v>19</v>
      </c>
      <c r="B22" s="11"/>
      <c r="C22" s="287"/>
      <c r="D22" s="287"/>
      <c r="E22" s="287"/>
      <c r="F22" s="287"/>
      <c r="G22" s="476"/>
      <c r="H22" s="476"/>
      <c r="I22" s="476"/>
      <c r="J22" s="319"/>
      <c r="K22" s="289"/>
      <c r="L22" s="476"/>
      <c r="M22" s="476"/>
      <c r="N22" s="476"/>
      <c r="O22" s="476"/>
      <c r="P22" s="296"/>
      <c r="Q22" s="289"/>
    </row>
    <row r="23" spans="1:17">
      <c r="A23" s="3">
        <v>20</v>
      </c>
      <c r="B23" s="11"/>
      <c r="C23" s="287"/>
      <c r="D23" s="287"/>
      <c r="E23" s="287"/>
      <c r="F23" s="287"/>
      <c r="G23" s="476"/>
      <c r="H23" s="476"/>
      <c r="I23" s="476"/>
      <c r="J23" s="319"/>
      <c r="K23" s="289"/>
      <c r="L23" s="476"/>
      <c r="M23" s="476"/>
      <c r="N23" s="476"/>
      <c r="O23" s="476"/>
      <c r="P23" s="296"/>
      <c r="Q23" s="289"/>
    </row>
    <row r="24" spans="1:17">
      <c r="A24" s="3">
        <v>21</v>
      </c>
      <c r="B24" s="11"/>
      <c r="C24" s="287"/>
      <c r="D24" s="287"/>
      <c r="E24" s="287"/>
      <c r="F24" s="287"/>
      <c r="G24" s="476"/>
      <c r="H24" s="476"/>
      <c r="I24" s="476"/>
      <c r="J24" s="319"/>
      <c r="K24" s="289"/>
      <c r="L24" s="476"/>
      <c r="M24" s="476"/>
      <c r="N24" s="476"/>
      <c r="O24" s="476"/>
      <c r="P24" s="296"/>
      <c r="Q24" s="289"/>
    </row>
    <row r="25" spans="1:17">
      <c r="A25" s="3">
        <v>22</v>
      </c>
      <c r="B25" s="11"/>
      <c r="C25" s="287"/>
      <c r="D25" s="287"/>
      <c r="E25" s="287"/>
      <c r="F25" s="287"/>
      <c r="G25" s="476"/>
      <c r="H25" s="476"/>
      <c r="I25" s="476"/>
      <c r="J25" s="319"/>
      <c r="K25" s="289"/>
      <c r="L25" s="476"/>
      <c r="M25" s="476"/>
      <c r="N25" s="476"/>
      <c r="O25" s="476"/>
      <c r="P25" s="296"/>
      <c r="Q25" s="289"/>
    </row>
    <row r="26" spans="1:17">
      <c r="A26" s="3">
        <v>23</v>
      </c>
      <c r="B26" s="11"/>
      <c r="C26" s="287"/>
      <c r="D26" s="287"/>
      <c r="E26" s="287"/>
      <c r="F26" s="287"/>
      <c r="G26" s="476"/>
      <c r="H26" s="476"/>
      <c r="I26" s="476"/>
      <c r="J26" s="319"/>
      <c r="K26" s="289"/>
      <c r="L26" s="476"/>
      <c r="M26" s="476"/>
      <c r="N26" s="476"/>
      <c r="O26" s="476"/>
      <c r="P26" s="296"/>
      <c r="Q26" s="289"/>
    </row>
    <row r="27" spans="1:17">
      <c r="A27" s="3">
        <v>24</v>
      </c>
      <c r="B27" s="11"/>
      <c r="C27" s="287"/>
      <c r="D27" s="287"/>
      <c r="E27" s="287"/>
      <c r="F27" s="287"/>
      <c r="G27" s="476"/>
      <c r="H27" s="476"/>
      <c r="I27" s="476"/>
      <c r="J27" s="319"/>
      <c r="K27" s="289"/>
      <c r="L27" s="476"/>
      <c r="M27" s="476"/>
      <c r="N27" s="476"/>
      <c r="O27" s="476"/>
      <c r="P27" s="296"/>
      <c r="Q27" s="289"/>
    </row>
    <row r="28" spans="1:17">
      <c r="A28" s="3">
        <v>25</v>
      </c>
      <c r="B28" s="11"/>
      <c r="C28" s="287"/>
      <c r="D28" s="287"/>
      <c r="E28" s="287"/>
      <c r="F28" s="287"/>
      <c r="G28" s="476"/>
      <c r="H28" s="476"/>
      <c r="I28" s="476"/>
      <c r="J28" s="319"/>
      <c r="K28" s="289"/>
      <c r="L28" s="476"/>
      <c r="M28" s="476"/>
      <c r="N28" s="476"/>
      <c r="O28" s="476"/>
      <c r="P28" s="296"/>
      <c r="Q28" s="289"/>
    </row>
    <row r="29" spans="1:17">
      <c r="A29" s="3">
        <v>26</v>
      </c>
      <c r="B29" s="11"/>
      <c r="C29" s="287"/>
      <c r="D29" s="287"/>
      <c r="E29" s="287"/>
      <c r="F29" s="287"/>
      <c r="G29" s="476"/>
      <c r="H29" s="476"/>
      <c r="I29" s="476"/>
      <c r="J29" s="319"/>
      <c r="K29" s="289"/>
      <c r="L29" s="476"/>
      <c r="M29" s="476"/>
      <c r="N29" s="476"/>
      <c r="O29" s="476"/>
      <c r="P29" s="296"/>
      <c r="Q29" s="289"/>
    </row>
    <row r="30" spans="1:17">
      <c r="A30" s="3">
        <v>27</v>
      </c>
      <c r="B30" s="11"/>
      <c r="C30" s="287"/>
      <c r="D30" s="287"/>
      <c r="E30" s="287"/>
      <c r="F30" s="287"/>
      <c r="G30" s="476"/>
      <c r="H30" s="476"/>
      <c r="I30" s="476"/>
      <c r="J30" s="319"/>
      <c r="K30" s="289"/>
      <c r="L30" s="476"/>
      <c r="M30" s="476"/>
      <c r="N30" s="476"/>
      <c r="O30" s="476"/>
      <c r="P30" s="296"/>
      <c r="Q30" s="289"/>
    </row>
    <row r="31" spans="1:17">
      <c r="A31" s="3">
        <v>28</v>
      </c>
      <c r="B31" s="11"/>
      <c r="C31" s="287"/>
      <c r="D31" s="287"/>
      <c r="E31" s="287"/>
      <c r="F31" s="287"/>
      <c r="G31" s="476"/>
      <c r="H31" s="476"/>
      <c r="I31" s="476"/>
      <c r="J31" s="319"/>
      <c r="K31" s="289"/>
      <c r="L31" s="476"/>
      <c r="M31" s="476"/>
      <c r="N31" s="476"/>
      <c r="O31" s="476"/>
      <c r="P31" s="296"/>
      <c r="Q31" s="289"/>
    </row>
    <row r="32" spans="1:17">
      <c r="A32" s="3">
        <v>29</v>
      </c>
      <c r="B32" s="11"/>
      <c r="C32" s="287"/>
      <c r="D32" s="287"/>
      <c r="E32" s="287"/>
      <c r="F32" s="287"/>
      <c r="G32" s="476"/>
      <c r="H32" s="476"/>
      <c r="I32" s="476"/>
      <c r="J32" s="319"/>
      <c r="K32" s="289"/>
      <c r="L32" s="476"/>
      <c r="M32" s="476"/>
      <c r="N32" s="476"/>
      <c r="O32" s="476"/>
      <c r="P32" s="296"/>
      <c r="Q32" s="289"/>
    </row>
    <row r="33" spans="1:17">
      <c r="A33" s="3">
        <v>30</v>
      </c>
      <c r="B33" s="11"/>
      <c r="C33" s="287"/>
      <c r="D33" s="287"/>
      <c r="E33" s="287"/>
      <c r="F33" s="287"/>
      <c r="G33" s="476"/>
      <c r="H33" s="476"/>
      <c r="I33" s="476"/>
      <c r="J33" s="319"/>
      <c r="K33" s="289"/>
      <c r="L33" s="476"/>
      <c r="M33" s="476"/>
      <c r="N33" s="476"/>
      <c r="O33" s="476"/>
      <c r="P33" s="296"/>
      <c r="Q33" s="289"/>
    </row>
    <row r="34" spans="1:17">
      <c r="A34" s="3">
        <v>31</v>
      </c>
      <c r="B34" s="11"/>
      <c r="C34" s="287"/>
      <c r="D34" s="287"/>
      <c r="E34" s="287"/>
      <c r="F34" s="287"/>
      <c r="G34" s="476"/>
      <c r="H34" s="476"/>
      <c r="I34" s="476"/>
      <c r="J34" s="319"/>
      <c r="K34" s="289"/>
      <c r="L34" s="476"/>
      <c r="M34" s="476"/>
      <c r="N34" s="476"/>
      <c r="O34" s="476"/>
      <c r="P34" s="296"/>
      <c r="Q34" s="289"/>
    </row>
    <row r="35" spans="1:17">
      <c r="A35" s="3">
        <v>32</v>
      </c>
      <c r="B35" s="11"/>
      <c r="C35" s="287"/>
      <c r="D35" s="287"/>
      <c r="E35" s="287"/>
      <c r="F35" s="287"/>
      <c r="G35" s="476"/>
      <c r="H35" s="476"/>
      <c r="I35" s="476"/>
      <c r="J35" s="319"/>
      <c r="K35" s="289"/>
      <c r="L35" s="476"/>
      <c r="M35" s="476"/>
      <c r="N35" s="476"/>
      <c r="O35" s="476"/>
      <c r="P35" s="296"/>
      <c r="Q35" s="289"/>
    </row>
    <row r="36" spans="1:17">
      <c r="A36" s="3">
        <v>33</v>
      </c>
      <c r="B36" s="11"/>
      <c r="C36" s="287"/>
      <c r="D36" s="287"/>
      <c r="E36" s="287"/>
      <c r="F36" s="287"/>
      <c r="G36" s="476"/>
      <c r="H36" s="476"/>
      <c r="I36" s="476"/>
      <c r="J36" s="319"/>
      <c r="K36" s="289"/>
      <c r="L36" s="476"/>
      <c r="M36" s="476"/>
      <c r="N36" s="476"/>
      <c r="O36" s="476"/>
      <c r="P36" s="296"/>
      <c r="Q36" s="289"/>
    </row>
    <row r="37" spans="1:17">
      <c r="A37" s="3">
        <v>34</v>
      </c>
      <c r="B37" s="11"/>
      <c r="C37" s="287"/>
      <c r="D37" s="287"/>
      <c r="E37" s="287"/>
      <c r="F37" s="287"/>
      <c r="G37" s="476"/>
      <c r="H37" s="476"/>
      <c r="I37" s="476"/>
      <c r="J37" s="319"/>
      <c r="K37" s="289"/>
      <c r="L37" s="476"/>
      <c r="M37" s="476"/>
      <c r="N37" s="476"/>
      <c r="O37" s="476"/>
      <c r="P37" s="296"/>
      <c r="Q37" s="289"/>
    </row>
    <row r="38" spans="1:17">
      <c r="A38" s="3">
        <v>35</v>
      </c>
      <c r="B38" s="11"/>
      <c r="C38" s="287"/>
      <c r="D38" s="287"/>
      <c r="E38" s="287"/>
      <c r="F38" s="287"/>
      <c r="G38" s="476"/>
      <c r="H38" s="476"/>
      <c r="I38" s="476"/>
      <c r="J38" s="319"/>
      <c r="K38" s="289"/>
      <c r="L38" s="476"/>
      <c r="M38" s="476"/>
      <c r="N38" s="476"/>
      <c r="O38" s="476"/>
      <c r="P38" s="296"/>
      <c r="Q38" s="289"/>
    </row>
    <row r="39" spans="1:17">
      <c r="A39" s="3">
        <v>36</v>
      </c>
      <c r="B39" s="11"/>
      <c r="C39" s="287"/>
      <c r="D39" s="287"/>
      <c r="E39" s="287"/>
      <c r="F39" s="287"/>
      <c r="G39" s="476"/>
      <c r="H39" s="476"/>
      <c r="I39" s="476"/>
      <c r="J39" s="319"/>
      <c r="K39" s="289"/>
      <c r="L39" s="476"/>
      <c r="M39" s="476"/>
      <c r="N39" s="476"/>
      <c r="O39" s="476"/>
      <c r="P39" s="296"/>
      <c r="Q39" s="289"/>
    </row>
    <row r="40" spans="1:17">
      <c r="A40" s="3">
        <v>37</v>
      </c>
      <c r="B40" s="11"/>
      <c r="C40" s="287"/>
      <c r="D40" s="287"/>
      <c r="E40" s="287"/>
      <c r="F40" s="287"/>
      <c r="G40" s="476"/>
      <c r="H40" s="476"/>
      <c r="I40" s="476"/>
      <c r="J40" s="319"/>
      <c r="K40" s="289"/>
      <c r="L40" s="476"/>
      <c r="M40" s="476"/>
      <c r="N40" s="476"/>
      <c r="O40" s="476"/>
      <c r="P40" s="296"/>
      <c r="Q40" s="289"/>
    </row>
    <row r="41" spans="1:17">
      <c r="A41" s="3">
        <v>38</v>
      </c>
      <c r="B41" s="11"/>
      <c r="C41" s="287"/>
      <c r="D41" s="287"/>
      <c r="E41" s="287"/>
      <c r="F41" s="287"/>
      <c r="G41" s="476"/>
      <c r="H41" s="476"/>
      <c r="I41" s="476"/>
      <c r="J41" s="319"/>
      <c r="K41" s="289"/>
      <c r="L41" s="476"/>
      <c r="M41" s="476"/>
      <c r="N41" s="476"/>
      <c r="O41" s="476"/>
      <c r="P41" s="296"/>
      <c r="Q41" s="289"/>
    </row>
    <row r="42" spans="1:17">
      <c r="A42" s="3">
        <v>39</v>
      </c>
      <c r="B42" s="11"/>
      <c r="C42" s="287"/>
      <c r="D42" s="287"/>
      <c r="E42" s="287"/>
      <c r="F42" s="287"/>
      <c r="G42" s="476"/>
      <c r="H42" s="476"/>
      <c r="I42" s="476"/>
      <c r="J42" s="319"/>
      <c r="K42" s="289"/>
      <c r="L42" s="476"/>
      <c r="M42" s="476"/>
      <c r="N42" s="476"/>
      <c r="O42" s="476"/>
      <c r="P42" s="296"/>
      <c r="Q42" s="289"/>
    </row>
    <row r="43" spans="1:17">
      <c r="A43" s="3">
        <v>40</v>
      </c>
      <c r="B43" s="11"/>
      <c r="C43" s="287"/>
      <c r="D43" s="287"/>
      <c r="E43" s="287"/>
      <c r="F43" s="287"/>
      <c r="G43" s="476"/>
      <c r="H43" s="476"/>
      <c r="I43" s="476"/>
      <c r="J43" s="319"/>
      <c r="K43" s="289"/>
      <c r="L43" s="476"/>
      <c r="M43" s="476"/>
      <c r="N43" s="476"/>
      <c r="O43" s="476"/>
      <c r="P43" s="296"/>
      <c r="Q43" s="289"/>
    </row>
    <row r="44" spans="1:17">
      <c r="A44" s="3">
        <v>41</v>
      </c>
      <c r="B44" s="11"/>
      <c r="C44" s="287"/>
      <c r="D44" s="287"/>
      <c r="E44" s="287"/>
      <c r="F44" s="287"/>
      <c r="G44" s="476"/>
      <c r="H44" s="476"/>
      <c r="I44" s="476"/>
      <c r="J44" s="319"/>
      <c r="K44" s="289"/>
      <c r="L44" s="476"/>
      <c r="M44" s="476"/>
      <c r="N44" s="476"/>
      <c r="O44" s="476"/>
      <c r="P44" s="296"/>
      <c r="Q44" s="289"/>
    </row>
    <row r="45" spans="1:17">
      <c r="A45" s="3">
        <v>42</v>
      </c>
      <c r="B45" s="11"/>
      <c r="C45" s="287"/>
      <c r="D45" s="287"/>
      <c r="E45" s="287"/>
      <c r="F45" s="287"/>
      <c r="G45" s="476"/>
      <c r="H45" s="476"/>
      <c r="I45" s="476"/>
      <c r="J45" s="319"/>
      <c r="K45" s="289"/>
      <c r="L45" s="476"/>
      <c r="M45" s="476"/>
      <c r="N45" s="476"/>
      <c r="O45" s="476"/>
      <c r="P45" s="296"/>
      <c r="Q45" s="289"/>
    </row>
    <row r="46" spans="1:17">
      <c r="A46" s="3">
        <v>43</v>
      </c>
      <c r="B46" s="11"/>
      <c r="C46" s="287"/>
      <c r="D46" s="287"/>
      <c r="E46" s="287"/>
      <c r="F46" s="287"/>
      <c r="G46" s="476"/>
      <c r="H46" s="476"/>
      <c r="I46" s="476"/>
      <c r="J46" s="319"/>
      <c r="K46" s="289"/>
      <c r="L46" s="476"/>
      <c r="M46" s="476"/>
      <c r="N46" s="476"/>
      <c r="O46" s="476"/>
      <c r="P46" s="296"/>
      <c r="Q46" s="289"/>
    </row>
    <row r="47" spans="1:17">
      <c r="A47" s="3">
        <v>44</v>
      </c>
      <c r="B47" s="11"/>
      <c r="C47" s="287"/>
      <c r="D47" s="287"/>
      <c r="E47" s="287"/>
      <c r="F47" s="287"/>
      <c r="G47" s="476"/>
      <c r="H47" s="476"/>
      <c r="I47" s="476"/>
      <c r="J47" s="319"/>
      <c r="K47" s="289"/>
      <c r="L47" s="476"/>
      <c r="M47" s="476"/>
      <c r="N47" s="476"/>
      <c r="O47" s="476"/>
      <c r="P47" s="296"/>
      <c r="Q47" s="289"/>
    </row>
    <row r="48" spans="1:17">
      <c r="A48" s="3">
        <v>45</v>
      </c>
      <c r="B48" s="11"/>
      <c r="C48" s="287"/>
      <c r="D48" s="287"/>
      <c r="E48" s="287"/>
      <c r="F48" s="287"/>
      <c r="G48" s="476"/>
      <c r="H48" s="476"/>
      <c r="I48" s="476"/>
      <c r="J48" s="319"/>
      <c r="K48" s="289"/>
      <c r="L48" s="476"/>
      <c r="M48" s="476"/>
      <c r="N48" s="476"/>
      <c r="O48" s="476"/>
      <c r="P48" s="296"/>
      <c r="Q48" s="289"/>
    </row>
    <row r="49" spans="1:17">
      <c r="A49" s="3">
        <v>46</v>
      </c>
      <c r="B49" s="11"/>
      <c r="C49" s="287"/>
      <c r="D49" s="287"/>
      <c r="E49" s="287"/>
      <c r="F49" s="287"/>
      <c r="G49" s="476"/>
      <c r="H49" s="476"/>
      <c r="I49" s="476"/>
      <c r="J49" s="319"/>
      <c r="K49" s="289"/>
      <c r="L49" s="476"/>
      <c r="M49" s="476"/>
      <c r="N49" s="476"/>
      <c r="O49" s="476"/>
      <c r="P49" s="296"/>
      <c r="Q49" s="289"/>
    </row>
    <row r="50" spans="1:17">
      <c r="A50" s="3">
        <v>47</v>
      </c>
      <c r="B50" s="11"/>
      <c r="C50" s="287"/>
      <c r="D50" s="287"/>
      <c r="E50" s="287"/>
      <c r="F50" s="287"/>
      <c r="G50" s="476"/>
      <c r="H50" s="476"/>
      <c r="I50" s="476"/>
      <c r="J50" s="319"/>
      <c r="K50" s="289"/>
      <c r="L50" s="476"/>
      <c r="M50" s="476"/>
      <c r="N50" s="476"/>
      <c r="O50" s="476"/>
      <c r="P50" s="296"/>
      <c r="Q50" s="289"/>
    </row>
    <row r="51" spans="1:17">
      <c r="A51" s="3">
        <v>48</v>
      </c>
      <c r="B51" s="11"/>
      <c r="C51" s="287"/>
      <c r="D51" s="287"/>
      <c r="E51" s="287"/>
      <c r="F51" s="287"/>
      <c r="G51" s="476"/>
      <c r="H51" s="476"/>
      <c r="I51" s="476"/>
      <c r="J51" s="319"/>
      <c r="K51" s="289"/>
      <c r="L51" s="476"/>
      <c r="M51" s="476"/>
      <c r="N51" s="476"/>
      <c r="O51" s="476"/>
      <c r="P51" s="296"/>
      <c r="Q51" s="289"/>
    </row>
    <row r="52" spans="1:17">
      <c r="A52" s="3">
        <v>49</v>
      </c>
      <c r="B52" s="11"/>
      <c r="C52" s="287"/>
      <c r="D52" s="287"/>
      <c r="E52" s="287"/>
      <c r="F52" s="287"/>
      <c r="G52" s="476"/>
      <c r="H52" s="476"/>
      <c r="I52" s="476"/>
      <c r="J52" s="319"/>
      <c r="K52" s="289"/>
      <c r="L52" s="476"/>
      <c r="M52" s="476"/>
      <c r="N52" s="476"/>
      <c r="O52" s="476"/>
      <c r="P52" s="296"/>
      <c r="Q52" s="289"/>
    </row>
    <row r="53" spans="1:17">
      <c r="A53" s="3">
        <v>50</v>
      </c>
      <c r="B53" s="11"/>
      <c r="C53" s="287"/>
      <c r="D53" s="287"/>
      <c r="E53" s="287"/>
      <c r="F53" s="287"/>
      <c r="G53" s="476"/>
      <c r="H53" s="476"/>
      <c r="I53" s="476"/>
      <c r="J53" s="319"/>
      <c r="K53" s="289"/>
      <c r="L53" s="476"/>
      <c r="M53" s="476"/>
      <c r="N53" s="476"/>
      <c r="O53" s="476"/>
      <c r="P53" s="296"/>
      <c r="Q53" s="289"/>
    </row>
    <row r="54" spans="1:17">
      <c r="A54" s="3">
        <v>51</v>
      </c>
      <c r="B54" s="11"/>
      <c r="C54" s="287"/>
      <c r="D54" s="287"/>
      <c r="E54" s="287"/>
      <c r="F54" s="287"/>
      <c r="G54" s="476"/>
      <c r="H54" s="476"/>
      <c r="I54" s="476"/>
      <c r="J54" s="319"/>
      <c r="K54" s="289"/>
      <c r="L54" s="476"/>
      <c r="M54" s="476"/>
      <c r="N54" s="476"/>
      <c r="O54" s="476"/>
      <c r="P54" s="296"/>
      <c r="Q54" s="289"/>
    </row>
    <row r="55" spans="1:17">
      <c r="A55" s="3">
        <v>52</v>
      </c>
      <c r="B55" s="11"/>
      <c r="C55" s="287"/>
      <c r="D55" s="287"/>
      <c r="E55" s="287"/>
      <c r="F55" s="287"/>
      <c r="G55" s="476"/>
      <c r="H55" s="476"/>
      <c r="I55" s="476"/>
      <c r="J55" s="319"/>
      <c r="K55" s="289"/>
      <c r="L55" s="476"/>
      <c r="M55" s="476"/>
      <c r="N55" s="476"/>
      <c r="O55" s="476"/>
      <c r="P55" s="296"/>
      <c r="Q55" s="289"/>
    </row>
    <row r="56" spans="1:17">
      <c r="A56" s="3">
        <v>53</v>
      </c>
      <c r="B56" s="11"/>
      <c r="C56" s="287"/>
      <c r="D56" s="287"/>
      <c r="E56" s="287"/>
      <c r="F56" s="287"/>
      <c r="G56" s="476"/>
      <c r="H56" s="476"/>
      <c r="I56" s="476"/>
      <c r="J56" s="319"/>
      <c r="K56" s="289"/>
      <c r="L56" s="476"/>
      <c r="M56" s="476"/>
      <c r="N56" s="476"/>
      <c r="O56" s="476"/>
      <c r="P56" s="296"/>
      <c r="Q56" s="289"/>
    </row>
    <row r="57" spans="1:17">
      <c r="A57" s="3">
        <v>54</v>
      </c>
      <c r="B57" s="11"/>
      <c r="C57" s="287"/>
      <c r="D57" s="287"/>
      <c r="E57" s="287"/>
      <c r="F57" s="287"/>
      <c r="G57" s="476"/>
      <c r="H57" s="476"/>
      <c r="I57" s="476"/>
      <c r="J57" s="319"/>
      <c r="K57" s="289"/>
      <c r="L57" s="476"/>
      <c r="M57" s="476"/>
      <c r="N57" s="476"/>
      <c r="O57" s="476"/>
      <c r="P57" s="296"/>
      <c r="Q57" s="289"/>
    </row>
    <row r="58" spans="1:17">
      <c r="A58" s="3">
        <v>55</v>
      </c>
      <c r="B58" s="11"/>
      <c r="C58" s="287"/>
      <c r="D58" s="287"/>
      <c r="E58" s="287"/>
      <c r="F58" s="287"/>
      <c r="G58" s="476"/>
      <c r="H58" s="476"/>
      <c r="I58" s="476"/>
      <c r="J58" s="319"/>
      <c r="K58" s="289"/>
      <c r="L58" s="476"/>
      <c r="M58" s="476"/>
      <c r="N58" s="476"/>
      <c r="O58" s="476"/>
      <c r="P58" s="296"/>
      <c r="Q58" s="289"/>
    </row>
    <row r="59" spans="1:17">
      <c r="A59" s="3">
        <v>56</v>
      </c>
      <c r="B59" s="11"/>
      <c r="C59" s="287"/>
      <c r="D59" s="287"/>
      <c r="E59" s="287"/>
      <c r="F59" s="287"/>
      <c r="G59" s="476"/>
      <c r="H59" s="476"/>
      <c r="I59" s="476"/>
      <c r="J59" s="319"/>
      <c r="K59" s="289"/>
      <c r="L59" s="476"/>
      <c r="M59" s="476"/>
      <c r="N59" s="476"/>
      <c r="O59" s="476"/>
      <c r="P59" s="296"/>
      <c r="Q59" s="289"/>
    </row>
    <row r="60" spans="1:17">
      <c r="A60" s="3">
        <v>57</v>
      </c>
      <c r="B60" s="11"/>
      <c r="C60" s="287"/>
      <c r="D60" s="287"/>
      <c r="E60" s="287"/>
      <c r="F60" s="287"/>
      <c r="G60" s="476"/>
      <c r="H60" s="476"/>
      <c r="I60" s="476"/>
      <c r="J60" s="319"/>
      <c r="K60" s="289"/>
      <c r="L60" s="476"/>
      <c r="M60" s="476"/>
      <c r="N60" s="476"/>
      <c r="O60" s="476"/>
      <c r="P60" s="296"/>
      <c r="Q60" s="289"/>
    </row>
    <row r="61" spans="1:17">
      <c r="A61" s="3">
        <v>58</v>
      </c>
      <c r="B61" s="11"/>
      <c r="C61" s="287"/>
      <c r="D61" s="287"/>
      <c r="E61" s="287"/>
      <c r="F61" s="287"/>
      <c r="G61" s="476"/>
      <c r="H61" s="476"/>
      <c r="I61" s="476"/>
      <c r="J61" s="319"/>
      <c r="K61" s="289"/>
      <c r="L61" s="476"/>
      <c r="M61" s="476"/>
      <c r="N61" s="476"/>
      <c r="O61" s="476"/>
      <c r="P61" s="296"/>
      <c r="Q61" s="289"/>
    </row>
    <row r="62" spans="1:17">
      <c r="A62" s="3">
        <v>59</v>
      </c>
      <c r="B62" s="11"/>
      <c r="C62" s="287"/>
      <c r="D62" s="287"/>
      <c r="E62" s="287"/>
      <c r="F62" s="287"/>
      <c r="G62" s="476"/>
      <c r="H62" s="476"/>
      <c r="I62" s="476"/>
      <c r="J62" s="319"/>
      <c r="K62" s="289"/>
      <c r="L62" s="476"/>
      <c r="M62" s="476"/>
      <c r="N62" s="476"/>
      <c r="O62" s="476"/>
      <c r="P62" s="296"/>
      <c r="Q62" s="289"/>
    </row>
    <row r="63" spans="1:17">
      <c r="A63" s="3">
        <v>60</v>
      </c>
      <c r="B63" s="11"/>
      <c r="C63" s="287"/>
      <c r="D63" s="287"/>
      <c r="E63" s="287"/>
      <c r="F63" s="287"/>
      <c r="G63" s="476"/>
      <c r="H63" s="476"/>
      <c r="I63" s="476"/>
      <c r="J63" s="319"/>
      <c r="K63" s="289"/>
      <c r="L63" s="476"/>
      <c r="M63" s="476"/>
      <c r="N63" s="476"/>
      <c r="O63" s="476"/>
      <c r="P63" s="296"/>
      <c r="Q63" s="289"/>
    </row>
    <row r="64" spans="1:17">
      <c r="A64" s="3">
        <v>61</v>
      </c>
      <c r="B64" s="11"/>
      <c r="C64" s="287"/>
      <c r="D64" s="287"/>
      <c r="E64" s="287"/>
      <c r="F64" s="287"/>
      <c r="G64" s="476"/>
      <c r="H64" s="476"/>
      <c r="I64" s="476"/>
      <c r="J64" s="319"/>
      <c r="K64" s="289"/>
      <c r="L64" s="476"/>
      <c r="M64" s="476"/>
      <c r="N64" s="476"/>
      <c r="O64" s="476"/>
      <c r="P64" s="296"/>
      <c r="Q64" s="289"/>
    </row>
    <row r="65" spans="1:17">
      <c r="A65" s="3">
        <v>62</v>
      </c>
      <c r="B65" s="11"/>
      <c r="C65" s="287"/>
      <c r="D65" s="287"/>
      <c r="E65" s="287"/>
      <c r="F65" s="287"/>
      <c r="G65" s="476"/>
      <c r="H65" s="476"/>
      <c r="I65" s="476"/>
      <c r="J65" s="319"/>
      <c r="K65" s="289"/>
      <c r="L65" s="476"/>
      <c r="M65" s="476"/>
      <c r="N65" s="476"/>
      <c r="O65" s="476"/>
      <c r="P65" s="296"/>
      <c r="Q65" s="289"/>
    </row>
    <row r="66" spans="1:17">
      <c r="A66" s="3">
        <v>63</v>
      </c>
      <c r="B66" s="11"/>
      <c r="C66" s="287"/>
      <c r="D66" s="287"/>
      <c r="E66" s="287"/>
      <c r="F66" s="287"/>
      <c r="G66" s="476"/>
      <c r="H66" s="476"/>
      <c r="I66" s="476"/>
      <c r="J66" s="319"/>
      <c r="K66" s="289"/>
      <c r="L66" s="476"/>
      <c r="M66" s="476"/>
      <c r="N66" s="476"/>
      <c r="O66" s="476"/>
      <c r="P66" s="296"/>
      <c r="Q66" s="289"/>
    </row>
    <row r="67" spans="1:17">
      <c r="A67" s="3">
        <v>64</v>
      </c>
      <c r="B67" s="11"/>
      <c r="C67" s="287"/>
      <c r="D67" s="287"/>
      <c r="E67" s="287"/>
      <c r="F67" s="287"/>
      <c r="G67" s="476"/>
      <c r="H67" s="476"/>
      <c r="I67" s="476"/>
      <c r="J67" s="319"/>
      <c r="K67" s="289"/>
      <c r="L67" s="476"/>
      <c r="M67" s="476"/>
      <c r="N67" s="476"/>
      <c r="O67" s="476"/>
      <c r="P67" s="296"/>
      <c r="Q67" s="289"/>
    </row>
    <row r="68" spans="1:17">
      <c r="A68" s="3">
        <v>65</v>
      </c>
      <c r="B68" s="11"/>
      <c r="C68" s="287"/>
      <c r="D68" s="287"/>
      <c r="E68" s="287"/>
      <c r="F68" s="287"/>
      <c r="G68" s="476"/>
      <c r="H68" s="476"/>
      <c r="I68" s="476"/>
      <c r="J68" s="319"/>
      <c r="K68" s="289"/>
      <c r="L68" s="476"/>
      <c r="M68" s="476"/>
      <c r="N68" s="476"/>
      <c r="O68" s="476"/>
      <c r="P68" s="296"/>
      <c r="Q68" s="289"/>
    </row>
    <row r="69" spans="1:17">
      <c r="A69" s="3">
        <v>66</v>
      </c>
      <c r="B69" s="11"/>
      <c r="C69" s="287"/>
      <c r="D69" s="287"/>
      <c r="E69" s="287"/>
      <c r="F69" s="287"/>
      <c r="G69" s="476"/>
      <c r="H69" s="476"/>
      <c r="I69" s="476"/>
      <c r="J69" s="319"/>
      <c r="K69" s="289"/>
      <c r="L69" s="476"/>
      <c r="M69" s="476"/>
      <c r="N69" s="476"/>
      <c r="O69" s="476"/>
      <c r="P69" s="296"/>
      <c r="Q69" s="289"/>
    </row>
    <row r="70" spans="1:17">
      <c r="A70" s="3">
        <v>67</v>
      </c>
      <c r="B70" s="11"/>
      <c r="C70" s="287"/>
      <c r="D70" s="287"/>
      <c r="E70" s="287"/>
      <c r="F70" s="287"/>
      <c r="G70" s="476"/>
      <c r="H70" s="476"/>
      <c r="I70" s="476"/>
      <c r="J70" s="319"/>
      <c r="K70" s="289"/>
      <c r="L70" s="476"/>
      <c r="M70" s="476"/>
      <c r="N70" s="476"/>
      <c r="O70" s="476"/>
      <c r="P70" s="296"/>
      <c r="Q70" s="289"/>
    </row>
    <row r="71" spans="1:17">
      <c r="A71" s="3">
        <v>68</v>
      </c>
      <c r="B71" s="11"/>
      <c r="C71" s="287"/>
      <c r="D71" s="287"/>
      <c r="E71" s="287"/>
      <c r="F71" s="287"/>
      <c r="G71" s="476"/>
      <c r="H71" s="476"/>
      <c r="I71" s="476"/>
      <c r="J71" s="319"/>
      <c r="K71" s="289"/>
      <c r="L71" s="476"/>
      <c r="M71" s="476"/>
      <c r="N71" s="476"/>
      <c r="O71" s="476"/>
      <c r="P71" s="296"/>
      <c r="Q71" s="289"/>
    </row>
    <row r="72" spans="1:17">
      <c r="A72" s="3">
        <v>69</v>
      </c>
      <c r="B72" s="11"/>
      <c r="C72" s="287"/>
      <c r="D72" s="287"/>
      <c r="E72" s="287"/>
      <c r="F72" s="287"/>
      <c r="G72" s="476"/>
      <c r="H72" s="476"/>
      <c r="I72" s="476"/>
      <c r="J72" s="319"/>
      <c r="K72" s="289"/>
      <c r="L72" s="476"/>
      <c r="M72" s="476"/>
      <c r="N72" s="476"/>
      <c r="O72" s="476"/>
      <c r="P72" s="296"/>
      <c r="Q72" s="289"/>
    </row>
    <row r="73" spans="1:17">
      <c r="A73" s="3">
        <v>70</v>
      </c>
      <c r="B73" s="11"/>
      <c r="C73" s="287"/>
      <c r="D73" s="287"/>
      <c r="E73" s="287"/>
      <c r="F73" s="287"/>
      <c r="G73" s="476"/>
      <c r="H73" s="476"/>
      <c r="I73" s="476"/>
      <c r="J73" s="319"/>
      <c r="K73" s="289"/>
      <c r="L73" s="476"/>
      <c r="M73" s="476"/>
      <c r="N73" s="476"/>
      <c r="O73" s="476"/>
      <c r="P73" s="296"/>
      <c r="Q73" s="289"/>
    </row>
    <row r="74" spans="1:17">
      <c r="A74" s="3">
        <v>71</v>
      </c>
      <c r="B74" s="11"/>
      <c r="C74" s="287"/>
      <c r="D74" s="287"/>
      <c r="E74" s="287"/>
      <c r="F74" s="287"/>
      <c r="G74" s="476"/>
      <c r="H74" s="476"/>
      <c r="I74" s="476"/>
      <c r="J74" s="319"/>
      <c r="K74" s="289"/>
      <c r="L74" s="476"/>
      <c r="M74" s="476"/>
      <c r="N74" s="476"/>
      <c r="O74" s="476"/>
      <c r="P74" s="296"/>
      <c r="Q74" s="289"/>
    </row>
    <row r="75" spans="1:17">
      <c r="A75" s="3">
        <v>72</v>
      </c>
      <c r="B75" s="11"/>
      <c r="C75" s="287"/>
      <c r="D75" s="287"/>
      <c r="E75" s="287"/>
      <c r="F75" s="287"/>
      <c r="G75" s="476"/>
      <c r="H75" s="476"/>
      <c r="I75" s="476"/>
      <c r="J75" s="319"/>
      <c r="K75" s="289"/>
      <c r="L75" s="476"/>
      <c r="M75" s="476"/>
      <c r="N75" s="476"/>
      <c r="O75" s="476"/>
      <c r="P75" s="296"/>
      <c r="Q75" s="289"/>
    </row>
    <row r="76" spans="1:17">
      <c r="A76" s="3">
        <v>73</v>
      </c>
      <c r="B76" s="11"/>
      <c r="C76" s="287"/>
      <c r="D76" s="287"/>
      <c r="E76" s="287"/>
      <c r="F76" s="287"/>
      <c r="G76" s="476"/>
      <c r="H76" s="476"/>
      <c r="I76" s="476"/>
      <c r="J76" s="319"/>
      <c r="K76" s="289"/>
      <c r="L76" s="476"/>
      <c r="M76" s="476"/>
      <c r="N76" s="476"/>
      <c r="O76" s="476"/>
      <c r="P76" s="296"/>
      <c r="Q76" s="289"/>
    </row>
    <row r="77" spans="1:17">
      <c r="A77" s="3">
        <v>74</v>
      </c>
      <c r="B77" s="11"/>
      <c r="C77" s="287"/>
      <c r="D77" s="287"/>
      <c r="E77" s="287"/>
      <c r="F77" s="287"/>
      <c r="G77" s="476"/>
      <c r="H77" s="476"/>
      <c r="I77" s="476"/>
      <c r="J77" s="319"/>
      <c r="K77" s="289"/>
      <c r="L77" s="476"/>
      <c r="M77" s="476"/>
      <c r="N77" s="476"/>
      <c r="O77" s="476"/>
      <c r="P77" s="296"/>
      <c r="Q77" s="289"/>
    </row>
    <row r="78" spans="1:17">
      <c r="A78" s="3">
        <v>75</v>
      </c>
      <c r="B78" s="11"/>
      <c r="C78" s="287"/>
      <c r="D78" s="287"/>
      <c r="E78" s="287"/>
      <c r="F78" s="287"/>
      <c r="G78" s="476"/>
      <c r="H78" s="476"/>
      <c r="I78" s="476"/>
      <c r="J78" s="319"/>
      <c r="K78" s="289"/>
      <c r="L78" s="476"/>
      <c r="M78" s="476"/>
      <c r="N78" s="476"/>
      <c r="O78" s="476"/>
      <c r="P78" s="296"/>
      <c r="Q78" s="289"/>
    </row>
    <row r="79" spans="1:17">
      <c r="A79" s="3">
        <v>76</v>
      </c>
      <c r="B79" s="11"/>
      <c r="C79" s="287"/>
      <c r="D79" s="287"/>
      <c r="E79" s="287"/>
      <c r="F79" s="287"/>
      <c r="G79" s="476"/>
      <c r="H79" s="476"/>
      <c r="I79" s="476"/>
      <c r="J79" s="319"/>
      <c r="K79" s="289"/>
      <c r="L79" s="476"/>
      <c r="M79" s="476"/>
      <c r="N79" s="476"/>
      <c r="O79" s="476"/>
      <c r="P79" s="296"/>
      <c r="Q79" s="289"/>
    </row>
    <row r="80" spans="1:17">
      <c r="A80" s="3">
        <v>77</v>
      </c>
      <c r="B80" s="11"/>
      <c r="C80" s="287"/>
      <c r="D80" s="287"/>
      <c r="E80" s="287"/>
      <c r="F80" s="287"/>
      <c r="G80" s="476"/>
      <c r="H80" s="476"/>
      <c r="I80" s="476"/>
      <c r="J80" s="319"/>
      <c r="K80" s="289"/>
      <c r="L80" s="476"/>
      <c r="M80" s="476"/>
      <c r="N80" s="476"/>
      <c r="O80" s="476"/>
      <c r="P80" s="296"/>
      <c r="Q80" s="289"/>
    </row>
    <row r="81" spans="1:17">
      <c r="A81" s="3">
        <v>78</v>
      </c>
      <c r="B81" s="11"/>
      <c r="C81" s="287"/>
      <c r="D81" s="287"/>
      <c r="E81" s="287"/>
      <c r="F81" s="287"/>
      <c r="G81" s="476"/>
      <c r="H81" s="476"/>
      <c r="I81" s="476"/>
      <c r="J81" s="319"/>
      <c r="K81" s="289"/>
      <c r="L81" s="476"/>
      <c r="M81" s="476"/>
      <c r="N81" s="476"/>
      <c r="O81" s="476"/>
      <c r="P81" s="296"/>
      <c r="Q81" s="289"/>
    </row>
    <row r="82" spans="1:17">
      <c r="A82" s="3">
        <v>79</v>
      </c>
      <c r="B82" s="11"/>
      <c r="C82" s="287"/>
      <c r="D82" s="287"/>
      <c r="E82" s="287"/>
      <c r="F82" s="287"/>
      <c r="G82" s="476"/>
      <c r="H82" s="476"/>
      <c r="I82" s="476"/>
      <c r="J82" s="319"/>
      <c r="K82" s="289"/>
      <c r="L82" s="476"/>
      <c r="M82" s="476"/>
      <c r="N82" s="476"/>
      <c r="O82" s="476"/>
      <c r="P82" s="296"/>
      <c r="Q82" s="289"/>
    </row>
    <row r="83" spans="1:17">
      <c r="A83" s="3">
        <v>80</v>
      </c>
      <c r="B83" s="11"/>
      <c r="C83" s="287"/>
      <c r="D83" s="287"/>
      <c r="E83" s="287"/>
      <c r="F83" s="287"/>
      <c r="G83" s="476"/>
      <c r="H83" s="476"/>
      <c r="I83" s="476"/>
      <c r="J83" s="319"/>
      <c r="K83" s="289"/>
      <c r="L83" s="476"/>
      <c r="M83" s="476"/>
      <c r="N83" s="476"/>
      <c r="O83" s="476"/>
      <c r="P83" s="296"/>
      <c r="Q83" s="289"/>
    </row>
    <row r="84" spans="1:17">
      <c r="A84" s="3">
        <v>81</v>
      </c>
      <c r="B84" s="11"/>
      <c r="C84" s="287"/>
      <c r="D84" s="287"/>
      <c r="E84" s="287"/>
      <c r="F84" s="287"/>
      <c r="G84" s="476"/>
      <c r="H84" s="476"/>
      <c r="I84" s="476"/>
      <c r="J84" s="319"/>
      <c r="K84" s="289"/>
      <c r="L84" s="476"/>
      <c r="M84" s="476"/>
      <c r="N84" s="476"/>
      <c r="O84" s="476"/>
      <c r="P84" s="296"/>
      <c r="Q84" s="289"/>
    </row>
    <row r="85" spans="1:17">
      <c r="A85" s="3">
        <v>82</v>
      </c>
      <c r="B85" s="11"/>
      <c r="C85" s="287"/>
      <c r="D85" s="287"/>
      <c r="E85" s="287"/>
      <c r="F85" s="287"/>
      <c r="G85" s="476"/>
      <c r="H85" s="476"/>
      <c r="I85" s="476"/>
      <c r="J85" s="319"/>
      <c r="K85" s="289"/>
      <c r="L85" s="476"/>
      <c r="M85" s="476"/>
      <c r="N85" s="476"/>
      <c r="O85" s="476"/>
      <c r="P85" s="296"/>
      <c r="Q85" s="289"/>
    </row>
    <row r="86" spans="1:17">
      <c r="A86" s="3">
        <v>83</v>
      </c>
      <c r="B86" s="11"/>
      <c r="C86" s="287"/>
      <c r="D86" s="287"/>
      <c r="E86" s="287"/>
      <c r="F86" s="287"/>
      <c r="G86" s="476"/>
      <c r="H86" s="476"/>
      <c r="I86" s="476"/>
      <c r="J86" s="319"/>
      <c r="K86" s="289"/>
      <c r="L86" s="476"/>
      <c r="M86" s="476"/>
      <c r="N86" s="476"/>
      <c r="O86" s="476"/>
      <c r="P86" s="296"/>
      <c r="Q86" s="289"/>
    </row>
    <row r="87" spans="1:17">
      <c r="A87" s="3">
        <v>84</v>
      </c>
      <c r="B87" s="11"/>
      <c r="C87" s="287"/>
      <c r="D87" s="287"/>
      <c r="E87" s="287"/>
      <c r="F87" s="287"/>
      <c r="G87" s="476"/>
      <c r="H87" s="476"/>
      <c r="I87" s="476"/>
      <c r="J87" s="319"/>
      <c r="K87" s="289"/>
      <c r="L87" s="476"/>
      <c r="M87" s="476"/>
      <c r="N87" s="476"/>
      <c r="O87" s="476"/>
      <c r="P87" s="296"/>
      <c r="Q87" s="289"/>
    </row>
    <row r="88" spans="1:17">
      <c r="A88" s="3">
        <v>85</v>
      </c>
      <c r="B88" s="11"/>
      <c r="C88" s="287"/>
      <c r="D88" s="287"/>
      <c r="E88" s="287"/>
      <c r="F88" s="287"/>
      <c r="G88" s="476"/>
      <c r="H88" s="476"/>
      <c r="I88" s="476"/>
      <c r="J88" s="319"/>
      <c r="K88" s="289"/>
      <c r="L88" s="476"/>
      <c r="M88" s="476"/>
      <c r="N88" s="476"/>
      <c r="O88" s="476"/>
      <c r="P88" s="296"/>
      <c r="Q88" s="289"/>
    </row>
    <row r="89" spans="1:17">
      <c r="A89" s="3">
        <v>86</v>
      </c>
      <c r="B89" s="11"/>
      <c r="C89" s="287"/>
      <c r="D89" s="287"/>
      <c r="E89" s="287"/>
      <c r="F89" s="287"/>
      <c r="G89" s="476"/>
      <c r="H89" s="476"/>
      <c r="I89" s="476"/>
      <c r="J89" s="319"/>
      <c r="K89" s="289"/>
      <c r="L89" s="476"/>
      <c r="M89" s="476"/>
      <c r="N89" s="476"/>
      <c r="O89" s="476"/>
      <c r="P89" s="296"/>
      <c r="Q89" s="289"/>
    </row>
    <row r="90" spans="1:17">
      <c r="A90" s="3">
        <v>87</v>
      </c>
      <c r="B90" s="11"/>
      <c r="C90" s="287"/>
      <c r="D90" s="287"/>
      <c r="E90" s="287"/>
      <c r="F90" s="287"/>
      <c r="G90" s="476"/>
      <c r="H90" s="476"/>
      <c r="I90" s="476"/>
      <c r="J90" s="319"/>
      <c r="K90" s="289"/>
      <c r="L90" s="476"/>
      <c r="M90" s="476"/>
      <c r="N90" s="476"/>
      <c r="O90" s="476"/>
      <c r="P90" s="296"/>
      <c r="Q90" s="289"/>
    </row>
    <row r="91" spans="1:17">
      <c r="A91" s="3">
        <v>88</v>
      </c>
      <c r="B91" s="11"/>
      <c r="C91" s="287"/>
      <c r="D91" s="287"/>
      <c r="E91" s="287"/>
      <c r="F91" s="287"/>
      <c r="G91" s="476"/>
      <c r="H91" s="476"/>
      <c r="I91" s="476"/>
      <c r="J91" s="319"/>
      <c r="K91" s="289"/>
      <c r="L91" s="476"/>
      <c r="M91" s="476"/>
      <c r="N91" s="476"/>
      <c r="O91" s="476"/>
      <c r="P91" s="296"/>
      <c r="Q91" s="289"/>
    </row>
    <row r="92" spans="1:17">
      <c r="A92" s="3">
        <v>89</v>
      </c>
      <c r="B92" s="11"/>
      <c r="C92" s="287"/>
      <c r="D92" s="287"/>
      <c r="E92" s="287"/>
      <c r="F92" s="287"/>
      <c r="G92" s="476"/>
      <c r="H92" s="476"/>
      <c r="I92" s="476"/>
      <c r="J92" s="319"/>
      <c r="K92" s="289"/>
      <c r="L92" s="476"/>
      <c r="M92" s="476"/>
      <c r="N92" s="476"/>
      <c r="O92" s="476"/>
      <c r="P92" s="296"/>
      <c r="Q92" s="289"/>
    </row>
    <row r="93" spans="1:17">
      <c r="A93" s="3">
        <v>90</v>
      </c>
      <c r="B93" s="11"/>
      <c r="C93" s="287"/>
      <c r="D93" s="287"/>
      <c r="E93" s="287"/>
      <c r="F93" s="287"/>
      <c r="G93" s="476"/>
      <c r="H93" s="476"/>
      <c r="I93" s="476"/>
      <c r="J93" s="319"/>
      <c r="K93" s="289"/>
      <c r="L93" s="476"/>
      <c r="M93" s="476"/>
      <c r="N93" s="476"/>
      <c r="O93" s="476"/>
      <c r="P93" s="296"/>
      <c r="Q93" s="289"/>
    </row>
    <row r="94" spans="1:17">
      <c r="A94" s="3">
        <v>91</v>
      </c>
      <c r="B94" s="11"/>
      <c r="C94" s="287"/>
      <c r="D94" s="287"/>
      <c r="E94" s="287"/>
      <c r="F94" s="287"/>
      <c r="G94" s="476"/>
      <c r="H94" s="476"/>
      <c r="I94" s="476"/>
      <c r="J94" s="319"/>
      <c r="K94" s="289"/>
      <c r="L94" s="476"/>
      <c r="M94" s="476"/>
      <c r="N94" s="476"/>
      <c r="O94" s="476"/>
      <c r="P94" s="296"/>
      <c r="Q94" s="289"/>
    </row>
    <row r="95" spans="1:17">
      <c r="A95" s="3">
        <v>92</v>
      </c>
      <c r="B95" s="11"/>
      <c r="C95" s="287"/>
      <c r="D95" s="287"/>
      <c r="E95" s="287"/>
      <c r="F95" s="287"/>
      <c r="G95" s="476"/>
      <c r="H95" s="476"/>
      <c r="I95" s="476"/>
      <c r="J95" s="319"/>
      <c r="K95" s="289"/>
      <c r="L95" s="476"/>
      <c r="M95" s="476"/>
      <c r="N95" s="476"/>
      <c r="O95" s="476"/>
      <c r="P95" s="296"/>
      <c r="Q95" s="289"/>
    </row>
    <row r="96" spans="1:17">
      <c r="A96" s="3">
        <v>93</v>
      </c>
      <c r="B96" s="11"/>
      <c r="C96" s="287"/>
      <c r="D96" s="287"/>
      <c r="E96" s="287"/>
      <c r="F96" s="287"/>
      <c r="G96" s="476"/>
      <c r="H96" s="476"/>
      <c r="I96" s="476"/>
      <c r="J96" s="319"/>
      <c r="K96" s="289"/>
      <c r="L96" s="476"/>
      <c r="M96" s="476"/>
      <c r="N96" s="476"/>
      <c r="O96" s="476"/>
      <c r="P96" s="296"/>
      <c r="Q96" s="289"/>
    </row>
    <row r="97" spans="1:17">
      <c r="A97" s="3">
        <v>94</v>
      </c>
      <c r="B97" s="11"/>
      <c r="C97" s="287"/>
      <c r="D97" s="287"/>
      <c r="E97" s="287"/>
      <c r="F97" s="287"/>
      <c r="G97" s="476"/>
      <c r="H97" s="476"/>
      <c r="I97" s="476"/>
      <c r="J97" s="319"/>
      <c r="K97" s="289"/>
      <c r="L97" s="476"/>
      <c r="M97" s="476"/>
      <c r="N97" s="476"/>
      <c r="O97" s="476"/>
      <c r="P97" s="296"/>
      <c r="Q97" s="289"/>
    </row>
    <row r="98" spans="1:17">
      <c r="A98" s="3">
        <v>95</v>
      </c>
      <c r="B98" s="11"/>
      <c r="C98" s="287"/>
      <c r="D98" s="287"/>
      <c r="E98" s="287"/>
      <c r="F98" s="287"/>
      <c r="G98" s="476"/>
      <c r="H98" s="476"/>
      <c r="I98" s="476"/>
      <c r="J98" s="319"/>
      <c r="K98" s="289"/>
      <c r="L98" s="476"/>
      <c r="M98" s="476"/>
      <c r="N98" s="476"/>
      <c r="O98" s="476"/>
      <c r="P98" s="296"/>
      <c r="Q98" s="289"/>
    </row>
    <row r="99" spans="1:17">
      <c r="A99" s="3">
        <v>96</v>
      </c>
      <c r="B99" s="11"/>
      <c r="C99" s="287"/>
      <c r="D99" s="287"/>
      <c r="E99" s="287"/>
      <c r="F99" s="287"/>
      <c r="G99" s="476"/>
      <c r="H99" s="476"/>
      <c r="I99" s="476"/>
      <c r="J99" s="319"/>
      <c r="K99" s="289"/>
      <c r="L99" s="476"/>
      <c r="M99" s="476"/>
      <c r="N99" s="476"/>
      <c r="O99" s="476"/>
      <c r="P99" s="296"/>
      <c r="Q99" s="289"/>
    </row>
    <row r="100" spans="1:17">
      <c r="A100" s="3">
        <v>97</v>
      </c>
      <c r="B100" s="11"/>
      <c r="C100" s="287"/>
      <c r="D100" s="287"/>
      <c r="E100" s="287"/>
      <c r="F100" s="287"/>
      <c r="G100" s="476"/>
      <c r="H100" s="476"/>
      <c r="I100" s="476"/>
      <c r="J100" s="319"/>
      <c r="K100" s="289"/>
      <c r="L100" s="476"/>
      <c r="M100" s="476"/>
      <c r="N100" s="476"/>
      <c r="O100" s="476"/>
      <c r="P100" s="296"/>
      <c r="Q100" s="289"/>
    </row>
    <row r="101" spans="1:17">
      <c r="A101" s="3">
        <v>98</v>
      </c>
      <c r="B101" s="11"/>
      <c r="C101" s="287"/>
      <c r="D101" s="287"/>
      <c r="E101" s="287"/>
      <c r="F101" s="287"/>
      <c r="G101" s="476"/>
      <c r="H101" s="476"/>
      <c r="I101" s="476"/>
      <c r="J101" s="319"/>
      <c r="K101" s="289"/>
      <c r="L101" s="476"/>
      <c r="M101" s="476"/>
      <c r="N101" s="476"/>
      <c r="O101" s="476"/>
      <c r="P101" s="296"/>
      <c r="Q101" s="289"/>
    </row>
    <row r="102" spans="1:17">
      <c r="A102" s="3">
        <v>99</v>
      </c>
      <c r="B102" s="11"/>
      <c r="C102" s="287"/>
      <c r="D102" s="287"/>
      <c r="E102" s="287"/>
      <c r="F102" s="287"/>
      <c r="G102" s="476"/>
      <c r="H102" s="476"/>
      <c r="I102" s="476"/>
      <c r="J102" s="319"/>
      <c r="K102" s="289"/>
      <c r="L102" s="476"/>
      <c r="M102" s="476"/>
      <c r="N102" s="476"/>
      <c r="O102" s="476"/>
      <c r="P102" s="296"/>
      <c r="Q102" s="289"/>
    </row>
    <row r="103" spans="1:17" ht="49.5" customHeight="1" thickBot="1">
      <c r="D103" s="69" t="s">
        <v>795</v>
      </c>
      <c r="E103" s="69" t="s">
        <v>779</v>
      </c>
      <c r="F103" s="69" t="s">
        <v>780</v>
      </c>
      <c r="G103" s="69" t="s">
        <v>796</v>
      </c>
      <c r="H103" s="69" t="s">
        <v>782</v>
      </c>
      <c r="I103" s="69" t="s">
        <v>783</v>
      </c>
      <c r="J103" s="69"/>
      <c r="K103" s="69"/>
      <c r="L103" s="69" t="s">
        <v>797</v>
      </c>
      <c r="M103" s="69" t="s">
        <v>787</v>
      </c>
      <c r="N103" s="69" t="s">
        <v>798</v>
      </c>
      <c r="O103" s="69" t="s">
        <v>799</v>
      </c>
    </row>
    <row r="104" spans="1:17" ht="15.75" thickTop="1">
      <c r="C104" s="68" t="s">
        <v>377</v>
      </c>
      <c r="D104" s="91">
        <f t="shared" ref="D104:O104" si="0">SUM(D4:D102)</f>
        <v>0</v>
      </c>
      <c r="E104" s="91">
        <f t="shared" si="0"/>
        <v>0</v>
      </c>
      <c r="F104" s="91">
        <f t="shared" si="0"/>
        <v>0</v>
      </c>
      <c r="G104" s="256">
        <f t="shared" si="0"/>
        <v>0</v>
      </c>
      <c r="H104" s="256">
        <f t="shared" si="0"/>
        <v>0</v>
      </c>
      <c r="I104" s="256">
        <f t="shared" si="0"/>
        <v>0</v>
      </c>
      <c r="L104" s="256">
        <f t="shared" si="0"/>
        <v>0</v>
      </c>
      <c r="M104" s="256">
        <f t="shared" si="0"/>
        <v>0</v>
      </c>
      <c r="N104" s="256">
        <f t="shared" si="0"/>
        <v>0</v>
      </c>
      <c r="O104" s="256">
        <f t="shared" si="0"/>
        <v>0</v>
      </c>
    </row>
    <row r="105" spans="1:17">
      <c r="C105" s="6" t="s">
        <v>792</v>
      </c>
    </row>
    <row r="106" spans="1:17">
      <c r="C106" s="6" t="s">
        <v>800</v>
      </c>
    </row>
    <row r="107" spans="1:17">
      <c r="C107" s="6" t="s">
        <v>793</v>
      </c>
    </row>
    <row r="108" spans="1:17">
      <c r="C108" s="6" t="s">
        <v>794</v>
      </c>
    </row>
  </sheetData>
  <sheetProtection algorithmName="SHA-512" hashValue="gYS10tSNNHMeHeEVigzDYF7+YouQm7/ChXGCFyw4oSSGGZ+Spwb8T3b8ql1siT7XEBAnmB1Uct7qQCyuFVnNlg==" saltValue="uHLkjOl8asOhs47K5zd0Ig==" spinCount="100000" sheet="1" objects="1" scenarios="1"/>
  <dataValidations count="13">
    <dataValidation type="whole" allowBlank="1" showInputMessage="1" showErrorMessage="1" errorTitle="Employee Units" error="All values in Employee Units must be whole numbers." sqref="E4:E102" xr:uid="{00000000-0002-0000-0F00-000000000000}">
      <formula1>0</formula1>
      <formula2>100000000</formula2>
    </dataValidation>
    <dataValidation type="whole" allowBlank="1" showInputMessage="1" showErrorMessage="1" errorTitle="Total Units in Building" error="All values in Total Units in Building must be whole numbers." sqref="D4:D102" xr:uid="{00000000-0002-0000-0F00-000001000000}">
      <formula1>0</formula1>
      <formula2>100000000</formula2>
    </dataValidation>
    <dataValidation type="whole" allowBlank="1" showInputMessage="1" showErrorMessage="1" errorTitle="Low-Income Units" error="All values in Low-Income Units must be whole numbers." sqref="F4:F102" xr:uid="{00000000-0002-0000-0F00-000002000000}">
      <formula1>0</formula1>
      <formula2>100000000</formula2>
    </dataValidation>
    <dataValidation type="whole" allowBlank="1" showInputMessage="1" showErrorMessage="1" errorTitle="Residential Square Footage" error="All values in Residential Square Footage must be whole numbers." sqref="G4:G102" xr:uid="{00000000-0002-0000-0F00-000003000000}">
      <formula1>0</formula1>
      <formula2>100000000</formula2>
    </dataValidation>
    <dataValidation type="whole" allowBlank="1" showInputMessage="1" showErrorMessage="1" errorTitle="Square Footage of Employee Units" error="All values in Square Footage of Employee Units must be whole numbers." sqref="H4:H102" xr:uid="{00000000-0002-0000-0F00-000004000000}">
      <formula1>0</formula1>
      <formula2>100000000</formula2>
    </dataValidation>
    <dataValidation type="whole" allowBlank="1" showInputMessage="1" showErrorMessage="1" errorTitle="Sq. Footage of Low-Income Units" error="All values in Square Footage of Low-Income Units must be whole numbers." sqref="I4:I102" xr:uid="{00000000-0002-0000-0F00-000005000000}">
      <formula1>0</formula1>
      <formula2>100000000</formula2>
    </dataValidation>
    <dataValidation type="date" allowBlank="1" showInputMessage="1" showErrorMessage="1" errorTitle="Placed-In-Service Date" error="Placed-In-Service Date must be a valid date." sqref="J5:J102" xr:uid="{00000000-0002-0000-0F00-000006000000}">
      <formula1>36526</formula1>
      <formula2>47484</formula2>
    </dataValidation>
    <dataValidation type="whole" allowBlank="1" showInputMessage="1" showErrorMessage="1" errorTitle="New Construction Eligible Basis" error="All values in New Construction Eligible Basis must be whole numbers." sqref="L4:L102" xr:uid="{00000000-0002-0000-0F00-000007000000}">
      <formula1>0</formula1>
      <formula2>100000000</formula2>
    </dataValidation>
    <dataValidation type="whole" allowBlank="1" showInputMessage="1" showErrorMessage="1" errorTitle="Eligible Basis for Rehab" error="All values in Eligible Basis for Rehab must be whole numbers." sqref="M4:M102" xr:uid="{00000000-0002-0000-0F00-000008000000}">
      <formula1>0</formula1>
      <formula2>100000000</formula2>
    </dataValidation>
    <dataValidation type="whole" allowBlank="1" showInputMessage="1" showErrorMessage="1" errorTitle="Cost of Acquiring the Building" error="All values in Cost of Acquiring the Building must be whole numbers." sqref="N4:N102" xr:uid="{00000000-0002-0000-0F00-000009000000}">
      <formula1>0</formula1>
      <formula2>100000000</formula2>
    </dataValidation>
    <dataValidation type="whole" allowBlank="1" showInputMessage="1" showErrorMessage="1" errorTitle="Land Value" error="All values in Land Purchase Price or Land Appraised Value must be whole numbers." sqref="O4:O102" xr:uid="{00000000-0002-0000-0F00-00000A000000}">
      <formula1>0</formula1>
      <formula2>100000000</formula2>
    </dataValidation>
    <dataValidation type="date" allowBlank="1" showInputMessage="1" showErrorMessage="1" errorTitle="Acq Placed-In-Service Date" error="Acquisition Placed-in-Service Date Date must be a valid date." sqref="P4:P102" xr:uid="{00000000-0002-0000-0F00-00000B000000}">
      <formula1>36526</formula1>
      <formula2>47484</formula2>
    </dataValidation>
    <dataValidation type="date" allowBlank="1" showInputMessage="1" showErrorMessage="1" sqref="J4" xr:uid="{00000000-0002-0000-0F00-00000C000000}">
      <formula1>1</formula1>
      <formula2>47484</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L107"/>
  <sheetViews>
    <sheetView showGridLines="0" zoomScaleNormal="100" workbookViewId="0">
      <pane xSplit="1" ySplit="2" topLeftCell="B9" activePane="bottomRight" state="frozen"/>
      <selection pane="topRight" activeCell="C115" sqref="C115"/>
      <selection pane="bottomLeft" activeCell="C115" sqref="C115"/>
      <selection pane="bottomRight" activeCell="A2" sqref="A2"/>
    </sheetView>
  </sheetViews>
  <sheetFormatPr defaultRowHeight="15"/>
  <cols>
    <col min="1" max="1" width="51" customWidth="1"/>
    <col min="2" max="2" width="33.140625" customWidth="1"/>
    <col min="3" max="3" width="28.5703125" customWidth="1"/>
    <col min="4" max="4" width="13" customWidth="1"/>
    <col min="5" max="5" width="7.7109375" customWidth="1"/>
    <col min="6" max="6" width="18.5703125" customWidth="1"/>
    <col min="7" max="7" width="18.5703125" bestFit="1" customWidth="1"/>
    <col min="8" max="8" width="18.140625" bestFit="1" customWidth="1"/>
    <col min="9" max="9" width="15.5703125" customWidth="1"/>
    <col min="10" max="10" width="23.5703125" customWidth="1"/>
    <col min="11" max="11" width="20.5703125" hidden="1" customWidth="1"/>
    <col min="12" max="12" width="21.5703125" hidden="1" customWidth="1"/>
    <col min="13" max="15" width="4.85546875" customWidth="1"/>
    <col min="16" max="16" width="8.7109375" customWidth="1"/>
    <col min="17" max="17" width="23.85546875" customWidth="1"/>
    <col min="18" max="23" width="8.7109375" customWidth="1"/>
  </cols>
  <sheetData>
    <row r="1" spans="1:12" s="530" customFormat="1" ht="66.75" hidden="1" customHeight="1">
      <c r="A1" s="918" t="s">
        <v>801</v>
      </c>
      <c r="B1" s="918"/>
      <c r="C1" s="918"/>
      <c r="D1" s="918"/>
      <c r="E1" s="918"/>
      <c r="F1" s="918"/>
      <c r="G1" s="918"/>
      <c r="H1" s="918"/>
      <c r="I1" s="918"/>
      <c r="J1" s="918"/>
    </row>
    <row r="2" spans="1:12" ht="30.75" customHeight="1">
      <c r="A2" s="553" t="s">
        <v>802</v>
      </c>
      <c r="B2" s="553" t="s">
        <v>119</v>
      </c>
      <c r="C2" s="553" t="s">
        <v>125</v>
      </c>
      <c r="D2" s="553" t="s">
        <v>243</v>
      </c>
      <c r="E2" s="553" t="s">
        <v>803</v>
      </c>
      <c r="F2" s="553" t="s">
        <v>804</v>
      </c>
      <c r="G2" s="553" t="s">
        <v>120</v>
      </c>
      <c r="H2" s="553" t="s">
        <v>121</v>
      </c>
      <c r="I2" s="553" t="s">
        <v>805</v>
      </c>
      <c r="J2" s="553" t="s">
        <v>123</v>
      </c>
      <c r="K2" t="s">
        <v>806</v>
      </c>
      <c r="L2" t="s">
        <v>807</v>
      </c>
    </row>
    <row r="3" spans="1:12">
      <c r="A3" s="1" t="s">
        <v>808</v>
      </c>
      <c r="B3" s="554" t="str">
        <f ca="1">IF(OR(L3="TBD",L3="NA",L3="N/A"),"",L3)</f>
        <v/>
      </c>
      <c r="C3" s="555"/>
      <c r="D3" s="555"/>
      <c r="E3" s="555"/>
      <c r="F3" s="556"/>
      <c r="G3" s="557" t="str">
        <f ca="1">_xlfn.CONCAT(INDIRECT("'Contact Information'!" &amp; ADDRESS($K3+1, 2)))</f>
        <v/>
      </c>
      <c r="H3" s="554" t="str">
        <f ca="1">_xlfn.CONCAT(INDIRECT("'Contact Information'!" &amp; ADDRESS($K3+2, 2)))</f>
        <v/>
      </c>
      <c r="I3" s="554" t="str">
        <f ca="1">_xlfn.CONCAT(INDIRECT("'Contact Information'!" &amp; ADDRESS($K3+3, 2)))</f>
        <v/>
      </c>
      <c r="J3" s="554" t="str">
        <f ca="1">_xlfn.CONCAT(INDIRECT("'Contact Information'!" &amp; ADDRESS($K3+4, 2)))</f>
        <v/>
      </c>
      <c r="K3">
        <v>4</v>
      </c>
      <c r="L3" t="str">
        <f t="shared" ref="L3:L10" ca="1" si="0">_xlfn.CONCAT(INDIRECT("'Contact Information'!" &amp; ADDRESS(K3, 2)))</f>
        <v/>
      </c>
    </row>
    <row r="4" spans="1:12">
      <c r="A4" s="1" t="s">
        <v>809</v>
      </c>
      <c r="B4" s="554" t="str">
        <f t="shared" ref="B4:B39" ca="1" si="1">IF(OR(L4="TBD",L4="NA",L4="N/A"),"",L4)</f>
        <v/>
      </c>
      <c r="C4" s="554" t="str">
        <f ca="1">_xlfn.CONCAT(INDIRECT("'Contact Information'!" &amp; ADDRESS($K4+1, 2)))</f>
        <v/>
      </c>
      <c r="D4" s="554" t="str">
        <f ca="1">_xlfn.CONCAT(INDIRECT("'Contact Information'!" &amp; ADDRESS($K4+2, 2)))</f>
        <v/>
      </c>
      <c r="E4" s="554" t="str">
        <f ca="1">_xlfn.CONCAT(INDIRECT("'Contact Information'!" &amp; ADDRESS($K4+3, 2)))</f>
        <v/>
      </c>
      <c r="F4" s="558" t="str">
        <f ca="1">_xlfn.CONCAT(INDIRECT("'Contact Information'!" &amp; ADDRESS($K4+4, 2)))</f>
        <v/>
      </c>
      <c r="G4" s="557" t="str">
        <f ca="1">_xlfn.CONCAT(INDIRECT("'Contact Information'!" &amp; ADDRESS($K4+5, 2)))</f>
        <v/>
      </c>
      <c r="H4" s="554" t="str">
        <f ca="1">_xlfn.CONCAT(INDIRECT("'Contact Information'!" &amp; ADDRESS($K4+6, 2)))</f>
        <v/>
      </c>
      <c r="I4" s="558" t="str">
        <f ca="1">_xlfn.CONCAT(INDIRECT("'Contact Information'!" &amp; ADDRESS($K4+7, 2)))</f>
        <v/>
      </c>
      <c r="J4" s="554" t="str">
        <f ca="1">_xlfn.CONCAT(INDIRECT("'Contact Information'!" &amp; ADDRESS($K4+8, 2)))</f>
        <v/>
      </c>
      <c r="K4">
        <v>11</v>
      </c>
      <c r="L4" t="str">
        <f t="shared" ca="1" si="0"/>
        <v/>
      </c>
    </row>
    <row r="5" spans="1:12" ht="13.5" customHeight="1">
      <c r="A5" s="1" t="s">
        <v>810</v>
      </c>
      <c r="B5" s="554" t="str">
        <f t="shared" ca="1" si="1"/>
        <v/>
      </c>
      <c r="C5" s="554" t="str">
        <f ca="1">_xlfn.CONCAT(INDIRECT("'Contact Information'!" &amp; ADDRESS($K5+1, 2)))</f>
        <v/>
      </c>
      <c r="D5" s="554" t="str">
        <f ca="1">_xlfn.CONCAT(INDIRECT("'Contact Information'!" &amp; ADDRESS($K5+2, 2)))</f>
        <v/>
      </c>
      <c r="E5" s="554" t="str">
        <f ca="1">_xlfn.CONCAT(INDIRECT("'Contact Information'!" &amp; ADDRESS($K5+3, 2)))</f>
        <v/>
      </c>
      <c r="F5" s="558" t="str">
        <f ca="1">_xlfn.CONCAT(INDIRECT("'Contact Information'!" &amp; ADDRESS($K5+4, 2)))</f>
        <v/>
      </c>
      <c r="G5" s="557" t="str">
        <f ca="1">_xlfn.CONCAT(INDIRECT("'Contact Information'!" &amp; ADDRESS($K5+5, 2)))</f>
        <v/>
      </c>
      <c r="H5" s="554" t="str">
        <f ca="1">_xlfn.CONCAT(INDIRECT("'Contact Information'!" &amp; ADDRESS($K5+6, 2)))</f>
        <v/>
      </c>
      <c r="I5" s="558" t="str">
        <f ca="1">_xlfn.CONCAT(INDIRECT("'Contact Information'!" &amp; ADDRESS($K5+7, 2)))</f>
        <v/>
      </c>
      <c r="J5" s="554" t="str">
        <f ca="1">_xlfn.CONCAT(INDIRECT("'Contact Information'!" &amp; ADDRESS($K5+8, 2)))</f>
        <v/>
      </c>
      <c r="K5">
        <f>ROW('Contact Information'!B51)</f>
        <v>51</v>
      </c>
      <c r="L5" t="str">
        <f t="shared" ca="1" si="0"/>
        <v/>
      </c>
    </row>
    <row r="6" spans="1:12">
      <c r="A6" s="1" t="s">
        <v>811</v>
      </c>
      <c r="B6" s="554" t="str">
        <f t="shared" ca="1" si="1"/>
        <v/>
      </c>
      <c r="C6" s="554" t="str">
        <f t="shared" ref="C6:C39" ca="1" si="2">_xlfn.CONCAT(INDIRECT("'Contact Information'!" &amp; ADDRESS($K6+1, 2)))</f>
        <v/>
      </c>
      <c r="D6" s="554" t="str">
        <f t="shared" ref="D6:D39" ca="1" si="3">_xlfn.CONCAT(INDIRECT("'Contact Information'!" &amp; ADDRESS($K6+2, 2)))</f>
        <v/>
      </c>
      <c r="E6" s="554" t="str">
        <f t="shared" ref="E6:E39" ca="1" si="4">_xlfn.CONCAT(INDIRECT("'Contact Information'!" &amp; ADDRESS($K6+3, 2)))</f>
        <v/>
      </c>
      <c r="F6" s="558" t="str">
        <f t="shared" ref="F6:F39" ca="1" si="5">_xlfn.CONCAT(INDIRECT("'Contact Information'!" &amp; ADDRESS($K6+4, 2)))</f>
        <v/>
      </c>
      <c r="G6" s="557" t="str">
        <f t="shared" ref="G6:G39" ca="1" si="6">_xlfn.CONCAT(INDIRECT("'Contact Information'!" &amp; ADDRESS($K6+5, 2)))</f>
        <v/>
      </c>
      <c r="H6" s="554" t="str">
        <f t="shared" ref="H6:H39" ca="1" si="7">_xlfn.CONCAT(INDIRECT("'Contact Information'!" &amp; ADDRESS($K6+6, 2)))</f>
        <v/>
      </c>
      <c r="I6" s="558" t="str">
        <f t="shared" ref="I6:I39" ca="1" si="8">_xlfn.CONCAT(INDIRECT("'Contact Information'!" &amp; ADDRESS($K6+7, 2)))</f>
        <v/>
      </c>
      <c r="J6" s="554" t="str">
        <f t="shared" ref="J6:J39" ca="1" si="9">_xlfn.CONCAT(INDIRECT("'Contact Information'!" &amp; ADDRESS($K6+8, 2)))</f>
        <v/>
      </c>
      <c r="K6">
        <f>ROW('Contact Information'!B65)</f>
        <v>65</v>
      </c>
      <c r="L6" t="str">
        <f t="shared" ca="1" si="0"/>
        <v/>
      </c>
    </row>
    <row r="7" spans="1:12">
      <c r="A7" s="1" t="s">
        <v>155</v>
      </c>
      <c r="B7" s="554" t="str">
        <f t="shared" ca="1" si="1"/>
        <v/>
      </c>
      <c r="C7" s="554" t="str">
        <f t="shared" ca="1" si="2"/>
        <v/>
      </c>
      <c r="D7" s="554" t="str">
        <f t="shared" ca="1" si="3"/>
        <v/>
      </c>
      <c r="E7" s="554" t="str">
        <f t="shared" ca="1" si="4"/>
        <v/>
      </c>
      <c r="F7" s="558" t="str">
        <f t="shared" ca="1" si="5"/>
        <v/>
      </c>
      <c r="G7" s="557" t="str">
        <f t="shared" ca="1" si="6"/>
        <v/>
      </c>
      <c r="H7" s="554" t="str">
        <f t="shared" ca="1" si="7"/>
        <v/>
      </c>
      <c r="I7" s="558" t="str">
        <f t="shared" ca="1" si="8"/>
        <v/>
      </c>
      <c r="J7" s="554" t="str">
        <f t="shared" ca="1" si="9"/>
        <v/>
      </c>
      <c r="K7">
        <f>ROW('Contact Information'!B76)</f>
        <v>76</v>
      </c>
      <c r="L7" t="str">
        <f t="shared" ca="1" si="0"/>
        <v/>
      </c>
    </row>
    <row r="8" spans="1:12" ht="30">
      <c r="A8" s="510" t="s">
        <v>812</v>
      </c>
      <c r="B8" s="554" t="str">
        <f t="shared" ca="1" si="1"/>
        <v/>
      </c>
      <c r="C8" s="554" t="str">
        <f t="shared" ca="1" si="2"/>
        <v/>
      </c>
      <c r="D8" s="554" t="str">
        <f t="shared" ca="1" si="3"/>
        <v/>
      </c>
      <c r="E8" s="554" t="str">
        <f t="shared" ca="1" si="4"/>
        <v/>
      </c>
      <c r="F8" s="558" t="str">
        <f t="shared" ca="1" si="5"/>
        <v/>
      </c>
      <c r="G8" s="557" t="str">
        <f t="shared" ca="1" si="6"/>
        <v/>
      </c>
      <c r="H8" s="554" t="str">
        <f t="shared" ca="1" si="7"/>
        <v/>
      </c>
      <c r="I8" s="558" t="str">
        <f t="shared" ca="1" si="8"/>
        <v/>
      </c>
      <c r="J8" s="554" t="str">
        <f t="shared" ca="1" si="9"/>
        <v/>
      </c>
      <c r="K8">
        <f>ROW('Contact Information'!B87)</f>
        <v>87</v>
      </c>
      <c r="L8" t="str">
        <f t="shared" ca="1" si="0"/>
        <v/>
      </c>
    </row>
    <row r="9" spans="1:12">
      <c r="A9" s="1" t="s">
        <v>813</v>
      </c>
      <c r="B9" s="554" t="str">
        <f t="shared" ca="1" si="1"/>
        <v/>
      </c>
      <c r="C9" s="554" t="str">
        <f t="shared" ca="1" si="2"/>
        <v/>
      </c>
      <c r="D9" s="554" t="str">
        <f t="shared" ca="1" si="3"/>
        <v/>
      </c>
      <c r="E9" s="554" t="str">
        <f t="shared" ca="1" si="4"/>
        <v/>
      </c>
      <c r="F9" s="558" t="str">
        <f t="shared" ca="1" si="5"/>
        <v/>
      </c>
      <c r="G9" s="557" t="str">
        <f t="shared" ca="1" si="6"/>
        <v/>
      </c>
      <c r="H9" s="554" t="str">
        <f t="shared" ca="1" si="7"/>
        <v/>
      </c>
      <c r="I9" s="558" t="str">
        <f t="shared" ca="1" si="8"/>
        <v/>
      </c>
      <c r="J9" s="554" t="str">
        <f t="shared" ca="1" si="9"/>
        <v/>
      </c>
      <c r="K9">
        <f>ROW('Contact Information'!B102)</f>
        <v>102</v>
      </c>
      <c r="L9" t="str">
        <f t="shared" ca="1" si="0"/>
        <v/>
      </c>
    </row>
    <row r="10" spans="1:12">
      <c r="A10" s="1" t="s">
        <v>179</v>
      </c>
      <c r="B10" s="554" t="str">
        <f t="shared" ca="1" si="1"/>
        <v/>
      </c>
      <c r="C10" s="554" t="str">
        <f t="shared" ca="1" si="2"/>
        <v/>
      </c>
      <c r="D10" s="554" t="str">
        <f t="shared" ca="1" si="3"/>
        <v/>
      </c>
      <c r="E10" s="554" t="str">
        <f t="shared" ca="1" si="4"/>
        <v/>
      </c>
      <c r="F10" s="558" t="str">
        <f t="shared" ca="1" si="5"/>
        <v/>
      </c>
      <c r="G10" s="557" t="str">
        <f t="shared" ca="1" si="6"/>
        <v/>
      </c>
      <c r="H10" s="554" t="str">
        <f t="shared" ca="1" si="7"/>
        <v/>
      </c>
      <c r="I10" s="558" t="str">
        <f t="shared" ca="1" si="8"/>
        <v/>
      </c>
      <c r="J10" s="554" t="str">
        <f t="shared" ca="1" si="9"/>
        <v/>
      </c>
      <c r="K10">
        <f>ROW('Contact Information'!B132)</f>
        <v>132</v>
      </c>
      <c r="L10" t="str">
        <f t="shared" ca="1" si="0"/>
        <v/>
      </c>
    </row>
    <row r="11" spans="1:12">
      <c r="A11" s="1" t="s">
        <v>180</v>
      </c>
      <c r="B11" s="554" t="str">
        <f t="shared" ca="1" si="1"/>
        <v/>
      </c>
      <c r="C11" s="554" t="str">
        <f t="shared" ca="1" si="2"/>
        <v/>
      </c>
      <c r="D11" s="554" t="str">
        <f t="shared" ca="1" si="3"/>
        <v/>
      </c>
      <c r="E11" s="554" t="str">
        <f t="shared" ca="1" si="4"/>
        <v/>
      </c>
      <c r="F11" s="558" t="str">
        <f t="shared" ca="1" si="5"/>
        <v/>
      </c>
      <c r="G11" s="557" t="str">
        <f t="shared" ca="1" si="6"/>
        <v/>
      </c>
      <c r="H11" s="554" t="str">
        <f t="shared" ca="1" si="7"/>
        <v/>
      </c>
      <c r="I11" s="558" t="str">
        <f t="shared" ca="1" si="8"/>
        <v/>
      </c>
      <c r="J11" s="554" t="str">
        <f t="shared" ca="1" si="9"/>
        <v/>
      </c>
      <c r="K11">
        <f>ROW('Contact Information'!B143)</f>
        <v>143</v>
      </c>
      <c r="L11" t="str">
        <f t="shared" ref="L11:L24" ca="1" si="10">_xlfn.CONCAT(INDIRECT("'Contact Information'!" &amp; ADDRESS(K11, 2)))</f>
        <v/>
      </c>
    </row>
    <row r="12" spans="1:12">
      <c r="A12" s="1" t="s">
        <v>182</v>
      </c>
      <c r="B12" s="554" t="str">
        <f t="shared" ca="1" si="1"/>
        <v/>
      </c>
      <c r="C12" s="554" t="str">
        <f t="shared" ca="1" si="2"/>
        <v/>
      </c>
      <c r="D12" s="554" t="str">
        <f t="shared" ca="1" si="3"/>
        <v/>
      </c>
      <c r="E12" s="554" t="str">
        <f t="shared" ca="1" si="4"/>
        <v/>
      </c>
      <c r="F12" s="558" t="str">
        <f t="shared" ca="1" si="5"/>
        <v/>
      </c>
      <c r="G12" s="557" t="str">
        <f t="shared" ca="1" si="6"/>
        <v/>
      </c>
      <c r="H12" s="554" t="str">
        <f t="shared" ca="1" si="7"/>
        <v/>
      </c>
      <c r="I12" s="558" t="str">
        <f t="shared" ca="1" si="8"/>
        <v/>
      </c>
      <c r="J12" s="554" t="str">
        <f t="shared" ca="1" si="9"/>
        <v/>
      </c>
      <c r="K12">
        <f>ROW('Contact Information'!B157)</f>
        <v>157</v>
      </c>
      <c r="L12" t="str">
        <f t="shared" ca="1" si="10"/>
        <v/>
      </c>
    </row>
    <row r="13" spans="1:12">
      <c r="A13" s="1" t="s">
        <v>183</v>
      </c>
      <c r="B13" s="554" t="str">
        <f t="shared" ca="1" si="1"/>
        <v/>
      </c>
      <c r="C13" s="554" t="str">
        <f t="shared" ca="1" si="2"/>
        <v/>
      </c>
      <c r="D13" s="554" t="str">
        <f t="shared" ca="1" si="3"/>
        <v/>
      </c>
      <c r="E13" s="554" t="str">
        <f t="shared" ca="1" si="4"/>
        <v/>
      </c>
      <c r="F13" s="558" t="str">
        <f t="shared" ca="1" si="5"/>
        <v/>
      </c>
      <c r="G13" s="557" t="str">
        <f t="shared" ca="1" si="6"/>
        <v/>
      </c>
      <c r="H13" s="554" t="str">
        <f t="shared" ca="1" si="7"/>
        <v/>
      </c>
      <c r="I13" s="558" t="str">
        <f t="shared" ca="1" si="8"/>
        <v/>
      </c>
      <c r="J13" s="554" t="str">
        <f t="shared" ca="1" si="9"/>
        <v/>
      </c>
      <c r="K13">
        <f>ROW('Contact Information'!B171)</f>
        <v>171</v>
      </c>
      <c r="L13" t="str">
        <f t="shared" ca="1" si="10"/>
        <v/>
      </c>
    </row>
    <row r="14" spans="1:12">
      <c r="A14" s="1" t="s">
        <v>814</v>
      </c>
      <c r="B14" s="554" t="str">
        <f t="shared" ca="1" si="1"/>
        <v/>
      </c>
      <c r="C14" s="554" t="str">
        <f t="shared" ca="1" si="2"/>
        <v/>
      </c>
      <c r="D14" s="554" t="str">
        <f t="shared" ca="1" si="3"/>
        <v/>
      </c>
      <c r="E14" s="554" t="str">
        <f t="shared" ca="1" si="4"/>
        <v/>
      </c>
      <c r="F14" s="558" t="str">
        <f t="shared" ca="1" si="5"/>
        <v/>
      </c>
      <c r="G14" s="557" t="str">
        <f t="shared" ca="1" si="6"/>
        <v/>
      </c>
      <c r="H14" s="554" t="str">
        <f t="shared" ca="1" si="7"/>
        <v/>
      </c>
      <c r="I14" s="558" t="str">
        <f t="shared" ca="1" si="8"/>
        <v/>
      </c>
      <c r="J14" s="554" t="str">
        <f t="shared" ca="1" si="9"/>
        <v/>
      </c>
      <c r="K14">
        <f>ROW('Contact Information'!B185)</f>
        <v>185</v>
      </c>
      <c r="L14" t="str">
        <f t="shared" ca="1" si="10"/>
        <v/>
      </c>
    </row>
    <row r="15" spans="1:12">
      <c r="A15" s="1" t="s">
        <v>185</v>
      </c>
      <c r="B15" s="554" t="str">
        <f t="shared" ca="1" si="1"/>
        <v/>
      </c>
      <c r="C15" s="554" t="str">
        <f ca="1">_xlfn.CONCAT(INDIRECT("'Contact Information'!" &amp; ADDRESS($K15+2, 2)))</f>
        <v/>
      </c>
      <c r="D15" s="554" t="str">
        <f ca="1">_xlfn.CONCAT(INDIRECT("'Contact Information'!" &amp; ADDRESS($K15+3, 2)))</f>
        <v/>
      </c>
      <c r="E15" s="554" t="str">
        <f ca="1">_xlfn.CONCAT(INDIRECT("'Contact Information'!" &amp; ADDRESS($K15+4, 2)))</f>
        <v/>
      </c>
      <c r="F15" s="558" t="str">
        <f ca="1">_xlfn.CONCAT(INDIRECT("'Contact Information'!" &amp; ADDRESS($K15+5, 2)))</f>
        <v/>
      </c>
      <c r="G15" s="557" t="str">
        <f ca="1">_xlfn.CONCAT(INDIRECT("'Contact Information'!" &amp; ADDRESS($K15+6, 2)))</f>
        <v/>
      </c>
      <c r="H15" s="554" t="str">
        <f ca="1">_xlfn.CONCAT(INDIRECT("'Contact Information'!" &amp; ADDRESS($K15+7, 2)))</f>
        <v/>
      </c>
      <c r="I15" s="558" t="str">
        <f ca="1">_xlfn.CONCAT(INDIRECT("'Contact Information'!" &amp; ADDRESS($K15+8, 2)))</f>
        <v/>
      </c>
      <c r="J15" s="554" t="str">
        <f ca="1">_xlfn.CONCAT(INDIRECT("'Contact Information'!" &amp; ADDRESS($K15+9, 2)))</f>
        <v/>
      </c>
      <c r="K15">
        <v>199</v>
      </c>
      <c r="L15" t="str">
        <f t="shared" ca="1" si="10"/>
        <v/>
      </c>
    </row>
    <row r="16" spans="1:12">
      <c r="A16" s="1" t="s">
        <v>185</v>
      </c>
      <c r="B16" s="554" t="str">
        <f t="shared" ca="1" si="1"/>
        <v/>
      </c>
      <c r="C16" s="554" t="str">
        <f t="shared" ref="C16:C17" ca="1" si="11">_xlfn.CONCAT(INDIRECT("'Contact Information'!" &amp; ADDRESS($K16+2, 2)))</f>
        <v/>
      </c>
      <c r="D16" s="554" t="str">
        <f t="shared" ref="D16:D17" ca="1" si="12">_xlfn.CONCAT(INDIRECT("'Contact Information'!" &amp; ADDRESS($K16+3, 2)))</f>
        <v/>
      </c>
      <c r="E16" s="554" t="str">
        <f t="shared" ref="E16:E17" ca="1" si="13">_xlfn.CONCAT(INDIRECT("'Contact Information'!" &amp; ADDRESS($K16+4, 2)))</f>
        <v/>
      </c>
      <c r="F16" s="558" t="str">
        <f t="shared" ref="F16:F17" ca="1" si="14">_xlfn.CONCAT(INDIRECT("'Contact Information'!" &amp; ADDRESS($K16+5, 2)))</f>
        <v/>
      </c>
      <c r="G16" s="557" t="str">
        <f t="shared" ref="G16:G17" ca="1" si="15">_xlfn.CONCAT(INDIRECT("'Contact Information'!" &amp; ADDRESS($K16+6, 2)))</f>
        <v/>
      </c>
      <c r="H16" s="554" t="str">
        <f t="shared" ref="H16:H17" ca="1" si="16">_xlfn.CONCAT(INDIRECT("'Contact Information'!" &amp; ADDRESS($K16+7, 2)))</f>
        <v/>
      </c>
      <c r="I16" s="558" t="str">
        <f t="shared" ref="I16:I17" ca="1" si="17">_xlfn.CONCAT(INDIRECT("'Contact Information'!" &amp; ADDRESS($K16+8, 2)))</f>
        <v/>
      </c>
      <c r="J16" s="554" t="str">
        <f t="shared" ref="J16:J17" ca="1" si="18">_xlfn.CONCAT(INDIRECT("'Contact Information'!" &amp; ADDRESS($K16+9, 2)))</f>
        <v/>
      </c>
      <c r="K16">
        <v>211</v>
      </c>
      <c r="L16" t="str">
        <f t="shared" ca="1" si="10"/>
        <v/>
      </c>
    </row>
    <row r="17" spans="1:12">
      <c r="A17" s="1" t="s">
        <v>185</v>
      </c>
      <c r="B17" s="554" t="str">
        <f t="shared" ca="1" si="1"/>
        <v/>
      </c>
      <c r="C17" s="554" t="str">
        <f t="shared" ca="1" si="11"/>
        <v/>
      </c>
      <c r="D17" s="554" t="str">
        <f t="shared" ca="1" si="12"/>
        <v/>
      </c>
      <c r="E17" s="554" t="str">
        <f t="shared" ca="1" si="13"/>
        <v/>
      </c>
      <c r="F17" s="558" t="str">
        <f t="shared" ca="1" si="14"/>
        <v/>
      </c>
      <c r="G17" s="557" t="str">
        <f t="shared" ca="1" si="15"/>
        <v/>
      </c>
      <c r="H17" s="554" t="str">
        <f t="shared" ca="1" si="16"/>
        <v/>
      </c>
      <c r="I17" s="558" t="str">
        <f t="shared" ca="1" si="17"/>
        <v/>
      </c>
      <c r="J17" s="554" t="str">
        <f t="shared" ca="1" si="18"/>
        <v/>
      </c>
      <c r="K17">
        <v>223</v>
      </c>
      <c r="L17" t="str">
        <f t="shared" ca="1" si="10"/>
        <v/>
      </c>
    </row>
    <row r="18" spans="1:12">
      <c r="A18" s="1" t="s">
        <v>187</v>
      </c>
      <c r="B18" s="554" t="str">
        <f t="shared" ca="1" si="1"/>
        <v/>
      </c>
      <c r="C18" s="554" t="str">
        <f t="shared" ca="1" si="2"/>
        <v/>
      </c>
      <c r="D18" s="554" t="str">
        <f t="shared" ca="1" si="3"/>
        <v/>
      </c>
      <c r="E18" s="554" t="str">
        <f t="shared" ca="1" si="4"/>
        <v/>
      </c>
      <c r="F18" s="558" t="str">
        <f t="shared" ca="1" si="5"/>
        <v/>
      </c>
      <c r="G18" s="557" t="str">
        <f t="shared" ca="1" si="6"/>
        <v/>
      </c>
      <c r="H18" s="554" t="str">
        <f t="shared" ca="1" si="7"/>
        <v/>
      </c>
      <c r="I18" s="558" t="str">
        <f t="shared" ca="1" si="8"/>
        <v/>
      </c>
      <c r="J18" s="554" t="str">
        <f t="shared" ca="1" si="9"/>
        <v/>
      </c>
      <c r="K18">
        <v>235</v>
      </c>
      <c r="L18" t="str">
        <f t="shared" ca="1" si="10"/>
        <v/>
      </c>
    </row>
    <row r="19" spans="1:12">
      <c r="A19" s="1" t="s">
        <v>188</v>
      </c>
      <c r="B19" s="554" t="str">
        <f t="shared" ca="1" si="1"/>
        <v/>
      </c>
      <c r="C19" s="554" t="str">
        <f t="shared" ca="1" si="2"/>
        <v/>
      </c>
      <c r="D19" s="554" t="str">
        <f t="shared" ca="1" si="3"/>
        <v/>
      </c>
      <c r="E19" s="554" t="str">
        <f t="shared" ca="1" si="4"/>
        <v/>
      </c>
      <c r="F19" s="558" t="str">
        <f t="shared" ca="1" si="5"/>
        <v/>
      </c>
      <c r="G19" s="557" t="str">
        <f t="shared" ca="1" si="6"/>
        <v/>
      </c>
      <c r="H19" s="554" t="str">
        <f t="shared" ca="1" si="7"/>
        <v/>
      </c>
      <c r="I19" s="558" t="str">
        <f t="shared" ca="1" si="8"/>
        <v/>
      </c>
      <c r="J19" s="554" t="str">
        <f t="shared" ca="1" si="9"/>
        <v/>
      </c>
      <c r="K19">
        <v>246</v>
      </c>
      <c r="L19" t="str">
        <f t="shared" ca="1" si="10"/>
        <v/>
      </c>
    </row>
    <row r="20" spans="1:12">
      <c r="A20" s="1" t="s">
        <v>189</v>
      </c>
      <c r="B20" s="554" t="str">
        <f t="shared" ca="1" si="1"/>
        <v/>
      </c>
      <c r="C20" s="554" t="str">
        <f t="shared" ca="1" si="2"/>
        <v/>
      </c>
      <c r="D20" s="554" t="str">
        <f t="shared" ca="1" si="3"/>
        <v/>
      </c>
      <c r="E20" s="554" t="str">
        <f t="shared" ca="1" si="4"/>
        <v/>
      </c>
      <c r="F20" s="558" t="str">
        <f t="shared" ca="1" si="5"/>
        <v/>
      </c>
      <c r="G20" s="557" t="str">
        <f t="shared" ca="1" si="6"/>
        <v/>
      </c>
      <c r="H20" s="554" t="str">
        <f t="shared" ca="1" si="7"/>
        <v/>
      </c>
      <c r="I20" s="558" t="str">
        <f t="shared" ca="1" si="8"/>
        <v/>
      </c>
      <c r="J20" s="554" t="str">
        <f t="shared" ca="1" si="9"/>
        <v/>
      </c>
      <c r="K20">
        <v>257</v>
      </c>
      <c r="L20" t="str">
        <f t="shared" ca="1" si="10"/>
        <v/>
      </c>
    </row>
    <row r="21" spans="1:12">
      <c r="A21" s="1" t="s">
        <v>190</v>
      </c>
      <c r="B21" s="554" t="str">
        <f t="shared" ca="1" si="1"/>
        <v/>
      </c>
      <c r="C21" s="554" t="str">
        <f t="shared" ca="1" si="2"/>
        <v/>
      </c>
      <c r="D21" s="554" t="str">
        <f t="shared" ca="1" si="3"/>
        <v/>
      </c>
      <c r="E21" s="554" t="str">
        <f t="shared" ca="1" si="4"/>
        <v/>
      </c>
      <c r="F21" s="558" t="str">
        <f t="shared" ca="1" si="5"/>
        <v/>
      </c>
      <c r="G21" s="557" t="str">
        <f t="shared" ca="1" si="6"/>
        <v/>
      </c>
      <c r="H21" s="554" t="str">
        <f t="shared" ca="1" si="7"/>
        <v/>
      </c>
      <c r="I21" s="558" t="str">
        <f t="shared" ca="1" si="8"/>
        <v/>
      </c>
      <c r="J21" s="554" t="str">
        <f t="shared" ca="1" si="9"/>
        <v/>
      </c>
      <c r="K21">
        <v>268</v>
      </c>
      <c r="L21" t="str">
        <f t="shared" ca="1" si="10"/>
        <v/>
      </c>
    </row>
    <row r="22" spans="1:12">
      <c r="A22" s="1" t="s">
        <v>815</v>
      </c>
      <c r="B22" s="554" t="str">
        <f t="shared" ca="1" si="1"/>
        <v/>
      </c>
      <c r="C22" s="554" t="str">
        <f t="shared" ca="1" si="2"/>
        <v/>
      </c>
      <c r="D22" s="554" t="str">
        <f t="shared" ca="1" si="3"/>
        <v/>
      </c>
      <c r="E22" s="554" t="str">
        <f t="shared" ca="1" si="4"/>
        <v/>
      </c>
      <c r="F22" s="558" t="str">
        <f t="shared" ca="1" si="5"/>
        <v/>
      </c>
      <c r="G22" s="557" t="str">
        <f t="shared" ca="1" si="6"/>
        <v/>
      </c>
      <c r="H22" s="554" t="str">
        <f t="shared" ca="1" si="7"/>
        <v/>
      </c>
      <c r="I22" s="558" t="str">
        <f t="shared" ca="1" si="8"/>
        <v/>
      </c>
      <c r="J22" s="554" t="str">
        <f t="shared" ca="1" si="9"/>
        <v/>
      </c>
      <c r="K22">
        <v>279</v>
      </c>
      <c r="L22" t="str">
        <f t="shared" ca="1" si="10"/>
        <v/>
      </c>
    </row>
    <row r="23" spans="1:12">
      <c r="A23" s="1" t="s">
        <v>192</v>
      </c>
      <c r="B23" s="554" t="str">
        <f t="shared" ca="1" si="1"/>
        <v/>
      </c>
      <c r="C23" s="554" t="str">
        <f t="shared" ca="1" si="2"/>
        <v/>
      </c>
      <c r="D23" s="554" t="str">
        <f t="shared" ca="1" si="3"/>
        <v/>
      </c>
      <c r="E23" s="554" t="str">
        <f t="shared" ca="1" si="4"/>
        <v/>
      </c>
      <c r="F23" s="558" t="str">
        <f t="shared" ca="1" si="5"/>
        <v/>
      </c>
      <c r="G23" s="557" t="str">
        <f t="shared" ca="1" si="6"/>
        <v/>
      </c>
      <c r="H23" s="554" t="str">
        <f t="shared" ca="1" si="7"/>
        <v/>
      </c>
      <c r="I23" s="558" t="str">
        <f t="shared" ca="1" si="8"/>
        <v/>
      </c>
      <c r="J23" s="554" t="str">
        <f t="shared" ca="1" si="9"/>
        <v/>
      </c>
      <c r="K23">
        <v>290</v>
      </c>
      <c r="L23" t="str">
        <f t="shared" ca="1" si="10"/>
        <v/>
      </c>
    </row>
    <row r="24" spans="1:12">
      <c r="A24" s="1" t="s">
        <v>193</v>
      </c>
      <c r="B24" s="554" t="str">
        <f t="shared" ca="1" si="1"/>
        <v/>
      </c>
      <c r="C24" s="554" t="str">
        <f t="shared" ca="1" si="2"/>
        <v/>
      </c>
      <c r="D24" s="554" t="str">
        <f t="shared" ca="1" si="3"/>
        <v/>
      </c>
      <c r="E24" s="554" t="str">
        <f t="shared" ca="1" si="4"/>
        <v/>
      </c>
      <c r="F24" s="558" t="str">
        <f t="shared" ca="1" si="5"/>
        <v/>
      </c>
      <c r="G24" s="557" t="str">
        <f t="shared" ca="1" si="6"/>
        <v/>
      </c>
      <c r="H24" s="554" t="str">
        <f t="shared" ca="1" si="7"/>
        <v/>
      </c>
      <c r="I24" s="558" t="str">
        <f t="shared" ca="1" si="8"/>
        <v/>
      </c>
      <c r="J24" s="554" t="str">
        <f t="shared" ca="1" si="9"/>
        <v/>
      </c>
      <c r="K24">
        <v>301</v>
      </c>
      <c r="L24" t="str">
        <f t="shared" ca="1" si="10"/>
        <v/>
      </c>
    </row>
    <row r="25" spans="1:12">
      <c r="A25" s="1" t="s">
        <v>194</v>
      </c>
      <c r="B25" s="554" t="str">
        <f t="shared" ca="1" si="1"/>
        <v/>
      </c>
      <c r="C25" s="554" t="str">
        <f t="shared" ca="1" si="2"/>
        <v/>
      </c>
      <c r="D25" s="554" t="str">
        <f t="shared" ca="1" si="3"/>
        <v/>
      </c>
      <c r="E25" s="554" t="str">
        <f t="shared" ca="1" si="4"/>
        <v/>
      </c>
      <c r="F25" s="558" t="str">
        <f t="shared" ca="1" si="5"/>
        <v/>
      </c>
      <c r="G25" s="557" t="str">
        <f t="shared" ca="1" si="6"/>
        <v/>
      </c>
      <c r="H25" s="554" t="str">
        <f t="shared" ca="1" si="7"/>
        <v/>
      </c>
      <c r="I25" s="558" t="str">
        <f t="shared" ca="1" si="8"/>
        <v/>
      </c>
      <c r="J25" s="554" t="str">
        <f t="shared" ca="1" si="9"/>
        <v/>
      </c>
      <c r="K25">
        <v>312</v>
      </c>
      <c r="L25" t="str">
        <f t="shared" ref="L25:L34" ca="1" si="19">_xlfn.CONCAT(INDIRECT("'Contact Information'!" &amp; ADDRESS(K25, 2)))</f>
        <v/>
      </c>
    </row>
    <row r="26" spans="1:12">
      <c r="A26" s="1" t="s">
        <v>195</v>
      </c>
      <c r="B26" s="554" t="str">
        <f t="shared" ref="B26:B32" ca="1" si="20">IF(OR(L26="TBD",L26="NA",L26="N/A"),"",L26)</f>
        <v/>
      </c>
      <c r="C26" s="554" t="str">
        <f t="shared" ca="1" si="2"/>
        <v/>
      </c>
      <c r="D26" s="554" t="str">
        <f t="shared" ca="1" si="3"/>
        <v/>
      </c>
      <c r="E26" s="554" t="str">
        <f t="shared" ca="1" si="4"/>
        <v/>
      </c>
      <c r="F26" s="558" t="str">
        <f t="shared" ca="1" si="5"/>
        <v/>
      </c>
      <c r="G26" s="557" t="str">
        <f t="shared" ca="1" si="6"/>
        <v/>
      </c>
      <c r="H26" s="554" t="str">
        <f t="shared" ca="1" si="7"/>
        <v/>
      </c>
      <c r="I26" s="558" t="str">
        <f t="shared" ca="1" si="8"/>
        <v/>
      </c>
      <c r="J26" s="554" t="str">
        <f t="shared" ca="1" si="9"/>
        <v/>
      </c>
      <c r="K26">
        <v>323</v>
      </c>
      <c r="L26" t="str">
        <f t="shared" ca="1" si="19"/>
        <v/>
      </c>
    </row>
    <row r="27" spans="1:12">
      <c r="A27" s="1" t="s">
        <v>196</v>
      </c>
      <c r="B27" s="554" t="str">
        <f t="shared" ca="1" si="20"/>
        <v/>
      </c>
      <c r="C27" s="554" t="str">
        <f t="shared" ca="1" si="2"/>
        <v/>
      </c>
      <c r="D27" s="554" t="str">
        <f t="shared" ca="1" si="3"/>
        <v/>
      </c>
      <c r="E27" s="554" t="str">
        <f t="shared" ca="1" si="4"/>
        <v/>
      </c>
      <c r="F27" s="558" t="str">
        <f t="shared" ca="1" si="5"/>
        <v/>
      </c>
      <c r="G27" s="557" t="str">
        <f t="shared" ca="1" si="6"/>
        <v/>
      </c>
      <c r="H27" s="554" t="str">
        <f t="shared" ca="1" si="7"/>
        <v/>
      </c>
      <c r="I27" s="558" t="str">
        <f t="shared" ca="1" si="8"/>
        <v/>
      </c>
      <c r="J27" s="554" t="str">
        <f t="shared" ca="1" si="9"/>
        <v/>
      </c>
      <c r="K27">
        <v>334</v>
      </c>
      <c r="L27" t="str">
        <f t="shared" ca="1" si="19"/>
        <v/>
      </c>
    </row>
    <row r="28" spans="1:12">
      <c r="A28" s="1" t="s">
        <v>198</v>
      </c>
      <c r="B28" s="554" t="str">
        <f t="shared" ca="1" si="20"/>
        <v/>
      </c>
      <c r="C28" s="554" t="str">
        <f t="shared" ca="1" si="2"/>
        <v/>
      </c>
      <c r="D28" s="554" t="str">
        <f t="shared" ca="1" si="3"/>
        <v/>
      </c>
      <c r="E28" s="554" t="str">
        <f t="shared" ca="1" si="4"/>
        <v/>
      </c>
      <c r="F28" s="558" t="str">
        <f t="shared" ca="1" si="5"/>
        <v/>
      </c>
      <c r="G28" s="557" t="str">
        <f t="shared" ca="1" si="6"/>
        <v/>
      </c>
      <c r="H28" s="554" t="str">
        <f t="shared" ca="1" si="7"/>
        <v/>
      </c>
      <c r="I28" s="558" t="str">
        <f t="shared" ca="1" si="8"/>
        <v/>
      </c>
      <c r="J28" s="554" t="str">
        <f t="shared" ca="1" si="9"/>
        <v/>
      </c>
      <c r="K28">
        <v>346</v>
      </c>
      <c r="L28" t="str">
        <f t="shared" ca="1" si="19"/>
        <v/>
      </c>
    </row>
    <row r="29" spans="1:12">
      <c r="A29" s="1" t="s">
        <v>199</v>
      </c>
      <c r="B29" s="554" t="str">
        <f t="shared" ca="1" si="20"/>
        <v/>
      </c>
      <c r="C29" s="554" t="str">
        <f t="shared" ca="1" si="2"/>
        <v/>
      </c>
      <c r="D29" s="554" t="str">
        <f t="shared" ca="1" si="3"/>
        <v/>
      </c>
      <c r="E29" s="554" t="str">
        <f t="shared" ca="1" si="4"/>
        <v/>
      </c>
      <c r="F29" s="558" t="str">
        <f t="shared" ca="1" si="5"/>
        <v/>
      </c>
      <c r="G29" s="557" t="str">
        <f t="shared" ca="1" si="6"/>
        <v/>
      </c>
      <c r="H29" s="554" t="str">
        <f t="shared" ca="1" si="7"/>
        <v/>
      </c>
      <c r="I29" s="558" t="str">
        <f t="shared" ca="1" si="8"/>
        <v/>
      </c>
      <c r="J29" s="554" t="str">
        <f t="shared" ca="1" si="9"/>
        <v/>
      </c>
      <c r="K29">
        <v>357</v>
      </c>
      <c r="L29" t="str">
        <f t="shared" ca="1" si="19"/>
        <v/>
      </c>
    </row>
    <row r="30" spans="1:12">
      <c r="A30" s="1" t="s">
        <v>200</v>
      </c>
      <c r="B30" s="554" t="str">
        <f t="shared" ca="1" si="20"/>
        <v/>
      </c>
      <c r="C30" s="554" t="str">
        <f ca="1">_xlfn.CONCAT(INDIRECT("'Contact Information'!" &amp; ADDRESS($K30+2, 2)))</f>
        <v/>
      </c>
      <c r="D30" s="554" t="str">
        <f ca="1">_xlfn.CONCAT(INDIRECT("'Contact Information'!" &amp; ADDRESS($K30+3, 2)))</f>
        <v/>
      </c>
      <c r="E30" s="554" t="str">
        <f ca="1">_xlfn.CONCAT(INDIRECT("'Contact Information'!" &amp; ADDRESS($K30+4, 2)))</f>
        <v/>
      </c>
      <c r="F30" s="558" t="str">
        <f ca="1">_xlfn.CONCAT(INDIRECT("'Contact Information'!" &amp; ADDRESS($K30+5, 2)))</f>
        <v/>
      </c>
      <c r="G30" s="557" t="str">
        <f ca="1">_xlfn.CONCAT(INDIRECT("'Contact Information'!" &amp; ADDRESS($K30+6, 2)))</f>
        <v/>
      </c>
      <c r="H30" s="554" t="str">
        <f ca="1">_xlfn.CONCAT(INDIRECT("'Contact Information'!" &amp; ADDRESS($K30+7, 2)))</f>
        <v/>
      </c>
      <c r="I30" s="558" t="str">
        <f ca="1">_xlfn.CONCAT(INDIRECT("'Contact Information'!" &amp; ADDRESS($K30+8, 2)))</f>
        <v/>
      </c>
      <c r="J30" s="554" t="str">
        <f ca="1">_xlfn.CONCAT(INDIRECT("'Contact Information'!" &amp; ADDRESS($K30+9, 2)))</f>
        <v/>
      </c>
      <c r="K30">
        <v>368</v>
      </c>
      <c r="L30" t="str">
        <f t="shared" ca="1" si="19"/>
        <v/>
      </c>
    </row>
    <row r="31" spans="1:12">
      <c r="A31" s="1" t="s">
        <v>203</v>
      </c>
      <c r="B31" s="554" t="str">
        <f t="shared" ca="1" si="20"/>
        <v/>
      </c>
      <c r="C31" s="554" t="str">
        <f ca="1">_xlfn.CONCAT(INDIRECT("'Contact Information'!" &amp; ADDRESS($K31+2, 2)))</f>
        <v/>
      </c>
      <c r="D31" s="554" t="str">
        <f ca="1">_xlfn.CONCAT(INDIRECT("'Contact Information'!" &amp; ADDRESS($K31+3, 2)))</f>
        <v/>
      </c>
      <c r="E31" s="554" t="str">
        <f ca="1">_xlfn.CONCAT(INDIRECT("'Contact Information'!" &amp; ADDRESS($K31+4, 2)))</f>
        <v/>
      </c>
      <c r="F31" s="558" t="str">
        <f ca="1">_xlfn.CONCAT(INDIRECT("'Contact Information'!" &amp; ADDRESS($K31+5, 2)))</f>
        <v/>
      </c>
      <c r="G31" s="557" t="str">
        <f ca="1">_xlfn.CONCAT(INDIRECT("'Contact Information'!" &amp; ADDRESS($K31+6, 2)))</f>
        <v/>
      </c>
      <c r="H31" s="554" t="str">
        <f ca="1">_xlfn.CONCAT(INDIRECT("'Contact Information'!" &amp; ADDRESS($K31+7, 2)))</f>
        <v/>
      </c>
      <c r="I31" s="558" t="str">
        <f ca="1">_xlfn.CONCAT(INDIRECT("'Contact Information'!" &amp; ADDRESS($K31+8, 2)))</f>
        <v/>
      </c>
      <c r="J31" s="554" t="str">
        <f ca="1">_xlfn.CONCAT(INDIRECT("'Contact Information'!" &amp; ADDRESS($K31+9, 2)))</f>
        <v/>
      </c>
      <c r="K31">
        <v>380</v>
      </c>
      <c r="L31" t="str">
        <f t="shared" ca="1" si="19"/>
        <v/>
      </c>
    </row>
    <row r="32" spans="1:12">
      <c r="A32" s="1" t="s">
        <v>816</v>
      </c>
      <c r="B32" s="554" t="str">
        <f t="shared" ca="1" si="20"/>
        <v/>
      </c>
      <c r="C32" s="554" t="str">
        <f t="shared" ca="1" si="2"/>
        <v/>
      </c>
      <c r="D32" s="554" t="str">
        <f t="shared" ca="1" si="3"/>
        <v/>
      </c>
      <c r="E32" s="554" t="str">
        <f t="shared" ca="1" si="4"/>
        <v/>
      </c>
      <c r="F32" s="558" t="str">
        <f t="shared" ca="1" si="5"/>
        <v/>
      </c>
      <c r="G32" s="557" t="str">
        <f t="shared" ca="1" si="6"/>
        <v/>
      </c>
      <c r="H32" s="554" t="str">
        <f t="shared" ca="1" si="7"/>
        <v/>
      </c>
      <c r="I32" s="558" t="str">
        <f t="shared" ca="1" si="8"/>
        <v/>
      </c>
      <c r="J32" s="554" t="str">
        <f t="shared" ca="1" si="9"/>
        <v/>
      </c>
      <c r="K32">
        <v>392</v>
      </c>
      <c r="L32" t="str">
        <f t="shared" ca="1" si="19"/>
        <v/>
      </c>
    </row>
    <row r="33" spans="1:12">
      <c r="A33" s="1" t="s">
        <v>206</v>
      </c>
      <c r="B33" s="554" t="str">
        <f t="shared" ca="1" si="1"/>
        <v/>
      </c>
      <c r="C33" s="554" t="str">
        <f ca="1">_xlfn.CONCAT(INDIRECT("'Contact Information'!" &amp; ADDRESS($K33+1, 2)))</f>
        <v/>
      </c>
      <c r="D33" s="554" t="str">
        <f ca="1">_xlfn.CONCAT(INDIRECT("'Contact Information'!" &amp; ADDRESS($K33+2, 2)))</f>
        <v/>
      </c>
      <c r="E33" s="554" t="str">
        <f ca="1">_xlfn.CONCAT(INDIRECT("'Contact Information'!" &amp; ADDRESS($K33+3, 2)))</f>
        <v/>
      </c>
      <c r="F33" s="558" t="str">
        <f ca="1">_xlfn.CONCAT(INDIRECT("'Contact Information'!" &amp; ADDRESS($K33+4, 2)))</f>
        <v/>
      </c>
      <c r="G33" s="557" t="str">
        <f ca="1">_xlfn.CONCAT(INDIRECT("'Contact Information'!" &amp; ADDRESS($K33+5, 2)))</f>
        <v/>
      </c>
      <c r="H33" s="554" t="str">
        <f ca="1">_xlfn.CONCAT(INDIRECT("'Contact Information'!" &amp; ADDRESS($K33+6, 2)))</f>
        <v/>
      </c>
      <c r="I33" s="558" t="str">
        <f ca="1">_xlfn.CONCAT(INDIRECT("'Contact Information'!" &amp; ADDRESS($K33+7, 2)))</f>
        <v/>
      </c>
      <c r="J33" s="554" t="str">
        <f ca="1">_xlfn.CONCAT(INDIRECT("'Contact Information'!" &amp; ADDRESS($K33+8, 2)))</f>
        <v/>
      </c>
      <c r="K33">
        <v>403</v>
      </c>
      <c r="L33" t="str">
        <f t="shared" ca="1" si="19"/>
        <v/>
      </c>
    </row>
    <row r="34" spans="1:12">
      <c r="A34" s="1" t="s">
        <v>817</v>
      </c>
      <c r="B34" s="554" t="str">
        <f t="shared" ca="1" si="1"/>
        <v/>
      </c>
      <c r="C34" s="554" t="str">
        <f ca="1">_xlfn.CONCAT(INDIRECT("'Contact Information'!" &amp; ADDRESS($K34+1, 2)))</f>
        <v/>
      </c>
      <c r="D34" s="554" t="str">
        <f ca="1">_xlfn.CONCAT(INDIRECT("'Contact Information'!" &amp; ADDRESS($K34+2, 2)))</f>
        <v/>
      </c>
      <c r="E34" s="554" t="str">
        <f ca="1">_xlfn.CONCAT(INDIRECT("'Contact Information'!" &amp; ADDRESS($K34+3, 2)))</f>
        <v/>
      </c>
      <c r="F34" s="558" t="str">
        <f ca="1">_xlfn.CONCAT(INDIRECT("'Contact Information'!" &amp; ADDRESS($K34+4, 2)))</f>
        <v/>
      </c>
      <c r="G34" s="557" t="str">
        <f ca="1">_xlfn.CONCAT(INDIRECT("'Contact Information'!" &amp; ADDRESS($K34+5, 2)))</f>
        <v/>
      </c>
      <c r="H34" s="554" t="str">
        <f ca="1">_xlfn.CONCAT(INDIRECT("'Contact Information'!" &amp; ADDRESS($K34+6, 2)))</f>
        <v/>
      </c>
      <c r="I34" s="558" t="str">
        <f ca="1">_xlfn.CONCAT(INDIRECT("'Contact Information'!" &amp; ADDRESS($K34+7, 2)))</f>
        <v/>
      </c>
      <c r="J34" s="554" t="str">
        <f ca="1">_xlfn.CONCAT(INDIRECT("'Contact Information'!" &amp; ADDRESS($K34+8, 2)))</f>
        <v/>
      </c>
      <c r="K34">
        <v>414</v>
      </c>
      <c r="L34" t="str">
        <f t="shared" ca="1" si="19"/>
        <v/>
      </c>
    </row>
    <row r="35" spans="1:12">
      <c r="A35" s="553" t="s">
        <v>210</v>
      </c>
      <c r="B35" s="559"/>
      <c r="C35" s="559"/>
      <c r="D35" s="559"/>
      <c r="E35" s="559"/>
      <c r="F35" s="559"/>
      <c r="G35" s="559"/>
      <c r="H35" s="559"/>
      <c r="I35" s="559"/>
      <c r="J35" s="559"/>
    </row>
    <row r="36" spans="1:12">
      <c r="A36" s="1" t="s">
        <v>211</v>
      </c>
      <c r="B36" s="554" t="str">
        <f t="shared" ca="1" si="1"/>
        <v/>
      </c>
      <c r="C36" s="554" t="str">
        <f t="shared" ca="1" si="2"/>
        <v/>
      </c>
      <c r="D36" s="554" t="str">
        <f t="shared" ca="1" si="3"/>
        <v/>
      </c>
      <c r="E36" s="554" t="str">
        <f t="shared" ca="1" si="4"/>
        <v/>
      </c>
      <c r="F36" s="558" t="str">
        <f t="shared" ca="1" si="5"/>
        <v/>
      </c>
      <c r="G36" s="557" t="str">
        <f t="shared" ca="1" si="6"/>
        <v/>
      </c>
      <c r="H36" s="554" t="str">
        <f t="shared" ca="1" si="7"/>
        <v/>
      </c>
      <c r="I36" s="558" t="str">
        <f t="shared" ca="1" si="8"/>
        <v/>
      </c>
      <c r="J36" s="554" t="str">
        <f t="shared" ca="1" si="9"/>
        <v/>
      </c>
      <c r="K36">
        <v>426</v>
      </c>
      <c r="L36" t="str">
        <f t="shared" ref="L36:L39" ca="1" si="21">_xlfn.CONCAT(INDIRECT("'Contact Information'!" &amp; ADDRESS(K36, 2)))</f>
        <v/>
      </c>
    </row>
    <row r="37" spans="1:12">
      <c r="A37" s="1" t="s">
        <v>212</v>
      </c>
      <c r="B37" s="554" t="str">
        <f t="shared" ca="1" si="1"/>
        <v/>
      </c>
      <c r="C37" s="554" t="str">
        <f t="shared" ca="1" si="2"/>
        <v/>
      </c>
      <c r="D37" s="554" t="str">
        <f t="shared" ca="1" si="3"/>
        <v/>
      </c>
      <c r="E37" s="554" t="str">
        <f t="shared" ca="1" si="4"/>
        <v/>
      </c>
      <c r="F37" s="558" t="str">
        <f t="shared" ca="1" si="5"/>
        <v/>
      </c>
      <c r="G37" s="557" t="str">
        <f t="shared" ca="1" si="6"/>
        <v/>
      </c>
      <c r="H37" s="554" t="str">
        <f t="shared" ca="1" si="7"/>
        <v/>
      </c>
      <c r="I37" s="558" t="str">
        <f t="shared" ca="1" si="8"/>
        <v/>
      </c>
      <c r="J37" s="554" t="str">
        <f t="shared" ca="1" si="9"/>
        <v/>
      </c>
      <c r="K37">
        <v>437</v>
      </c>
      <c r="L37" t="str">
        <f t="shared" ca="1" si="21"/>
        <v/>
      </c>
    </row>
    <row r="38" spans="1:12">
      <c r="A38" s="1" t="s">
        <v>818</v>
      </c>
      <c r="B38" s="554" t="str">
        <f t="shared" ca="1" si="1"/>
        <v/>
      </c>
      <c r="C38" s="554" t="str">
        <f t="shared" ca="1" si="2"/>
        <v/>
      </c>
      <c r="D38" s="554" t="str">
        <f t="shared" ca="1" si="3"/>
        <v/>
      </c>
      <c r="E38" s="554" t="str">
        <f t="shared" ca="1" si="4"/>
        <v/>
      </c>
      <c r="F38" s="558" t="str">
        <f t="shared" ca="1" si="5"/>
        <v/>
      </c>
      <c r="G38" s="557" t="str">
        <f t="shared" ca="1" si="6"/>
        <v/>
      </c>
      <c r="H38" s="554" t="str">
        <f t="shared" ca="1" si="7"/>
        <v/>
      </c>
      <c r="I38" s="558" t="str">
        <f t="shared" ca="1" si="8"/>
        <v/>
      </c>
      <c r="J38" s="554" t="str">
        <f t="shared" ca="1" si="9"/>
        <v/>
      </c>
      <c r="K38">
        <v>448</v>
      </c>
      <c r="L38" t="str">
        <f t="shared" ca="1" si="21"/>
        <v/>
      </c>
    </row>
    <row r="39" spans="1:12">
      <c r="A39" s="1" t="s">
        <v>819</v>
      </c>
      <c r="B39" s="554" t="str">
        <f t="shared" ca="1" si="1"/>
        <v/>
      </c>
      <c r="C39" s="554" t="str">
        <f t="shared" ca="1" si="2"/>
        <v/>
      </c>
      <c r="D39" s="554" t="str">
        <f t="shared" ca="1" si="3"/>
        <v/>
      </c>
      <c r="E39" s="554" t="str">
        <f t="shared" ca="1" si="4"/>
        <v/>
      </c>
      <c r="F39" s="558" t="str">
        <f t="shared" ca="1" si="5"/>
        <v/>
      </c>
      <c r="G39" s="557" t="str">
        <f t="shared" ca="1" si="6"/>
        <v/>
      </c>
      <c r="H39" s="554" t="str">
        <f t="shared" ca="1" si="7"/>
        <v/>
      </c>
      <c r="I39" s="558" t="str">
        <f t="shared" ca="1" si="8"/>
        <v/>
      </c>
      <c r="J39" s="554" t="str">
        <f t="shared" ca="1" si="9"/>
        <v/>
      </c>
      <c r="K39">
        <v>459</v>
      </c>
      <c r="L39" t="str">
        <f t="shared" ca="1" si="21"/>
        <v/>
      </c>
    </row>
    <row r="40" spans="1:12" ht="20.25" customHeight="1"/>
    <row r="41" spans="1:12" hidden="1">
      <c r="A41" s="3" t="s">
        <v>820</v>
      </c>
      <c r="B41" s="3"/>
      <c r="C41" s="3"/>
      <c r="D41" s="3"/>
      <c r="E41" s="3"/>
      <c r="F41" s="3"/>
      <c r="G41" s="3"/>
      <c r="H41" s="3"/>
      <c r="I41" s="3"/>
      <c r="J41" s="3"/>
    </row>
    <row r="42" spans="1:12" hidden="1">
      <c r="A42" s="1" t="s">
        <v>133</v>
      </c>
      <c r="B42" s="533"/>
    </row>
    <row r="43" spans="1:12" hidden="1">
      <c r="A43" s="1"/>
    </row>
    <row r="44" spans="1:12" ht="30" hidden="1" customHeight="1">
      <c r="A44" s="919" t="s">
        <v>134</v>
      </c>
      <c r="B44" s="919"/>
      <c r="C44" s="919"/>
    </row>
    <row r="45" spans="1:12" hidden="1">
      <c r="A45" s="287"/>
    </row>
    <row r="46" spans="1:12" hidden="1">
      <c r="A46" s="1" t="s">
        <v>135</v>
      </c>
    </row>
    <row r="47" spans="1:12" ht="30" hidden="1" customHeight="1">
      <c r="A47" s="920"/>
      <c r="B47" s="921"/>
      <c r="C47" s="921"/>
      <c r="E47" t="s">
        <v>461</v>
      </c>
    </row>
    <row r="48" spans="1:12" hidden="1"/>
    <row r="49" spans="1:5" ht="30" hidden="1" customHeight="1">
      <c r="A49" s="919" t="s">
        <v>136</v>
      </c>
      <c r="B49" s="919"/>
      <c r="C49" s="919"/>
      <c r="E49" t="s">
        <v>461</v>
      </c>
    </row>
    <row r="50" spans="1:5" hidden="1">
      <c r="A50" s="287"/>
      <c r="E50" t="s">
        <v>461</v>
      </c>
    </row>
    <row r="51" spans="1:5" hidden="1">
      <c r="A51" s="510" t="s">
        <v>137</v>
      </c>
    </row>
    <row r="52" spans="1:5" ht="30" hidden="1" customHeight="1">
      <c r="A52" s="920"/>
      <c r="B52" s="921"/>
      <c r="C52" s="921"/>
    </row>
    <row r="53" spans="1:5" hidden="1"/>
    <row r="54" spans="1:5" hidden="1">
      <c r="A54" s="1" t="s">
        <v>138</v>
      </c>
    </row>
    <row r="55" spans="1:5" hidden="1">
      <c r="A55" s="287"/>
    </row>
    <row r="56" spans="1:5" hidden="1">
      <c r="A56" s="1" t="s">
        <v>139</v>
      </c>
    </row>
    <row r="57" spans="1:5" hidden="1">
      <c r="A57" s="3" t="s">
        <v>140</v>
      </c>
      <c r="B57" s="3" t="s">
        <v>125</v>
      </c>
      <c r="C57" s="3" t="s">
        <v>243</v>
      </c>
      <c r="D57" s="3" t="s">
        <v>127</v>
      </c>
      <c r="E57" s="3" t="s">
        <v>804</v>
      </c>
    </row>
    <row r="58" spans="1:5" hidden="1">
      <c r="A58" s="294"/>
      <c r="B58" s="294"/>
      <c r="C58" s="294"/>
      <c r="D58" s="294"/>
      <c r="E58" s="294"/>
    </row>
    <row r="59" spans="1:5" hidden="1">
      <c r="A59" s="294"/>
      <c r="B59" s="294"/>
      <c r="C59" s="294"/>
      <c r="D59" s="294"/>
      <c r="E59" s="294"/>
    </row>
    <row r="60" spans="1:5" hidden="1">
      <c r="A60" s="294"/>
      <c r="B60" s="294"/>
      <c r="C60" s="294"/>
      <c r="D60" s="294"/>
      <c r="E60" s="294"/>
    </row>
    <row r="61" spans="1:5" hidden="1">
      <c r="A61" s="294"/>
      <c r="B61" s="294"/>
      <c r="C61" s="294"/>
      <c r="D61" s="294"/>
      <c r="E61" s="294"/>
    </row>
    <row r="62" spans="1:5" hidden="1">
      <c r="A62" s="294"/>
      <c r="B62" s="294"/>
      <c r="C62" s="294"/>
      <c r="D62" s="294"/>
      <c r="E62" s="294"/>
    </row>
    <row r="63" spans="1:5" hidden="1"/>
    <row r="64" spans="1:5" ht="28.5" hidden="1" customHeight="1">
      <c r="A64" s="919" t="s">
        <v>142</v>
      </c>
      <c r="B64" s="919"/>
      <c r="C64" s="919"/>
    </row>
    <row r="65" spans="1:10" ht="30" hidden="1" customHeight="1">
      <c r="A65" s="920"/>
      <c r="B65" s="921"/>
      <c r="C65" s="921"/>
    </row>
    <row r="66" spans="1:10" hidden="1"/>
    <row r="67" spans="1:10" hidden="1">
      <c r="A67" s="1" t="s">
        <v>821</v>
      </c>
    </row>
    <row r="68" spans="1:10" hidden="1">
      <c r="A68" s="3" t="s">
        <v>140</v>
      </c>
      <c r="B68" s="3" t="s">
        <v>822</v>
      </c>
    </row>
    <row r="69" spans="1:10" hidden="1">
      <c r="A69" s="287"/>
      <c r="B69" s="295"/>
    </row>
    <row r="70" spans="1:10" hidden="1">
      <c r="A70" s="287"/>
      <c r="B70" s="295"/>
    </row>
    <row r="71" spans="1:10" hidden="1">
      <c r="A71" s="287"/>
      <c r="B71" s="295"/>
    </row>
    <row r="72" spans="1:10" hidden="1">
      <c r="A72" s="287"/>
      <c r="B72" s="295"/>
    </row>
    <row r="73" spans="1:10" hidden="1">
      <c r="A73" s="287"/>
      <c r="B73" s="295"/>
    </row>
    <row r="74" spans="1:10" hidden="1">
      <c r="A74" s="3" t="s">
        <v>823</v>
      </c>
      <c r="B74" s="3"/>
      <c r="C74" s="3"/>
      <c r="D74" s="3"/>
      <c r="E74" s="3"/>
      <c r="F74" s="3"/>
      <c r="G74" s="3"/>
      <c r="H74" s="3"/>
      <c r="I74" s="3"/>
      <c r="J74" s="3"/>
    </row>
    <row r="75" spans="1:10" hidden="1">
      <c r="A75" s="1" t="s">
        <v>824</v>
      </c>
    </row>
    <row r="76" spans="1:10" hidden="1">
      <c r="A76" s="287" t="s">
        <v>825</v>
      </c>
    </row>
    <row r="77" spans="1:10" hidden="1">
      <c r="A77" s="1" t="s">
        <v>826</v>
      </c>
    </row>
    <row r="78" spans="1:10" ht="30" hidden="1" customHeight="1">
      <c r="A78" s="920"/>
      <c r="B78" s="921"/>
      <c r="C78" s="921"/>
    </row>
    <row r="79" spans="1:10" hidden="1">
      <c r="A79" s="1" t="s">
        <v>827</v>
      </c>
    </row>
    <row r="80" spans="1:10" ht="30" hidden="1" customHeight="1">
      <c r="A80" s="920"/>
      <c r="B80" s="921"/>
      <c r="C80" s="921"/>
    </row>
    <row r="81" spans="1:3" ht="30" hidden="1" customHeight="1">
      <c r="A81" s="919" t="s">
        <v>828</v>
      </c>
      <c r="B81" s="919"/>
      <c r="C81" s="919"/>
    </row>
    <row r="82" spans="1:3" ht="30" hidden="1" customHeight="1">
      <c r="A82" s="920"/>
      <c r="B82" s="921"/>
      <c r="C82" s="921"/>
    </row>
    <row r="83" spans="1:3" ht="30" hidden="1" customHeight="1">
      <c r="A83" s="919" t="s">
        <v>829</v>
      </c>
      <c r="B83" s="919"/>
      <c r="C83" s="919"/>
    </row>
    <row r="84" spans="1:3" hidden="1">
      <c r="A84" s="287"/>
    </row>
    <row r="85" spans="1:3" hidden="1">
      <c r="A85" s="1" t="s">
        <v>830</v>
      </c>
    </row>
    <row r="86" spans="1:3" ht="30" hidden="1" customHeight="1">
      <c r="A86" s="920"/>
      <c r="B86" s="921"/>
      <c r="C86" s="921"/>
    </row>
    <row r="87" spans="1:3" hidden="1">
      <c r="A87" s="1" t="s">
        <v>831</v>
      </c>
    </row>
    <row r="88" spans="1:3" hidden="1">
      <c r="A88" s="285"/>
    </row>
    <row r="89" spans="1:3" hidden="1">
      <c r="A89" s="1" t="s">
        <v>172</v>
      </c>
    </row>
    <row r="90" spans="1:3" ht="30" hidden="1" customHeight="1">
      <c r="A90" s="920"/>
      <c r="B90" s="921"/>
      <c r="C90" s="921"/>
    </row>
    <row r="91" spans="1:3" ht="33.75" hidden="1" customHeight="1">
      <c r="A91" s="919" t="s">
        <v>832</v>
      </c>
      <c r="B91" s="919"/>
      <c r="C91" s="919"/>
    </row>
    <row r="92" spans="1:3" ht="33.75" hidden="1" customHeight="1">
      <c r="A92" s="287"/>
    </row>
    <row r="93" spans="1:3" hidden="1">
      <c r="A93" s="1" t="s">
        <v>174</v>
      </c>
    </row>
    <row r="94" spans="1:3" ht="30" hidden="1" customHeight="1">
      <c r="A94" s="920"/>
      <c r="B94" s="921"/>
      <c r="C94" s="921"/>
    </row>
    <row r="95" spans="1:3" ht="30" hidden="1" customHeight="1">
      <c r="A95" s="919" t="s">
        <v>833</v>
      </c>
      <c r="B95" s="919"/>
      <c r="C95" s="919"/>
    </row>
    <row r="96" spans="1:3" hidden="1">
      <c r="A96" s="287"/>
    </row>
    <row r="97" spans="1:3" hidden="1">
      <c r="A97" s="1" t="s">
        <v>174</v>
      </c>
    </row>
    <row r="98" spans="1:3" ht="30" hidden="1" customHeight="1">
      <c r="A98" s="920"/>
      <c r="B98" s="921"/>
      <c r="C98" s="921"/>
    </row>
    <row r="99" spans="1:3" hidden="1">
      <c r="A99" s="1" t="s">
        <v>834</v>
      </c>
    </row>
    <row r="100" spans="1:3" hidden="1">
      <c r="A100" s="296"/>
    </row>
    <row r="101" spans="1:3" hidden="1">
      <c r="A101" s="1" t="s">
        <v>835</v>
      </c>
    </row>
    <row r="102" spans="1:3" ht="30" hidden="1" customHeight="1">
      <c r="A102" s="920"/>
      <c r="B102" s="921"/>
      <c r="C102" s="921"/>
    </row>
    <row r="103" spans="1:3" ht="77.25" hidden="1" customHeight="1">
      <c r="A103" s="919" t="s">
        <v>836</v>
      </c>
      <c r="B103" s="919"/>
      <c r="C103" s="919"/>
    </row>
    <row r="104" spans="1:3" ht="30" hidden="1" customHeight="1">
      <c r="A104" s="920"/>
      <c r="B104" s="921"/>
      <c r="C104" s="921"/>
    </row>
    <row r="105" spans="1:3" ht="47.25" hidden="1" customHeight="1">
      <c r="A105" s="905" t="s">
        <v>837</v>
      </c>
      <c r="B105" s="905"/>
      <c r="C105" s="905"/>
    </row>
    <row r="106" spans="1:3" ht="16.5" hidden="1" customHeight="1">
      <c r="A106" s="287"/>
      <c r="B106" s="10" t="s">
        <v>838</v>
      </c>
    </row>
    <row r="107" spans="1:3" hidden="1"/>
  </sheetData>
  <sheetProtection algorithmName="SHA-512" hashValue="YAawzgMf56YphDrQbxkKM8/O8wygA3hchwjuyV14aOqJPxTx/IR59Ezq/QY6P2QybtbWJhpHB7JbJNXOGHmX8g==" saltValue="9o8N1xNr2P4JeBoqdFv6Zg==" spinCount="100000" sheet="1" objects="1" scenarios="1"/>
  <dataConsolidate/>
  <mergeCells count="22">
    <mergeCell ref="A78:C78"/>
    <mergeCell ref="A80:C80"/>
    <mergeCell ref="A82:C82"/>
    <mergeCell ref="A47:C47"/>
    <mergeCell ref="A65:C65"/>
    <mergeCell ref="A52:C52"/>
    <mergeCell ref="A1:J1"/>
    <mergeCell ref="A105:C105"/>
    <mergeCell ref="A91:C91"/>
    <mergeCell ref="A95:C95"/>
    <mergeCell ref="A86:C86"/>
    <mergeCell ref="A90:C90"/>
    <mergeCell ref="A94:C94"/>
    <mergeCell ref="A103:C103"/>
    <mergeCell ref="A104:C104"/>
    <mergeCell ref="A102:C102"/>
    <mergeCell ref="A98:C98"/>
    <mergeCell ref="A64:C64"/>
    <mergeCell ref="A81:C81"/>
    <mergeCell ref="A49:C49"/>
    <mergeCell ref="A44:C44"/>
    <mergeCell ref="A83:C83"/>
  </mergeCells>
  <dataValidations disablePrompts="1" count="8">
    <dataValidation type="list" allowBlank="1" showInputMessage="1" showErrorMessage="1" errorTitle="Previous Tax Credits in Colorado" error="Please select a valid value for previous tax credits in Colorado." sqref="A45" xr:uid="{00000000-0002-0000-0200-000000000000}">
      <formula1>Yes_No_List</formula1>
    </dataValidation>
    <dataValidation type="list" allowBlank="1" showInputMessage="1" showErrorMessage="1" errorTitle="Tax Credits in Other States" error="Please select a valid value for previous tax credits in other states." sqref="A50" xr:uid="{00000000-0002-0000-0200-000001000000}">
      <formula1>Yes_No_List</formula1>
    </dataValidation>
    <dataValidation type="list" allowBlank="1" showInputMessage="1" showErrorMessage="1" errorTitle="Developments in Service" error="Please select a valid value for developments in service." sqref="A55" xr:uid="{00000000-0002-0000-0200-000002000000}">
      <formula1>Yes_No_List</formula1>
    </dataValidation>
    <dataValidation type="list" allowBlank="1" showInputMessage="1" showErrorMessage="1" errorTitle="Owning an Interest " error="Please select a valid value for NP/PHA owning an interest." sqref="A76" xr:uid="{00000000-0002-0000-0200-000004000000}">
      <formula1>Yes_No_List</formula1>
    </dataValidation>
    <dataValidation type="list" allowBlank="1" showInputMessage="1" showErrorMessage="1" errorTitle="Fees Paid" error="Please select a valid value for fees paid." sqref="A84" xr:uid="{00000000-0002-0000-0200-000005000000}">
      <formula1>Yes_No_List</formula1>
    </dataValidation>
    <dataValidation type="list" allowBlank="1" showInputMessage="1" showErrorMessage="1" errorTitle="Appontment of Directors" error="Please select a valid value for appointed any directors to the governing board of the non-profit." sqref="A92" xr:uid="{00000000-0002-0000-0200-000006000000}">
      <formula1>Yes_No_List</formula1>
    </dataValidation>
    <dataValidation type="list" allowBlank="1" showInputMessage="1" showErrorMessage="1" errorTitle="Entity Type" error="Please supply a valid value for Entity Type." sqref="B42" xr:uid="{00000000-0002-0000-0200-000009000000}">
      <formula1>Entity_Type_List</formula1>
    </dataValidation>
    <dataValidation type="list" allowBlank="1" showInputMessage="1" showErrorMessage="1" errorTitle="Financial Arrangements" error="Please select a valid value for financial arrangements." sqref="A96" xr:uid="{00000000-0002-0000-0200-000041000000}">
      <formula1>Yes_No_List</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Title="Allocation of Tax Credits" error="Please select a valid value for request an allocation of tax credits from the non-profit set-aside." xr:uid="{00000000-0002-0000-0200-000003000000}">
          <x14:formula1>
            <xm:f>Lookup!$A$4:$A$5</xm:f>
          </x14:formula1>
          <xm:sqref>A106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7"/>
  </sheetPr>
  <dimension ref="A1:N120"/>
  <sheetViews>
    <sheetView showGridLines="0" zoomScaleNormal="100" workbookViewId="0">
      <selection sqref="A1:K1"/>
    </sheetView>
  </sheetViews>
  <sheetFormatPr defaultColWidth="9" defaultRowHeight="15"/>
  <cols>
    <col min="1" max="1" width="7.42578125" style="88" customWidth="1"/>
    <col min="2" max="2" width="21" style="88" customWidth="1"/>
    <col min="3" max="5" width="12.5703125" style="88" customWidth="1"/>
    <col min="6" max="6" width="13.140625" style="88" customWidth="1"/>
    <col min="7" max="10" width="12.5703125" style="88" customWidth="1"/>
    <col min="11" max="11" width="8.5703125" style="88" customWidth="1"/>
    <col min="12" max="12" width="0.5703125" style="88" customWidth="1"/>
    <col min="13" max="16384" width="9" style="88"/>
  </cols>
  <sheetData>
    <row r="1" spans="1:14">
      <c r="A1" s="928" t="s">
        <v>61</v>
      </c>
      <c r="B1" s="928"/>
      <c r="C1" s="928"/>
      <c r="D1" s="928"/>
      <c r="E1" s="928"/>
      <c r="F1" s="928"/>
      <c r="G1" s="928"/>
      <c r="H1" s="928"/>
      <c r="I1" s="928"/>
      <c r="J1" s="928"/>
      <c r="K1" s="928"/>
    </row>
    <row r="2" spans="1:14">
      <c r="A2"/>
      <c r="B2"/>
      <c r="C2"/>
      <c r="D2"/>
      <c r="E2"/>
      <c r="F2"/>
      <c r="G2"/>
      <c r="H2"/>
      <c r="I2"/>
      <c r="J2"/>
      <c r="K2"/>
    </row>
    <row r="3" spans="1:14">
      <c r="A3"/>
      <c r="B3" s="1" t="s">
        <v>839</v>
      </c>
      <c r="C3"/>
      <c r="D3" s="73">
        <f>Application!B29</f>
        <v>0</v>
      </c>
      <c r="E3"/>
      <c r="F3"/>
      <c r="G3"/>
      <c r="H3"/>
      <c r="I3"/>
      <c r="J3"/>
      <c r="K3" s="1"/>
    </row>
    <row r="4" spans="1:14">
      <c r="A4"/>
      <c r="B4" s="1" t="s">
        <v>219</v>
      </c>
      <c r="C4"/>
      <c r="D4" s="73">
        <f>Application!B6</f>
        <v>0</v>
      </c>
      <c r="E4"/>
      <c r="F4"/>
      <c r="G4"/>
      <c r="H4"/>
      <c r="I4"/>
      <c r="J4"/>
      <c r="K4" s="1"/>
    </row>
    <row r="5" spans="1:14">
      <c r="A5"/>
      <c r="B5" s="1" t="s">
        <v>225</v>
      </c>
      <c r="C5"/>
      <c r="D5" s="73">
        <f>Application!B10</f>
        <v>0</v>
      </c>
      <c r="E5"/>
      <c r="F5"/>
      <c r="G5"/>
      <c r="H5"/>
      <c r="I5"/>
      <c r="J5"/>
      <c r="K5" s="1"/>
    </row>
    <row r="6" spans="1:14">
      <c r="A6"/>
      <c r="B6" s="1" t="s">
        <v>228</v>
      </c>
      <c r="C6"/>
      <c r="D6" s="73">
        <f>Application!B13</f>
        <v>0</v>
      </c>
      <c r="E6"/>
      <c r="F6"/>
      <c r="G6"/>
      <c r="H6"/>
      <c r="I6" s="1"/>
      <c r="J6" s="152"/>
      <c r="K6" s="1"/>
    </row>
    <row r="7" spans="1:14" ht="15.75" thickBot="1">
      <c r="A7" s="298"/>
      <c r="B7" s="298"/>
      <c r="C7" s="298"/>
      <c r="D7" s="298"/>
      <c r="E7" s="298"/>
      <c r="F7" s="298"/>
      <c r="G7" s="298"/>
      <c r="H7" s="298"/>
      <c r="I7" s="298"/>
      <c r="J7" s="298"/>
      <c r="K7" s="299"/>
    </row>
    <row r="8" spans="1:14">
      <c r="A8" s="928" t="s">
        <v>840</v>
      </c>
      <c r="B8" s="928"/>
      <c r="C8" s="928"/>
      <c r="D8" s="928"/>
      <c r="E8" s="928"/>
      <c r="F8" s="928"/>
      <c r="G8" s="928"/>
      <c r="H8" s="928"/>
      <c r="I8" s="928"/>
      <c r="J8" s="928"/>
      <c r="K8" s="928"/>
    </row>
    <row r="10" spans="1:14" ht="15" customHeight="1">
      <c r="A10" s="1"/>
      <c r="B10" s="1" t="s">
        <v>841</v>
      </c>
      <c r="D10" s="152">
        <f>Calculations!F3</f>
        <v>0</v>
      </c>
      <c r="J10" s="1"/>
    </row>
    <row r="11" spans="1:14" ht="15" customHeight="1">
      <c r="B11" s="1" t="s">
        <v>842</v>
      </c>
      <c r="D11" s="309" t="str">
        <f>Calculations!F4</f>
        <v/>
      </c>
      <c r="J11" s="1"/>
    </row>
    <row r="12" spans="1:14" ht="15" customHeight="1">
      <c r="B12" s="84"/>
      <c r="D12" s="153"/>
      <c r="J12" s="1"/>
    </row>
    <row r="13" spans="1:14">
      <c r="A13" s="928" t="s">
        <v>843</v>
      </c>
      <c r="B13" s="928"/>
      <c r="C13" s="928"/>
      <c r="D13" s="928"/>
      <c r="E13" s="928"/>
      <c r="F13" s="928"/>
      <c r="G13" s="928"/>
      <c r="H13" s="928"/>
      <c r="I13" s="928"/>
      <c r="J13" s="928"/>
      <c r="K13" s="928"/>
    </row>
    <row r="14" spans="1:14" ht="15" customHeight="1">
      <c r="A14" s="154" t="s">
        <v>844</v>
      </c>
      <c r="B14" s="154"/>
      <c r="C14" s="154"/>
      <c r="D14" s="154"/>
      <c r="E14" s="154"/>
      <c r="F14" s="154"/>
      <c r="G14" s="154"/>
      <c r="H14" s="154"/>
      <c r="I14" s="154"/>
      <c r="J14" s="154"/>
      <c r="K14" s="154"/>
    </row>
    <row r="15" spans="1:14" ht="45" customHeight="1">
      <c r="B15" s="84" t="str">
        <f>Calculations!C300</f>
        <v/>
      </c>
      <c r="C15" s="155"/>
      <c r="D15" s="155"/>
      <c r="F15" s="156" t="s">
        <v>845</v>
      </c>
      <c r="G15" s="156" t="s">
        <v>846</v>
      </c>
      <c r="H15" s="156" t="s">
        <v>847</v>
      </c>
      <c r="I15" s="156" t="s">
        <v>848</v>
      </c>
      <c r="J15" s="156" t="s">
        <v>849</v>
      </c>
      <c r="L15" s="18"/>
      <c r="M15"/>
    </row>
    <row r="16" spans="1:14" ht="15" customHeight="1">
      <c r="B16" s="926" t="str">
        <f>Calculations!L44</f>
        <v xml:space="preserve">  </v>
      </c>
      <c r="C16" s="926"/>
      <c r="D16" s="926"/>
      <c r="F16" s="157">
        <f>Calculations!D300</f>
        <v>0.6</v>
      </c>
      <c r="G16" s="244">
        <f>Calculations!E300</f>
        <v>0</v>
      </c>
      <c r="H16" s="245">
        <f>Calculations!G300</f>
        <v>0</v>
      </c>
      <c r="I16" s="244">
        <f>Calculations!F300</f>
        <v>50</v>
      </c>
      <c r="J16" s="244">
        <f>Calculations!B300</f>
        <v>0</v>
      </c>
      <c r="L16" s="18"/>
      <c r="N16"/>
    </row>
    <row r="17" spans="1:13">
      <c r="B17" s="926"/>
      <c r="C17" s="926"/>
      <c r="D17" s="926"/>
      <c r="F17" s="157">
        <f>Calculations!D301</f>
        <v>0.5</v>
      </c>
      <c r="G17" s="244">
        <f>Calculations!E301</f>
        <v>0</v>
      </c>
      <c r="H17" s="245">
        <f>Calculations!G301</f>
        <v>0</v>
      </c>
      <c r="I17" s="244">
        <f>Calculations!F301</f>
        <v>72.5</v>
      </c>
      <c r="J17" s="244">
        <f>Calculations!B301</f>
        <v>0</v>
      </c>
    </row>
    <row r="18" spans="1:13">
      <c r="B18" s="926"/>
      <c r="C18" s="926"/>
      <c r="D18" s="926"/>
      <c r="F18" s="157">
        <f>Calculations!D302</f>
        <v>0.4</v>
      </c>
      <c r="G18" s="244">
        <f>Calculations!E302</f>
        <v>0</v>
      </c>
      <c r="H18" s="245">
        <f>Calculations!G302</f>
        <v>0</v>
      </c>
      <c r="I18" s="244">
        <f>Calculations!F302</f>
        <v>92.5</v>
      </c>
      <c r="J18" s="244">
        <f>Calculations!B302</f>
        <v>0</v>
      </c>
    </row>
    <row r="19" spans="1:13" ht="75" customHeight="1">
      <c r="B19" s="927" t="s">
        <v>850</v>
      </c>
      <c r="C19" s="927"/>
      <c r="D19" s="927"/>
      <c r="F19" s="157"/>
      <c r="G19" s="158"/>
      <c r="H19" s="159"/>
      <c r="I19" s="158"/>
      <c r="J19" s="158"/>
    </row>
    <row r="20" spans="1:13" ht="15" customHeight="1">
      <c r="B20" s="160" t="s">
        <v>851</v>
      </c>
      <c r="C20" s="161"/>
      <c r="D20" s="84"/>
      <c r="F20" s="157">
        <f>Calculations!A35</f>
        <v>0.3</v>
      </c>
      <c r="G20" s="158">
        <f>Calculations!H35</f>
        <v>0</v>
      </c>
      <c r="H20" s="799">
        <f>Calculations!G304</f>
        <v>0</v>
      </c>
      <c r="I20" s="158"/>
      <c r="J20" s="158">
        <f>Calculations!B304</f>
        <v>0</v>
      </c>
      <c r="L20" s="18"/>
    </row>
    <row r="21" spans="1:13" ht="15" customHeight="1">
      <c r="B21" s="160" t="s">
        <v>852</v>
      </c>
      <c r="C21" s="161"/>
      <c r="D21" s="162"/>
      <c r="J21" s="246">
        <f>Calculations!B303</f>
        <v>0</v>
      </c>
      <c r="L21" s="18"/>
    </row>
    <row r="22" spans="1:13">
      <c r="J22" s="1"/>
    </row>
    <row r="23" spans="1:13">
      <c r="B23" s="1" t="s">
        <v>516</v>
      </c>
      <c r="J23" s="163" t="s">
        <v>849</v>
      </c>
    </row>
    <row r="24" spans="1:13">
      <c r="B24" s="164" t="str">
        <f>Calculations!C305</f>
        <v/>
      </c>
      <c r="C24" s="84"/>
      <c r="D24" s="84"/>
      <c r="E24" s="84"/>
      <c r="F24" s="84"/>
      <c r="G24" s="84"/>
      <c r="H24" s="84"/>
      <c r="I24" s="84"/>
      <c r="J24" s="158">
        <f>Calculations!B305</f>
        <v>0</v>
      </c>
      <c r="M24"/>
    </row>
    <row r="25" spans="1:13">
      <c r="B25" s="1"/>
      <c r="J25" s="1"/>
    </row>
    <row r="26" spans="1:13">
      <c r="B26" s="1" t="s">
        <v>853</v>
      </c>
      <c r="J26" s="163" t="s">
        <v>849</v>
      </c>
    </row>
    <row r="27" spans="1:13" ht="42.95" customHeight="1">
      <c r="B27" s="929" t="str">
        <f>Scoring!A14</f>
        <v>Development is located in a qualified census tract, the development of which contributes to a concerted Community Revitalization Plan. (A community revitalization plan is defined in Section 5.A.4. of the Allocation Plan for CHFA requirements under this Criteria)</v>
      </c>
      <c r="C27" s="929"/>
      <c r="D27" s="929"/>
      <c r="E27" s="929"/>
      <c r="F27" s="929"/>
      <c r="G27" s="929"/>
      <c r="H27" s="929"/>
      <c r="I27" s="929"/>
      <c r="J27" s="158">
        <f>Calculations!B306</f>
        <v>0</v>
      </c>
    </row>
    <row r="28" spans="1:13" ht="15" customHeight="1">
      <c r="B28" s="165"/>
      <c r="C28" s="165"/>
      <c r="D28" s="165"/>
      <c r="E28" s="165"/>
      <c r="J28" s="158"/>
    </row>
    <row r="29" spans="1:13">
      <c r="A29" s="154" t="s">
        <v>854</v>
      </c>
      <c r="B29" s="154"/>
      <c r="C29" s="154"/>
      <c r="D29" s="154"/>
      <c r="E29" s="154"/>
      <c r="F29" s="154"/>
      <c r="G29" s="154"/>
      <c r="H29" s="154"/>
      <c r="I29" s="154"/>
      <c r="J29" s="154"/>
      <c r="K29" s="154"/>
    </row>
    <row r="30" spans="1:13" ht="15" customHeight="1"/>
    <row r="31" spans="1:13" ht="15" customHeight="1">
      <c r="B31" s="1" t="s">
        <v>855</v>
      </c>
      <c r="J31" s="163" t="s">
        <v>849</v>
      </c>
    </row>
    <row r="32" spans="1:13" ht="15" customHeight="1">
      <c r="B32" s="166" t="s">
        <v>856</v>
      </c>
      <c r="C32" s="166"/>
      <c r="D32" s="166"/>
      <c r="E32" s="166"/>
      <c r="F32" s="166"/>
      <c r="J32" s="158">
        <f>Calculations!B307</f>
        <v>0</v>
      </c>
    </row>
    <row r="33" spans="2:13" ht="15" customHeight="1">
      <c r="B33" s="160" t="s">
        <v>857</v>
      </c>
      <c r="C33" s="161"/>
      <c r="D33" s="161"/>
      <c r="E33" s="161"/>
      <c r="F33" s="161"/>
      <c r="G33" s="169"/>
      <c r="H33" s="169"/>
      <c r="I33" s="169"/>
      <c r="J33" s="167">
        <f>Calculations!B310</f>
        <v>0</v>
      </c>
    </row>
    <row r="34" spans="2:13" ht="15" customHeight="1">
      <c r="J34" s="167"/>
    </row>
    <row r="35" spans="2:13" ht="15" customHeight="1">
      <c r="B35" s="1" t="s">
        <v>858</v>
      </c>
      <c r="J35" s="163" t="s">
        <v>849</v>
      </c>
    </row>
    <row r="36" spans="2:13" ht="47.25" customHeight="1">
      <c r="B36" s="925" t="str">
        <f>Scoring!A20</f>
        <v xml:space="preserve">Development is located in a community that has an identified community affordable housing priority. Applicant must provide evidence, clearly demonstrating the project fits into the community's needs.
</v>
      </c>
      <c r="C36" s="925"/>
      <c r="D36" s="925"/>
      <c r="E36" s="925"/>
      <c r="F36" s="925"/>
      <c r="G36" s="925"/>
      <c r="H36" s="925"/>
      <c r="I36" s="925"/>
      <c r="J36" s="158">
        <f>Calculations!B311</f>
        <v>0</v>
      </c>
      <c r="M36"/>
    </row>
    <row r="37" spans="2:13" ht="50.25" customHeight="1">
      <c r="B37" s="925" t="str">
        <f>Scoring!A21</f>
        <v>Development be located at an existing or planned Transit Oriented Design (TOD) site, which is defined as that which is within a half-mile walk distance of transit corridors with easy access to job center. Housing proposal should maximize allowable density at TOD site.</v>
      </c>
      <c r="C37" s="925"/>
      <c r="D37" s="925"/>
      <c r="E37" s="925"/>
      <c r="F37" s="925"/>
      <c r="G37" s="925"/>
      <c r="H37" s="925"/>
      <c r="I37" s="925"/>
      <c r="J37" s="158">
        <f>Calculations!B312</f>
        <v>0</v>
      </c>
      <c r="M37"/>
    </row>
    <row r="38" spans="2:13" ht="15" customHeight="1"/>
    <row r="39" spans="2:13" ht="15" customHeight="1">
      <c r="B39" s="1" t="s">
        <v>522</v>
      </c>
      <c r="J39" s="163" t="s">
        <v>849</v>
      </c>
    </row>
    <row r="40" spans="2:13" ht="15" customHeight="1">
      <c r="B40" s="925" t="str">
        <f>Scoring!A24</f>
        <v>Development that provides housing for a mix of incomes by having no more than 80% tax credit-eligible total units.</v>
      </c>
      <c r="C40" s="925"/>
      <c r="D40" s="925"/>
      <c r="E40" s="925"/>
      <c r="F40" s="925"/>
      <c r="G40" s="925"/>
      <c r="H40" s="925"/>
      <c r="I40" s="925"/>
      <c r="J40" s="158">
        <f>Calculations!B313</f>
        <v>0</v>
      </c>
    </row>
    <row r="41" spans="2:13" ht="15" customHeight="1">
      <c r="B41" s="168" t="str">
        <f>Scoring!A25</f>
        <v>Developments located in non Metro counties that have a population of 180,000 or less.</v>
      </c>
      <c r="C41" s="169"/>
      <c r="D41" s="169"/>
      <c r="E41" s="169"/>
      <c r="F41" s="169"/>
      <c r="G41" s="169"/>
      <c r="H41" s="169"/>
      <c r="I41" s="169"/>
      <c r="J41" s="158">
        <f>Calculations!B314</f>
        <v>0</v>
      </c>
    </row>
    <row r="42" spans="2:13" ht="30" customHeight="1">
      <c r="B42" s="930" t="str">
        <f>Scoring!A26</f>
        <v>Rehabilitation of blighted buildings or locally or federally designated historic structures. See Section 5.B.3.c. of the Allocation Plan for the definition of "blighted buildings".</v>
      </c>
      <c r="C42" s="924"/>
      <c r="D42" s="924"/>
      <c r="E42" s="924"/>
      <c r="F42" s="924"/>
      <c r="G42" s="924"/>
      <c r="H42" s="924"/>
      <c r="I42" s="924"/>
      <c r="J42" s="158">
        <f>Calculations!B315</f>
        <v>0</v>
      </c>
    </row>
    <row r="43" spans="2:13" ht="30" customHeight="1">
      <c r="B43" s="924" t="str">
        <f>Scoring!A27</f>
        <v>Acquisition/ Rehabilitation of a Preservation Development. See Section 5.B.3.d. of the Allocation Plan for the definition of a "Preservation Development".</v>
      </c>
      <c r="C43" s="924"/>
      <c r="D43" s="924"/>
      <c r="E43" s="924"/>
      <c r="F43" s="924"/>
      <c r="G43" s="924"/>
      <c r="H43" s="924"/>
      <c r="I43" s="924"/>
      <c r="J43" s="158">
        <f>Calculations!B316</f>
        <v>0</v>
      </c>
    </row>
    <row r="44" spans="2:13" ht="32.25" customHeight="1">
      <c r="B44" s="924" t="str">
        <f>Scoring!A28</f>
        <v>No Smoking Policy. Projects that will institute a no smoking policy for 100% of the project, which includes anywhere inside the building or on the grounds of the property. The policy needs to be provided at the time of application.</v>
      </c>
      <c r="C44" s="924"/>
      <c r="D44" s="924"/>
      <c r="E44" s="924"/>
      <c r="F44" s="924"/>
      <c r="G44" s="924"/>
      <c r="H44" s="924"/>
      <c r="I44" s="924"/>
      <c r="J44" s="158">
        <f>Calculations!B317</f>
        <v>0</v>
      </c>
    </row>
    <row r="45" spans="2:13" ht="48.75" customHeight="1">
      <c r="B45" s="924" t="str">
        <f>Scoring!A29</f>
        <v>Developments maximizing construction efficiency by utilizing modular or factory-built construction, prefabricated components. Applicants must provide supporting documentation detailing modular boxes or type of components, delivery, installation and any cost savings.</v>
      </c>
      <c r="C45" s="924"/>
      <c r="D45" s="924"/>
      <c r="E45" s="924"/>
      <c r="F45" s="924"/>
      <c r="G45" s="924"/>
      <c r="H45" s="924"/>
      <c r="I45" s="924"/>
      <c r="J45" s="158">
        <f>Calculations!B318</f>
        <v>0</v>
      </c>
    </row>
    <row r="46" spans="2:13" ht="37.5" customHeight="1">
      <c r="B46" s="925" t="str">
        <f>Scoring!A30</f>
        <v>Developments utilizing Universal Design or providing accessible units which total at least five percent of the project’s total units. Applicants must provide details in supporting documentation.</v>
      </c>
      <c r="C46" s="925"/>
      <c r="D46" s="925"/>
      <c r="E46" s="925"/>
      <c r="F46" s="925"/>
      <c r="G46" s="925"/>
      <c r="H46" s="925"/>
      <c r="I46" s="925"/>
      <c r="J46" s="158">
        <f>Calculations!B319</f>
        <v>0</v>
      </c>
    </row>
    <row r="47" spans="2:13" ht="15" customHeight="1">
      <c r="J47" s="158"/>
    </row>
    <row r="48" spans="2:13" ht="15" customHeight="1">
      <c r="B48" s="1" t="s">
        <v>528</v>
      </c>
      <c r="J48" s="163" t="s">
        <v>849</v>
      </c>
    </row>
    <row r="49" spans="1:12" ht="75.599999999999994" customHeight="1">
      <c r="B49" s="925" t="str">
        <f>Scoring!A33</f>
        <v>Applicant is a 501(c)(3) or 501(c)(4) tax-exempt organization having an express purpose of fostering low-income housing or a Colorado public housing authority. The applicant is the one and only owner of the development and will remain as the one and only general partner (either itself or through its or a related subsidiary). The applicant will, from the time of application through the compliance period, materially participate in the development and operation of the development. The applicant is required to complete the nonprofit questions beginning on row 100 of the Contact Information tab.</v>
      </c>
      <c r="C49" s="925"/>
      <c r="D49" s="925"/>
      <c r="E49" s="925"/>
      <c r="F49" s="925"/>
      <c r="G49" s="925"/>
      <c r="H49" s="925"/>
      <c r="I49" s="925"/>
      <c r="J49" s="158">
        <f>Calculations!B320</f>
        <v>0</v>
      </c>
    </row>
    <row r="50" spans="1:12" ht="15" customHeight="1">
      <c r="J50" s="158"/>
    </row>
    <row r="51" spans="1:12" ht="15" customHeight="1">
      <c r="B51" s="1" t="s">
        <v>530</v>
      </c>
      <c r="J51" s="163" t="s">
        <v>849</v>
      </c>
    </row>
    <row r="52" spans="1:12" s="155" customFormat="1" ht="27" customHeight="1">
      <c r="A52" s="88"/>
      <c r="B52" s="925" t="str">
        <f>Scoring!A36</f>
        <v>Projects serving Persons experiencing Homelessness or Special Populations. See Section 5.B.5 of the Allocation Plan for the definition and required documentation.</v>
      </c>
      <c r="C52" s="925"/>
      <c r="D52" s="925"/>
      <c r="E52" s="925"/>
      <c r="F52" s="925"/>
      <c r="G52" s="925"/>
      <c r="H52" s="925"/>
      <c r="I52" s="925"/>
      <c r="J52" s="158">
        <f>Calculations!B321</f>
        <v>15</v>
      </c>
    </row>
    <row r="53" spans="1:12" ht="15" customHeight="1">
      <c r="B53" s="170"/>
      <c r="C53" s="170"/>
      <c r="D53" s="170"/>
      <c r="E53" s="170"/>
      <c r="F53" s="170"/>
      <c r="G53" s="170"/>
      <c r="H53" s="170"/>
      <c r="J53" s="158"/>
    </row>
    <row r="54" spans="1:12" ht="15" customHeight="1">
      <c r="B54" s="1" t="s">
        <v>859</v>
      </c>
      <c r="C54" s="170"/>
      <c r="D54" s="170"/>
      <c r="E54" s="170"/>
      <c r="F54" s="170"/>
      <c r="G54" s="170"/>
      <c r="H54" s="170"/>
      <c r="J54" s="163" t="s">
        <v>849</v>
      </c>
    </row>
    <row r="55" spans="1:12" ht="15" customHeight="1">
      <c r="B55" s="925" t="str">
        <f>Scoring!A39</f>
        <v>Housing Authority Waitlist</v>
      </c>
      <c r="C55" s="925"/>
      <c r="D55" s="925"/>
      <c r="E55" s="925"/>
      <c r="F55" s="925"/>
      <c r="G55" s="925"/>
      <c r="H55" s="925"/>
      <c r="J55" s="158">
        <f>Calculations!B322</f>
        <v>0</v>
      </c>
    </row>
    <row r="56" spans="1:12" ht="15" customHeight="1">
      <c r="B56" s="170"/>
      <c r="C56" s="170"/>
      <c r="D56" s="170"/>
      <c r="E56" s="170"/>
      <c r="F56" s="170"/>
      <c r="G56" s="170"/>
      <c r="H56" s="170"/>
      <c r="J56" s="163" t="s">
        <v>860</v>
      </c>
    </row>
    <row r="57" spans="1:12" ht="15" customHeight="1">
      <c r="B57" s="171" t="s">
        <v>860</v>
      </c>
      <c r="C57" s="170"/>
      <c r="D57" s="170"/>
      <c r="E57" s="170"/>
      <c r="F57" s="170"/>
      <c r="G57" s="170"/>
      <c r="H57" s="170"/>
      <c r="J57" s="247">
        <f>Calculations!B323</f>
        <v>15</v>
      </c>
    </row>
    <row r="58" spans="1:12" ht="15" customHeight="1">
      <c r="B58" s="171"/>
      <c r="C58" s="170"/>
      <c r="D58" s="170"/>
      <c r="E58" s="170"/>
      <c r="F58" s="170"/>
      <c r="G58" s="170"/>
      <c r="H58" s="170"/>
      <c r="J58" s="163"/>
    </row>
    <row r="59" spans="1:12" customFormat="1">
      <c r="A59" s="928" t="s">
        <v>861</v>
      </c>
      <c r="B59" s="928"/>
      <c r="C59" s="928"/>
      <c r="D59" s="928"/>
      <c r="E59" s="928"/>
      <c r="F59" s="928"/>
      <c r="G59" s="928"/>
      <c r="H59" s="928"/>
      <c r="I59" s="928"/>
      <c r="J59" s="928"/>
      <c r="K59" s="928"/>
    </row>
    <row r="60" spans="1:12" s="9" customFormat="1">
      <c r="A60" s="172"/>
      <c r="B60" s="173" t="s">
        <v>862</v>
      </c>
      <c r="C60" s="172"/>
      <c r="D60" s="172"/>
      <c r="E60" s="172"/>
      <c r="F60" s="174" t="s">
        <v>863</v>
      </c>
      <c r="G60" s="174" t="s">
        <v>127</v>
      </c>
      <c r="H60" s="174" t="str">
        <f>IF(Calculations!$B$12, "TOC Credit", "")</f>
        <v/>
      </c>
      <c r="I60" s="172"/>
      <c r="J60" s="172"/>
      <c r="K60" s="172"/>
    </row>
    <row r="61" spans="1:12" customFormat="1">
      <c r="B61" s="164" t="s">
        <v>864</v>
      </c>
      <c r="F61" s="149">
        <f>Calculations!B444</f>
        <v>0</v>
      </c>
      <c r="G61" s="149" t="str">
        <f>Calculations!D444</f>
        <v/>
      </c>
      <c r="H61" s="149" t="str">
        <f>IF(Calculations!$B$12, Calculations!D444, "")</f>
        <v/>
      </c>
      <c r="L61" s="18"/>
    </row>
    <row r="62" spans="1:12" customFormat="1">
      <c r="B62" s="164" t="s">
        <v>865</v>
      </c>
      <c r="F62" s="149" t="e">
        <f>Calculations!B445</f>
        <v>#N/A</v>
      </c>
      <c r="G62" s="149" t="str">
        <f>Calculations!D445</f>
        <v/>
      </c>
      <c r="H62" t="str">
        <f>IF(Calculations!$B$12, Calculations!D445, "")</f>
        <v/>
      </c>
    </row>
    <row r="63" spans="1:12" customFormat="1">
      <c r="B63" s="164" t="s">
        <v>866</v>
      </c>
      <c r="F63" s="149">
        <f>Calculations!B446</f>
        <v>0</v>
      </c>
      <c r="G63" s="149" t="str">
        <f>Calculations!D446</f>
        <v/>
      </c>
      <c r="H63" s="149" t="str">
        <f>IF(Calculations!$B$12, Calculations!D446, "")</f>
        <v/>
      </c>
      <c r="I63" s="10" t="s">
        <v>867</v>
      </c>
    </row>
    <row r="64" spans="1:12" customFormat="1">
      <c r="D64" s="147"/>
      <c r="E64" s="127" t="s">
        <v>868</v>
      </c>
      <c r="F64" s="146" t="e">
        <f>Calculations!B447</f>
        <v>#N/A</v>
      </c>
      <c r="G64" s="146" t="str">
        <f>Calculations!D447</f>
        <v/>
      </c>
      <c r="H64" s="146" t="str">
        <f>IF(Calculations!$B$12, Calculations!D447, "")</f>
        <v/>
      </c>
    </row>
    <row r="65" spans="1:11" customFormat="1">
      <c r="B65" s="513" t="s">
        <v>869</v>
      </c>
      <c r="E65" s="121"/>
      <c r="F65" s="149"/>
    </row>
    <row r="66" spans="1:11" customFormat="1">
      <c r="B66" s="164" t="s">
        <v>870</v>
      </c>
      <c r="E66" s="121"/>
      <c r="F66" s="175">
        <f>Calculations!B459</f>
        <v>1</v>
      </c>
      <c r="G66" s="271" t="str">
        <f>Calculations!C519</f>
        <v/>
      </c>
      <c r="H66" s="271" t="str">
        <f>IF(Calculations!$B$12, Calculations!C519, "")</f>
        <v/>
      </c>
    </row>
    <row r="67" spans="1:11" customFormat="1">
      <c r="B67" s="164" t="s">
        <v>871</v>
      </c>
      <c r="E67" s="121"/>
      <c r="F67" s="176">
        <f>Calculations!B461</f>
        <v>0</v>
      </c>
      <c r="G67" s="176" t="str">
        <f>Calculations!C521</f>
        <v/>
      </c>
      <c r="H67" s="176" t="str">
        <f>IF(Calculations!$B$12, Calculations!C521, "")</f>
        <v/>
      </c>
    </row>
    <row r="68" spans="1:11" customFormat="1">
      <c r="B68" s="164" t="s">
        <v>872</v>
      </c>
      <c r="E68" s="121"/>
      <c r="F68" s="177">
        <f>Calculations!B463</f>
        <v>0.04</v>
      </c>
      <c r="G68" s="177" t="str">
        <f>Calculations!C523</f>
        <v/>
      </c>
      <c r="H68" s="177" t="str">
        <f>IF(Calculations!$B$12, Calculations!C573, "")</f>
        <v/>
      </c>
    </row>
    <row r="69" spans="1:11" customFormat="1">
      <c r="D69" s="147"/>
      <c r="E69" s="127" t="s">
        <v>873</v>
      </c>
      <c r="F69" s="146" t="e">
        <f>Calculations!B473</f>
        <v>#N/A</v>
      </c>
      <c r="G69" s="268" t="str">
        <f>Calculations!C526</f>
        <v/>
      </c>
      <c r="H69" s="268" t="str">
        <f>IF(Calculations!$B$12, Calculations!C576, "")</f>
        <v/>
      </c>
    </row>
    <row r="70" spans="1:11" customFormat="1">
      <c r="E70" s="121"/>
      <c r="F70" s="149"/>
    </row>
    <row r="71" spans="1:11" customFormat="1">
      <c r="A71" s="172"/>
      <c r="B71" s="173" t="s">
        <v>874</v>
      </c>
      <c r="C71" s="172"/>
      <c r="D71" s="172"/>
      <c r="E71" s="172"/>
      <c r="F71" s="174" t="s">
        <v>863</v>
      </c>
      <c r="G71" s="174" t="s">
        <v>127</v>
      </c>
      <c r="H71" s="174" t="str">
        <f>IF(Calculations!$B$12, "TOC Credit", "")</f>
        <v/>
      </c>
      <c r="I71" s="172"/>
      <c r="J71" s="172"/>
      <c r="K71" s="172"/>
    </row>
    <row r="72" spans="1:11" customFormat="1">
      <c r="B72" s="164" t="s">
        <v>875</v>
      </c>
      <c r="F72" s="148">
        <f>Calculations!B476</f>
        <v>0</v>
      </c>
      <c r="G72" s="148" t="str">
        <f>Calculations!C529</f>
        <v/>
      </c>
      <c r="H72" s="148" t="str">
        <f>Calculations!C579</f>
        <v/>
      </c>
    </row>
    <row r="73" spans="1:11" customFormat="1">
      <c r="B73" s="164" t="s">
        <v>4249</v>
      </c>
      <c r="F73" s="148"/>
      <c r="G73" s="148" t="str">
        <f>IFERROR(-1*Calculations!C531,"")</f>
        <v/>
      </c>
      <c r="H73" s="148"/>
    </row>
    <row r="74" spans="1:11" customFormat="1">
      <c r="B74" s="164" t="s">
        <v>876</v>
      </c>
      <c r="F74" s="148">
        <f>-1*Calculations!B477</f>
        <v>0</v>
      </c>
      <c r="G74" s="148" t="str">
        <f>IFERROR(-1*Calculations!C530,"")</f>
        <v/>
      </c>
      <c r="H74" s="148" t="str">
        <f>Calculations!C580</f>
        <v/>
      </c>
    </row>
    <row r="75" spans="1:11" customFormat="1">
      <c r="B75" s="1"/>
      <c r="D75" s="147"/>
      <c r="E75" s="127" t="s">
        <v>877</v>
      </c>
      <c r="F75" s="146">
        <f>Calculations!B478</f>
        <v>0</v>
      </c>
      <c r="G75" s="146" t="str">
        <f>Calculations!C532</f>
        <v/>
      </c>
      <c r="H75" s="146" t="str">
        <f>Calculations!C582</f>
        <v/>
      </c>
    </row>
    <row r="76" spans="1:11" customFormat="1">
      <c r="B76" s="513" t="s">
        <v>878</v>
      </c>
      <c r="E76" s="121"/>
      <c r="F76" s="149"/>
      <c r="G76" s="149"/>
      <c r="H76" s="149"/>
    </row>
    <row r="77" spans="1:11" customFormat="1">
      <c r="B77" s="164" t="s">
        <v>879</v>
      </c>
      <c r="E77" s="121"/>
      <c r="F77" s="269">
        <f>Calculations!B479</f>
        <v>0</v>
      </c>
      <c r="G77" s="269" t="str">
        <f>Calculations!C533</f>
        <v/>
      </c>
      <c r="H77" s="269" t="str">
        <f>Calculations!C583</f>
        <v/>
      </c>
    </row>
    <row r="78" spans="1:11" customFormat="1">
      <c r="D78" s="147"/>
      <c r="E78" s="127" t="s">
        <v>880</v>
      </c>
      <c r="F78" s="146">
        <f>Calculations!B480</f>
        <v>0</v>
      </c>
      <c r="G78" s="146" t="str">
        <f>Calculations!C534</f>
        <v/>
      </c>
      <c r="H78" s="146" t="str">
        <f>Calculations!C584</f>
        <v/>
      </c>
    </row>
    <row r="79" spans="1:11" customFormat="1"/>
    <row r="80" spans="1:11" customFormat="1">
      <c r="A80" s="172"/>
      <c r="B80" s="173" t="s">
        <v>881</v>
      </c>
      <c r="C80" s="172"/>
      <c r="D80" s="172"/>
      <c r="E80" s="172"/>
      <c r="F80" s="174" t="s">
        <v>863</v>
      </c>
      <c r="G80" s="174" t="s">
        <v>127</v>
      </c>
      <c r="H80" s="174" t="str">
        <f>IF(Calculations!$B$12, "TOC Credit", "")</f>
        <v/>
      </c>
      <c r="I80" s="172"/>
      <c r="J80" s="172"/>
      <c r="K80" s="172"/>
    </row>
    <row r="81" spans="1:11" customFormat="1">
      <c r="A81" s="150"/>
      <c r="B81" s="178" t="s">
        <v>882</v>
      </c>
      <c r="C81" s="178" t="s">
        <v>883</v>
      </c>
      <c r="D81" s="101" t="s">
        <v>884</v>
      </c>
      <c r="E81" s="178"/>
      <c r="F81" s="179" t="s">
        <v>885</v>
      </c>
      <c r="G81" s="179" t="s">
        <v>885</v>
      </c>
      <c r="H81" s="179" t="str">
        <f>IF(Calculations!$B$12, "Cost Basis", "")</f>
        <v/>
      </c>
    </row>
    <row r="82" spans="1:11" customFormat="1">
      <c r="B82" s="150" t="str">
        <f>Calculations!A488</f>
        <v>0 bedroom</v>
      </c>
      <c r="C82" s="150">
        <f>Calculations!B488</f>
        <v>0</v>
      </c>
      <c r="D82" s="149">
        <f>Calculations!D488</f>
        <v>0</v>
      </c>
      <c r="F82" s="149">
        <f>Calculations!E488</f>
        <v>0</v>
      </c>
      <c r="G82" s="149" t="str">
        <f>Calculations!F542</f>
        <v/>
      </c>
      <c r="H82" s="149" t="str">
        <f>Calculations!F592</f>
        <v/>
      </c>
    </row>
    <row r="83" spans="1:11" customFormat="1">
      <c r="B83" s="150" t="str">
        <f>Calculations!A489</f>
        <v>1 bedroom</v>
      </c>
      <c r="C83" s="150">
        <f>Calculations!B489</f>
        <v>0</v>
      </c>
      <c r="D83" s="149">
        <f>Calculations!D489</f>
        <v>0</v>
      </c>
      <c r="F83" s="149">
        <f>Calculations!E489</f>
        <v>0</v>
      </c>
      <c r="G83" s="149" t="str">
        <f>Calculations!F543</f>
        <v/>
      </c>
      <c r="H83" s="149" t="str">
        <f>Calculations!F593</f>
        <v/>
      </c>
    </row>
    <row r="84" spans="1:11" customFormat="1">
      <c r="B84" s="150" t="str">
        <f>Calculations!A490</f>
        <v>2 bedroom</v>
      </c>
      <c r="C84" s="150">
        <f>Calculations!B490</f>
        <v>0</v>
      </c>
      <c r="D84" s="149">
        <f>Calculations!D490</f>
        <v>0</v>
      </c>
      <c r="F84" s="149">
        <f>Calculations!E490</f>
        <v>0</v>
      </c>
      <c r="G84" s="149" t="str">
        <f>Calculations!F544</f>
        <v/>
      </c>
      <c r="H84" s="149" t="str">
        <f>Calculations!F594</f>
        <v/>
      </c>
    </row>
    <row r="85" spans="1:11" customFormat="1">
      <c r="B85" s="150" t="str">
        <f>Calculations!A491</f>
        <v>3 bedroom</v>
      </c>
      <c r="C85" s="150">
        <f>Calculations!B491</f>
        <v>0</v>
      </c>
      <c r="D85" s="149">
        <f>Calculations!D491</f>
        <v>0</v>
      </c>
      <c r="F85" s="149">
        <f>Calculations!E491</f>
        <v>0</v>
      </c>
      <c r="G85" s="149" t="str">
        <f>Calculations!F545</f>
        <v/>
      </c>
      <c r="H85" s="149" t="str">
        <f>Calculations!F595</f>
        <v/>
      </c>
    </row>
    <row r="86" spans="1:11" customFormat="1">
      <c r="B86" s="150" t="str">
        <f>Calculations!A492</f>
        <v>4 bedroom</v>
      </c>
      <c r="C86" s="150">
        <f>Calculations!B492</f>
        <v>0</v>
      </c>
      <c r="D86" s="149">
        <f>Calculations!D492</f>
        <v>0</v>
      </c>
      <c r="F86" s="149">
        <f>Calculations!E492</f>
        <v>0</v>
      </c>
      <c r="G86" s="149" t="str">
        <f>Calculations!F546</f>
        <v/>
      </c>
      <c r="H86" s="149" t="str">
        <f>Calculations!F596</f>
        <v/>
      </c>
    </row>
    <row r="87" spans="1:11" customFormat="1">
      <c r="B87" s="150" t="str">
        <f>Calculations!A493</f>
        <v>5 bedroom</v>
      </c>
      <c r="C87" s="150">
        <f>Calculations!B493</f>
        <v>0</v>
      </c>
      <c r="D87" s="149">
        <f>Calculations!D493</f>
        <v>0</v>
      </c>
      <c r="F87" s="149">
        <f>Calculations!E493</f>
        <v>0</v>
      </c>
      <c r="G87" s="149" t="str">
        <f>Calculations!F547</f>
        <v/>
      </c>
      <c r="H87" s="149" t="str">
        <f>Calculations!F597</f>
        <v/>
      </c>
    </row>
    <row r="88" spans="1:11" customFormat="1">
      <c r="B88" s="150"/>
      <c r="C88" s="150"/>
      <c r="D88" s="147"/>
      <c r="E88" s="127" t="s">
        <v>886</v>
      </c>
      <c r="F88" s="146">
        <f>Calculations!E494</f>
        <v>0</v>
      </c>
      <c r="G88" s="146" t="str">
        <f>Calculations!F548</f>
        <v/>
      </c>
      <c r="H88" s="146" t="str">
        <f>Calculations!F598</f>
        <v/>
      </c>
    </row>
    <row r="89" spans="1:11" customFormat="1">
      <c r="B89" s="513" t="s">
        <v>869</v>
      </c>
      <c r="E89" s="121"/>
      <c r="F89" s="149"/>
    </row>
    <row r="90" spans="1:11" customFormat="1">
      <c r="B90" s="164" t="s">
        <v>870</v>
      </c>
      <c r="E90" s="121"/>
      <c r="F90" s="175">
        <f>Calculations!B497</f>
        <v>1</v>
      </c>
      <c r="G90" s="175" t="str">
        <f>Calculations!C551</f>
        <v/>
      </c>
      <c r="H90" s="175" t="str">
        <f>IF(Calculations!$B$564,Calculations!B551, "")</f>
        <v/>
      </c>
    </row>
    <row r="91" spans="1:11" customFormat="1">
      <c r="B91" s="164" t="s">
        <v>871</v>
      </c>
      <c r="E91" s="121"/>
      <c r="F91" s="176">
        <f>Calculations!B498</f>
        <v>0</v>
      </c>
      <c r="G91" s="176" t="str">
        <f>Calculations!C552</f>
        <v/>
      </c>
      <c r="H91" s="176" t="str">
        <f>IF(Calculations!$B$564,Calculations!B552,"")</f>
        <v/>
      </c>
    </row>
    <row r="92" spans="1:11" customFormat="1">
      <c r="B92" s="164" t="s">
        <v>872</v>
      </c>
      <c r="E92" s="121"/>
      <c r="F92" s="177">
        <f>Calculations!B500</f>
        <v>0.04</v>
      </c>
      <c r="G92" s="177" t="str">
        <f>Calculations!C554</f>
        <v/>
      </c>
      <c r="H92" s="177" t="str">
        <f>IF(Calculations!$B$564, Calculations!B554, "")</f>
        <v/>
      </c>
    </row>
    <row r="93" spans="1:11" customFormat="1">
      <c r="D93" s="147"/>
      <c r="E93" s="127" t="s">
        <v>887</v>
      </c>
      <c r="F93" s="146">
        <f>Calculations!B501</f>
        <v>0</v>
      </c>
      <c r="G93" s="146" t="str">
        <f>Calculations!C555</f>
        <v/>
      </c>
      <c r="H93" s="146" t="str">
        <f>IF(Calculations!$B$564, Calculations!B605, "")</f>
        <v/>
      </c>
      <c r="I93" t="str">
        <f>Calculations!D501</f>
        <v/>
      </c>
    </row>
    <row r="94" spans="1:11" customFormat="1">
      <c r="E94" s="121"/>
      <c r="F94" s="149"/>
      <c r="G94" s="149"/>
    </row>
    <row r="95" spans="1:11" customFormat="1">
      <c r="A95" s="172"/>
      <c r="B95" s="173" t="s">
        <v>888</v>
      </c>
      <c r="C95" s="172"/>
      <c r="D95" s="172"/>
      <c r="E95" s="172"/>
      <c r="F95" s="174" t="s">
        <v>863</v>
      </c>
      <c r="G95" s="174" t="s">
        <v>127</v>
      </c>
      <c r="H95" s="174" t="str">
        <f>IF(Calculations!$B$12, "TOC Credit", "")</f>
        <v/>
      </c>
      <c r="I95" s="172"/>
      <c r="J95" s="172"/>
      <c r="K95" s="172"/>
    </row>
    <row r="96" spans="1:11" customFormat="1">
      <c r="E96" s="121" t="s">
        <v>889</v>
      </c>
      <c r="F96" s="149" t="e">
        <f>Calculations!B506</f>
        <v>#N/A</v>
      </c>
      <c r="G96" s="149">
        <f>Calculations!B627</f>
        <v>0</v>
      </c>
      <c r="H96" s="149" t="str">
        <f>IF(Calculations!B12, Calculations!C627, "")</f>
        <v/>
      </c>
    </row>
    <row r="97" spans="1:13" customFormat="1">
      <c r="E97" s="121" t="s">
        <v>890</v>
      </c>
      <c r="F97" s="149">
        <f>Calculations!B507</f>
        <v>0</v>
      </c>
      <c r="G97" s="150" t="s">
        <v>891</v>
      </c>
      <c r="H97" s="150" t="str">
        <f>IF(Calculations!B12, "N/A", "")</f>
        <v/>
      </c>
    </row>
    <row r="98" spans="1:13" customFormat="1">
      <c r="D98" s="147"/>
      <c r="E98" s="127" t="s">
        <v>888</v>
      </c>
      <c r="F98" s="146" t="e">
        <f>Calculations!B510</f>
        <v>#N/A</v>
      </c>
      <c r="G98" s="146">
        <f>Calculations!B627</f>
        <v>0</v>
      </c>
      <c r="H98" s="146" t="str">
        <f>IF(Calculations!B12,Calculations!C627,"")</f>
        <v/>
      </c>
    </row>
    <row r="99" spans="1:13">
      <c r="J99" s="1"/>
    </row>
    <row r="100" spans="1:13">
      <c r="A100" s="928" t="s">
        <v>892</v>
      </c>
      <c r="B100" s="928"/>
      <c r="C100" s="928"/>
      <c r="D100" s="928"/>
      <c r="E100" s="928"/>
      <c r="F100" s="928"/>
      <c r="G100" s="928"/>
      <c r="H100" s="928"/>
      <c r="I100" s="928"/>
      <c r="J100" s="928"/>
      <c r="K100" s="928"/>
      <c r="M100"/>
    </row>
    <row r="101" spans="1:13">
      <c r="J101" s="1"/>
    </row>
    <row r="102" spans="1:13" ht="30">
      <c r="A102" s="155"/>
      <c r="B102" s="74" t="s">
        <v>892</v>
      </c>
      <c r="C102" s="74"/>
      <c r="D102" s="74" t="s">
        <v>893</v>
      </c>
      <c r="E102" s="74" t="s">
        <v>894</v>
      </c>
      <c r="F102" s="155"/>
      <c r="G102" s="155"/>
      <c r="H102" s="155"/>
      <c r="I102" s="155"/>
      <c r="J102" s="155"/>
    </row>
    <row r="103" spans="1:13" ht="15" customHeight="1">
      <c r="B103" s="84" t="s">
        <v>895</v>
      </c>
      <c r="C103" s="1"/>
      <c r="D103" s="167">
        <f>Calculations!L64</f>
        <v>0</v>
      </c>
      <c r="E103" s="180">
        <f>Calculations!M64</f>
        <v>0</v>
      </c>
    </row>
    <row r="104" spans="1:13" ht="15" customHeight="1">
      <c r="B104" s="84" t="s">
        <v>327</v>
      </c>
      <c r="C104" s="1"/>
      <c r="D104" s="167">
        <f>Calculations!L65</f>
        <v>0</v>
      </c>
      <c r="E104" s="180">
        <f>Calculations!M65</f>
        <v>0</v>
      </c>
    </row>
    <row r="105" spans="1:13" ht="15" customHeight="1">
      <c r="B105" s="84" t="s">
        <v>896</v>
      </c>
      <c r="C105" s="1"/>
      <c r="D105" s="167">
        <f>Calculations!L66</f>
        <v>0</v>
      </c>
      <c r="E105" s="180">
        <f>Calculations!M66</f>
        <v>0</v>
      </c>
    </row>
    <row r="106" spans="1:13" ht="15" customHeight="1">
      <c r="B106" s="84" t="s">
        <v>329</v>
      </c>
      <c r="C106" s="1"/>
      <c r="D106" s="167">
        <f>Calculations!L67</f>
        <v>0</v>
      </c>
      <c r="E106" s="180">
        <f>Calculations!M67</f>
        <v>0</v>
      </c>
    </row>
    <row r="107" spans="1:13" ht="15" customHeight="1">
      <c r="B107" s="164" t="s">
        <v>330</v>
      </c>
      <c r="C107" s="1"/>
      <c r="D107" s="167">
        <f>Calculations!L68</f>
        <v>0</v>
      </c>
      <c r="E107" s="180">
        <f>Calculations!M68</f>
        <v>0</v>
      </c>
    </row>
    <row r="108" spans="1:13" ht="15" customHeight="1">
      <c r="B108" s="164" t="s">
        <v>897</v>
      </c>
      <c r="C108" s="164"/>
      <c r="D108" s="167">
        <f>Calculations!L69</f>
        <v>0</v>
      </c>
      <c r="E108" s="181">
        <f>Calculations!M69</f>
        <v>0</v>
      </c>
    </row>
    <row r="109" spans="1:13" ht="15" customHeight="1">
      <c r="B109" s="1" t="s">
        <v>898</v>
      </c>
      <c r="C109" s="1"/>
      <c r="D109" s="167">
        <f>Calculations!L70</f>
        <v>0</v>
      </c>
      <c r="E109" s="180">
        <f>Calculations!M70</f>
        <v>0</v>
      </c>
    </row>
    <row r="110" spans="1:13" ht="15" customHeight="1">
      <c r="B110" s="1"/>
      <c r="C110" s="1"/>
      <c r="D110" s="167"/>
      <c r="E110" s="180"/>
    </row>
    <row r="111" spans="1:13">
      <c r="A111" s="928" t="s">
        <v>899</v>
      </c>
      <c r="B111" s="928"/>
      <c r="C111" s="928"/>
      <c r="D111" s="928"/>
      <c r="E111" s="928"/>
      <c r="F111" s="928"/>
      <c r="G111" s="928"/>
      <c r="H111" s="928"/>
      <c r="I111" s="928"/>
      <c r="J111" s="928"/>
      <c r="K111" s="928"/>
    </row>
    <row r="112" spans="1:13">
      <c r="K112" s="67" t="s">
        <v>900</v>
      </c>
    </row>
    <row r="113" spans="2:11" ht="30" customHeight="1">
      <c r="B113" s="103"/>
      <c r="C113" s="104" t="s">
        <v>899</v>
      </c>
      <c r="D113" s="135" t="s">
        <v>397</v>
      </c>
      <c r="E113" s="136" t="s">
        <v>901</v>
      </c>
      <c r="F113" s="103"/>
      <c r="G113" s="103"/>
      <c r="H113" s="103"/>
      <c r="I113" s="103"/>
      <c r="J113" s="103"/>
      <c r="K113" s="103"/>
    </row>
    <row r="114" spans="2:11">
      <c r="C114" s="67" t="str">
        <f>Calculations!F840</f>
        <v>4%  Non Competitive Application Fee</v>
      </c>
      <c r="D114" s="189">
        <f>Calculations!G840</f>
        <v>15000</v>
      </c>
      <c r="E114" s="73" t="str">
        <f>Calculations!H840</f>
        <v>For Federal &amp; State Annual Credit (if applicable)</v>
      </c>
    </row>
    <row r="115" spans="2:11">
      <c r="B115"/>
      <c r="C115" s="67" t="str">
        <f>Calculations!F841</f>
        <v>4%  Non Competitive Initial Determination Fee</v>
      </c>
      <c r="D115" s="189" t="e">
        <f>Calculations!G841</f>
        <v>#N/A</v>
      </c>
      <c r="E115" s="73" t="str">
        <f>Calculations!H841</f>
        <v>For Federal and State (if applicable)</v>
      </c>
      <c r="G115" s="190"/>
      <c r="H115" s="190"/>
      <c r="I115" s="190"/>
      <c r="J115" s="190"/>
      <c r="K115" s="190"/>
    </row>
    <row r="116" spans="2:11" ht="30" customHeight="1">
      <c r="B116"/>
      <c r="C116" s="191" t="str">
        <f>Calculations!F842</f>
        <v>4%  Non Competitive Final Application Fee</v>
      </c>
      <c r="D116" s="189" t="e">
        <f>Calculations!G842</f>
        <v>#N/A</v>
      </c>
      <c r="E116" s="922" t="str">
        <f>Calculations!H842</f>
        <v>(Not applicable to developments that received a Carryover Allocation and paid a Carryover Application Fee)</v>
      </c>
      <c r="F116" s="922"/>
      <c r="G116" s="922"/>
      <c r="H116" s="922"/>
      <c r="I116" s="922"/>
      <c r="J116" s="922"/>
      <c r="K116" s="9"/>
    </row>
    <row r="117" spans="2:11" ht="21" customHeight="1">
      <c r="B117"/>
      <c r="C117" s="191" t="str">
        <f>Calculations!F843</f>
        <v>State Milestone Fee</v>
      </c>
      <c r="D117" s="505" t="str">
        <f>Calculations!G843</f>
        <v>#N/A</v>
      </c>
      <c r="E117" s="514"/>
      <c r="F117" s="514"/>
      <c r="G117" s="514"/>
      <c r="H117" s="514"/>
      <c r="I117" s="514"/>
      <c r="J117" s="514"/>
      <c r="K117" s="9"/>
    </row>
    <row r="118" spans="2:11" ht="21" customHeight="1">
      <c r="B118"/>
      <c r="C118" s="191" t="s">
        <v>4214</v>
      </c>
      <c r="D118" s="505">
        <f>Calculations!B862</f>
        <v>0</v>
      </c>
      <c r="E118" s="514"/>
      <c r="F118" s="514"/>
      <c r="G118" s="514"/>
      <c r="H118" s="514"/>
      <c r="I118" s="514"/>
      <c r="J118" s="514"/>
      <c r="K118" s="9"/>
    </row>
    <row r="119" spans="2:11" ht="75.75" customHeight="1">
      <c r="B119" s="186"/>
      <c r="C119" s="270" t="str">
        <f>Calculations!A858</f>
        <v>Compliance Monitoring Fee</v>
      </c>
      <c r="D119" s="189">
        <f>Calculations!G844</f>
        <v>0</v>
      </c>
      <c r="E119" s="923" t="str">
        <f>Calculations!A859</f>
        <v>Compliance Monitoring Fee is automatically calculated.  The Fee for projects receiving a reservation from 2016 on is $500 per low income &amp; employee unit. This Fee is due with the Placed-In-Service (PIS) or with the Final Application whichever occurs first.</v>
      </c>
      <c r="F119" s="923"/>
      <c r="G119" s="923"/>
      <c r="H119" s="923"/>
      <c r="I119" s="923"/>
      <c r="J119" s="923"/>
      <c r="K119" s="297"/>
    </row>
    <row r="120" spans="2:11">
      <c r="B120" s="102"/>
      <c r="C120" s="121" t="s">
        <v>902</v>
      </c>
      <c r="D120" s="132" t="e">
        <f>Calculations!G845</f>
        <v>#N/A</v>
      </c>
      <c r="E120" s="189"/>
      <c r="F120" s="190"/>
      <c r="G120" s="190"/>
      <c r="H120" s="190"/>
      <c r="I120" s="190"/>
      <c r="J120" s="190"/>
      <c r="K120" s="190"/>
    </row>
  </sheetData>
  <sheetProtection algorithmName="SHA-512" hashValue="zNfMLgJhziPs03q+cR715YTfP0KOukaauxiEKYRO1PKD3bGAMpfKYArUVNqCenx+mRnvDu7zY6AcAc5PBHiaoA==" saltValue="3f3/QSuHbmd82cbyfQ5Czw==" spinCount="100000" sheet="1" objects="1" scenarios="1"/>
  <mergeCells count="22">
    <mergeCell ref="A1:K1"/>
    <mergeCell ref="A8:K8"/>
    <mergeCell ref="A111:K111"/>
    <mergeCell ref="A13:K13"/>
    <mergeCell ref="B27:I27"/>
    <mergeCell ref="B36:I36"/>
    <mergeCell ref="B40:I40"/>
    <mergeCell ref="B42:I42"/>
    <mergeCell ref="B49:I49"/>
    <mergeCell ref="B55:H55"/>
    <mergeCell ref="A59:K59"/>
    <mergeCell ref="B43:I43"/>
    <mergeCell ref="B44:I44"/>
    <mergeCell ref="A100:K100"/>
    <mergeCell ref="B37:I37"/>
    <mergeCell ref="B46:I46"/>
    <mergeCell ref="E116:J116"/>
    <mergeCell ref="E119:J119"/>
    <mergeCell ref="B45:I45"/>
    <mergeCell ref="B52:I52"/>
    <mergeCell ref="B16:D18"/>
    <mergeCell ref="B19:D19"/>
  </mergeCells>
  <dataValidations disablePrompts="1" count="1">
    <dataValidation type="list" allowBlank="1" showInputMessage="1" showErrorMessage="1" errorTitle="Application Stage" error="Please select a valid value for Application Stage." sqref="G5" xr:uid="{00000000-0002-0000-0900-000000000000}">
      <formula1>#REF!</formula1>
    </dataValidation>
  </dataValidations>
  <hyperlinks>
    <hyperlink ref="A13:J13" location="Scoring!A1" display="Scoring Details" xr:uid="{00000000-0004-0000-0900-000000000000}"/>
    <hyperlink ref="A59:J59" location="'Development Budget'!A1" display="Determination of Annual Tax Credit Amount" xr:uid="{00000000-0004-0000-0900-000001000000}"/>
    <hyperlink ref="A100:J100" location="Application!A1" display="Population Served" xr:uid="{00000000-0004-0000-0900-000002000000}"/>
    <hyperlink ref="A8:J8" location="Scoring!A1" display="Scoring Details" xr:uid="{00000000-0004-0000-0900-000004000000}"/>
    <hyperlink ref="A8:K8" location="Application!A1" display="Property Information" xr:uid="{00000000-0004-0000-0900-000005000000}"/>
  </hyperlinks>
  <pageMargins left="0.25" right="0.25" top="0.5" bottom="0.25" header="0.55000000000000004" footer="0"/>
  <pageSetup scale="65" orientation="portrait" horizontalDpi="300" r:id="rId1"/>
  <headerFooter>
    <oddHeader>&amp;R&amp;G</oddHeader>
  </headerFooter>
  <rowBreaks count="2" manualBreakCount="2">
    <brk id="58" max="11" man="1"/>
    <brk id="110" max="11"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C000"/>
  </sheetPr>
  <dimension ref="A1:M335"/>
  <sheetViews>
    <sheetView showGridLines="0" zoomScaleNormal="100" zoomScaleSheetLayoutView="112" workbookViewId="0">
      <selection sqref="A1:K1"/>
    </sheetView>
  </sheetViews>
  <sheetFormatPr defaultColWidth="9" defaultRowHeight="15"/>
  <cols>
    <col min="1" max="1" width="0.5703125" customWidth="1"/>
    <col min="2" max="2" width="21" customWidth="1"/>
    <col min="3" max="3" width="12.5703125" customWidth="1"/>
    <col min="4" max="4" width="13" customWidth="1"/>
    <col min="5" max="6" width="12.5703125" customWidth="1"/>
    <col min="7" max="7" width="27" customWidth="1"/>
    <col min="8" max="10" width="12.5703125" customWidth="1"/>
    <col min="11" max="11" width="8" customWidth="1"/>
    <col min="12" max="12" width="16" customWidth="1"/>
  </cols>
  <sheetData>
    <row r="1" spans="1:11">
      <c r="A1" s="928" t="s">
        <v>63</v>
      </c>
      <c r="B1" s="928"/>
      <c r="C1" s="928"/>
      <c r="D1" s="928"/>
      <c r="E1" s="928"/>
      <c r="F1" s="928"/>
      <c r="G1" s="928"/>
      <c r="H1" s="928"/>
      <c r="I1" s="928"/>
      <c r="J1" s="928"/>
      <c r="K1" s="928"/>
    </row>
    <row r="2" spans="1:11">
      <c r="A2" s="340"/>
      <c r="B2" s="340"/>
      <c r="C2" s="340"/>
      <c r="D2" s="340"/>
      <c r="E2" s="340"/>
      <c r="F2" s="340"/>
      <c r="G2" s="340"/>
      <c r="H2" s="340"/>
      <c r="I2" s="340"/>
      <c r="J2" s="340"/>
      <c r="K2" s="340"/>
    </row>
    <row r="3" spans="1:11">
      <c r="B3" s="1" t="s">
        <v>903</v>
      </c>
      <c r="C3" s="73" t="str">
        <f ca="1">'Contact Summary'!B4</f>
        <v/>
      </c>
    </row>
    <row r="4" spans="1:11">
      <c r="B4" s="1" t="s">
        <v>839</v>
      </c>
      <c r="C4" s="73">
        <f>Application!B29</f>
        <v>0</v>
      </c>
      <c r="K4" s="1"/>
    </row>
    <row r="5" spans="1:11">
      <c r="B5" s="1" t="s">
        <v>904</v>
      </c>
      <c r="C5" s="73">
        <f>Application!B30</f>
        <v>0</v>
      </c>
      <c r="K5" s="1"/>
    </row>
    <row r="6" spans="1:11">
      <c r="B6" s="1" t="s">
        <v>243</v>
      </c>
      <c r="C6" s="73">
        <f>Application!B31</f>
        <v>0</v>
      </c>
      <c r="K6" s="1"/>
    </row>
    <row r="7" spans="1:11">
      <c r="B7" s="1" t="s">
        <v>804</v>
      </c>
      <c r="C7" s="73">
        <f>Application!B32</f>
        <v>0</v>
      </c>
      <c r="K7" s="1"/>
    </row>
    <row r="8" spans="1:11">
      <c r="B8" s="1" t="s">
        <v>244</v>
      </c>
      <c r="C8" s="73">
        <f>Application!B33</f>
        <v>0</v>
      </c>
      <c r="K8" s="1"/>
    </row>
    <row r="9" spans="1:11">
      <c r="B9" s="1" t="s">
        <v>228</v>
      </c>
      <c r="C9" s="73">
        <f>Application!B13</f>
        <v>0</v>
      </c>
      <c r="D9" s="73"/>
      <c r="I9" s="1"/>
      <c r="J9" s="152"/>
      <c r="K9" s="1"/>
    </row>
    <row r="10" spans="1:11">
      <c r="B10" s="1" t="s">
        <v>225</v>
      </c>
      <c r="C10" s="73">
        <f>Application!B10</f>
        <v>0</v>
      </c>
      <c r="D10" s="73"/>
      <c r="I10" s="1"/>
      <c r="J10" s="152"/>
      <c r="K10" s="1"/>
    </row>
    <row r="11" spans="1:11">
      <c r="B11" s="1" t="s">
        <v>219</v>
      </c>
      <c r="C11" s="73">
        <f>Application!B6</f>
        <v>0</v>
      </c>
      <c r="D11" s="73"/>
      <c r="I11" s="1"/>
      <c r="J11" s="152"/>
      <c r="K11" s="1"/>
    </row>
    <row r="12" spans="1:11">
      <c r="B12" s="1"/>
      <c r="C12" s="73"/>
      <c r="D12" s="73"/>
      <c r="I12" s="1"/>
      <c r="J12" s="152"/>
      <c r="K12" s="1"/>
    </row>
    <row r="13" spans="1:11">
      <c r="A13" s="928" t="s">
        <v>905</v>
      </c>
      <c r="B13" s="928"/>
      <c r="C13" s="928"/>
      <c r="D13" s="928"/>
      <c r="E13" s="928"/>
      <c r="F13" s="928"/>
      <c r="G13" s="928"/>
      <c r="H13" s="928"/>
      <c r="I13" s="928"/>
      <c r="J13" s="928"/>
      <c r="K13" s="928"/>
    </row>
    <row r="14" spans="1:11">
      <c r="A14" s="340"/>
      <c r="B14" s="340"/>
      <c r="C14" s="340"/>
      <c r="D14" s="340"/>
      <c r="E14" s="340"/>
      <c r="F14" s="340"/>
      <c r="G14" s="340"/>
      <c r="H14" s="340"/>
      <c r="I14" s="340"/>
      <c r="J14" s="340"/>
      <c r="K14" s="340"/>
    </row>
    <row r="15" spans="1:11">
      <c r="E15" s="374" t="s">
        <v>906</v>
      </c>
    </row>
    <row r="16" spans="1:11">
      <c r="C16" s="124" t="s">
        <v>907</v>
      </c>
      <c r="D16" s="342">
        <f>Calculations!H60</f>
        <v>0</v>
      </c>
      <c r="E16" s="70" t="e">
        <f>Calculations!O49</f>
        <v>#DIV/0!</v>
      </c>
      <c r="G16" s="114"/>
      <c r="H16" s="114" t="s">
        <v>908</v>
      </c>
      <c r="I16">
        <f>Calculations!F3</f>
        <v>0</v>
      </c>
    </row>
    <row r="17" spans="2:11">
      <c r="C17" s="114" t="s">
        <v>909</v>
      </c>
      <c r="D17" s="342">
        <f>Calculations!M53</f>
        <v>0</v>
      </c>
      <c r="E17" s="70" t="e">
        <f>Calculations!O53</f>
        <v>#DIV/0!</v>
      </c>
      <c r="H17" s="114" t="s">
        <v>910</v>
      </c>
      <c r="I17" s="200" t="str">
        <f>Calculations!F4</f>
        <v/>
      </c>
    </row>
    <row r="18" spans="2:11">
      <c r="C18" s="114" t="s">
        <v>911</v>
      </c>
      <c r="D18" s="342">
        <f>Calculations!M54</f>
        <v>0</v>
      </c>
      <c r="E18" s="70" t="e">
        <f>Calculations!O54</f>
        <v>#DIV/0!</v>
      </c>
    </row>
    <row r="19" spans="2:11">
      <c r="C19" s="124" t="s">
        <v>912</v>
      </c>
      <c r="D19" s="342">
        <f>Calculations!M56</f>
        <v>0</v>
      </c>
      <c r="E19" s="347"/>
      <c r="H19" s="114" t="s">
        <v>913</v>
      </c>
      <c r="I19" s="381">
        <f>Calculations!B292</f>
        <v>0</v>
      </c>
    </row>
    <row r="20" spans="2:11">
      <c r="B20" s="347"/>
      <c r="E20" s="122"/>
    </row>
    <row r="21" spans="2:11" ht="30">
      <c r="D21" s="74" t="s">
        <v>914</v>
      </c>
      <c r="E21" s="74" t="s">
        <v>915</v>
      </c>
      <c r="F21" s="74" t="s">
        <v>916</v>
      </c>
      <c r="H21" s="517"/>
      <c r="I21" s="517"/>
      <c r="J21" s="517"/>
      <c r="K21" s="517"/>
    </row>
    <row r="22" spans="2:11" ht="15" customHeight="1">
      <c r="C22" s="278" t="str">
        <f>Calculations!D878</f>
        <v>Total Development Costs</v>
      </c>
      <c r="D22" s="106">
        <f>Calculations!G878</f>
        <v>0</v>
      </c>
      <c r="E22" s="106">
        <f>Calculations!E878</f>
        <v>0</v>
      </c>
      <c r="F22" s="106">
        <f>Calculations!F878</f>
        <v>0</v>
      </c>
    </row>
    <row r="23" spans="2:11" ht="15" customHeight="1">
      <c r="C23" s="278" t="s">
        <v>917</v>
      </c>
      <c r="D23" s="106" t="e">
        <f>Calculations!G883</f>
        <v>#DIV/0!</v>
      </c>
      <c r="E23" s="106" t="e">
        <f>Calculations!E883</f>
        <v>#DIV/0!</v>
      </c>
      <c r="F23" s="106" t="e">
        <f>Calculations!F883</f>
        <v>#DIV/0!</v>
      </c>
    </row>
    <row r="24" spans="2:11" ht="15" customHeight="1">
      <c r="C24" s="278" t="str">
        <f>Calculations!D879</f>
        <v>Total Hard Costs</v>
      </c>
      <c r="D24" s="106">
        <f>Calculations!G879</f>
        <v>0</v>
      </c>
      <c r="E24" s="106">
        <f>Calculations!E879</f>
        <v>0</v>
      </c>
      <c r="F24" s="106">
        <f>Calculations!F879</f>
        <v>0</v>
      </c>
    </row>
    <row r="25" spans="2:11" ht="15" customHeight="1">
      <c r="C25" s="278" t="s">
        <v>918</v>
      </c>
      <c r="D25" s="106">
        <f>Calculations!G880</f>
        <v>0</v>
      </c>
      <c r="E25" s="106">
        <f>Calculations!E880</f>
        <v>0</v>
      </c>
      <c r="F25" s="106">
        <f>Calculations!F880</f>
        <v>0</v>
      </c>
    </row>
    <row r="26" spans="2:11" ht="15" customHeight="1">
      <c r="C26" s="278" t="str">
        <f>Calculations!D881</f>
        <v>Developer Fee</v>
      </c>
      <c r="D26" s="106">
        <f>Calculations!G881</f>
        <v>0</v>
      </c>
      <c r="E26" s="106">
        <f>Calculations!E881</f>
        <v>0</v>
      </c>
      <c r="F26" s="106">
        <f>Calculations!F881</f>
        <v>0</v>
      </c>
    </row>
    <row r="27" spans="2:11" ht="15" customHeight="1">
      <c r="C27" s="278" t="str">
        <f>Calculations!D882</f>
        <v>Total Reserves</v>
      </c>
      <c r="D27" s="106">
        <f>Calculations!G882</f>
        <v>0</v>
      </c>
      <c r="E27" s="106">
        <f>Calculations!E882</f>
        <v>0</v>
      </c>
      <c r="F27" s="106">
        <f>Calculations!F882</f>
        <v>0</v>
      </c>
    </row>
    <row r="28" spans="2:11" ht="15" customHeight="1">
      <c r="C28" s="278"/>
      <c r="D28" s="106"/>
      <c r="E28" s="106"/>
      <c r="F28" s="106"/>
    </row>
    <row r="29" spans="2:11">
      <c r="C29" s="114"/>
      <c r="D29" s="313">
        <v>0.04</v>
      </c>
      <c r="E29" s="313">
        <v>0.09</v>
      </c>
    </row>
    <row r="30" spans="2:11">
      <c r="C30" s="114" t="s">
        <v>797</v>
      </c>
      <c r="D30" s="106">
        <f>Calculations!C292</f>
        <v>0</v>
      </c>
      <c r="E30" s="106">
        <f>Calculations!D292</f>
        <v>0</v>
      </c>
    </row>
    <row r="31" spans="2:11">
      <c r="C31" s="114"/>
      <c r="D31" s="106"/>
    </row>
    <row r="32" spans="2:11">
      <c r="B32" s="123"/>
      <c r="C32" s="114" t="s">
        <v>919</v>
      </c>
      <c r="D32" s="276">
        <f>Calculations!B874</f>
        <v>0</v>
      </c>
      <c r="E32" s="18"/>
      <c r="F32" s="18"/>
      <c r="H32" s="121" t="s">
        <v>920</v>
      </c>
      <c r="I32" s="137">
        <f>Calculations!L41</f>
        <v>0</v>
      </c>
    </row>
    <row r="33" spans="1:12">
      <c r="B33" s="114"/>
      <c r="C33" s="114" t="s">
        <v>921</v>
      </c>
      <c r="D33" s="277">
        <f>Calculations!B876</f>
        <v>0</v>
      </c>
      <c r="E33" s="283" t="str">
        <f>Calculations!J876</f>
        <v/>
      </c>
      <c r="J33" s="369" t="str">
        <f>Calculations!M42</f>
        <v>Average Income midpoint is less than 60%</v>
      </c>
    </row>
    <row r="34" spans="1:12">
      <c r="B34" s="1"/>
      <c r="C34" s="114" t="s">
        <v>922</v>
      </c>
      <c r="D34" s="276">
        <f>Calculations!C875</f>
        <v>0</v>
      </c>
    </row>
    <row r="35" spans="1:12">
      <c r="B35" s="1"/>
      <c r="C35" s="114"/>
    </row>
    <row r="36" spans="1:12">
      <c r="C36" s="121" t="s">
        <v>923</v>
      </c>
      <c r="D36" s="492">
        <f>Calculations!E398</f>
        <v>1.1499999999999999</v>
      </c>
    </row>
    <row r="37" spans="1:12">
      <c r="C37" s="121" t="s">
        <v>924</v>
      </c>
      <c r="D37" s="494" t="str">
        <f>Calculations!B385</f>
        <v>Loans Missing</v>
      </c>
      <c r="F37" s="475" t="e">
        <f>Calculations!G398</f>
        <v>#VALUE!</v>
      </c>
      <c r="G37" s="475"/>
      <c r="H37" s="475"/>
      <c r="I37" s="320"/>
      <c r="J37" s="320"/>
      <c r="K37" s="320"/>
    </row>
    <row r="38" spans="1:12">
      <c r="C38" s="121"/>
      <c r="D38" s="120"/>
      <c r="F38" s="118"/>
    </row>
    <row r="39" spans="1:12">
      <c r="A39" s="928" t="s">
        <v>925</v>
      </c>
      <c r="B39" s="928"/>
      <c r="C39" s="928"/>
      <c r="D39" s="928"/>
      <c r="E39" s="928"/>
      <c r="F39" s="928"/>
      <c r="G39" s="928"/>
      <c r="H39" s="928"/>
      <c r="I39" s="928"/>
      <c r="J39" s="928"/>
      <c r="K39" s="928"/>
    </row>
    <row r="40" spans="1:12">
      <c r="K40" s="1"/>
    </row>
    <row r="41" spans="1:12">
      <c r="B41" s="1" t="s">
        <v>926</v>
      </c>
      <c r="C41" s="150">
        <f>Calculations!B298</f>
        <v>95</v>
      </c>
      <c r="F41" s="10" t="str">
        <f>Calculations!E323</f>
        <v>The minimum score requirement has NOT been met</v>
      </c>
      <c r="K41" s="1"/>
    </row>
    <row r="42" spans="1:12">
      <c r="B42" s="1" t="s">
        <v>927</v>
      </c>
      <c r="C42" s="243">
        <f>Calculations!B323</f>
        <v>15</v>
      </c>
      <c r="K42" s="1"/>
    </row>
    <row r="43" spans="1:12">
      <c r="B43" s="1"/>
      <c r="K43" s="1"/>
      <c r="L43" s="9"/>
    </row>
    <row r="44" spans="1:12">
      <c r="A44" s="928" t="s">
        <v>861</v>
      </c>
      <c r="B44" s="928"/>
      <c r="C44" s="928"/>
      <c r="D44" s="928"/>
      <c r="E44" s="928"/>
      <c r="F44" s="928"/>
      <c r="G44" s="928"/>
      <c r="H44" s="928"/>
      <c r="I44" s="928"/>
      <c r="J44" s="928"/>
      <c r="K44" s="928"/>
    </row>
    <row r="46" spans="1:12">
      <c r="E46" s="174" t="s">
        <v>863</v>
      </c>
      <c r="F46" s="174" t="s">
        <v>127</v>
      </c>
      <c r="I46" s="896"/>
      <c r="J46" s="896"/>
    </row>
    <row r="47" spans="1:12">
      <c r="B47" s="136" t="s">
        <v>928</v>
      </c>
      <c r="C47" s="336"/>
      <c r="E47" s="174" t="s">
        <v>885</v>
      </c>
      <c r="F47" s="174" t="s">
        <v>885</v>
      </c>
      <c r="I47" s="368"/>
      <c r="J47" s="368"/>
    </row>
    <row r="48" spans="1:12">
      <c r="B48" s="209" t="s">
        <v>929</v>
      </c>
      <c r="D48" s="147"/>
      <c r="E48" s="146" t="e">
        <f>Calculations!B473</f>
        <v>#N/A</v>
      </c>
      <c r="F48" s="146" t="str">
        <f>Calculations!C526</f>
        <v/>
      </c>
      <c r="I48" s="149"/>
      <c r="J48" s="149"/>
    </row>
    <row r="49" spans="1:11">
      <c r="B49" s="209" t="s">
        <v>930</v>
      </c>
      <c r="E49" s="149">
        <f>Calculations!B480</f>
        <v>0</v>
      </c>
      <c r="F49" s="149" t="str">
        <f>Calculations!C534</f>
        <v/>
      </c>
    </row>
    <row r="50" spans="1:11">
      <c r="B50" s="209" t="s">
        <v>931</v>
      </c>
      <c r="E50" s="149">
        <f>Calculations!B501</f>
        <v>0</v>
      </c>
      <c r="F50" s="149" t="str">
        <f>Calculations!C555</f>
        <v/>
      </c>
      <c r="G50" s="283" t="str">
        <f>Calculations!$D$501</f>
        <v/>
      </c>
      <c r="I50" s="114" t="s">
        <v>871</v>
      </c>
      <c r="J50" s="529">
        <f>Calculations!K74</f>
        <v>0</v>
      </c>
    </row>
    <row r="51" spans="1:11">
      <c r="B51" s="209"/>
      <c r="E51" s="149"/>
      <c r="F51" s="149"/>
    </row>
    <row r="52" spans="1:11">
      <c r="B52" s="1" t="s">
        <v>888</v>
      </c>
      <c r="E52" s="174" t="s">
        <v>863</v>
      </c>
      <c r="F52" s="174" t="s">
        <v>127</v>
      </c>
      <c r="G52" s="174" t="str">
        <f>IF(Calculations!H517, "TOC Credit", "")</f>
        <v/>
      </c>
    </row>
    <row r="53" spans="1:11">
      <c r="D53" s="121" t="s">
        <v>889</v>
      </c>
      <c r="E53" s="149" t="e">
        <f>Calculations!B506</f>
        <v>#N/A</v>
      </c>
      <c r="F53" s="149">
        <f>Calculations!B627</f>
        <v>0</v>
      </c>
      <c r="G53" s="149" t="str">
        <f>IF(Calculations!H517, Calculations!C627, "")</f>
        <v/>
      </c>
      <c r="I53" s="121" t="s">
        <v>4194</v>
      </c>
    </row>
    <row r="54" spans="1:11">
      <c r="D54" s="121" t="s">
        <v>890</v>
      </c>
      <c r="E54" s="149">
        <f>Calculations!B507</f>
        <v>0</v>
      </c>
      <c r="F54" s="150" t="s">
        <v>891</v>
      </c>
      <c r="G54" s="150" t="str">
        <f>IF(Calculations!H517, "N/A", "")</f>
        <v/>
      </c>
      <c r="I54" s="121" t="s">
        <v>4193</v>
      </c>
      <c r="J54" s="137">
        <f>Calculations!B659</f>
        <v>0</v>
      </c>
    </row>
    <row r="55" spans="1:11">
      <c r="C55" s="147"/>
      <c r="D55" s="127" t="s">
        <v>888</v>
      </c>
      <c r="E55" s="146" t="e">
        <f>Calculations!B510</f>
        <v>#N/A</v>
      </c>
      <c r="F55" s="146">
        <f>Calculations!B627</f>
        <v>0</v>
      </c>
      <c r="G55" s="146" t="str">
        <f>IF(Calculations!H517,Calculations!C627,"")</f>
        <v/>
      </c>
    </row>
    <row r="57" spans="1:11">
      <c r="B57" s="1" t="s">
        <v>932</v>
      </c>
      <c r="D57" s="151" t="str">
        <f>CONCATENATE(Calculations!C18," ",Calculations!C19," ",Calculations!C20)</f>
        <v xml:space="preserve">  </v>
      </c>
      <c r="E57" s="431"/>
      <c r="F57" s="431"/>
    </row>
    <row r="58" spans="1:11">
      <c r="B58" s="1"/>
      <c r="D58" s="151"/>
      <c r="E58" s="149"/>
      <c r="F58" s="149"/>
    </row>
    <row r="59" spans="1:11" ht="15" customHeight="1">
      <c r="A59" s="928" t="s">
        <v>933</v>
      </c>
      <c r="B59" s="928"/>
      <c r="C59" s="928"/>
      <c r="D59" s="928"/>
      <c r="E59" s="928"/>
      <c r="F59" s="928"/>
      <c r="G59" s="928"/>
      <c r="H59" s="928"/>
      <c r="I59" s="928"/>
      <c r="J59" s="928"/>
      <c r="K59" s="928"/>
    </row>
    <row r="60" spans="1:11" ht="15" customHeight="1">
      <c r="A60" s="340"/>
      <c r="B60" s="340"/>
      <c r="C60" s="340"/>
      <c r="D60" s="340"/>
      <c r="E60" s="340"/>
      <c r="F60" s="340"/>
      <c r="G60" s="340"/>
      <c r="H60" s="340"/>
      <c r="I60" s="340"/>
      <c r="J60" s="340"/>
      <c r="K60" s="340"/>
    </row>
    <row r="61" spans="1:11" ht="30" customHeight="1">
      <c r="B61" s="136"/>
      <c r="C61" s="104" t="s">
        <v>934</v>
      </c>
      <c r="D61" s="135" t="s">
        <v>935</v>
      </c>
      <c r="E61" s="135" t="s">
        <v>936</v>
      </c>
      <c r="F61" s="134"/>
      <c r="G61" s="134"/>
      <c r="H61" s="104" t="s">
        <v>937</v>
      </c>
      <c r="I61" s="135" t="s">
        <v>397</v>
      </c>
    </row>
    <row r="62" spans="1:11" ht="15" customHeight="1">
      <c r="B62" s="1"/>
      <c r="C62" s="67" t="s">
        <v>938</v>
      </c>
      <c r="D62" s="381">
        <f>Calculations!B138</f>
        <v>0</v>
      </c>
      <c r="E62" s="381">
        <f>Calculations!C138</f>
        <v>0</v>
      </c>
      <c r="F62" s="134"/>
      <c r="H62" s="67" t="str">
        <f>Calculations!A171</f>
        <v>Land &amp; Buildings</v>
      </c>
      <c r="I62" s="384">
        <f>Calculations!B175</f>
        <v>0</v>
      </c>
    </row>
    <row r="63" spans="1:11" ht="15" customHeight="1">
      <c r="C63" s="67" t="s">
        <v>939</v>
      </c>
      <c r="D63" s="381">
        <f>Calculations!B139</f>
        <v>0</v>
      </c>
      <c r="H63" s="67" t="str">
        <f>Calculations!A176</f>
        <v>Site Work</v>
      </c>
      <c r="I63" s="384">
        <f>Calculations!B179</f>
        <v>0</v>
      </c>
    </row>
    <row r="64" spans="1:11" ht="15" customHeight="1">
      <c r="C64" s="67" t="s">
        <v>382</v>
      </c>
      <c r="D64" s="381">
        <f>Calculations!B140</f>
        <v>0</v>
      </c>
      <c r="H64" s="67" t="str">
        <f>Calculations!A180</f>
        <v>Rehab. &amp; New Construction</v>
      </c>
      <c r="I64" s="384">
        <f>Calculations!B195</f>
        <v>0</v>
      </c>
    </row>
    <row r="65" spans="2:9" ht="15" customHeight="1">
      <c r="C65" s="67" t="s">
        <v>383</v>
      </c>
      <c r="D65" s="381">
        <f>Calculations!B141</f>
        <v>0</v>
      </c>
      <c r="F65" s="274"/>
      <c r="G65" s="129"/>
      <c r="H65" s="67" t="str">
        <f>Calculations!A196</f>
        <v>Professional Fees</v>
      </c>
      <c r="I65" s="384">
        <f>Calculations!B211</f>
        <v>0</v>
      </c>
    </row>
    <row r="66" spans="2:9">
      <c r="B66" s="937" t="s">
        <v>940</v>
      </c>
      <c r="C66" s="937"/>
      <c r="D66" s="427">
        <f>Calculations!B145</f>
        <v>0</v>
      </c>
      <c r="E66" s="10" t="s">
        <v>941</v>
      </c>
      <c r="H66" s="191" t="str">
        <f>Calculations!A212</f>
        <v>Construction Interim Costs</v>
      </c>
      <c r="I66" s="384">
        <f>Calculations!B231</f>
        <v>0</v>
      </c>
    </row>
    <row r="67" spans="2:9" ht="15" customHeight="1">
      <c r="B67" s="164"/>
      <c r="C67" s="67"/>
      <c r="D67" s="428"/>
      <c r="E67" s="119"/>
      <c r="F67" s="275"/>
      <c r="G67" s="129"/>
      <c r="H67" s="67" t="str">
        <f>Calculations!A232</f>
        <v>Permanent Financing</v>
      </c>
      <c r="I67" s="384">
        <f>Calculations!B247</f>
        <v>0</v>
      </c>
    </row>
    <row r="68" spans="2:9" ht="15" customHeight="1">
      <c r="C68" s="67" t="s">
        <v>942</v>
      </c>
      <c r="D68" s="381">
        <f>Calculations!E617</f>
        <v>0</v>
      </c>
      <c r="E68" s="430">
        <f>Calculations!B628</f>
        <v>0</v>
      </c>
      <c r="F68" s="129" t="s">
        <v>4245</v>
      </c>
      <c r="H68" s="67" t="str">
        <f>Calculations!A248</f>
        <v>Soft Costs</v>
      </c>
      <c r="I68" s="384">
        <f>Calculations!B266</f>
        <v>0</v>
      </c>
    </row>
    <row r="69" spans="2:9" ht="15" customHeight="1">
      <c r="C69" s="67" t="s">
        <v>4227</v>
      </c>
      <c r="D69" s="381">
        <f>Calculations!C630</f>
        <v>0</v>
      </c>
      <c r="E69" s="430">
        <f>Calculations!C628</f>
        <v>0</v>
      </c>
      <c r="F69" s="129" t="s">
        <v>4244</v>
      </c>
      <c r="H69" s="67" t="str">
        <f>Calculations!A267</f>
        <v>Syndication Costs</v>
      </c>
      <c r="I69" s="384">
        <f>Calculations!B274</f>
        <v>0</v>
      </c>
    </row>
    <row r="70" spans="2:9" ht="15" customHeight="1">
      <c r="C70" s="67" t="s">
        <v>943</v>
      </c>
      <c r="D70" s="381" t="e">
        <f>Calculations!E618</f>
        <v>#N/A</v>
      </c>
      <c r="E70" s="430">
        <f>Calculations!B617</f>
        <v>0</v>
      </c>
      <c r="F70" s="129" t="s">
        <v>4246</v>
      </c>
      <c r="H70" s="67" t="str">
        <f>Calculations!A275</f>
        <v>Developer Fees</v>
      </c>
      <c r="I70" s="384">
        <f>Calculations!B283</f>
        <v>0</v>
      </c>
    </row>
    <row r="71" spans="2:9" ht="15" customHeight="1">
      <c r="C71" s="67" t="s">
        <v>944</v>
      </c>
      <c r="D71" s="381">
        <f>Calculations!E619</f>
        <v>0</v>
      </c>
      <c r="E71" s="119"/>
      <c r="F71" s="130"/>
      <c r="G71" s="129"/>
      <c r="H71" s="67" t="str">
        <f>Calculations!A284</f>
        <v>Project Reserves</v>
      </c>
      <c r="I71" s="381">
        <f>Calculations!B291</f>
        <v>0</v>
      </c>
    </row>
    <row r="72" spans="2:9" ht="15" customHeight="1">
      <c r="C72" s="67" t="s">
        <v>945</v>
      </c>
      <c r="D72" s="497">
        <f>Calculations!B166</f>
        <v>0</v>
      </c>
      <c r="E72" s="119"/>
      <c r="F72" s="498"/>
      <c r="G72" s="129"/>
      <c r="H72" s="67" t="s">
        <v>377</v>
      </c>
      <c r="I72" s="385">
        <f>Calculations!B292</f>
        <v>0</v>
      </c>
    </row>
    <row r="73" spans="2:9" ht="15" customHeight="1">
      <c r="B73" s="128"/>
      <c r="C73" s="127" t="s">
        <v>946</v>
      </c>
      <c r="D73" s="382" t="e">
        <f>Calculations!E620</f>
        <v>#N/A</v>
      </c>
      <c r="E73" s="119"/>
      <c r="H73" s="123"/>
    </row>
    <row r="74" spans="2:9" ht="15" customHeight="1">
      <c r="C74" s="121" t="s">
        <v>947</v>
      </c>
      <c r="D74" s="381">
        <f>Calculations!E621</f>
        <v>0</v>
      </c>
      <c r="E74" s="283" t="str">
        <f>Calculations!G620</f>
        <v>Development Total Funds do not equal Budget</v>
      </c>
      <c r="F74" s="123"/>
      <c r="G74" s="123"/>
      <c r="H74" s="67" t="s">
        <v>568</v>
      </c>
      <c r="I74" s="499">
        <f>Calculations!B687</f>
        <v>0</v>
      </c>
    </row>
    <row r="75" spans="2:9" ht="15" customHeight="1">
      <c r="B75" s="128"/>
      <c r="C75" s="127" t="s">
        <v>948</v>
      </c>
      <c r="D75" s="382" t="e">
        <f>Calculations!E622</f>
        <v>#N/A</v>
      </c>
      <c r="E75" s="119"/>
      <c r="H75" s="121" t="s">
        <v>949</v>
      </c>
      <c r="I75" s="500">
        <f>Calculations!E621</f>
        <v>0</v>
      </c>
    </row>
    <row r="76" spans="2:9" ht="15" customHeight="1">
      <c r="B76" s="102"/>
      <c r="C76" s="121"/>
      <c r="D76" s="381"/>
      <c r="E76" s="119"/>
      <c r="F76" s="125"/>
    </row>
    <row r="77" spans="2:9">
      <c r="B77" s="114"/>
      <c r="C77" s="124" t="s">
        <v>950</v>
      </c>
      <c r="D77" s="381">
        <f>Calculations!H129</f>
        <v>0</v>
      </c>
      <c r="F77" s="118"/>
    </row>
    <row r="78" spans="2:9">
      <c r="C78" s="124" t="s">
        <v>951</v>
      </c>
      <c r="D78" s="497">
        <f>Calculations!H130</f>
        <v>0</v>
      </c>
      <c r="E78" s="283" t="str">
        <f>Calculations!K130</f>
        <v>Construction interest actual exceeds construction interest test</v>
      </c>
      <c r="F78" s="123"/>
      <c r="G78" s="123"/>
    </row>
    <row r="79" spans="2:9">
      <c r="C79" s="124"/>
      <c r="D79" s="497"/>
      <c r="E79" s="122"/>
      <c r="F79" s="118"/>
    </row>
    <row r="80" spans="2:9">
      <c r="C80" s="121" t="s">
        <v>952</v>
      </c>
      <c r="D80" s="477" t="e">
        <f>Calculations!B426</f>
        <v>#N/A</v>
      </c>
    </row>
    <row r="81" spans="1:11">
      <c r="C81" s="121" t="s">
        <v>953</v>
      </c>
      <c r="D81" s="381">
        <f>Calculations!E429</f>
        <v>0</v>
      </c>
    </row>
    <row r="82" spans="1:11">
      <c r="B82" s="1"/>
      <c r="C82" s="383" t="s">
        <v>954</v>
      </c>
      <c r="D82" s="429">
        <f>Calculations!B884</f>
        <v>0</v>
      </c>
    </row>
    <row r="83" spans="1:11">
      <c r="B83" s="1"/>
      <c r="C83" s="121"/>
      <c r="F83" s="274"/>
    </row>
    <row r="84" spans="1:11" s="88" customFormat="1">
      <c r="A84" s="928" t="s">
        <v>955</v>
      </c>
      <c r="B84" s="928"/>
      <c r="C84" s="928"/>
      <c r="D84" s="928"/>
      <c r="E84" s="928"/>
      <c r="F84" s="928"/>
      <c r="G84" s="928"/>
      <c r="H84" s="928"/>
      <c r="I84" s="928"/>
      <c r="J84" s="928"/>
      <c r="K84" s="928"/>
    </row>
    <row r="85" spans="1:11" s="88" customFormat="1">
      <c r="B85" s="84"/>
      <c r="C85" s="83"/>
      <c r="D85" s="83"/>
      <c r="E85" s="83"/>
      <c r="F85" s="83"/>
      <c r="G85" s="83"/>
      <c r="H85" s="83"/>
    </row>
    <row r="86" spans="1:11" s="88" customFormat="1">
      <c r="B86" s="84"/>
      <c r="C86" s="83"/>
      <c r="D86" s="75" t="s">
        <v>956</v>
      </c>
      <c r="E86" s="83"/>
      <c r="F86" s="83"/>
      <c r="G86" s="83"/>
      <c r="H86" s="83"/>
    </row>
    <row r="87" spans="1:11" s="88" customFormat="1">
      <c r="B87" s="84"/>
      <c r="C87" s="184" t="s">
        <v>957</v>
      </c>
      <c r="D87" s="83">
        <f>Calculations!B362</f>
        <v>0</v>
      </c>
      <c r="E87" s="83"/>
    </row>
    <row r="88" spans="1:11" s="88" customFormat="1">
      <c r="B88" s="186"/>
      <c r="C88" s="185" t="s">
        <v>958</v>
      </c>
      <c r="D88" s="337">
        <f>Calculations!B361</f>
        <v>0</v>
      </c>
      <c r="E88" s="139"/>
      <c r="F88" s="83"/>
      <c r="G88" s="83"/>
      <c r="H88" s="83"/>
    </row>
    <row r="89" spans="1:11" s="88" customFormat="1">
      <c r="B89" s="102"/>
      <c r="C89" s="121" t="s">
        <v>959</v>
      </c>
      <c r="D89" s="83">
        <f>Calculations!B363</f>
        <v>0</v>
      </c>
      <c r="E89" s="83"/>
      <c r="F89" s="83"/>
      <c r="G89" s="83"/>
      <c r="H89" s="83"/>
    </row>
    <row r="90" spans="1:11" s="88" customFormat="1">
      <c r="B90" s="934" t="s">
        <v>960</v>
      </c>
      <c r="C90" s="935"/>
      <c r="D90" s="337">
        <f>Calculations!B364</f>
        <v>0</v>
      </c>
      <c r="E90" s="83"/>
      <c r="F90" s="302" t="str">
        <f>Calculations!C359</f>
        <v>* Calculating at a Standard Vacancy Allowance of 7.0%</v>
      </c>
      <c r="G90" s="83"/>
      <c r="H90" s="83"/>
    </row>
    <row r="91" spans="1:11" s="88" customFormat="1">
      <c r="B91" s="84"/>
      <c r="C91" s="121" t="s">
        <v>961</v>
      </c>
      <c r="D91" s="83">
        <f>Calculations!B365</f>
        <v>0</v>
      </c>
      <c r="E91" s="83"/>
      <c r="F91" s="83"/>
      <c r="G91" s="83"/>
      <c r="H91" s="83"/>
    </row>
    <row r="92" spans="1:11" s="88" customFormat="1">
      <c r="B92" s="84"/>
      <c r="C92" s="83"/>
      <c r="D92" s="83"/>
      <c r="E92" s="83"/>
      <c r="F92" s="83"/>
      <c r="G92" s="83"/>
      <c r="H92" s="83"/>
    </row>
    <row r="93" spans="1:11" s="88" customFormat="1">
      <c r="B93" s="84"/>
      <c r="C93" s="83"/>
      <c r="D93" s="75" t="s">
        <v>962</v>
      </c>
      <c r="E93" s="83"/>
      <c r="F93" s="83"/>
      <c r="G93" s="83"/>
      <c r="H93" s="83"/>
    </row>
    <row r="94" spans="1:11" s="88" customFormat="1">
      <c r="B94" s="84"/>
      <c r="C94" s="184" t="s">
        <v>963</v>
      </c>
      <c r="D94" s="83">
        <f>Calculations!F361</f>
        <v>0</v>
      </c>
      <c r="E94" s="83"/>
      <c r="F94" s="83"/>
      <c r="G94" s="139"/>
      <c r="H94" s="83"/>
    </row>
    <row r="95" spans="1:11" s="88" customFormat="1">
      <c r="B95" s="84"/>
      <c r="C95" s="184" t="s">
        <v>964</v>
      </c>
      <c r="D95" s="83">
        <f>Calculations!F362</f>
        <v>0</v>
      </c>
      <c r="E95" s="83"/>
      <c r="F95" s="139"/>
      <c r="G95" s="83"/>
      <c r="H95" s="83"/>
    </row>
    <row r="96" spans="1:11" s="88" customFormat="1">
      <c r="B96" s="186"/>
      <c r="C96" s="185" t="s">
        <v>965</v>
      </c>
      <c r="D96" s="83">
        <f>Calculations!F363</f>
        <v>0</v>
      </c>
      <c r="E96" s="83"/>
      <c r="F96" s="83"/>
      <c r="G96" s="83"/>
      <c r="H96" s="83"/>
    </row>
    <row r="97" spans="1:12" s="88" customFormat="1">
      <c r="B97" s="102"/>
      <c r="C97" s="121" t="s">
        <v>966</v>
      </c>
      <c r="D97" s="83">
        <f>Calculations!F364</f>
        <v>0</v>
      </c>
      <c r="E97" s="83"/>
      <c r="F97" s="139"/>
      <c r="G97" s="83"/>
      <c r="H97" s="83"/>
    </row>
    <row r="98" spans="1:12" s="88" customFormat="1">
      <c r="B98" s="84"/>
      <c r="C98" s="796"/>
      <c r="D98" s="797"/>
      <c r="E98" s="83"/>
      <c r="F98" s="83"/>
      <c r="G98" s="83"/>
      <c r="H98" s="83"/>
    </row>
    <row r="99" spans="1:12" s="88" customFormat="1">
      <c r="B99" s="102"/>
      <c r="C99" s="121"/>
      <c r="D99" s="798"/>
      <c r="E99" s="83"/>
      <c r="F99" s="83"/>
      <c r="G99" s="83"/>
      <c r="H99" s="83"/>
    </row>
    <row r="100" spans="1:12" s="88" customFormat="1">
      <c r="B100" s="102"/>
      <c r="C100" s="121"/>
      <c r="D100" s="83"/>
      <c r="E100" s="83"/>
      <c r="F100" s="83"/>
      <c r="G100" s="83"/>
      <c r="H100" s="83"/>
    </row>
    <row r="101" spans="1:12" ht="15" customHeight="1">
      <c r="A101" s="928" t="s">
        <v>967</v>
      </c>
      <c r="B101" s="928"/>
      <c r="C101" s="928"/>
      <c r="D101" s="928"/>
      <c r="E101" s="928"/>
      <c r="F101" s="928"/>
      <c r="G101" s="928"/>
      <c r="H101" s="928"/>
      <c r="I101" s="928"/>
      <c r="J101" s="928"/>
      <c r="K101" s="928"/>
    </row>
    <row r="103" spans="1:12" ht="30">
      <c r="D103" s="74" t="s">
        <v>968</v>
      </c>
      <c r="E103" s="74" t="s">
        <v>969</v>
      </c>
      <c r="F103" s="115" t="s">
        <v>970</v>
      </c>
      <c r="G103" s="10" t="s">
        <v>971</v>
      </c>
    </row>
    <row r="104" spans="1:12" ht="15" customHeight="1">
      <c r="C104" s="114" t="s">
        <v>972</v>
      </c>
      <c r="D104" s="106">
        <f>Calculations!B351</f>
        <v>0</v>
      </c>
      <c r="E104" s="106">
        <f>Calculations!C351</f>
        <v>0</v>
      </c>
      <c r="F104" s="106">
        <f>Calculations!D351</f>
        <v>4500</v>
      </c>
      <c r="G104" s="283" t="str">
        <f>Calculations!G351</f>
        <v/>
      </c>
    </row>
    <row r="105" spans="1:12">
      <c r="C105" s="114" t="s">
        <v>490</v>
      </c>
      <c r="D105" s="106">
        <f>Calculations!B352</f>
        <v>0</v>
      </c>
      <c r="E105" s="106">
        <f>Calculations!C352</f>
        <v>0</v>
      </c>
      <c r="F105" s="106">
        <f>Calculations!D352</f>
        <v>350</v>
      </c>
      <c r="G105" s="283" t="str">
        <f>Calculations!G352</f>
        <v/>
      </c>
    </row>
    <row r="106" spans="1:12">
      <c r="C106" s="114" t="s">
        <v>973</v>
      </c>
      <c r="D106" s="106">
        <f>Calculations!B354</f>
        <v>0</v>
      </c>
      <c r="F106" s="106">
        <f>Calculations!D354</f>
        <v>0</v>
      </c>
      <c r="G106" s="283" t="str">
        <f>Calculations!G354</f>
        <v>The minimum development operating reserves requirement has been met</v>
      </c>
    </row>
    <row r="108" spans="1:12" s="88" customFormat="1">
      <c r="A108" s="928" t="s">
        <v>974</v>
      </c>
      <c r="B108" s="928"/>
      <c r="C108" s="928"/>
      <c r="D108" s="928"/>
      <c r="E108" s="928"/>
      <c r="F108" s="928"/>
      <c r="G108" s="928"/>
      <c r="H108" s="928"/>
      <c r="I108" s="928"/>
      <c r="J108" s="928"/>
      <c r="K108" s="928"/>
    </row>
    <row r="109" spans="1:12" s="88" customFormat="1">
      <c r="A109" s="936" t="s">
        <v>975</v>
      </c>
      <c r="B109" s="936"/>
      <c r="C109" s="936"/>
      <c r="D109" s="936"/>
      <c r="E109" s="936"/>
      <c r="F109" s="936"/>
      <c r="G109" s="936"/>
      <c r="H109" s="936"/>
      <c r="I109" s="936"/>
      <c r="J109" s="936"/>
      <c r="K109" s="936"/>
    </row>
    <row r="110" spans="1:12" s="88" customFormat="1">
      <c r="L110" s="18"/>
    </row>
    <row r="111" spans="1:12" s="88" customFormat="1">
      <c r="C111" s="74" t="s">
        <v>537</v>
      </c>
      <c r="D111" s="74" t="s">
        <v>976</v>
      </c>
      <c r="E111" s="74" t="s">
        <v>539</v>
      </c>
      <c r="F111" s="74" t="s">
        <v>540</v>
      </c>
      <c r="G111" s="74" t="s">
        <v>541</v>
      </c>
      <c r="H111" s="74" t="s">
        <v>542</v>
      </c>
      <c r="I111" s="74" t="s">
        <v>543</v>
      </c>
      <c r="J111" s="74" t="s">
        <v>544</v>
      </c>
    </row>
    <row r="112" spans="1:12" s="88" customFormat="1">
      <c r="B112" s="187" t="str">
        <f>Calculations!A378</f>
        <v>Effective Gross Income</v>
      </c>
      <c r="C112" s="106">
        <f>Calculations!B378</f>
        <v>0</v>
      </c>
      <c r="D112" s="106">
        <f>Calculations!C378</f>
        <v>0</v>
      </c>
      <c r="E112" s="106">
        <f>Calculations!D378</f>
        <v>0</v>
      </c>
      <c r="F112" s="106">
        <f>Calculations!E378</f>
        <v>0</v>
      </c>
      <c r="G112" s="106">
        <f>Calculations!F378</f>
        <v>0</v>
      </c>
      <c r="H112" s="106">
        <f>Calculations!G378</f>
        <v>0</v>
      </c>
      <c r="I112" s="106">
        <f>Calculations!H378</f>
        <v>0</v>
      </c>
      <c r="J112" s="106">
        <f>Calculations!I378</f>
        <v>0</v>
      </c>
    </row>
    <row r="113" spans="2:10" s="88" customFormat="1">
      <c r="B113" s="187" t="str">
        <f>Calculations!A379</f>
        <v>Total Project Expenses</v>
      </c>
      <c r="C113" s="106">
        <f>Calculations!B379</f>
        <v>0</v>
      </c>
      <c r="D113" s="106">
        <f>Calculations!C379</f>
        <v>0</v>
      </c>
      <c r="E113" s="106">
        <f>Calculations!D379</f>
        <v>0</v>
      </c>
      <c r="F113" s="106">
        <f>Calculations!E379</f>
        <v>0</v>
      </c>
      <c r="G113" s="106">
        <f>Calculations!F379</f>
        <v>0</v>
      </c>
      <c r="H113" s="106">
        <f>Calculations!G379</f>
        <v>0</v>
      </c>
      <c r="I113" s="106">
        <f>Calculations!H379</f>
        <v>0</v>
      </c>
      <c r="J113" s="106">
        <f>Calculations!I379</f>
        <v>0</v>
      </c>
    </row>
    <row r="114" spans="2:10" s="88" customFormat="1">
      <c r="B114" s="187" t="str">
        <f>Calculations!A380</f>
        <v>Net Operating Income</v>
      </c>
      <c r="C114" s="106">
        <f>Calculations!B380</f>
        <v>0</v>
      </c>
      <c r="D114" s="106">
        <f>Calculations!C380</f>
        <v>0</v>
      </c>
      <c r="E114" s="106">
        <f>Calculations!D380</f>
        <v>0</v>
      </c>
      <c r="F114" s="106">
        <f>Calculations!E380</f>
        <v>0</v>
      </c>
      <c r="G114" s="106">
        <f>Calculations!F380</f>
        <v>0</v>
      </c>
      <c r="H114" s="106">
        <f>Calculations!G380</f>
        <v>0</v>
      </c>
      <c r="I114" s="106">
        <f>Calculations!H380</f>
        <v>0</v>
      </c>
      <c r="J114" s="106">
        <f>Calculations!I380</f>
        <v>0</v>
      </c>
    </row>
    <row r="115" spans="2:10" s="88" customFormat="1">
      <c r="B115" s="187" t="str">
        <f>Calculations!A381</f>
        <v>First Mortgage</v>
      </c>
      <c r="C115" s="106">
        <f>Calculations!B381</f>
        <v>0</v>
      </c>
      <c r="D115" s="106">
        <f>Calculations!C381</f>
        <v>0</v>
      </c>
      <c r="E115" s="106">
        <f>Calculations!D381</f>
        <v>0</v>
      </c>
      <c r="F115" s="106">
        <f>Calculations!E381</f>
        <v>0</v>
      </c>
      <c r="G115" s="106">
        <f>Calculations!F381</f>
        <v>0</v>
      </c>
      <c r="H115" s="106">
        <f>Calculations!G381</f>
        <v>0</v>
      </c>
      <c r="I115" s="106">
        <f>Calculations!H381</f>
        <v>0</v>
      </c>
      <c r="J115" s="106">
        <f>Calculations!I381</f>
        <v>0</v>
      </c>
    </row>
    <row r="116" spans="2:10" s="88" customFormat="1">
      <c r="B116" s="187" t="str">
        <f>Calculations!A382</f>
        <v>Second Mortgage</v>
      </c>
      <c r="C116" s="106">
        <f>Calculations!B382</f>
        <v>0</v>
      </c>
      <c r="D116" s="106">
        <f>Calculations!C382</f>
        <v>0</v>
      </c>
      <c r="E116" s="106">
        <f>Calculations!D382</f>
        <v>0</v>
      </c>
      <c r="F116" s="106">
        <f>Calculations!E382</f>
        <v>0</v>
      </c>
      <c r="G116" s="106">
        <f>Calculations!F382</f>
        <v>0</v>
      </c>
      <c r="H116" s="106">
        <f>Calculations!G382</f>
        <v>0</v>
      </c>
      <c r="I116" s="106">
        <f>Calculations!H382</f>
        <v>0</v>
      </c>
      <c r="J116" s="106">
        <f>Calculations!I382</f>
        <v>0</v>
      </c>
    </row>
    <row r="117" spans="2:10" s="88" customFormat="1">
      <c r="B117" s="187" t="str">
        <f>Calculations!A383</f>
        <v>Third Mortgage</v>
      </c>
      <c r="C117" s="106">
        <f>Calculations!B383</f>
        <v>0</v>
      </c>
      <c r="D117" s="106">
        <f>Calculations!C383</f>
        <v>0</v>
      </c>
      <c r="E117" s="106">
        <f>Calculations!D383</f>
        <v>0</v>
      </c>
      <c r="F117" s="106">
        <f>Calculations!E383</f>
        <v>0</v>
      </c>
      <c r="G117" s="106">
        <f>Calculations!F383</f>
        <v>0</v>
      </c>
      <c r="H117" s="106">
        <f>Calculations!G383</f>
        <v>0</v>
      </c>
      <c r="I117" s="106">
        <f>Calculations!H383</f>
        <v>0</v>
      </c>
      <c r="J117" s="106">
        <f>Calculations!I383</f>
        <v>0</v>
      </c>
    </row>
    <row r="118" spans="2:10" s="88" customFormat="1">
      <c r="B118" s="187" t="str">
        <f>Calculations!A384</f>
        <v>Net Project Cash Flow</v>
      </c>
      <c r="C118" s="106">
        <f>Calculations!B384</f>
        <v>0</v>
      </c>
      <c r="D118" s="106">
        <f>Calculations!C384</f>
        <v>0</v>
      </c>
      <c r="E118" s="106">
        <f>Calculations!D384</f>
        <v>0</v>
      </c>
      <c r="F118" s="106">
        <f>Calculations!E384</f>
        <v>0</v>
      </c>
      <c r="G118" s="106">
        <f>Calculations!F384</f>
        <v>0</v>
      </c>
      <c r="H118" s="106">
        <f>Calculations!G384</f>
        <v>0</v>
      </c>
      <c r="I118" s="106">
        <f>Calculations!H384</f>
        <v>0</v>
      </c>
      <c r="J118" s="106">
        <f>Calculations!I384</f>
        <v>0</v>
      </c>
    </row>
    <row r="119" spans="2:10" s="88" customFormat="1">
      <c r="B119" s="187" t="str">
        <f>Calculations!A385</f>
        <v>Debt Coverage Ratio</v>
      </c>
      <c r="C119" s="338" t="str">
        <f>Calculations!B385</f>
        <v>Loans Missing</v>
      </c>
      <c r="D119" s="338" t="str">
        <f>Calculations!C385</f>
        <v>Loans Missing</v>
      </c>
      <c r="E119" s="338" t="str">
        <f>Calculations!D385</f>
        <v>Loans Missing</v>
      </c>
      <c r="F119" s="338" t="str">
        <f>Calculations!E385</f>
        <v>Loans Missing</v>
      </c>
      <c r="G119" s="338" t="str">
        <f>Calculations!F385</f>
        <v>Loans Missing</v>
      </c>
      <c r="H119" s="338" t="str">
        <f>Calculations!G385</f>
        <v>Loans Missing</v>
      </c>
      <c r="I119" s="338" t="str">
        <f>Calculations!H385</f>
        <v>Loans Missing</v>
      </c>
      <c r="J119" s="338" t="str">
        <f>Calculations!I385</f>
        <v>Loans Missing</v>
      </c>
    </row>
    <row r="120" spans="2:10" s="88" customFormat="1">
      <c r="B120" s="187"/>
      <c r="C120" s="106"/>
      <c r="D120" s="106"/>
      <c r="E120" s="106"/>
      <c r="F120" s="106"/>
      <c r="G120" s="106"/>
      <c r="H120" s="106"/>
      <c r="I120" s="106"/>
      <c r="J120" s="106"/>
    </row>
    <row r="121" spans="2:10" s="88" customFormat="1" ht="30">
      <c r="B121" s="188" t="str">
        <f>Calculations!A387</f>
        <v>Cash Flow Available for Distribution</v>
      </c>
      <c r="C121" s="113">
        <f>Calculations!B387</f>
        <v>0</v>
      </c>
      <c r="D121" s="113">
        <f>Calculations!C387</f>
        <v>0</v>
      </c>
      <c r="E121" s="113">
        <f>Calculations!D387</f>
        <v>0</v>
      </c>
      <c r="F121" s="113">
        <f>Calculations!E387</f>
        <v>0</v>
      </c>
      <c r="G121" s="113">
        <f>Calculations!F387</f>
        <v>0</v>
      </c>
      <c r="H121" s="113">
        <f>Calculations!G387</f>
        <v>0</v>
      </c>
      <c r="I121" s="113">
        <f>Calculations!H387</f>
        <v>0</v>
      </c>
      <c r="J121" s="113">
        <f>Calculations!I387</f>
        <v>0</v>
      </c>
    </row>
    <row r="122" spans="2:10" s="88" customFormat="1" ht="30">
      <c r="B122" s="188" t="str">
        <f>Calculations!A388</f>
        <v>Partnership/Asset Mgt. Fees</v>
      </c>
      <c r="C122" s="113">
        <f>Calculations!B388</f>
        <v>0</v>
      </c>
      <c r="D122" s="113">
        <f>Calculations!C388</f>
        <v>0</v>
      </c>
      <c r="E122" s="113">
        <f>Calculations!D388</f>
        <v>0</v>
      </c>
      <c r="F122" s="113">
        <f>Calculations!E388</f>
        <v>0</v>
      </c>
      <c r="G122" s="113">
        <f>Calculations!F388</f>
        <v>0</v>
      </c>
      <c r="H122" s="113">
        <f>Calculations!G388</f>
        <v>0</v>
      </c>
      <c r="I122" s="113">
        <f>Calculations!H388</f>
        <v>0</v>
      </c>
      <c r="J122" s="113">
        <f>Calculations!I388</f>
        <v>0</v>
      </c>
    </row>
    <row r="123" spans="2:10" s="88" customFormat="1" ht="30">
      <c r="B123" s="188" t="str">
        <f>Calculations!A389</f>
        <v>Bond Fees (if applicable)</v>
      </c>
      <c r="C123" s="113">
        <f>Calculations!B389</f>
        <v>0</v>
      </c>
      <c r="D123" s="113">
        <f>Calculations!C389</f>
        <v>0</v>
      </c>
      <c r="E123" s="113">
        <f>Calculations!D389</f>
        <v>0</v>
      </c>
      <c r="F123" s="113">
        <f>Calculations!E389</f>
        <v>0</v>
      </c>
      <c r="G123" s="113">
        <f>Calculations!F389</f>
        <v>0</v>
      </c>
      <c r="H123" s="113">
        <f>Calculations!G389</f>
        <v>0</v>
      </c>
      <c r="I123" s="113">
        <f>Calculations!H389</f>
        <v>0</v>
      </c>
      <c r="J123" s="113">
        <f>Calculations!I389</f>
        <v>0</v>
      </c>
    </row>
    <row r="124" spans="2:10" s="88" customFormat="1" ht="30">
      <c r="B124" s="188" t="str">
        <f>Calculations!A390</f>
        <v>Deferred Developer Fee Repayment*</v>
      </c>
      <c r="C124" s="113">
        <f>Calculations!B390</f>
        <v>0</v>
      </c>
      <c r="D124" s="113">
        <f>Calculations!C390</f>
        <v>0</v>
      </c>
      <c r="E124" s="113">
        <f>Calculations!D390</f>
        <v>0</v>
      </c>
      <c r="F124" s="113">
        <f>Calculations!E390</f>
        <v>0</v>
      </c>
      <c r="G124" s="113">
        <f>Calculations!F390</f>
        <v>0</v>
      </c>
      <c r="H124" s="113">
        <f>Calculations!G390</f>
        <v>0</v>
      </c>
      <c r="I124" s="113">
        <f>Calculations!H390</f>
        <v>0</v>
      </c>
      <c r="J124" s="113">
        <f>Calculations!I390</f>
        <v>0</v>
      </c>
    </row>
    <row r="125" spans="2:10" s="88" customFormat="1">
      <c r="B125" s="188" t="str">
        <f>Calculations!A391</f>
        <v>Other (Specify)</v>
      </c>
      <c r="C125" s="113">
        <f>Calculations!B391</f>
        <v>0</v>
      </c>
      <c r="D125" s="113">
        <f>Calculations!C391</f>
        <v>0</v>
      </c>
      <c r="E125" s="113">
        <f>Calculations!D391</f>
        <v>0</v>
      </c>
      <c r="F125" s="113">
        <f>Calculations!E391</f>
        <v>0</v>
      </c>
      <c r="G125" s="113">
        <f>Calculations!F391</f>
        <v>0</v>
      </c>
      <c r="H125" s="113">
        <f>Calculations!G391</f>
        <v>0</v>
      </c>
      <c r="I125" s="113">
        <f>Calculations!H391</f>
        <v>0</v>
      </c>
      <c r="J125" s="113">
        <f>Calculations!I391</f>
        <v>0</v>
      </c>
    </row>
    <row r="126" spans="2:10" s="88" customFormat="1" ht="32.25" customHeight="1">
      <c r="B126" s="188" t="str">
        <f>Calculations!A392</f>
        <v>Cash Flow Paid for Services</v>
      </c>
      <c r="C126" s="113">
        <f>Calculations!B392</f>
        <v>0</v>
      </c>
      <c r="D126" s="113">
        <f>Calculations!C392</f>
        <v>0</v>
      </c>
      <c r="E126" s="113">
        <f>Calculations!D392</f>
        <v>0</v>
      </c>
      <c r="F126" s="113">
        <f>Calculations!E392</f>
        <v>0</v>
      </c>
      <c r="G126" s="113">
        <f>Calculations!F392</f>
        <v>0</v>
      </c>
      <c r="H126" s="113">
        <f>Calculations!G392</f>
        <v>0</v>
      </c>
      <c r="I126" s="113">
        <f>Calculations!H392</f>
        <v>0</v>
      </c>
      <c r="J126" s="113">
        <f>Calculations!I392</f>
        <v>0</v>
      </c>
    </row>
    <row r="127" spans="2:10" s="88" customFormat="1" ht="45">
      <c r="B127" s="188" t="str">
        <f>Calculations!A393</f>
        <v>Cash Flow Available after above obligations</v>
      </c>
      <c r="C127" s="113">
        <f>Calculations!B393</f>
        <v>0</v>
      </c>
      <c r="D127" s="113">
        <f>Calculations!C393</f>
        <v>0</v>
      </c>
      <c r="E127" s="113">
        <f>Calculations!D393</f>
        <v>0</v>
      </c>
      <c r="F127" s="113">
        <f>Calculations!E393</f>
        <v>0</v>
      </c>
      <c r="G127" s="113">
        <f>Calculations!F393</f>
        <v>0</v>
      </c>
      <c r="H127" s="113">
        <f>Calculations!G393</f>
        <v>0</v>
      </c>
      <c r="I127" s="113">
        <f>Calculations!H393</f>
        <v>0</v>
      </c>
      <c r="J127" s="113">
        <f>Calculations!I393</f>
        <v>0</v>
      </c>
    </row>
    <row r="128" spans="2:10" s="88" customFormat="1"/>
    <row r="129" spans="2:10" s="88" customFormat="1">
      <c r="C129" s="74" t="s">
        <v>545</v>
      </c>
      <c r="D129" s="74" t="s">
        <v>546</v>
      </c>
      <c r="E129" s="74" t="s">
        <v>547</v>
      </c>
      <c r="F129" s="74" t="s">
        <v>548</v>
      </c>
      <c r="G129" s="74" t="s">
        <v>549</v>
      </c>
      <c r="H129" s="74" t="s">
        <v>550</v>
      </c>
      <c r="I129" s="74" t="s">
        <v>551</v>
      </c>
      <c r="J129" s="182"/>
    </row>
    <row r="130" spans="2:10" s="88" customFormat="1">
      <c r="B130" s="187" t="str">
        <f>Calculations!A378</f>
        <v>Effective Gross Income</v>
      </c>
      <c r="C130" s="113">
        <f>Calculations!J378</f>
        <v>0</v>
      </c>
      <c r="D130" s="113">
        <f>Calculations!K378</f>
        <v>0</v>
      </c>
      <c r="E130" s="113">
        <f>Calculations!L378</f>
        <v>0</v>
      </c>
      <c r="F130" s="113">
        <f>Calculations!M378</f>
        <v>0</v>
      </c>
      <c r="G130" s="113">
        <f>Calculations!N378</f>
        <v>0</v>
      </c>
      <c r="H130" s="113">
        <f>Calculations!O378</f>
        <v>0</v>
      </c>
      <c r="I130" s="113">
        <f>Calculations!P378</f>
        <v>0</v>
      </c>
    </row>
    <row r="131" spans="2:10" s="88" customFormat="1">
      <c r="B131" s="187" t="str">
        <f>Calculations!A379</f>
        <v>Total Project Expenses</v>
      </c>
      <c r="C131" s="113">
        <f>Calculations!J379</f>
        <v>0</v>
      </c>
      <c r="D131" s="113">
        <f>Calculations!K379</f>
        <v>0</v>
      </c>
      <c r="E131" s="113">
        <f>Calculations!L379</f>
        <v>0</v>
      </c>
      <c r="F131" s="113">
        <f>Calculations!M379</f>
        <v>0</v>
      </c>
      <c r="G131" s="113">
        <f>Calculations!N379</f>
        <v>0</v>
      </c>
      <c r="H131" s="113">
        <f>Calculations!O379</f>
        <v>0</v>
      </c>
      <c r="I131" s="113">
        <f>Calculations!P379</f>
        <v>0</v>
      </c>
    </row>
    <row r="132" spans="2:10" s="88" customFormat="1">
      <c r="B132" s="187" t="str">
        <f>Calculations!A380</f>
        <v>Net Operating Income</v>
      </c>
      <c r="C132" s="113">
        <f>Calculations!J380</f>
        <v>0</v>
      </c>
      <c r="D132" s="113">
        <f>Calculations!K380</f>
        <v>0</v>
      </c>
      <c r="E132" s="113">
        <f>Calculations!L380</f>
        <v>0</v>
      </c>
      <c r="F132" s="113">
        <f>Calculations!M380</f>
        <v>0</v>
      </c>
      <c r="G132" s="113">
        <f>Calculations!N380</f>
        <v>0</v>
      </c>
      <c r="H132" s="113">
        <f>Calculations!O380</f>
        <v>0</v>
      </c>
      <c r="I132" s="113">
        <f>Calculations!P380</f>
        <v>0</v>
      </c>
    </row>
    <row r="133" spans="2:10" s="88" customFormat="1">
      <c r="B133" s="187" t="str">
        <f>Calculations!A381</f>
        <v>First Mortgage</v>
      </c>
      <c r="C133" s="113">
        <f>Calculations!J381</f>
        <v>0</v>
      </c>
      <c r="D133" s="113">
        <f>Calculations!K381</f>
        <v>0</v>
      </c>
      <c r="E133" s="113">
        <f>Calculations!L381</f>
        <v>0</v>
      </c>
      <c r="F133" s="113">
        <f>Calculations!M381</f>
        <v>0</v>
      </c>
      <c r="G133" s="113">
        <f>Calculations!N381</f>
        <v>0</v>
      </c>
      <c r="H133" s="113">
        <f>Calculations!O381</f>
        <v>0</v>
      </c>
      <c r="I133" s="113">
        <f>Calculations!P381</f>
        <v>0</v>
      </c>
    </row>
    <row r="134" spans="2:10" s="88" customFormat="1">
      <c r="B134" s="187" t="str">
        <f>Calculations!A382</f>
        <v>Second Mortgage</v>
      </c>
      <c r="C134" s="113">
        <f>Calculations!J382</f>
        <v>0</v>
      </c>
      <c r="D134" s="113">
        <f>Calculations!K382</f>
        <v>0</v>
      </c>
      <c r="E134" s="113">
        <f>Calculations!L382</f>
        <v>0</v>
      </c>
      <c r="F134" s="113">
        <f>Calculations!M382</f>
        <v>0</v>
      </c>
      <c r="G134" s="113">
        <f>Calculations!N382</f>
        <v>0</v>
      </c>
      <c r="H134" s="113">
        <f>Calculations!O382</f>
        <v>0</v>
      </c>
      <c r="I134" s="113">
        <f>Calculations!P382</f>
        <v>0</v>
      </c>
    </row>
    <row r="135" spans="2:10" s="88" customFormat="1">
      <c r="B135" s="187" t="str">
        <f>Calculations!A383</f>
        <v>Third Mortgage</v>
      </c>
      <c r="C135" s="113">
        <f>Calculations!J383</f>
        <v>0</v>
      </c>
      <c r="D135" s="113">
        <f>Calculations!K383</f>
        <v>0</v>
      </c>
      <c r="E135" s="113">
        <f>Calculations!L383</f>
        <v>0</v>
      </c>
      <c r="F135" s="113">
        <f>Calculations!M383</f>
        <v>0</v>
      </c>
      <c r="G135" s="113">
        <f>Calculations!N383</f>
        <v>0</v>
      </c>
      <c r="H135" s="113">
        <f>Calculations!O383</f>
        <v>0</v>
      </c>
      <c r="I135" s="113">
        <f>Calculations!P383</f>
        <v>0</v>
      </c>
    </row>
    <row r="136" spans="2:10" s="88" customFormat="1">
      <c r="B136" s="187" t="str">
        <f>Calculations!A384</f>
        <v>Net Project Cash Flow</v>
      </c>
      <c r="C136" s="113">
        <f>Calculations!J384</f>
        <v>0</v>
      </c>
      <c r="D136" s="113">
        <f>Calculations!K384</f>
        <v>0</v>
      </c>
      <c r="E136" s="113">
        <f>Calculations!L384</f>
        <v>0</v>
      </c>
      <c r="F136" s="113">
        <f>Calculations!M384</f>
        <v>0</v>
      </c>
      <c r="G136" s="113">
        <f>Calculations!N384</f>
        <v>0</v>
      </c>
      <c r="H136" s="113">
        <f>Calculations!O384</f>
        <v>0</v>
      </c>
      <c r="I136" s="113">
        <f>Calculations!P384</f>
        <v>0</v>
      </c>
    </row>
    <row r="137" spans="2:10" s="88" customFormat="1">
      <c r="B137" s="187" t="str">
        <f>Calculations!A385</f>
        <v>Debt Coverage Ratio</v>
      </c>
      <c r="C137" s="338" t="str">
        <f>Calculations!J385</f>
        <v>Loans Missing</v>
      </c>
      <c r="D137" s="338" t="str">
        <f>Calculations!K385</f>
        <v>Loans Missing</v>
      </c>
      <c r="E137" s="338" t="str">
        <f>Calculations!L385</f>
        <v>Loans Missing</v>
      </c>
      <c r="F137" s="338" t="str">
        <f>Calculations!M385</f>
        <v>Loans Missing</v>
      </c>
      <c r="G137" s="338" t="str">
        <f>Calculations!N385</f>
        <v>Loans Missing</v>
      </c>
      <c r="H137" s="338" t="str">
        <f>Calculations!O385</f>
        <v>Loans Missing</v>
      </c>
      <c r="I137" s="338" t="str">
        <f>Calculations!P385</f>
        <v>Loans Missing</v>
      </c>
    </row>
    <row r="138" spans="2:10" s="88" customFormat="1">
      <c r="B138" s="187"/>
      <c r="C138" s="106"/>
      <c r="D138" s="106"/>
      <c r="E138" s="106"/>
      <c r="F138" s="106"/>
      <c r="G138" s="106"/>
      <c r="H138" s="106"/>
      <c r="I138" s="106"/>
    </row>
    <row r="139" spans="2:10" s="88" customFormat="1" ht="30">
      <c r="B139" s="188" t="str">
        <f>Calculations!A387</f>
        <v>Cash Flow Available for Distribution</v>
      </c>
      <c r="C139" s="113">
        <f>Calculations!J387</f>
        <v>0</v>
      </c>
      <c r="D139" s="113">
        <f>Calculations!K387</f>
        <v>0</v>
      </c>
      <c r="E139" s="113">
        <f>Calculations!L387</f>
        <v>0</v>
      </c>
      <c r="F139" s="113">
        <f>Calculations!M387</f>
        <v>0</v>
      </c>
      <c r="G139" s="113">
        <f>Calculations!N387</f>
        <v>0</v>
      </c>
      <c r="H139" s="113">
        <f>Calculations!O387</f>
        <v>0</v>
      </c>
      <c r="I139" s="113">
        <f>Calculations!P387</f>
        <v>0</v>
      </c>
    </row>
    <row r="140" spans="2:10" s="88" customFormat="1" ht="30">
      <c r="B140" s="188" t="str">
        <f>Calculations!A388</f>
        <v>Partnership/Asset Mgt. Fees</v>
      </c>
      <c r="C140" s="113">
        <f>Calculations!J388</f>
        <v>0</v>
      </c>
      <c r="D140" s="113">
        <f>Calculations!K388</f>
        <v>0</v>
      </c>
      <c r="E140" s="113">
        <f>Calculations!L388</f>
        <v>0</v>
      </c>
      <c r="F140" s="113">
        <f>Calculations!M388</f>
        <v>0</v>
      </c>
      <c r="G140" s="113">
        <f>Calculations!N388</f>
        <v>0</v>
      </c>
      <c r="H140" s="113">
        <f>Calculations!O388</f>
        <v>0</v>
      </c>
      <c r="I140" s="113">
        <f>Calculations!P388</f>
        <v>0</v>
      </c>
    </row>
    <row r="141" spans="2:10" s="88" customFormat="1" ht="30">
      <c r="B141" s="188" t="str">
        <f>Calculations!A389</f>
        <v>Bond Fees (if applicable)</v>
      </c>
      <c r="C141" s="113">
        <f>Calculations!J389</f>
        <v>0</v>
      </c>
      <c r="D141" s="113">
        <f>Calculations!K389</f>
        <v>0</v>
      </c>
      <c r="E141" s="113">
        <f>Calculations!L389</f>
        <v>0</v>
      </c>
      <c r="F141" s="113">
        <f>Calculations!M389</f>
        <v>0</v>
      </c>
      <c r="G141" s="113">
        <f>Calculations!N389</f>
        <v>0</v>
      </c>
      <c r="H141" s="113">
        <f>Calculations!O389</f>
        <v>0</v>
      </c>
      <c r="I141" s="113">
        <f>Calculations!P389</f>
        <v>0</v>
      </c>
    </row>
    <row r="142" spans="2:10" s="88" customFormat="1" ht="30">
      <c r="B142" s="188" t="str">
        <f>Calculations!A390</f>
        <v>Deferred Developer Fee Repayment*</v>
      </c>
      <c r="C142" s="113">
        <f>Calculations!J390</f>
        <v>0</v>
      </c>
      <c r="D142" s="113">
        <f>Calculations!K390</f>
        <v>0</v>
      </c>
      <c r="E142" s="113">
        <f>Calculations!L390</f>
        <v>0</v>
      </c>
      <c r="F142" s="113">
        <f>Calculations!M390</f>
        <v>0</v>
      </c>
      <c r="G142" s="113">
        <f>Calculations!N390</f>
        <v>0</v>
      </c>
      <c r="H142" s="113">
        <f>Calculations!O390</f>
        <v>0</v>
      </c>
      <c r="I142" s="113">
        <f>Calculations!P390</f>
        <v>0</v>
      </c>
    </row>
    <row r="143" spans="2:10" s="88" customFormat="1">
      <c r="B143" s="188" t="str">
        <f>Calculations!A391</f>
        <v>Other (Specify)</v>
      </c>
      <c r="C143" s="113">
        <f>Calculations!J391</f>
        <v>0</v>
      </c>
      <c r="D143" s="113">
        <f>Calculations!K391</f>
        <v>0</v>
      </c>
      <c r="E143" s="113">
        <f>Calculations!L391</f>
        <v>0</v>
      </c>
      <c r="F143" s="113">
        <f>Calculations!M391</f>
        <v>0</v>
      </c>
      <c r="G143" s="113">
        <f>Calculations!N391</f>
        <v>0</v>
      </c>
      <c r="H143" s="113">
        <f>Calculations!O391</f>
        <v>0</v>
      </c>
      <c r="I143" s="113">
        <f>Calculations!P391</f>
        <v>0</v>
      </c>
    </row>
    <row r="144" spans="2:10" s="88" customFormat="1" ht="30">
      <c r="B144" s="188" t="str">
        <f>Calculations!A392</f>
        <v>Cash Flow Paid for Services</v>
      </c>
      <c r="C144" s="113">
        <f>Calculations!J392</f>
        <v>0</v>
      </c>
      <c r="D144" s="113">
        <f>Calculations!K392</f>
        <v>0</v>
      </c>
      <c r="E144" s="113">
        <f>Calculations!L392</f>
        <v>0</v>
      </c>
      <c r="F144" s="113">
        <f>Calculations!M392</f>
        <v>0</v>
      </c>
      <c r="G144" s="113">
        <f>Calculations!N392</f>
        <v>0</v>
      </c>
      <c r="H144" s="113">
        <f>Calculations!O392</f>
        <v>0</v>
      </c>
      <c r="I144" s="113">
        <f>Calculations!P392</f>
        <v>0</v>
      </c>
    </row>
    <row r="145" spans="1:13" s="88" customFormat="1" ht="29.25" customHeight="1">
      <c r="B145" s="188" t="str">
        <f>Calculations!A393</f>
        <v>Cash Flow Available after above obligations</v>
      </c>
      <c r="C145" s="113">
        <f>Calculations!J393</f>
        <v>0</v>
      </c>
      <c r="D145" s="113">
        <f>Calculations!K393</f>
        <v>0</v>
      </c>
      <c r="E145" s="113">
        <f>Calculations!L393</f>
        <v>0</v>
      </c>
      <c r="F145" s="113">
        <f>Calculations!M393</f>
        <v>0</v>
      </c>
      <c r="G145" s="113">
        <f>Calculations!N393</f>
        <v>0</v>
      </c>
      <c r="H145" s="113">
        <f>Calculations!O393</f>
        <v>0</v>
      </c>
      <c r="I145" s="113">
        <f>Calculations!P393</f>
        <v>0</v>
      </c>
    </row>
    <row r="146" spans="1:13" s="88" customFormat="1" ht="14.25" customHeight="1">
      <c r="B146" s="188"/>
      <c r="C146" s="113"/>
      <c r="D146" s="113"/>
      <c r="E146" s="113"/>
      <c r="F146" s="113"/>
      <c r="G146" s="113"/>
      <c r="H146" s="113"/>
      <c r="I146" s="113"/>
    </row>
    <row r="147" spans="1:13" s="88" customFormat="1" ht="14.25" customHeight="1">
      <c r="B147" s="188"/>
      <c r="C147" s="113"/>
      <c r="D147" s="113"/>
      <c r="E147" s="113"/>
      <c r="F147" s="855" t="str">
        <f>Calculations!G395</f>
        <v>Cash Flow After Above Obligations Must Be Positive</v>
      </c>
      <c r="G147" s="113"/>
      <c r="H147" s="113"/>
      <c r="I147" s="113"/>
    </row>
    <row r="148" spans="1:13" s="88" customFormat="1">
      <c r="C148" s="114" t="s">
        <v>382</v>
      </c>
      <c r="D148" s="106">
        <f>Calculations!B140</f>
        <v>0</v>
      </c>
      <c r="F148" s="867" t="str">
        <f>Calculations!C395</f>
        <v>DDF Paid off</v>
      </c>
      <c r="G148" s="854" t="str">
        <f>Calculations!D395</f>
        <v>IN YEAR 1</v>
      </c>
      <c r="M148"/>
    </row>
    <row r="149" spans="1:13">
      <c r="C149" s="114" t="s">
        <v>977</v>
      </c>
      <c r="D149" s="106">
        <f>Calculations!B396</f>
        <v>0</v>
      </c>
      <c r="E149" s="119"/>
      <c r="F149" s="283" t="str">
        <f>Calculations!G396</f>
        <v>The 10 Year cash flow available after obligations payable test has been met</v>
      </c>
    </row>
    <row r="150" spans="1:13">
      <c r="B150" s="1"/>
      <c r="C150" s="114" t="s">
        <v>978</v>
      </c>
      <c r="D150" s="106">
        <f>Calculations!B397</f>
        <v>0</v>
      </c>
      <c r="E150" s="119"/>
      <c r="F150" s="283" t="str">
        <f>Calculations!G397</f>
        <v>The 15 Year cash flow available after obligations payable test has been met</v>
      </c>
    </row>
    <row r="151" spans="1:13" s="88" customFormat="1">
      <c r="M151"/>
    </row>
    <row r="152" spans="1:13">
      <c r="A152" s="928" t="s">
        <v>979</v>
      </c>
      <c r="B152" s="928"/>
      <c r="C152" s="928"/>
      <c r="D152" s="928"/>
      <c r="E152" s="928"/>
      <c r="F152" s="928"/>
      <c r="G152" s="928"/>
      <c r="H152" s="928"/>
      <c r="I152" s="928"/>
      <c r="J152" s="928"/>
      <c r="K152" s="928"/>
    </row>
    <row r="153" spans="1:13">
      <c r="A153" s="931" t="s">
        <v>980</v>
      </c>
      <c r="B153" s="931"/>
      <c r="C153" s="931"/>
      <c r="D153" s="931"/>
      <c r="E153" s="931"/>
      <c r="F153" s="931"/>
      <c r="G153" s="931"/>
      <c r="H153" s="931"/>
      <c r="I153" s="931"/>
      <c r="J153" s="931"/>
      <c r="K153" s="931"/>
    </row>
    <row r="155" spans="1:13">
      <c r="B155" s="115"/>
      <c r="C155" s="115"/>
      <c r="D155" s="117" t="s">
        <v>981</v>
      </c>
    </row>
    <row r="156" spans="1:13">
      <c r="C156" s="110" t="s">
        <v>415</v>
      </c>
      <c r="D156" s="106">
        <f>Calculations!B404</f>
        <v>0</v>
      </c>
    </row>
    <row r="157" spans="1:13">
      <c r="C157" s="110" t="s">
        <v>416</v>
      </c>
      <c r="D157" s="106">
        <f>Calculations!B405</f>
        <v>0</v>
      </c>
    </row>
    <row r="158" spans="1:13">
      <c r="B158" s="109"/>
      <c r="C158" s="108" t="s">
        <v>982</v>
      </c>
      <c r="D158" s="107">
        <f>Calculations!B406</f>
        <v>0</v>
      </c>
    </row>
    <row r="159" spans="1:13">
      <c r="D159" s="112"/>
    </row>
    <row r="160" spans="1:13">
      <c r="B160" s="115"/>
      <c r="C160" s="115"/>
      <c r="D160" s="116" t="s">
        <v>983</v>
      </c>
      <c r="E160" s="304" t="s">
        <v>984</v>
      </c>
      <c r="F160" s="117"/>
    </row>
    <row r="161" spans="1:11">
      <c r="C161" s="110" t="s">
        <v>985</v>
      </c>
      <c r="D161" s="106">
        <f>Calculations!B408</f>
        <v>0</v>
      </c>
    </row>
    <row r="162" spans="1:11">
      <c r="C162" s="110" t="s">
        <v>986</v>
      </c>
      <c r="D162" s="106">
        <f>Calculations!B409</f>
        <v>0</v>
      </c>
    </row>
    <row r="163" spans="1:11">
      <c r="C163" s="110" t="s">
        <v>987</v>
      </c>
      <c r="D163" s="106">
        <f>Calculations!B410</f>
        <v>0</v>
      </c>
    </row>
    <row r="164" spans="1:11">
      <c r="C164" s="110" t="s">
        <v>495</v>
      </c>
      <c r="D164" s="106">
        <f>Calculations!B411</f>
        <v>0</v>
      </c>
    </row>
    <row r="165" spans="1:11">
      <c r="B165" s="109"/>
      <c r="C165" s="108" t="s">
        <v>988</v>
      </c>
      <c r="D165" s="107">
        <f>Calculations!B412</f>
        <v>0</v>
      </c>
    </row>
    <row r="166" spans="1:11">
      <c r="C166" s="110" t="s">
        <v>982</v>
      </c>
      <c r="D166" s="106">
        <f>Calculations!B406</f>
        <v>0</v>
      </c>
      <c r="E166" s="106" t="e">
        <f>Calculations!B413</f>
        <v>#N/A</v>
      </c>
    </row>
    <row r="167" spans="1:11">
      <c r="B167" s="109"/>
      <c r="C167" s="108" t="s">
        <v>989</v>
      </c>
      <c r="D167" s="311">
        <f>Calculations!E413</f>
        <v>0</v>
      </c>
      <c r="E167" s="311" t="e">
        <f>Calculations!B403</f>
        <v>#N/A</v>
      </c>
    </row>
    <row r="168" spans="1:11">
      <c r="C168" s="114"/>
      <c r="D168" s="106"/>
    </row>
    <row r="169" spans="1:11">
      <c r="C169" s="67" t="s">
        <v>990</v>
      </c>
      <c r="D169" s="106" t="e">
        <f>Calculations!B414</f>
        <v>#N/A</v>
      </c>
    </row>
    <row r="170" spans="1:11">
      <c r="C170" s="114"/>
      <c r="D170" s="112"/>
    </row>
    <row r="171" spans="1:11">
      <c r="A171" s="931" t="s">
        <v>991</v>
      </c>
      <c r="B171" s="931"/>
      <c r="C171" s="931"/>
      <c r="D171" s="931"/>
      <c r="E171" s="931"/>
      <c r="F171" s="931"/>
      <c r="G171" s="931"/>
      <c r="H171" s="931"/>
      <c r="I171" s="931"/>
      <c r="J171" s="931"/>
      <c r="K171" s="931"/>
    </row>
    <row r="173" spans="1:11">
      <c r="B173" s="115"/>
      <c r="C173" s="115"/>
      <c r="D173" s="116" t="s">
        <v>992</v>
      </c>
      <c r="E173" s="304" t="s">
        <v>984</v>
      </c>
      <c r="F173" s="117"/>
    </row>
    <row r="174" spans="1:11">
      <c r="C174" s="110" t="s">
        <v>993</v>
      </c>
      <c r="D174" s="106">
        <f>Calculations!B419</f>
        <v>0</v>
      </c>
    </row>
    <row r="175" spans="1:11">
      <c r="C175" s="636" t="s">
        <v>994</v>
      </c>
      <c r="D175" s="495">
        <f>Calculations!B421</f>
        <v>0</v>
      </c>
    </row>
    <row r="176" spans="1:11">
      <c r="B176" s="932" t="s">
        <v>995</v>
      </c>
      <c r="C176" s="932"/>
      <c r="D176" s="495" t="e">
        <f>Calculations!B420</f>
        <v>#N/A</v>
      </c>
      <c r="F176" s="495"/>
      <c r="G176" s="73"/>
    </row>
    <row r="177" spans="1:11">
      <c r="C177" s="110" t="s">
        <v>996</v>
      </c>
      <c r="D177" s="106">
        <f>Calculations!B422</f>
        <v>0</v>
      </c>
      <c r="F177" s="112"/>
      <c r="G177" s="111"/>
    </row>
    <row r="178" spans="1:11">
      <c r="C178" s="110" t="s">
        <v>997</v>
      </c>
      <c r="D178" s="106">
        <f>Calculations!B423</f>
        <v>0</v>
      </c>
      <c r="F178" s="112"/>
      <c r="G178" s="111"/>
    </row>
    <row r="179" spans="1:11">
      <c r="C179" s="110" t="s">
        <v>998</v>
      </c>
      <c r="D179" s="106">
        <f>Calculations!B424</f>
        <v>0</v>
      </c>
    </row>
    <row r="180" spans="1:11">
      <c r="B180" s="109"/>
      <c r="C180" s="108" t="s">
        <v>999</v>
      </c>
      <c r="D180" s="107" t="e">
        <f>Calculations!B425</f>
        <v>#N/A</v>
      </c>
    </row>
    <row r="181" spans="1:11">
      <c r="C181" s="114"/>
      <c r="D181" s="112"/>
      <c r="E181" t="s">
        <v>1000</v>
      </c>
    </row>
    <row r="182" spans="1:11" ht="15" customHeight="1">
      <c r="C182" s="67" t="s">
        <v>1001</v>
      </c>
      <c r="D182" s="106">
        <f>Calculations!B279</f>
        <v>0</v>
      </c>
      <c r="E182" s="380">
        <f>Calculations!E428</f>
        <v>0</v>
      </c>
      <c r="F182" s="10" t="str">
        <f>Calculations!G428</f>
        <v/>
      </c>
    </row>
    <row r="183" spans="1:11">
      <c r="C183" s="67" t="s">
        <v>479</v>
      </c>
      <c r="D183" s="106">
        <f>Calculations!B427</f>
        <v>0</v>
      </c>
      <c r="E183" s="379">
        <f>Calculations!E427</f>
        <v>0</v>
      </c>
      <c r="F183" t="str">
        <f>Calculations!G427</f>
        <v/>
      </c>
    </row>
    <row r="184" spans="1:11">
      <c r="B184" s="109"/>
      <c r="C184" s="108" t="s">
        <v>1002</v>
      </c>
      <c r="D184" s="107">
        <f>Calculations!B283</f>
        <v>0</v>
      </c>
      <c r="E184" s="378" t="e">
        <f>Calculations!B430</f>
        <v>#N/A</v>
      </c>
    </row>
    <row r="185" spans="1:11">
      <c r="C185" s="67" t="s">
        <v>990</v>
      </c>
      <c r="D185" s="106" t="e">
        <f>Calculations!B429</f>
        <v>#N/A</v>
      </c>
    </row>
    <row r="187" spans="1:11" ht="15" customHeight="1">
      <c r="A187" s="928" t="s">
        <v>1003</v>
      </c>
      <c r="B187" s="928"/>
      <c r="C187" s="928"/>
      <c r="D187" s="928"/>
      <c r="E187" s="928"/>
      <c r="F187" s="928"/>
      <c r="G187" s="928"/>
      <c r="H187" s="928"/>
      <c r="I187" s="928"/>
      <c r="J187" s="928"/>
      <c r="K187" s="928"/>
    </row>
    <row r="189" spans="1:11" ht="30">
      <c r="B189" s="145" t="s">
        <v>892</v>
      </c>
      <c r="C189" s="74" t="s">
        <v>893</v>
      </c>
      <c r="D189" s="74"/>
      <c r="E189" s="496" t="str">
        <f>Calculations!B33</f>
        <v>0 Bed*</v>
      </c>
      <c r="F189" s="496" t="str">
        <f>Calculations!C33</f>
        <v>1 Bed*</v>
      </c>
      <c r="G189" s="496" t="str">
        <f>Calculations!D33</f>
        <v>2 Bed*</v>
      </c>
      <c r="H189" s="496" t="str">
        <f>Calculations!E33</f>
        <v>3 Bed*</v>
      </c>
      <c r="I189" s="496" t="str">
        <f>Calculations!F33</f>
        <v>4 Bed*</v>
      </c>
      <c r="J189" s="496" t="str">
        <f>Calculations!G33</f>
        <v>5 Bed*</v>
      </c>
      <c r="K189" s="74"/>
    </row>
    <row r="190" spans="1:11">
      <c r="B190" s="143" t="s">
        <v>1004</v>
      </c>
      <c r="C190" s="415">
        <f>Calculations!H34</f>
        <v>0</v>
      </c>
      <c r="D190" s="182"/>
      <c r="E190" s="415">
        <f>Calculations!B34</f>
        <v>0</v>
      </c>
      <c r="F190" s="415">
        <f>Calculations!C34</f>
        <v>0</v>
      </c>
      <c r="G190" s="415">
        <f>Calculations!D34</f>
        <v>0</v>
      </c>
      <c r="H190" s="415">
        <f>Calculations!E34</f>
        <v>0</v>
      </c>
      <c r="I190" s="415">
        <f>Calculations!F34</f>
        <v>0</v>
      </c>
      <c r="J190" s="415">
        <f>Calculations!G34</f>
        <v>0</v>
      </c>
      <c r="K190" s="182"/>
    </row>
    <row r="191" spans="1:11">
      <c r="B191" s="143" t="s">
        <v>1005</v>
      </c>
      <c r="C191" s="415">
        <f>Calculations!H35</f>
        <v>0</v>
      </c>
      <c r="D191" s="80"/>
      <c r="E191" s="415">
        <f>Calculations!B35</f>
        <v>0</v>
      </c>
      <c r="F191" s="415">
        <f>Calculations!C35</f>
        <v>0</v>
      </c>
      <c r="G191" s="415">
        <f>Calculations!D35</f>
        <v>0</v>
      </c>
      <c r="H191" s="415">
        <f>Calculations!E35</f>
        <v>0</v>
      </c>
      <c r="I191" s="415">
        <f>Calculations!F35</f>
        <v>0</v>
      </c>
      <c r="J191" s="415">
        <f>Calculations!G35</f>
        <v>0</v>
      </c>
      <c r="K191" s="182"/>
    </row>
    <row r="192" spans="1:11">
      <c r="B192" s="143" t="s">
        <v>1006</v>
      </c>
      <c r="C192" s="415">
        <f>Calculations!H36</f>
        <v>0</v>
      </c>
      <c r="D192" s="80"/>
      <c r="E192" s="415">
        <f>Calculations!B36</f>
        <v>0</v>
      </c>
      <c r="F192" s="415">
        <f>Calculations!C36</f>
        <v>0</v>
      </c>
      <c r="G192" s="415">
        <f>Calculations!D36</f>
        <v>0</v>
      </c>
      <c r="H192" s="415">
        <f>Calculations!E36</f>
        <v>0</v>
      </c>
      <c r="I192" s="415">
        <f>Calculations!F36</f>
        <v>0</v>
      </c>
      <c r="J192" s="415">
        <f>Calculations!G36</f>
        <v>0</v>
      </c>
      <c r="K192" s="182"/>
    </row>
    <row r="193" spans="2:11">
      <c r="B193" s="143" t="s">
        <v>1007</v>
      </c>
      <c r="C193" s="415">
        <f>Calculations!H37</f>
        <v>0</v>
      </c>
      <c r="D193" s="80"/>
      <c r="E193" s="415">
        <f>Calculations!B37</f>
        <v>0</v>
      </c>
      <c r="F193" s="415">
        <f>Calculations!C37</f>
        <v>0</v>
      </c>
      <c r="G193" s="415">
        <f>Calculations!D37</f>
        <v>0</v>
      </c>
      <c r="H193" s="415">
        <f>Calculations!E37</f>
        <v>0</v>
      </c>
      <c r="I193" s="415">
        <f>Calculations!F37</f>
        <v>0</v>
      </c>
      <c r="J193" s="415">
        <f>Calculations!G37</f>
        <v>0</v>
      </c>
      <c r="K193" s="182"/>
    </row>
    <row r="194" spans="2:11">
      <c r="B194" s="143" t="s">
        <v>1008</v>
      </c>
      <c r="C194" s="415">
        <f>Calculations!H38</f>
        <v>0</v>
      </c>
      <c r="D194" s="80"/>
      <c r="E194" s="415">
        <f>Calculations!B38</f>
        <v>0</v>
      </c>
      <c r="F194" s="415">
        <f>Calculations!C38</f>
        <v>0</v>
      </c>
      <c r="G194" s="415">
        <f>Calculations!D38</f>
        <v>0</v>
      </c>
      <c r="H194" s="415">
        <f>Calculations!E38</f>
        <v>0</v>
      </c>
      <c r="I194" s="415">
        <f>Calculations!F38</f>
        <v>0</v>
      </c>
      <c r="J194" s="415">
        <f>Calculations!G38</f>
        <v>0</v>
      </c>
      <c r="K194" s="182"/>
    </row>
    <row r="195" spans="2:11">
      <c r="B195" s="143" t="s">
        <v>1009</v>
      </c>
      <c r="C195" s="415">
        <f>Calculations!H39</f>
        <v>0</v>
      </c>
      <c r="D195" s="80"/>
      <c r="E195" s="415">
        <f>Calculations!B39</f>
        <v>0</v>
      </c>
      <c r="F195" s="415">
        <f>Calculations!C39</f>
        <v>0</v>
      </c>
      <c r="G195" s="415">
        <f>Calculations!D39</f>
        <v>0</v>
      </c>
      <c r="H195" s="415">
        <f>Calculations!E39</f>
        <v>0</v>
      </c>
      <c r="I195" s="415">
        <f>Calculations!F39</f>
        <v>0</v>
      </c>
      <c r="J195" s="415">
        <f>Calculations!G39</f>
        <v>0</v>
      </c>
      <c r="K195" s="182"/>
    </row>
    <row r="196" spans="2:11">
      <c r="B196" s="143" t="s">
        <v>1010</v>
      </c>
      <c r="C196" s="416">
        <f>Calculations!H40</f>
        <v>0</v>
      </c>
      <c r="D196" s="79"/>
      <c r="E196" s="415">
        <f>Calculations!B40</f>
        <v>0</v>
      </c>
      <c r="F196" s="415">
        <f>Calculations!C40</f>
        <v>0</v>
      </c>
      <c r="G196" s="415">
        <f>Calculations!D40</f>
        <v>0</v>
      </c>
      <c r="H196" s="415">
        <f>Calculations!E40</f>
        <v>0</v>
      </c>
      <c r="I196" s="415">
        <f>Calculations!F40</f>
        <v>0</v>
      </c>
      <c r="J196" s="415">
        <f>Calculations!G40</f>
        <v>0</v>
      </c>
      <c r="K196" s="182"/>
    </row>
    <row r="197" spans="2:11">
      <c r="B197" s="144" t="s">
        <v>1011</v>
      </c>
      <c r="C197" s="414">
        <f>Calculations!H41</f>
        <v>0</v>
      </c>
      <c r="D197" s="80"/>
      <c r="E197" s="414">
        <f>Calculations!B41</f>
        <v>0</v>
      </c>
      <c r="F197" s="414">
        <f>Calculations!C41</f>
        <v>0</v>
      </c>
      <c r="G197" s="490">
        <f>Calculations!D41</f>
        <v>0</v>
      </c>
      <c r="H197" s="414">
        <f>Calculations!E41</f>
        <v>0</v>
      </c>
      <c r="I197" s="414">
        <f>Calculations!F41</f>
        <v>0</v>
      </c>
      <c r="J197" s="414">
        <f>Calculations!G41</f>
        <v>0</v>
      </c>
      <c r="K197" s="182"/>
    </row>
    <row r="198" spans="2:11">
      <c r="B198" s="143" t="s">
        <v>1012</v>
      </c>
      <c r="C198" s="386">
        <f>Calculations!H43</f>
        <v>0</v>
      </c>
      <c r="D198" s="80"/>
      <c r="E198" s="814">
        <f>Calculations!B43</f>
        <v>0</v>
      </c>
      <c r="F198" s="814">
        <f>Calculations!C43</f>
        <v>0</v>
      </c>
      <c r="G198" s="814">
        <f>Calculations!D43</f>
        <v>0</v>
      </c>
      <c r="H198" s="814">
        <f>Calculations!E43</f>
        <v>0</v>
      </c>
      <c r="I198" s="814">
        <f>Calculations!F43</f>
        <v>0</v>
      </c>
      <c r="J198" s="814">
        <f>Calculations!G43</f>
        <v>0</v>
      </c>
    </row>
    <row r="199" spans="2:11" ht="15" customHeight="1">
      <c r="B199" s="419" t="s">
        <v>1013</v>
      </c>
      <c r="C199" s="387">
        <f>Calculations!H44</f>
        <v>0</v>
      </c>
      <c r="D199" s="79"/>
      <c r="E199" s="814">
        <f>Calculations!B44</f>
        <v>0</v>
      </c>
      <c r="F199" s="814">
        <f>Calculations!C44</f>
        <v>0</v>
      </c>
      <c r="G199" s="814">
        <f>Calculations!D44</f>
        <v>0</v>
      </c>
      <c r="H199" s="814">
        <f>Calculations!E44</f>
        <v>0</v>
      </c>
      <c r="I199" s="814">
        <f>Calculations!F44</f>
        <v>0</v>
      </c>
      <c r="J199" s="814">
        <f>Calculations!G44</f>
        <v>0</v>
      </c>
    </row>
    <row r="200" spans="2:11">
      <c r="B200" s="1" t="s">
        <v>1014</v>
      </c>
      <c r="C200" s="414">
        <f>Calculations!H45</f>
        <v>0</v>
      </c>
      <c r="D200" s="80"/>
      <c r="E200" s="140"/>
    </row>
    <row r="201" spans="2:11" ht="30" customHeight="1">
      <c r="B201" s="1" t="s">
        <v>1015</v>
      </c>
      <c r="C201" s="74"/>
      <c r="D201" s="74" t="s">
        <v>1016</v>
      </c>
      <c r="E201" s="115" t="s">
        <v>1017</v>
      </c>
    </row>
    <row r="202" spans="2:11" ht="15" customHeight="1">
      <c r="B202" s="76" t="s">
        <v>1018</v>
      </c>
      <c r="D202" s="80">
        <f>Calculations!M53</f>
        <v>0</v>
      </c>
      <c r="E202" s="375" t="e">
        <f>Calculations!O53</f>
        <v>#DIV/0!</v>
      </c>
    </row>
    <row r="203" spans="2:11" ht="15" customHeight="1">
      <c r="B203" s="78" t="s">
        <v>1019</v>
      </c>
      <c r="C203" s="78"/>
      <c r="D203" s="79">
        <f>Calculations!M54</f>
        <v>0</v>
      </c>
      <c r="E203" s="376" t="e">
        <f>Calculations!O54</f>
        <v>#DIV/0!</v>
      </c>
    </row>
    <row r="204" spans="2:11" ht="15" customHeight="1">
      <c r="B204" s="1" t="s">
        <v>1020</v>
      </c>
      <c r="C204" s="1"/>
      <c r="D204" s="80">
        <f>Calculations!M55</f>
        <v>0</v>
      </c>
      <c r="E204" s="377" t="e">
        <f>Calculations!O55</f>
        <v>#DIV/0!</v>
      </c>
    </row>
    <row r="205" spans="2:11" ht="15" customHeight="1">
      <c r="B205" s="78" t="s">
        <v>1014</v>
      </c>
      <c r="C205" s="78"/>
      <c r="D205" s="79">
        <f>Calculations!H60</f>
        <v>0</v>
      </c>
      <c r="E205" s="376" t="e">
        <f>Calculations!O49</f>
        <v>#DIV/0!</v>
      </c>
    </row>
    <row r="206" spans="2:11" ht="15" customHeight="1">
      <c r="B206" s="1" t="s">
        <v>1021</v>
      </c>
      <c r="C206" s="1"/>
      <c r="D206" s="80">
        <f>Calculations!M56</f>
        <v>0</v>
      </c>
      <c r="E206" s="80"/>
    </row>
    <row r="207" spans="2:11" ht="15" customHeight="1">
      <c r="D207" s="77"/>
    </row>
    <row r="208" spans="2:11" ht="28.5" customHeight="1">
      <c r="C208" s="74" t="s">
        <v>893</v>
      </c>
      <c r="D208" s="74" t="s">
        <v>1016</v>
      </c>
    </row>
    <row r="209" spans="1:12">
      <c r="B209" s="515" t="s">
        <v>871</v>
      </c>
      <c r="C209" s="137">
        <f>Calculations!K73</f>
        <v>0</v>
      </c>
      <c r="D209" s="137">
        <f>Calculations!L73</f>
        <v>0</v>
      </c>
      <c r="E209" s="123" t="s">
        <v>1022</v>
      </c>
    </row>
    <row r="210" spans="1:12" ht="28.5" customHeight="1">
      <c r="B210" s="933" t="s">
        <v>1023</v>
      </c>
      <c r="C210" s="933"/>
      <c r="D210" s="391">
        <f>Calculations!K74</f>
        <v>0</v>
      </c>
    </row>
    <row r="211" spans="1:12" ht="15" customHeight="1">
      <c r="B211" s="138"/>
      <c r="D211" s="137"/>
    </row>
    <row r="212" spans="1:12" ht="13.5" customHeight="1">
      <c r="A212" s="928" t="s">
        <v>1024</v>
      </c>
      <c r="B212" s="928"/>
      <c r="C212" s="928"/>
      <c r="D212" s="928"/>
      <c r="E212" s="928"/>
      <c r="F212" s="928"/>
      <c r="G212" s="928"/>
      <c r="H212" s="928"/>
      <c r="I212" s="928"/>
      <c r="J212" s="928"/>
      <c r="K212" s="928"/>
    </row>
    <row r="213" spans="1:12" ht="27.75" customHeight="1">
      <c r="A213" s="340"/>
      <c r="B213" s="3" t="s">
        <v>110</v>
      </c>
      <c r="C213" s="3" t="s">
        <v>111</v>
      </c>
      <c r="D213" s="3" t="s">
        <v>112</v>
      </c>
      <c r="E213" s="3" t="s">
        <v>113</v>
      </c>
      <c r="F213" s="511" t="s">
        <v>1025</v>
      </c>
      <c r="G213" s="511" t="s">
        <v>1026</v>
      </c>
      <c r="H213" s="373" t="s">
        <v>1027</v>
      </c>
      <c r="I213" s="123"/>
      <c r="J213" s="507"/>
      <c r="K213" s="507"/>
      <c r="L213" s="123"/>
    </row>
    <row r="214" spans="1:12">
      <c r="B214" s="70">
        <f>Calculations!A888</f>
        <v>0</v>
      </c>
      <c r="C214">
        <f>Calculations!B888</f>
        <v>0</v>
      </c>
      <c r="D214" s="77">
        <f>Calculations!C888</f>
        <v>0</v>
      </c>
      <c r="E214" s="92">
        <f>Calculations!D888</f>
        <v>0</v>
      </c>
      <c r="F214" s="149">
        <f>Calculations!E888</f>
        <v>0</v>
      </c>
      <c r="G214" s="149">
        <f>Calculations!F888</f>
        <v>0</v>
      </c>
      <c r="H214" s="149">
        <f>Calculations!G888</f>
        <v>0</v>
      </c>
      <c r="I214" s="508" t="str">
        <f>Calculations!H888</f>
        <v/>
      </c>
      <c r="J214" s="123"/>
      <c r="K214" s="123"/>
      <c r="L214" s="123"/>
    </row>
    <row r="215" spans="1:12">
      <c r="B215" s="70">
        <f>Calculations!A889</f>
        <v>0</v>
      </c>
      <c r="C215">
        <f>Calculations!B889</f>
        <v>0</v>
      </c>
      <c r="D215" s="77">
        <f>Calculations!C889</f>
        <v>0</v>
      </c>
      <c r="E215" s="92">
        <f>Calculations!D889</f>
        <v>0</v>
      </c>
      <c r="F215" s="149">
        <f>Calculations!E889</f>
        <v>0</v>
      </c>
      <c r="G215" s="149">
        <f>Calculations!F889</f>
        <v>0</v>
      </c>
      <c r="H215" s="149">
        <f>Calculations!G889</f>
        <v>0</v>
      </c>
      <c r="I215" s="508" t="str">
        <f>Calculations!H889</f>
        <v/>
      </c>
      <c r="J215" s="123"/>
      <c r="K215" s="123"/>
      <c r="L215" s="123"/>
    </row>
    <row r="216" spans="1:12">
      <c r="B216" s="70">
        <f>Calculations!A890</f>
        <v>0</v>
      </c>
      <c r="C216">
        <f>Calculations!B890</f>
        <v>0</v>
      </c>
      <c r="D216" s="77">
        <f>Calculations!C890</f>
        <v>0</v>
      </c>
      <c r="E216" s="92">
        <f>Calculations!D890</f>
        <v>0</v>
      </c>
      <c r="F216" s="149">
        <f>Calculations!E890</f>
        <v>0</v>
      </c>
      <c r="G216" s="149">
        <f>Calculations!F890</f>
        <v>0</v>
      </c>
      <c r="H216" s="149">
        <f>Calculations!G890</f>
        <v>0</v>
      </c>
      <c r="I216" s="508" t="str">
        <f>Calculations!H890</f>
        <v/>
      </c>
      <c r="J216" s="123"/>
      <c r="K216" s="123"/>
      <c r="L216" s="123"/>
    </row>
    <row r="217" spans="1:12">
      <c r="B217" s="70">
        <f>Calculations!A891</f>
        <v>0</v>
      </c>
      <c r="C217">
        <f>Calculations!B891</f>
        <v>0</v>
      </c>
      <c r="D217" s="77">
        <f>Calculations!C891</f>
        <v>0</v>
      </c>
      <c r="E217" s="92">
        <f>Calculations!D891</f>
        <v>0</v>
      </c>
      <c r="F217" s="149">
        <f>Calculations!E891</f>
        <v>0</v>
      </c>
      <c r="G217" s="149">
        <f>Calculations!F891</f>
        <v>0</v>
      </c>
      <c r="H217" s="149">
        <f>Calculations!G891</f>
        <v>0</v>
      </c>
      <c r="I217" s="508" t="str">
        <f>Calculations!H891</f>
        <v/>
      </c>
      <c r="J217" s="123"/>
      <c r="K217" s="123"/>
      <c r="L217" s="123"/>
    </row>
    <row r="218" spans="1:12">
      <c r="B218" s="70">
        <f>Calculations!A892</f>
        <v>0</v>
      </c>
      <c r="C218">
        <f>Calculations!B892</f>
        <v>0</v>
      </c>
      <c r="D218" s="77">
        <f>Calculations!C892</f>
        <v>0</v>
      </c>
      <c r="E218" s="92">
        <f>Calculations!D892</f>
        <v>0</v>
      </c>
      <c r="F218" s="149">
        <f>Calculations!E892</f>
        <v>0</v>
      </c>
      <c r="G218" s="149">
        <f>Calculations!F892</f>
        <v>0</v>
      </c>
      <c r="H218" s="149">
        <f>Calculations!G892</f>
        <v>0</v>
      </c>
      <c r="I218" s="508" t="str">
        <f>Calculations!H892</f>
        <v/>
      </c>
      <c r="J218" s="123"/>
      <c r="K218" s="123"/>
      <c r="L218" s="123"/>
    </row>
    <row r="219" spans="1:12">
      <c r="B219" s="70">
        <f>Calculations!A893</f>
        <v>0</v>
      </c>
      <c r="C219">
        <f>Calculations!B893</f>
        <v>0</v>
      </c>
      <c r="D219" s="77">
        <f>Calculations!C893</f>
        <v>0</v>
      </c>
      <c r="E219" s="92">
        <f>Calculations!D893</f>
        <v>0</v>
      </c>
      <c r="F219" s="149">
        <f>Calculations!E893</f>
        <v>0</v>
      </c>
      <c r="G219" s="149">
        <f>Calculations!F893</f>
        <v>0</v>
      </c>
      <c r="H219" s="149">
        <f>Calculations!G893</f>
        <v>0</v>
      </c>
      <c r="I219" s="508" t="str">
        <f>Calculations!H893</f>
        <v/>
      </c>
      <c r="J219" s="123"/>
      <c r="K219" s="123"/>
      <c r="L219" s="123"/>
    </row>
    <row r="220" spans="1:12">
      <c r="B220" s="70">
        <f>Calculations!A894</f>
        <v>0</v>
      </c>
      <c r="C220">
        <f>Calculations!B894</f>
        <v>0</v>
      </c>
      <c r="D220" s="77">
        <f>Calculations!C894</f>
        <v>0</v>
      </c>
      <c r="E220" s="92">
        <f>Calculations!D894</f>
        <v>0</v>
      </c>
      <c r="F220" s="149">
        <f>Calculations!E894</f>
        <v>0</v>
      </c>
      <c r="G220" s="149">
        <f>Calculations!F894</f>
        <v>0</v>
      </c>
      <c r="H220" s="149">
        <f>Calculations!G894</f>
        <v>0</v>
      </c>
      <c r="I220" s="508" t="str">
        <f>Calculations!H894</f>
        <v/>
      </c>
      <c r="J220" s="123"/>
      <c r="K220" s="123"/>
      <c r="L220" s="123"/>
    </row>
    <row r="221" spans="1:12">
      <c r="B221" s="70">
        <f>Calculations!A895</f>
        <v>0</v>
      </c>
      <c r="C221">
        <f>Calculations!B895</f>
        <v>0</v>
      </c>
      <c r="D221" s="77">
        <f>Calculations!C895</f>
        <v>0</v>
      </c>
      <c r="E221" s="92">
        <f>Calculations!D895</f>
        <v>0</v>
      </c>
      <c r="F221" s="149">
        <f>Calculations!E895</f>
        <v>0</v>
      </c>
      <c r="G221" s="149">
        <f>Calculations!F895</f>
        <v>0</v>
      </c>
      <c r="H221" s="149">
        <f>Calculations!G895</f>
        <v>0</v>
      </c>
      <c r="I221" s="508" t="str">
        <f>Calculations!H895</f>
        <v/>
      </c>
      <c r="J221" s="123"/>
      <c r="K221" s="123"/>
      <c r="L221" s="123"/>
    </row>
    <row r="222" spans="1:12">
      <c r="B222" s="70">
        <f>Calculations!A896</f>
        <v>0</v>
      </c>
      <c r="C222">
        <f>Calculations!B896</f>
        <v>0</v>
      </c>
      <c r="D222" s="77">
        <f>Calculations!C896</f>
        <v>0</v>
      </c>
      <c r="E222" s="92">
        <f>Calculations!D896</f>
        <v>0</v>
      </c>
      <c r="F222" s="149">
        <f>Calculations!E896</f>
        <v>0</v>
      </c>
      <c r="G222" s="149">
        <f>Calculations!F896</f>
        <v>0</v>
      </c>
      <c r="H222" s="149">
        <f>Calculations!G896</f>
        <v>0</v>
      </c>
      <c r="I222" s="508" t="str">
        <f>Calculations!H896</f>
        <v/>
      </c>
      <c r="J222" s="123"/>
      <c r="K222" s="123"/>
      <c r="L222" s="123"/>
    </row>
    <row r="223" spans="1:12">
      <c r="B223" s="70">
        <f>Calculations!A897</f>
        <v>0</v>
      </c>
      <c r="C223">
        <f>Calculations!B897</f>
        <v>0</v>
      </c>
      <c r="D223" s="77">
        <f>Calculations!C897</f>
        <v>0</v>
      </c>
      <c r="E223" s="92">
        <f>Calculations!D897</f>
        <v>0</v>
      </c>
      <c r="F223" s="149">
        <f>Calculations!E897</f>
        <v>0</v>
      </c>
      <c r="G223" s="149">
        <f>Calculations!F897</f>
        <v>0</v>
      </c>
      <c r="H223" s="149">
        <f>Calculations!G897</f>
        <v>0</v>
      </c>
      <c r="I223" s="508" t="str">
        <f>Calculations!H897</f>
        <v/>
      </c>
      <c r="J223" s="123"/>
      <c r="K223" s="123"/>
      <c r="L223" s="123"/>
    </row>
    <row r="224" spans="1:12">
      <c r="B224" s="70">
        <f>Calculations!A898</f>
        <v>0</v>
      </c>
      <c r="C224">
        <f>Calculations!B898</f>
        <v>0</v>
      </c>
      <c r="D224" s="77">
        <f>Calculations!C898</f>
        <v>0</v>
      </c>
      <c r="E224" s="92">
        <f>Calculations!D898</f>
        <v>0</v>
      </c>
      <c r="F224" s="149">
        <f>Calculations!E898</f>
        <v>0</v>
      </c>
      <c r="G224" s="149">
        <f>Calculations!F898</f>
        <v>0</v>
      </c>
      <c r="H224" s="149">
        <f>Calculations!G898</f>
        <v>0</v>
      </c>
      <c r="I224" s="508" t="str">
        <f>Calculations!H898</f>
        <v/>
      </c>
      <c r="J224" s="123"/>
      <c r="K224" s="123"/>
      <c r="L224" s="123"/>
    </row>
    <row r="225" spans="2:12">
      <c r="B225" s="70">
        <f>Calculations!A899</f>
        <v>0</v>
      </c>
      <c r="C225">
        <f>Calculations!B899</f>
        <v>0</v>
      </c>
      <c r="D225" s="77">
        <f>Calculations!C899</f>
        <v>0</v>
      </c>
      <c r="E225" s="92">
        <f>Calculations!D899</f>
        <v>0</v>
      </c>
      <c r="F225" s="149">
        <f>Calculations!E899</f>
        <v>0</v>
      </c>
      <c r="G225" s="149">
        <f>Calculations!F899</f>
        <v>0</v>
      </c>
      <c r="H225" s="149">
        <f>Calculations!G899</f>
        <v>0</v>
      </c>
      <c r="I225" s="508" t="str">
        <f>Calculations!H899</f>
        <v/>
      </c>
      <c r="J225" s="123"/>
      <c r="K225" s="123"/>
      <c r="L225" s="123"/>
    </row>
    <row r="226" spans="2:12">
      <c r="B226" s="70">
        <f>Calculations!A900</f>
        <v>0</v>
      </c>
      <c r="C226">
        <f>Calculations!B900</f>
        <v>0</v>
      </c>
      <c r="D226" s="77">
        <f>Calculations!C900</f>
        <v>0</v>
      </c>
      <c r="E226" s="92">
        <f>Calculations!D900</f>
        <v>0</v>
      </c>
      <c r="F226" s="149">
        <f>Calculations!E900</f>
        <v>0</v>
      </c>
      <c r="G226" s="149">
        <f>Calculations!F900</f>
        <v>0</v>
      </c>
      <c r="H226" s="149">
        <f>Calculations!G900</f>
        <v>0</v>
      </c>
      <c r="I226" s="508" t="str">
        <f>Calculations!H900</f>
        <v/>
      </c>
      <c r="J226" s="123"/>
      <c r="K226" s="123"/>
      <c r="L226" s="123"/>
    </row>
    <row r="227" spans="2:12">
      <c r="B227" s="70">
        <f>Calculations!A901</f>
        <v>0</v>
      </c>
      <c r="C227">
        <f>Calculations!B901</f>
        <v>0</v>
      </c>
      <c r="D227" s="77">
        <f>Calculations!C901</f>
        <v>0</v>
      </c>
      <c r="E227" s="92">
        <f>Calculations!D901</f>
        <v>0</v>
      </c>
      <c r="F227" s="149">
        <f>Calculations!E901</f>
        <v>0</v>
      </c>
      <c r="G227" s="149">
        <f>Calculations!F901</f>
        <v>0</v>
      </c>
      <c r="H227" s="149">
        <f>Calculations!G901</f>
        <v>0</v>
      </c>
      <c r="I227" s="508" t="str">
        <f>Calculations!H901</f>
        <v/>
      </c>
      <c r="J227" s="123"/>
      <c r="K227" s="123"/>
      <c r="L227" s="123"/>
    </row>
    <row r="228" spans="2:12">
      <c r="B228" s="70">
        <f>Calculations!A902</f>
        <v>0</v>
      </c>
      <c r="C228">
        <f>Calculations!B902</f>
        <v>0</v>
      </c>
      <c r="D228" s="77">
        <f>Calculations!C902</f>
        <v>0</v>
      </c>
      <c r="E228" s="92">
        <f>Calculations!D902</f>
        <v>0</v>
      </c>
      <c r="F228" s="149">
        <f>Calculations!E902</f>
        <v>0</v>
      </c>
      <c r="G228" s="149">
        <f>Calculations!F902</f>
        <v>0</v>
      </c>
      <c r="H228" s="149">
        <f>Calculations!G902</f>
        <v>0</v>
      </c>
      <c r="I228" s="508" t="str">
        <f>Calculations!H902</f>
        <v/>
      </c>
      <c r="J228" s="123"/>
      <c r="K228" s="123"/>
      <c r="L228" s="123"/>
    </row>
    <row r="229" spans="2:12">
      <c r="B229" s="70">
        <f>Calculations!A903</f>
        <v>0</v>
      </c>
      <c r="C229">
        <f>Calculations!B903</f>
        <v>0</v>
      </c>
      <c r="D229" s="77">
        <f>Calculations!C903</f>
        <v>0</v>
      </c>
      <c r="E229" s="92">
        <f>Calculations!D903</f>
        <v>0</v>
      </c>
      <c r="F229" s="149">
        <f>Calculations!E903</f>
        <v>0</v>
      </c>
      <c r="G229" s="149">
        <f>Calculations!F903</f>
        <v>0</v>
      </c>
      <c r="H229" s="149">
        <f>Calculations!G903</f>
        <v>0</v>
      </c>
      <c r="I229" s="508" t="str">
        <f>Calculations!H903</f>
        <v/>
      </c>
      <c r="J229" s="123"/>
      <c r="K229" s="123"/>
      <c r="L229" s="123"/>
    </row>
    <row r="230" spans="2:12">
      <c r="B230" s="70">
        <f>Calculations!A904</f>
        <v>0</v>
      </c>
      <c r="C230">
        <f>Calculations!B904</f>
        <v>0</v>
      </c>
      <c r="D230" s="77">
        <f>Calculations!C904</f>
        <v>0</v>
      </c>
      <c r="E230" s="92">
        <f>Calculations!D904</f>
        <v>0</v>
      </c>
      <c r="F230" s="149">
        <f>Calculations!E904</f>
        <v>0</v>
      </c>
      <c r="G230" s="149">
        <f>Calculations!F904</f>
        <v>0</v>
      </c>
      <c r="H230" s="149">
        <f>Calculations!G904</f>
        <v>0</v>
      </c>
      <c r="I230" s="508" t="str">
        <f>Calculations!H904</f>
        <v/>
      </c>
      <c r="J230" s="123"/>
      <c r="K230" s="123"/>
      <c r="L230" s="123"/>
    </row>
    <row r="231" spans="2:12">
      <c r="B231" s="70">
        <f>Calculations!A905</f>
        <v>0</v>
      </c>
      <c r="C231">
        <f>Calculations!B905</f>
        <v>0</v>
      </c>
      <c r="D231" s="77">
        <f>Calculations!C905</f>
        <v>0</v>
      </c>
      <c r="E231" s="92">
        <f>Calculations!D905</f>
        <v>0</v>
      </c>
      <c r="F231" s="149">
        <f>Calculations!E905</f>
        <v>0</v>
      </c>
      <c r="G231" s="149">
        <f>Calculations!F905</f>
        <v>0</v>
      </c>
      <c r="H231" s="149">
        <f>Calculations!G905</f>
        <v>0</v>
      </c>
      <c r="I231" s="508" t="str">
        <f>Calculations!H905</f>
        <v/>
      </c>
      <c r="J231" s="123"/>
      <c r="K231" s="123"/>
      <c r="L231" s="123"/>
    </row>
    <row r="232" spans="2:12">
      <c r="B232" s="70">
        <f>Calculations!A906</f>
        <v>0</v>
      </c>
      <c r="C232">
        <f>Calculations!B906</f>
        <v>0</v>
      </c>
      <c r="D232" s="77">
        <f>Calculations!C906</f>
        <v>0</v>
      </c>
      <c r="E232" s="92">
        <f>Calculations!D906</f>
        <v>0</v>
      </c>
      <c r="F232" s="149">
        <f>Calculations!E906</f>
        <v>0</v>
      </c>
      <c r="G232" s="149">
        <f>Calculations!F906</f>
        <v>0</v>
      </c>
      <c r="H232" s="149">
        <f>Calculations!G906</f>
        <v>0</v>
      </c>
      <c r="I232" s="508" t="str">
        <f>Calculations!H906</f>
        <v/>
      </c>
      <c r="J232" s="123"/>
      <c r="K232" s="123"/>
      <c r="L232" s="123"/>
    </row>
    <row r="233" spans="2:12">
      <c r="B233" s="70">
        <f>Calculations!A907</f>
        <v>0</v>
      </c>
      <c r="C233">
        <f>Calculations!B907</f>
        <v>0</v>
      </c>
      <c r="D233" s="77">
        <f>Calculations!C907</f>
        <v>0</v>
      </c>
      <c r="E233" s="92">
        <f>Calculations!D907</f>
        <v>0</v>
      </c>
      <c r="F233" s="149">
        <f>Calculations!E907</f>
        <v>0</v>
      </c>
      <c r="G233" s="149">
        <f>Calculations!F907</f>
        <v>0</v>
      </c>
      <c r="H233" s="149">
        <f>Calculations!G907</f>
        <v>0</v>
      </c>
      <c r="I233" s="508" t="str">
        <f>Calculations!H907</f>
        <v/>
      </c>
      <c r="J233" s="123"/>
      <c r="K233" s="123"/>
      <c r="L233" s="123"/>
    </row>
    <row r="234" spans="2:12">
      <c r="B234" s="70">
        <f>Calculations!A908</f>
        <v>0</v>
      </c>
      <c r="C234">
        <f>Calculations!B908</f>
        <v>0</v>
      </c>
      <c r="D234" s="77">
        <f>Calculations!C908</f>
        <v>0</v>
      </c>
      <c r="E234" s="92">
        <f>Calculations!D908</f>
        <v>0</v>
      </c>
      <c r="F234" s="149">
        <f>Calculations!E908</f>
        <v>0</v>
      </c>
      <c r="G234" s="149">
        <f>Calculations!F908</f>
        <v>0</v>
      </c>
      <c r="H234" s="149">
        <f>Calculations!G908</f>
        <v>0</v>
      </c>
      <c r="I234" s="508" t="str">
        <f>Calculations!H908</f>
        <v/>
      </c>
      <c r="J234" s="123"/>
      <c r="K234" s="123"/>
      <c r="L234" s="123"/>
    </row>
    <row r="235" spans="2:12">
      <c r="B235" s="70">
        <f>Calculations!A909</f>
        <v>0</v>
      </c>
      <c r="C235">
        <f>Calculations!B909</f>
        <v>0</v>
      </c>
      <c r="D235" s="77">
        <f>Calculations!C909</f>
        <v>0</v>
      </c>
      <c r="E235" s="92">
        <f>Calculations!D909</f>
        <v>0</v>
      </c>
      <c r="F235" s="149">
        <f>Calculations!E909</f>
        <v>0</v>
      </c>
      <c r="G235" s="149">
        <f>Calculations!F909</f>
        <v>0</v>
      </c>
      <c r="H235" s="149">
        <f>Calculations!G909</f>
        <v>0</v>
      </c>
      <c r="I235" s="508" t="str">
        <f>Calculations!H909</f>
        <v/>
      </c>
      <c r="J235" s="123"/>
      <c r="K235" s="123"/>
      <c r="L235" s="123"/>
    </row>
    <row r="236" spans="2:12">
      <c r="B236" s="70">
        <f>Calculations!A910</f>
        <v>0</v>
      </c>
      <c r="C236">
        <f>Calculations!B910</f>
        <v>0</v>
      </c>
      <c r="D236" s="77">
        <f>Calculations!C910</f>
        <v>0</v>
      </c>
      <c r="E236" s="92">
        <f>Calculations!D910</f>
        <v>0</v>
      </c>
      <c r="F236" s="149">
        <f>Calculations!E910</f>
        <v>0</v>
      </c>
      <c r="G236" s="149">
        <f>Calculations!F910</f>
        <v>0</v>
      </c>
      <c r="H236" s="149">
        <f>Calculations!G910</f>
        <v>0</v>
      </c>
      <c r="I236" s="508" t="str">
        <f>Calculations!H910</f>
        <v/>
      </c>
      <c r="J236" s="123"/>
      <c r="K236" s="123"/>
      <c r="L236" s="123"/>
    </row>
    <row r="237" spans="2:12">
      <c r="B237" s="70">
        <f>Calculations!A911</f>
        <v>0</v>
      </c>
      <c r="C237">
        <f>Calculations!B911</f>
        <v>0</v>
      </c>
      <c r="D237" s="77">
        <f>Calculations!C911</f>
        <v>0</v>
      </c>
      <c r="E237" s="92">
        <f>Calculations!D911</f>
        <v>0</v>
      </c>
      <c r="F237" s="149">
        <f>Calculations!E911</f>
        <v>0</v>
      </c>
      <c r="G237" s="149">
        <f>Calculations!F911</f>
        <v>0</v>
      </c>
      <c r="H237" s="149">
        <f>Calculations!G911</f>
        <v>0</v>
      </c>
      <c r="I237" s="508" t="str">
        <f>Calculations!H911</f>
        <v/>
      </c>
      <c r="J237" s="123"/>
      <c r="K237" s="123"/>
      <c r="L237" s="123"/>
    </row>
    <row r="238" spans="2:12">
      <c r="B238" s="70">
        <f>Calculations!A912</f>
        <v>0</v>
      </c>
      <c r="C238">
        <f>Calculations!B912</f>
        <v>0</v>
      </c>
      <c r="D238" s="77">
        <f>Calculations!C912</f>
        <v>0</v>
      </c>
      <c r="E238" s="92">
        <f>Calculations!D912</f>
        <v>0</v>
      </c>
      <c r="F238" s="149">
        <f>Calculations!E912</f>
        <v>0</v>
      </c>
      <c r="G238" s="149">
        <f>Calculations!F912</f>
        <v>0</v>
      </c>
      <c r="H238" s="149">
        <f>Calculations!G912</f>
        <v>0</v>
      </c>
      <c r="I238" s="508" t="str">
        <f>Calculations!H912</f>
        <v/>
      </c>
      <c r="J238" s="123"/>
      <c r="K238" s="123"/>
      <c r="L238" s="123"/>
    </row>
    <row r="239" spans="2:12">
      <c r="B239" s="70">
        <f>Calculations!A913</f>
        <v>0</v>
      </c>
      <c r="C239">
        <f>Calculations!B913</f>
        <v>0</v>
      </c>
      <c r="D239" s="77">
        <f>Calculations!C913</f>
        <v>0</v>
      </c>
      <c r="E239" s="92">
        <f>Calculations!D913</f>
        <v>0</v>
      </c>
      <c r="F239" s="149">
        <f>Calculations!E913</f>
        <v>0</v>
      </c>
      <c r="G239" s="149">
        <f>Calculations!F913</f>
        <v>0</v>
      </c>
      <c r="H239" s="149">
        <f>Calculations!G913</f>
        <v>0</v>
      </c>
      <c r="I239" s="508" t="str">
        <f>Calculations!H913</f>
        <v/>
      </c>
      <c r="J239" s="123"/>
      <c r="K239" s="123"/>
      <c r="L239" s="123"/>
    </row>
    <row r="240" spans="2:12">
      <c r="B240" s="70">
        <f>Calculations!A914</f>
        <v>0</v>
      </c>
      <c r="C240">
        <f>Calculations!B914</f>
        <v>0</v>
      </c>
      <c r="D240" s="77">
        <f>Calculations!C914</f>
        <v>0</v>
      </c>
      <c r="E240" s="92">
        <f>Calculations!D914</f>
        <v>0</v>
      </c>
      <c r="F240" s="149">
        <f>Calculations!E914</f>
        <v>0</v>
      </c>
      <c r="G240" s="149">
        <f>Calculations!F914</f>
        <v>0</v>
      </c>
      <c r="H240" s="149">
        <f>Calculations!G914</f>
        <v>0</v>
      </c>
      <c r="I240" s="508" t="str">
        <f>Calculations!H914</f>
        <v/>
      </c>
      <c r="J240" s="123"/>
      <c r="K240" s="123"/>
      <c r="L240" s="123"/>
    </row>
    <row r="241" spans="2:12">
      <c r="B241" s="70">
        <f>Calculations!A915</f>
        <v>0</v>
      </c>
      <c r="C241">
        <f>Calculations!B915</f>
        <v>0</v>
      </c>
      <c r="D241" s="77">
        <f>Calculations!C915</f>
        <v>0</v>
      </c>
      <c r="E241" s="92">
        <f>Calculations!D915</f>
        <v>0</v>
      </c>
      <c r="F241" s="149">
        <f>Calculations!E915</f>
        <v>0</v>
      </c>
      <c r="G241" s="149">
        <f>Calculations!F915</f>
        <v>0</v>
      </c>
      <c r="H241" s="149">
        <f>Calculations!G915</f>
        <v>0</v>
      </c>
      <c r="I241" s="508" t="str">
        <f>Calculations!H915</f>
        <v/>
      </c>
      <c r="J241" s="123"/>
      <c r="K241" s="123"/>
      <c r="L241" s="123"/>
    </row>
    <row r="242" spans="2:12">
      <c r="B242" s="70">
        <f>Calculations!A916</f>
        <v>0</v>
      </c>
      <c r="C242">
        <f>Calculations!B916</f>
        <v>0</v>
      </c>
      <c r="D242" s="77">
        <f>Calculations!C916</f>
        <v>0</v>
      </c>
      <c r="E242" s="92">
        <f>Calculations!D916</f>
        <v>0</v>
      </c>
      <c r="F242" s="149">
        <f>Calculations!E916</f>
        <v>0</v>
      </c>
      <c r="G242" s="149">
        <f>Calculations!F916</f>
        <v>0</v>
      </c>
      <c r="H242" s="149">
        <f>Calculations!G916</f>
        <v>0</v>
      </c>
      <c r="I242" s="508" t="str">
        <f>Calculations!H916</f>
        <v/>
      </c>
      <c r="J242" s="123"/>
      <c r="K242" s="123"/>
      <c r="L242" s="123"/>
    </row>
    <row r="243" spans="2:12">
      <c r="B243" s="70">
        <f>Calculations!A917</f>
        <v>0</v>
      </c>
      <c r="C243">
        <f>Calculations!B917</f>
        <v>0</v>
      </c>
      <c r="D243" s="77">
        <f>Calculations!C917</f>
        <v>0</v>
      </c>
      <c r="E243" s="92">
        <f>Calculations!D917</f>
        <v>0</v>
      </c>
      <c r="F243" s="149">
        <f>Calculations!E917</f>
        <v>0</v>
      </c>
      <c r="G243" s="149">
        <f>Calculations!F917</f>
        <v>0</v>
      </c>
      <c r="H243" s="149">
        <f>Calculations!G917</f>
        <v>0</v>
      </c>
      <c r="I243" s="508" t="str">
        <f>Calculations!H917</f>
        <v/>
      </c>
      <c r="J243" s="123"/>
      <c r="K243" s="123"/>
      <c r="L243" s="123"/>
    </row>
    <row r="244" spans="2:12">
      <c r="B244" s="70">
        <f>Calculations!A918</f>
        <v>0</v>
      </c>
      <c r="C244">
        <f>Calculations!B918</f>
        <v>0</v>
      </c>
      <c r="D244" s="77">
        <f>Calculations!C918</f>
        <v>0</v>
      </c>
      <c r="E244" s="92">
        <f>Calculations!D918</f>
        <v>0</v>
      </c>
      <c r="F244" s="149">
        <f>Calculations!E918</f>
        <v>0</v>
      </c>
      <c r="G244" s="149">
        <f>Calculations!F918</f>
        <v>0</v>
      </c>
      <c r="H244" s="149">
        <f>Calculations!G918</f>
        <v>0</v>
      </c>
      <c r="I244" s="508" t="str">
        <f>Calculations!H918</f>
        <v/>
      </c>
      <c r="J244" s="123"/>
      <c r="K244" s="123"/>
      <c r="L244" s="123"/>
    </row>
    <row r="245" spans="2:12">
      <c r="B245" s="70">
        <f>Calculations!A919</f>
        <v>0</v>
      </c>
      <c r="C245">
        <f>Calculations!B919</f>
        <v>0</v>
      </c>
      <c r="D245" s="77">
        <f>Calculations!C919</f>
        <v>0</v>
      </c>
      <c r="E245" s="92">
        <f>Calculations!D919</f>
        <v>0</v>
      </c>
      <c r="F245" s="149">
        <f>Calculations!E919</f>
        <v>0</v>
      </c>
      <c r="G245" s="149">
        <f>Calculations!F919</f>
        <v>0</v>
      </c>
      <c r="H245" s="149">
        <f>Calculations!G919</f>
        <v>0</v>
      </c>
      <c r="I245" s="508" t="str">
        <f>Calculations!H919</f>
        <v/>
      </c>
      <c r="J245" s="123"/>
      <c r="K245" s="123"/>
      <c r="L245" s="123"/>
    </row>
    <row r="246" spans="2:12">
      <c r="B246" s="70">
        <f>Calculations!A920</f>
        <v>0</v>
      </c>
      <c r="C246">
        <f>Calculations!B920</f>
        <v>0</v>
      </c>
      <c r="D246" s="77">
        <f>Calculations!C920</f>
        <v>0</v>
      </c>
      <c r="E246" s="92">
        <f>Calculations!D920</f>
        <v>0</v>
      </c>
      <c r="F246" s="149">
        <f>Calculations!E920</f>
        <v>0</v>
      </c>
      <c r="G246" s="149">
        <f>Calculations!F920</f>
        <v>0</v>
      </c>
      <c r="H246" s="149">
        <f>Calculations!G920</f>
        <v>0</v>
      </c>
      <c r="I246" s="508" t="str">
        <f>Calculations!H920</f>
        <v/>
      </c>
      <c r="J246" s="123"/>
      <c r="K246" s="123"/>
      <c r="L246" s="123"/>
    </row>
    <row r="247" spans="2:12">
      <c r="B247" s="70">
        <f>Calculations!A921</f>
        <v>0</v>
      </c>
      <c r="C247">
        <f>Calculations!B921</f>
        <v>0</v>
      </c>
      <c r="D247" s="77">
        <f>Calculations!C921</f>
        <v>0</v>
      </c>
      <c r="E247" s="92">
        <f>Calculations!D921</f>
        <v>0</v>
      </c>
      <c r="F247" s="149">
        <f>Calculations!E921</f>
        <v>0</v>
      </c>
      <c r="G247" s="149">
        <f>Calculations!F921</f>
        <v>0</v>
      </c>
      <c r="H247" s="149">
        <f>Calculations!G921</f>
        <v>0</v>
      </c>
      <c r="I247" s="508" t="str">
        <f>Calculations!H921</f>
        <v/>
      </c>
      <c r="J247" s="123"/>
      <c r="K247" s="123"/>
      <c r="L247" s="123"/>
    </row>
    <row r="248" spans="2:12">
      <c r="B248" s="70">
        <f>Calculations!A922</f>
        <v>0</v>
      </c>
      <c r="C248">
        <f>Calculations!B922</f>
        <v>0</v>
      </c>
      <c r="D248" s="77">
        <f>Calculations!C922</f>
        <v>0</v>
      </c>
      <c r="E248" s="92">
        <f>Calculations!D922</f>
        <v>0</v>
      </c>
      <c r="F248" s="149">
        <f>Calculations!E922</f>
        <v>0</v>
      </c>
      <c r="G248" s="149">
        <f>Calculations!F922</f>
        <v>0</v>
      </c>
      <c r="H248" s="149">
        <f>Calculations!G922</f>
        <v>0</v>
      </c>
      <c r="I248" s="508" t="str">
        <f>Calculations!H922</f>
        <v/>
      </c>
      <c r="J248" s="123"/>
      <c r="K248" s="123"/>
      <c r="L248" s="123"/>
    </row>
    <row r="249" spans="2:12">
      <c r="B249" s="70">
        <f>Calculations!A923</f>
        <v>0</v>
      </c>
      <c r="C249">
        <f>Calculations!B923</f>
        <v>0</v>
      </c>
      <c r="D249" s="77">
        <f>Calculations!C923</f>
        <v>0</v>
      </c>
      <c r="E249" s="92">
        <f>Calculations!D923</f>
        <v>0</v>
      </c>
      <c r="F249" s="149">
        <f>Calculations!E923</f>
        <v>0</v>
      </c>
      <c r="G249" s="149">
        <f>Calculations!F923</f>
        <v>0</v>
      </c>
      <c r="H249" s="149">
        <f>Calculations!G923</f>
        <v>0</v>
      </c>
      <c r="I249" s="508" t="str">
        <f>Calculations!H923</f>
        <v/>
      </c>
      <c r="J249" s="123"/>
      <c r="K249" s="123"/>
      <c r="L249" s="123"/>
    </row>
    <row r="250" spans="2:12">
      <c r="B250" s="70">
        <f>Calculations!A924</f>
        <v>0</v>
      </c>
      <c r="C250">
        <f>Calculations!B924</f>
        <v>0</v>
      </c>
      <c r="D250" s="77">
        <f>Calculations!C924</f>
        <v>0</v>
      </c>
      <c r="E250" s="92">
        <f>Calculations!D924</f>
        <v>0</v>
      </c>
      <c r="F250" s="149">
        <f>Calculations!E924</f>
        <v>0</v>
      </c>
      <c r="G250" s="149">
        <f>Calculations!F924</f>
        <v>0</v>
      </c>
      <c r="H250" s="149">
        <f>Calculations!G924</f>
        <v>0</v>
      </c>
      <c r="I250" s="508" t="str">
        <f>Calculations!H924</f>
        <v/>
      </c>
      <c r="J250" s="123"/>
      <c r="K250" s="123"/>
      <c r="L250" s="123"/>
    </row>
    <row r="251" spans="2:12">
      <c r="B251" s="70">
        <f>Calculations!A925</f>
        <v>0</v>
      </c>
      <c r="C251">
        <f>Calculations!B925</f>
        <v>0</v>
      </c>
      <c r="D251" s="77">
        <f>Calculations!C925</f>
        <v>0</v>
      </c>
      <c r="E251" s="92">
        <f>Calculations!D925</f>
        <v>0</v>
      </c>
      <c r="F251" s="149">
        <f>Calculations!E925</f>
        <v>0</v>
      </c>
      <c r="G251" s="149">
        <f>Calculations!F925</f>
        <v>0</v>
      </c>
      <c r="H251" s="149">
        <f>Calculations!G925</f>
        <v>0</v>
      </c>
      <c r="I251" s="508" t="str">
        <f>Calculations!H925</f>
        <v/>
      </c>
      <c r="J251" s="123"/>
      <c r="K251" s="123"/>
      <c r="L251" s="123"/>
    </row>
    <row r="252" spans="2:12">
      <c r="B252" s="70">
        <f>Calculations!A926</f>
        <v>0</v>
      </c>
      <c r="C252">
        <f>Calculations!B926</f>
        <v>0</v>
      </c>
      <c r="D252" s="77">
        <f>Calculations!C926</f>
        <v>0</v>
      </c>
      <c r="E252" s="92">
        <f>Calculations!D926</f>
        <v>0</v>
      </c>
      <c r="F252" s="149">
        <f>Calculations!E926</f>
        <v>0</v>
      </c>
      <c r="G252" s="149">
        <f>Calculations!F926</f>
        <v>0</v>
      </c>
      <c r="H252" s="149">
        <f>Calculations!G926</f>
        <v>0</v>
      </c>
      <c r="I252" s="508" t="str">
        <f>Calculations!H926</f>
        <v/>
      </c>
      <c r="J252" s="123"/>
      <c r="K252" s="123"/>
      <c r="L252" s="123"/>
    </row>
    <row r="253" spans="2:12">
      <c r="B253" s="70">
        <f>Calculations!A927</f>
        <v>0</v>
      </c>
      <c r="C253">
        <f>Calculations!B927</f>
        <v>0</v>
      </c>
      <c r="D253" s="77">
        <f>Calculations!C927</f>
        <v>0</v>
      </c>
      <c r="E253" s="92">
        <f>Calculations!D927</f>
        <v>0</v>
      </c>
      <c r="F253" s="149">
        <f>Calculations!E927</f>
        <v>0</v>
      </c>
      <c r="G253" s="149">
        <f>Calculations!F927</f>
        <v>0</v>
      </c>
      <c r="H253" s="149">
        <f>Calculations!G927</f>
        <v>0</v>
      </c>
      <c r="I253" s="508" t="str">
        <f>Calculations!H927</f>
        <v/>
      </c>
      <c r="J253" s="123"/>
      <c r="K253" s="123"/>
      <c r="L253" s="123"/>
    </row>
    <row r="254" spans="2:12">
      <c r="B254" s="70">
        <f>Calculations!A928</f>
        <v>0</v>
      </c>
      <c r="C254">
        <f>Calculations!B928</f>
        <v>0</v>
      </c>
      <c r="D254" s="77">
        <f>Calculations!C928</f>
        <v>0</v>
      </c>
      <c r="E254" s="92">
        <f>Calculations!D928</f>
        <v>0</v>
      </c>
      <c r="F254" s="149">
        <f>Calculations!E928</f>
        <v>0</v>
      </c>
      <c r="G254" s="149">
        <f>Calculations!F928</f>
        <v>0</v>
      </c>
      <c r="H254" s="149">
        <f>Calculations!G928</f>
        <v>0</v>
      </c>
      <c r="I254" s="508" t="str">
        <f>Calculations!H928</f>
        <v/>
      </c>
      <c r="J254" s="123"/>
      <c r="K254" s="123"/>
      <c r="L254" s="123"/>
    </row>
    <row r="255" spans="2:12">
      <c r="B255" s="70">
        <f>Calculations!A929</f>
        <v>0</v>
      </c>
      <c r="C255">
        <f>Calculations!B929</f>
        <v>0</v>
      </c>
      <c r="D255" s="77">
        <f>Calculations!C929</f>
        <v>0</v>
      </c>
      <c r="E255" s="92">
        <f>Calculations!D929</f>
        <v>0</v>
      </c>
      <c r="F255" s="149">
        <f>Calculations!E929</f>
        <v>0</v>
      </c>
      <c r="G255" s="149">
        <f>Calculations!F929</f>
        <v>0</v>
      </c>
      <c r="H255" s="149">
        <f>Calculations!G929</f>
        <v>0</v>
      </c>
      <c r="I255" s="508" t="str">
        <f>Calculations!H929</f>
        <v/>
      </c>
      <c r="J255" s="123"/>
      <c r="K255" s="123"/>
      <c r="L255" s="123"/>
    </row>
    <row r="256" spans="2:12">
      <c r="B256" s="70">
        <f>Calculations!A930</f>
        <v>0</v>
      </c>
      <c r="C256">
        <f>Calculations!B930</f>
        <v>0</v>
      </c>
      <c r="D256" s="77">
        <f>Calculations!C930</f>
        <v>0</v>
      </c>
      <c r="E256" s="92">
        <f>Calculations!D930</f>
        <v>0</v>
      </c>
      <c r="F256" s="149">
        <f>Calculations!E930</f>
        <v>0</v>
      </c>
      <c r="G256" s="149">
        <f>Calculations!F930</f>
        <v>0</v>
      </c>
      <c r="H256" s="149">
        <f>Calculations!G930</f>
        <v>0</v>
      </c>
      <c r="I256" s="508" t="str">
        <f>Calculations!H930</f>
        <v/>
      </c>
      <c r="J256" s="123"/>
      <c r="K256" s="123"/>
      <c r="L256" s="123"/>
    </row>
    <row r="257" spans="2:12">
      <c r="B257" s="70">
        <f>Calculations!A931</f>
        <v>0</v>
      </c>
      <c r="C257">
        <f>Calculations!B931</f>
        <v>0</v>
      </c>
      <c r="D257" s="77">
        <f>Calculations!C931</f>
        <v>0</v>
      </c>
      <c r="E257" s="92">
        <f>Calculations!D931</f>
        <v>0</v>
      </c>
      <c r="F257" s="149">
        <f>Calculations!E931</f>
        <v>0</v>
      </c>
      <c r="G257" s="149">
        <f>Calculations!F931</f>
        <v>0</v>
      </c>
      <c r="H257" s="149">
        <f>Calculations!G931</f>
        <v>0</v>
      </c>
      <c r="I257" s="508" t="str">
        <f>Calculations!H931</f>
        <v/>
      </c>
      <c r="J257" s="123"/>
      <c r="K257" s="123"/>
      <c r="L257" s="123"/>
    </row>
    <row r="258" spans="2:12">
      <c r="B258" s="70">
        <f>Calculations!A932</f>
        <v>0</v>
      </c>
      <c r="C258">
        <f>Calculations!B932</f>
        <v>0</v>
      </c>
      <c r="D258" s="77">
        <f>Calculations!C932</f>
        <v>0</v>
      </c>
      <c r="E258" s="92">
        <f>Calculations!D932</f>
        <v>0</v>
      </c>
      <c r="F258" s="149">
        <f>Calculations!E932</f>
        <v>0</v>
      </c>
      <c r="G258" s="149">
        <f>Calculations!F932</f>
        <v>0</v>
      </c>
      <c r="H258" s="149">
        <f>Calculations!G932</f>
        <v>0</v>
      </c>
      <c r="I258" s="508" t="str">
        <f>Calculations!H932</f>
        <v/>
      </c>
      <c r="J258" s="123"/>
      <c r="K258" s="123"/>
      <c r="L258" s="123"/>
    </row>
    <row r="259" spans="2:12">
      <c r="B259" s="70">
        <f>Calculations!A933</f>
        <v>0</v>
      </c>
      <c r="C259">
        <f>Calculations!B933</f>
        <v>0</v>
      </c>
      <c r="D259" s="77">
        <f>Calculations!C933</f>
        <v>0</v>
      </c>
      <c r="E259" s="92">
        <f>Calculations!D933</f>
        <v>0</v>
      </c>
      <c r="F259" s="149">
        <f>Calculations!E933</f>
        <v>0</v>
      </c>
      <c r="G259" s="149">
        <f>Calculations!F933</f>
        <v>0</v>
      </c>
      <c r="H259" s="149">
        <f>Calculations!G933</f>
        <v>0</v>
      </c>
      <c r="I259" s="508" t="str">
        <f>Calculations!H933</f>
        <v/>
      </c>
      <c r="J259" s="123"/>
      <c r="K259" s="123"/>
      <c r="L259" s="123"/>
    </row>
    <row r="260" spans="2:12">
      <c r="B260" s="70">
        <f>Calculations!A934</f>
        <v>0</v>
      </c>
      <c r="C260">
        <f>Calculations!B934</f>
        <v>0</v>
      </c>
      <c r="D260" s="77">
        <f>Calculations!C934</f>
        <v>0</v>
      </c>
      <c r="E260" s="92">
        <f>Calculations!D934</f>
        <v>0</v>
      </c>
      <c r="F260" s="149">
        <f>Calculations!E934</f>
        <v>0</v>
      </c>
      <c r="G260" s="149">
        <f>Calculations!F934</f>
        <v>0</v>
      </c>
      <c r="H260" s="149">
        <f>Calculations!G934</f>
        <v>0</v>
      </c>
      <c r="I260" s="508" t="str">
        <f>Calculations!H934</f>
        <v/>
      </c>
      <c r="J260" s="123"/>
      <c r="K260" s="123"/>
      <c r="L260" s="123"/>
    </row>
    <row r="261" spans="2:12">
      <c r="B261" s="70">
        <f>Calculations!A935</f>
        <v>0</v>
      </c>
      <c r="C261">
        <f>Calculations!B935</f>
        <v>0</v>
      </c>
      <c r="D261" s="77">
        <f>Calculations!C935</f>
        <v>0</v>
      </c>
      <c r="E261" s="92">
        <f>Calculations!D935</f>
        <v>0</v>
      </c>
      <c r="F261" s="149">
        <f>Calculations!E935</f>
        <v>0</v>
      </c>
      <c r="G261" s="149">
        <f>Calculations!F935</f>
        <v>0</v>
      </c>
      <c r="H261" s="149">
        <f>Calculations!G935</f>
        <v>0</v>
      </c>
      <c r="I261" s="508" t="str">
        <f>Calculations!H935</f>
        <v/>
      </c>
      <c r="J261" s="123"/>
      <c r="K261" s="123"/>
      <c r="L261" s="123"/>
    </row>
    <row r="262" spans="2:12">
      <c r="B262" s="70">
        <f>Calculations!A936</f>
        <v>0</v>
      </c>
      <c r="C262">
        <f>Calculations!B936</f>
        <v>0</v>
      </c>
      <c r="D262" s="77">
        <f>Calculations!C936</f>
        <v>0</v>
      </c>
      <c r="E262" s="92">
        <f>Calculations!D936</f>
        <v>0</v>
      </c>
      <c r="F262" s="149">
        <f>Calculations!E936</f>
        <v>0</v>
      </c>
      <c r="G262" s="149">
        <f>Calculations!F936</f>
        <v>0</v>
      </c>
      <c r="H262" s="149">
        <f>Calculations!G936</f>
        <v>0</v>
      </c>
      <c r="I262" s="508" t="str">
        <f>Calculations!H936</f>
        <v/>
      </c>
      <c r="J262" s="123"/>
      <c r="K262" s="123"/>
      <c r="L262" s="123"/>
    </row>
    <row r="263" spans="2:12">
      <c r="B263" s="70">
        <f>Calculations!A937</f>
        <v>0</v>
      </c>
      <c r="C263">
        <f>Calculations!B937</f>
        <v>0</v>
      </c>
      <c r="D263" s="77">
        <f>Calculations!C937</f>
        <v>0</v>
      </c>
      <c r="E263" s="92">
        <f>Calculations!D937</f>
        <v>0</v>
      </c>
      <c r="F263" s="149">
        <f>Calculations!E937</f>
        <v>0</v>
      </c>
      <c r="G263" s="149">
        <f>Calculations!F937</f>
        <v>0</v>
      </c>
      <c r="H263" s="149">
        <f>Calculations!G937</f>
        <v>0</v>
      </c>
      <c r="I263" s="508" t="str">
        <f>Calculations!H937</f>
        <v/>
      </c>
      <c r="J263" s="123"/>
      <c r="K263" s="123"/>
      <c r="L263" s="123"/>
    </row>
    <row r="264" spans="2:12">
      <c r="B264" s="70">
        <f>Calculations!A938</f>
        <v>0</v>
      </c>
      <c r="C264">
        <f>Calculations!B938</f>
        <v>0</v>
      </c>
      <c r="D264" s="77">
        <f>Calculations!C938</f>
        <v>0</v>
      </c>
      <c r="E264" s="92">
        <f>Calculations!D938</f>
        <v>0</v>
      </c>
      <c r="F264" s="149">
        <f>Calculations!E938</f>
        <v>0</v>
      </c>
      <c r="G264" s="149">
        <f>Calculations!F938</f>
        <v>0</v>
      </c>
      <c r="H264" s="149">
        <f>Calculations!G938</f>
        <v>0</v>
      </c>
      <c r="I264" s="508" t="str">
        <f>Calculations!H938</f>
        <v/>
      </c>
      <c r="J264" s="123"/>
      <c r="K264" s="123"/>
      <c r="L264" s="123"/>
    </row>
    <row r="265" spans="2:12">
      <c r="B265" s="70">
        <f>Calculations!A939</f>
        <v>0</v>
      </c>
      <c r="C265">
        <f>Calculations!B939</f>
        <v>0</v>
      </c>
      <c r="D265" s="77">
        <f>Calculations!C939</f>
        <v>0</v>
      </c>
      <c r="E265" s="92">
        <f>Calculations!D939</f>
        <v>0</v>
      </c>
      <c r="F265" s="149">
        <f>Calculations!E939</f>
        <v>0</v>
      </c>
      <c r="G265" s="149">
        <f>Calculations!F939</f>
        <v>0</v>
      </c>
      <c r="H265" s="149">
        <f>Calculations!G939</f>
        <v>0</v>
      </c>
      <c r="I265" s="508" t="str">
        <f>Calculations!H939</f>
        <v/>
      </c>
      <c r="J265" s="123"/>
      <c r="K265" s="123"/>
      <c r="L265" s="123"/>
    </row>
    <row r="266" spans="2:12">
      <c r="B266" s="70">
        <f>Calculations!A940</f>
        <v>0</v>
      </c>
      <c r="C266">
        <f>Calculations!B940</f>
        <v>0</v>
      </c>
      <c r="D266" s="77">
        <f>Calculations!C940</f>
        <v>0</v>
      </c>
      <c r="E266" s="92">
        <f>Calculations!D940</f>
        <v>0</v>
      </c>
      <c r="F266" s="149">
        <f>Calculations!E940</f>
        <v>0</v>
      </c>
      <c r="G266" s="149">
        <f>Calculations!F940</f>
        <v>0</v>
      </c>
      <c r="H266" s="149">
        <f>Calculations!G940</f>
        <v>0</v>
      </c>
      <c r="I266" s="508" t="str">
        <f>Calculations!H940</f>
        <v/>
      </c>
      <c r="J266" s="123"/>
      <c r="K266" s="123"/>
      <c r="L266" s="123"/>
    </row>
    <row r="267" spans="2:12">
      <c r="B267" s="70">
        <f>Calculations!A941</f>
        <v>0</v>
      </c>
      <c r="C267">
        <f>Calculations!B941</f>
        <v>0</v>
      </c>
      <c r="D267" s="77">
        <f>Calculations!C941</f>
        <v>0</v>
      </c>
      <c r="E267" s="92">
        <f>Calculations!D941</f>
        <v>0</v>
      </c>
      <c r="F267" s="149">
        <f>Calculations!E941</f>
        <v>0</v>
      </c>
      <c r="G267" s="149">
        <f>Calculations!F941</f>
        <v>0</v>
      </c>
      <c r="H267" s="149">
        <f>Calculations!G941</f>
        <v>0</v>
      </c>
      <c r="I267" s="508" t="str">
        <f>Calculations!H941</f>
        <v/>
      </c>
      <c r="J267" s="123"/>
      <c r="K267" s="123"/>
      <c r="L267" s="123"/>
    </row>
    <row r="268" spans="2:12">
      <c r="B268" s="70">
        <f>Calculations!A942</f>
        <v>0</v>
      </c>
      <c r="C268">
        <f>Calculations!B942</f>
        <v>0</v>
      </c>
      <c r="D268" s="77">
        <f>Calculations!C942</f>
        <v>0</v>
      </c>
      <c r="E268" s="92">
        <f>Calculations!D942</f>
        <v>0</v>
      </c>
      <c r="F268" s="149">
        <f>Calculations!E942</f>
        <v>0</v>
      </c>
      <c r="G268" s="149">
        <f>Calculations!F942</f>
        <v>0</v>
      </c>
      <c r="H268" s="149">
        <f>Calculations!G942</f>
        <v>0</v>
      </c>
      <c r="I268" s="508" t="str">
        <f>Calculations!H942</f>
        <v/>
      </c>
      <c r="J268" s="123"/>
      <c r="K268" s="123"/>
      <c r="L268" s="123"/>
    </row>
    <row r="269" spans="2:12">
      <c r="B269" s="70">
        <f>Calculations!A943</f>
        <v>0</v>
      </c>
      <c r="C269">
        <f>Calculations!B943</f>
        <v>0</v>
      </c>
      <c r="D269" s="77">
        <f>Calculations!C943</f>
        <v>0</v>
      </c>
      <c r="E269" s="92">
        <f>Calculations!D943</f>
        <v>0</v>
      </c>
      <c r="F269" s="149">
        <f>Calculations!E943</f>
        <v>0</v>
      </c>
      <c r="G269" s="149">
        <f>Calculations!F943</f>
        <v>0</v>
      </c>
      <c r="H269" s="149">
        <f>Calculations!G943</f>
        <v>0</v>
      </c>
      <c r="I269" s="508" t="str">
        <f>Calculations!H943</f>
        <v/>
      </c>
      <c r="J269" s="123"/>
      <c r="K269" s="123"/>
      <c r="L269" s="123"/>
    </row>
    <row r="270" spans="2:12">
      <c r="B270" s="70">
        <f>Calculations!A944</f>
        <v>0</v>
      </c>
      <c r="C270">
        <f>Calculations!B944</f>
        <v>0</v>
      </c>
      <c r="D270" s="77">
        <f>Calculations!C944</f>
        <v>0</v>
      </c>
      <c r="E270" s="92">
        <f>Calculations!D944</f>
        <v>0</v>
      </c>
      <c r="F270" s="149">
        <f>Calculations!E944</f>
        <v>0</v>
      </c>
      <c r="G270" s="149">
        <f>Calculations!F944</f>
        <v>0</v>
      </c>
      <c r="H270" s="149">
        <f>Calculations!G944</f>
        <v>0</v>
      </c>
      <c r="I270" s="508" t="str">
        <f>Calculations!H944</f>
        <v/>
      </c>
      <c r="J270" s="123"/>
      <c r="K270" s="123"/>
      <c r="L270" s="123"/>
    </row>
    <row r="271" spans="2:12">
      <c r="B271" s="70">
        <f>Calculations!A945</f>
        <v>0</v>
      </c>
      <c r="C271">
        <f>Calculations!B945</f>
        <v>0</v>
      </c>
      <c r="D271" s="77">
        <f>Calculations!C945</f>
        <v>0</v>
      </c>
      <c r="E271" s="92">
        <f>Calculations!D945</f>
        <v>0</v>
      </c>
      <c r="F271" s="149">
        <f>Calculations!E945</f>
        <v>0</v>
      </c>
      <c r="G271" s="149">
        <f>Calculations!F945</f>
        <v>0</v>
      </c>
      <c r="H271" s="149">
        <f>Calculations!G945</f>
        <v>0</v>
      </c>
      <c r="I271" s="508" t="str">
        <f>Calculations!H945</f>
        <v/>
      </c>
      <c r="J271" s="123"/>
      <c r="K271" s="123"/>
      <c r="L271" s="123"/>
    </row>
    <row r="272" spans="2:12">
      <c r="B272" s="70">
        <f>Calculations!A946</f>
        <v>0</v>
      </c>
      <c r="C272">
        <f>Calculations!B946</f>
        <v>0</v>
      </c>
      <c r="D272" s="77">
        <f>Calculations!C946</f>
        <v>0</v>
      </c>
      <c r="E272" s="92">
        <f>Calculations!D946</f>
        <v>0</v>
      </c>
      <c r="F272" s="149">
        <f>Calculations!E946</f>
        <v>0</v>
      </c>
      <c r="G272" s="149">
        <f>Calculations!F946</f>
        <v>0</v>
      </c>
      <c r="H272" s="149">
        <f>Calculations!G946</f>
        <v>0</v>
      </c>
      <c r="I272" s="508" t="str">
        <f>Calculations!H946</f>
        <v/>
      </c>
      <c r="J272" s="123"/>
      <c r="K272" s="123"/>
      <c r="L272" s="123"/>
    </row>
    <row r="273" spans="2:12">
      <c r="B273" s="70">
        <f>Calculations!A947</f>
        <v>0</v>
      </c>
      <c r="C273">
        <f>Calculations!B947</f>
        <v>0</v>
      </c>
      <c r="D273" s="77">
        <f>Calculations!C947</f>
        <v>0</v>
      </c>
      <c r="E273" s="92">
        <f>Calculations!D947</f>
        <v>0</v>
      </c>
      <c r="F273" s="149">
        <f>Calculations!E947</f>
        <v>0</v>
      </c>
      <c r="G273" s="149">
        <f>Calculations!F947</f>
        <v>0</v>
      </c>
      <c r="H273" s="149">
        <f>Calculations!G947</f>
        <v>0</v>
      </c>
      <c r="I273" s="508" t="str">
        <f>Calculations!H947</f>
        <v/>
      </c>
      <c r="J273" s="123"/>
      <c r="K273" s="123"/>
      <c r="L273" s="123"/>
    </row>
    <row r="274" spans="2:12">
      <c r="B274" s="70">
        <f>Calculations!A948</f>
        <v>0</v>
      </c>
      <c r="C274">
        <f>Calculations!B948</f>
        <v>0</v>
      </c>
      <c r="D274" s="77">
        <f>Calculations!C948</f>
        <v>0</v>
      </c>
      <c r="E274" s="92">
        <f>Calculations!D948</f>
        <v>0</v>
      </c>
      <c r="F274" s="149">
        <f>Calculations!E948</f>
        <v>0</v>
      </c>
      <c r="G274" s="149">
        <f>Calculations!F948</f>
        <v>0</v>
      </c>
      <c r="H274" s="149">
        <f>Calculations!G948</f>
        <v>0</v>
      </c>
      <c r="I274" s="372">
        <f>Calculations!H948</f>
        <v>0</v>
      </c>
    </row>
    <row r="275" spans="2:12">
      <c r="B275" s="70">
        <f>Calculations!A949</f>
        <v>0</v>
      </c>
      <c r="C275">
        <f>Calculations!B949</f>
        <v>0</v>
      </c>
      <c r="D275" s="77">
        <f>Calculations!C949</f>
        <v>0</v>
      </c>
      <c r="E275" s="92">
        <f>Calculations!D949</f>
        <v>0</v>
      </c>
      <c r="F275" s="149">
        <f>Calculations!E949</f>
        <v>0</v>
      </c>
      <c r="G275" s="149">
        <f>Calculations!F949</f>
        <v>0</v>
      </c>
      <c r="H275" s="149">
        <f>Calculations!G949</f>
        <v>0</v>
      </c>
      <c r="I275" s="372">
        <f>Calculations!H949</f>
        <v>0</v>
      </c>
    </row>
    <row r="276" spans="2:12">
      <c r="B276" s="70">
        <f>Calculations!A950</f>
        <v>0</v>
      </c>
      <c r="C276">
        <f>Calculations!B950</f>
        <v>0</v>
      </c>
      <c r="D276" s="77">
        <f>Calculations!C950</f>
        <v>0</v>
      </c>
      <c r="E276" s="92">
        <f>Calculations!D950</f>
        <v>0</v>
      </c>
      <c r="F276" s="149">
        <f>Calculations!E950</f>
        <v>0</v>
      </c>
      <c r="G276" s="149">
        <f>Calculations!F950</f>
        <v>0</v>
      </c>
      <c r="H276" s="149">
        <f>Calculations!G950</f>
        <v>0</v>
      </c>
      <c r="I276" s="372">
        <f>Calculations!H950</f>
        <v>0</v>
      </c>
    </row>
    <row r="277" spans="2:12">
      <c r="B277" s="70">
        <f>Calculations!A951</f>
        <v>0</v>
      </c>
      <c r="C277">
        <f>Calculations!B951</f>
        <v>0</v>
      </c>
      <c r="D277" s="77">
        <f>Calculations!C951</f>
        <v>0</v>
      </c>
      <c r="E277" s="92">
        <f>Calculations!D951</f>
        <v>0</v>
      </c>
      <c r="F277" s="149">
        <f>Calculations!E951</f>
        <v>0</v>
      </c>
      <c r="G277" s="149">
        <f>Calculations!F951</f>
        <v>0</v>
      </c>
      <c r="H277" s="149">
        <f>Calculations!G951</f>
        <v>0</v>
      </c>
      <c r="I277" s="372">
        <f>Calculations!H951</f>
        <v>0</v>
      </c>
    </row>
    <row r="278" spans="2:12">
      <c r="B278" s="70">
        <f>Calculations!A952</f>
        <v>0</v>
      </c>
      <c r="C278">
        <f>Calculations!B952</f>
        <v>0</v>
      </c>
      <c r="D278" s="77">
        <f>Calculations!C952</f>
        <v>0</v>
      </c>
      <c r="E278" s="92">
        <f>Calculations!D952</f>
        <v>0</v>
      </c>
      <c r="F278" s="149">
        <f>Calculations!E952</f>
        <v>0</v>
      </c>
      <c r="G278" s="149">
        <f>Calculations!F952</f>
        <v>0</v>
      </c>
      <c r="H278" s="149">
        <f>Calculations!G952</f>
        <v>0</v>
      </c>
      <c r="I278" s="372">
        <f>Calculations!H952</f>
        <v>0</v>
      </c>
    </row>
    <row r="279" spans="2:12">
      <c r="B279" s="70">
        <f>Calculations!A953</f>
        <v>0</v>
      </c>
      <c r="C279">
        <f>Calculations!B953</f>
        <v>0</v>
      </c>
      <c r="D279" s="77">
        <f>Calculations!C953</f>
        <v>0</v>
      </c>
      <c r="E279" s="92">
        <f>Calculations!D953</f>
        <v>0</v>
      </c>
      <c r="F279" s="149">
        <f>Calculations!E953</f>
        <v>0</v>
      </c>
      <c r="G279" s="149">
        <f>Calculations!F953</f>
        <v>0</v>
      </c>
      <c r="H279" s="149">
        <f>Calculations!G953</f>
        <v>0</v>
      </c>
      <c r="I279" s="372">
        <f>Calculations!H953</f>
        <v>0</v>
      </c>
    </row>
    <row r="280" spans="2:12">
      <c r="B280" s="70">
        <f>Calculations!A954</f>
        <v>0</v>
      </c>
      <c r="C280">
        <f>Calculations!B954</f>
        <v>0</v>
      </c>
      <c r="D280" s="77">
        <f>Calculations!C954</f>
        <v>0</v>
      </c>
      <c r="E280" s="92">
        <f>Calculations!D954</f>
        <v>0</v>
      </c>
      <c r="F280" s="149">
        <f>Calculations!E954</f>
        <v>0</v>
      </c>
      <c r="G280" s="149">
        <f>Calculations!F954</f>
        <v>0</v>
      </c>
      <c r="H280" s="149">
        <f>Calculations!G954</f>
        <v>0</v>
      </c>
      <c r="I280" s="372">
        <f>Calculations!H954</f>
        <v>0</v>
      </c>
    </row>
    <row r="281" spans="2:12">
      <c r="B281" s="70">
        <f>Calculations!A955</f>
        <v>0</v>
      </c>
      <c r="C281">
        <f>Calculations!B955</f>
        <v>0</v>
      </c>
      <c r="D281" s="77">
        <f>Calculations!C955</f>
        <v>0</v>
      </c>
      <c r="E281" s="92">
        <f>Calculations!D955</f>
        <v>0</v>
      </c>
      <c r="F281" s="149">
        <f>Calculations!E955</f>
        <v>0</v>
      </c>
      <c r="G281" s="149">
        <f>Calculations!F955</f>
        <v>0</v>
      </c>
      <c r="H281" s="149">
        <f>Calculations!G955</f>
        <v>0</v>
      </c>
      <c r="I281" s="372">
        <f>Calculations!H955</f>
        <v>0</v>
      </c>
    </row>
    <row r="282" spans="2:12">
      <c r="B282" s="70">
        <f>Calculations!A956</f>
        <v>0</v>
      </c>
      <c r="C282">
        <f>Calculations!B956</f>
        <v>0</v>
      </c>
      <c r="D282" s="77">
        <f>Calculations!C956</f>
        <v>0</v>
      </c>
      <c r="E282" s="92">
        <f>Calculations!D956</f>
        <v>0</v>
      </c>
      <c r="F282" s="149">
        <f>Calculations!E956</f>
        <v>0</v>
      </c>
      <c r="G282" s="149">
        <f>Calculations!F956</f>
        <v>0</v>
      </c>
      <c r="H282" s="149">
        <f>Calculations!G956</f>
        <v>0</v>
      </c>
      <c r="I282" s="372">
        <f>Calculations!H956</f>
        <v>0</v>
      </c>
    </row>
    <row r="283" spans="2:12">
      <c r="B283" s="70">
        <f>Calculations!A957</f>
        <v>0</v>
      </c>
      <c r="C283">
        <f>Calculations!B957</f>
        <v>0</v>
      </c>
      <c r="D283" s="77">
        <f>Calculations!C957</f>
        <v>0</v>
      </c>
      <c r="E283" s="92">
        <f>Calculations!D957</f>
        <v>0</v>
      </c>
      <c r="F283" s="149">
        <f>Calculations!E957</f>
        <v>0</v>
      </c>
      <c r="G283" s="149">
        <f>Calculations!F957</f>
        <v>0</v>
      </c>
      <c r="H283" s="149">
        <f>Calculations!G957</f>
        <v>0</v>
      </c>
      <c r="I283" s="372">
        <f>Calculations!H957</f>
        <v>0</v>
      </c>
    </row>
    <row r="284" spans="2:12">
      <c r="B284" s="70">
        <f>Calculations!A958</f>
        <v>0</v>
      </c>
      <c r="C284">
        <f>Calculations!B958</f>
        <v>0</v>
      </c>
      <c r="D284" s="77">
        <f>Calculations!C958</f>
        <v>0</v>
      </c>
      <c r="E284" s="92">
        <f>Calculations!D958</f>
        <v>0</v>
      </c>
      <c r="F284" s="149">
        <f>Calculations!E958</f>
        <v>0</v>
      </c>
      <c r="G284" s="149">
        <f>Calculations!F958</f>
        <v>0</v>
      </c>
      <c r="H284" s="149">
        <f>Calculations!G958</f>
        <v>0</v>
      </c>
      <c r="I284" s="372">
        <f>Calculations!H958</f>
        <v>0</v>
      </c>
    </row>
    <row r="285" spans="2:12">
      <c r="B285" s="70">
        <f>Calculations!A959</f>
        <v>0</v>
      </c>
      <c r="C285">
        <f>Calculations!B959</f>
        <v>0</v>
      </c>
      <c r="D285" s="77">
        <f>Calculations!C959</f>
        <v>0</v>
      </c>
      <c r="E285" s="92">
        <f>Calculations!D959</f>
        <v>0</v>
      </c>
      <c r="F285" s="149">
        <f>Calculations!E959</f>
        <v>0</v>
      </c>
      <c r="G285" s="149">
        <f>Calculations!F959</f>
        <v>0</v>
      </c>
      <c r="H285" s="149">
        <f>Calculations!G959</f>
        <v>0</v>
      </c>
      <c r="I285" s="372">
        <f>Calculations!H959</f>
        <v>0</v>
      </c>
    </row>
    <row r="286" spans="2:12">
      <c r="B286" s="70">
        <f>Calculations!A960</f>
        <v>0</v>
      </c>
      <c r="C286">
        <f>Calculations!B960</f>
        <v>0</v>
      </c>
      <c r="D286" s="77">
        <f>Calculations!C960</f>
        <v>0</v>
      </c>
      <c r="E286" s="92">
        <f>Calculations!D960</f>
        <v>0</v>
      </c>
      <c r="F286" s="149">
        <f>Calculations!E960</f>
        <v>0</v>
      </c>
      <c r="G286" s="149">
        <f>Calculations!F960</f>
        <v>0</v>
      </c>
      <c r="H286" s="149">
        <f>Calculations!G960</f>
        <v>0</v>
      </c>
      <c r="I286" s="372">
        <f>Calculations!H960</f>
        <v>0</v>
      </c>
    </row>
    <row r="287" spans="2:12">
      <c r="B287" s="70">
        <f>Calculations!A961</f>
        <v>0</v>
      </c>
      <c r="C287">
        <f>Calculations!B961</f>
        <v>0</v>
      </c>
      <c r="D287" s="77">
        <f>Calculations!C961</f>
        <v>0</v>
      </c>
      <c r="E287" s="92">
        <f>Calculations!D961</f>
        <v>0</v>
      </c>
      <c r="F287" s="149">
        <f>Calculations!E961</f>
        <v>0</v>
      </c>
      <c r="G287" s="149">
        <f>Calculations!F961</f>
        <v>0</v>
      </c>
      <c r="H287" s="149">
        <f>Calculations!G961</f>
        <v>0</v>
      </c>
      <c r="I287" s="372">
        <f>Calculations!H961</f>
        <v>0</v>
      </c>
    </row>
    <row r="288" spans="2:12">
      <c r="B288" s="70">
        <f>Calculations!A962</f>
        <v>0</v>
      </c>
      <c r="C288">
        <f>Calculations!B962</f>
        <v>0</v>
      </c>
      <c r="D288" s="77">
        <f>Calculations!C962</f>
        <v>0</v>
      </c>
      <c r="E288" s="92">
        <f>Calculations!D962</f>
        <v>0</v>
      </c>
      <c r="F288" s="149">
        <f>Calculations!E962</f>
        <v>0</v>
      </c>
      <c r="G288" s="149">
        <f>Calculations!F962</f>
        <v>0</v>
      </c>
      <c r="H288" s="149">
        <f>Calculations!G962</f>
        <v>0</v>
      </c>
      <c r="I288" s="372">
        <f>Calculations!H962</f>
        <v>0</v>
      </c>
    </row>
    <row r="289" spans="2:9">
      <c r="B289" s="70">
        <f>Calculations!A963</f>
        <v>0</v>
      </c>
      <c r="C289">
        <f>Calculations!B963</f>
        <v>0</v>
      </c>
      <c r="D289" s="77">
        <f>Calculations!C963</f>
        <v>0</v>
      </c>
      <c r="E289" s="92">
        <f>Calculations!D963</f>
        <v>0</v>
      </c>
      <c r="F289" s="149">
        <f>Calculations!E963</f>
        <v>0</v>
      </c>
      <c r="G289" s="149">
        <f>Calculations!F963</f>
        <v>0</v>
      </c>
      <c r="H289" s="149">
        <f>Calculations!G963</f>
        <v>0</v>
      </c>
      <c r="I289" s="372">
        <f>Calculations!H963</f>
        <v>0</v>
      </c>
    </row>
    <row r="290" spans="2:9">
      <c r="B290" s="70">
        <f>Calculations!A964</f>
        <v>0</v>
      </c>
      <c r="C290">
        <f>Calculations!B964</f>
        <v>0</v>
      </c>
      <c r="D290" s="77">
        <f>Calculations!C964</f>
        <v>0</v>
      </c>
      <c r="E290" s="92">
        <f>Calculations!D964</f>
        <v>0</v>
      </c>
      <c r="F290" s="149">
        <f>Calculations!E964</f>
        <v>0</v>
      </c>
      <c r="G290" s="149">
        <f>Calculations!F964</f>
        <v>0</v>
      </c>
      <c r="H290" s="149">
        <f>Calculations!G964</f>
        <v>0</v>
      </c>
      <c r="I290" s="372">
        <f>Calculations!H964</f>
        <v>0</v>
      </c>
    </row>
    <row r="291" spans="2:9">
      <c r="B291" s="70">
        <f>Calculations!A965</f>
        <v>0</v>
      </c>
      <c r="C291">
        <f>Calculations!B965</f>
        <v>0</v>
      </c>
      <c r="D291" s="77">
        <f>Calculations!C965</f>
        <v>0</v>
      </c>
      <c r="E291" s="92">
        <f>Calculations!D965</f>
        <v>0</v>
      </c>
      <c r="F291" s="149">
        <f>Calculations!E965</f>
        <v>0</v>
      </c>
      <c r="G291" s="149">
        <f>Calculations!F965</f>
        <v>0</v>
      </c>
      <c r="H291" s="149">
        <f>Calculations!G965</f>
        <v>0</v>
      </c>
      <c r="I291" s="372">
        <f>Calculations!H965</f>
        <v>0</v>
      </c>
    </row>
    <row r="292" spans="2:9">
      <c r="B292" s="70">
        <f>Calculations!A966</f>
        <v>0</v>
      </c>
      <c r="C292">
        <f>Calculations!B966</f>
        <v>0</v>
      </c>
      <c r="D292" s="77">
        <f>Calculations!C966</f>
        <v>0</v>
      </c>
      <c r="E292" s="92">
        <f>Calculations!D966</f>
        <v>0</v>
      </c>
      <c r="F292" s="149">
        <f>Calculations!E966</f>
        <v>0</v>
      </c>
      <c r="G292" s="149">
        <f>Calculations!F966</f>
        <v>0</v>
      </c>
      <c r="H292" s="149">
        <f>Calculations!G966</f>
        <v>0</v>
      </c>
      <c r="I292" s="372">
        <f>Calculations!H966</f>
        <v>0</v>
      </c>
    </row>
    <row r="293" spans="2:9">
      <c r="B293" s="70">
        <f>Calculations!A967</f>
        <v>0</v>
      </c>
      <c r="C293">
        <f>Calculations!B967</f>
        <v>0</v>
      </c>
      <c r="D293" s="77">
        <f>Calculations!C967</f>
        <v>0</v>
      </c>
      <c r="E293" s="92">
        <f>Calculations!D967</f>
        <v>0</v>
      </c>
      <c r="F293" s="149">
        <f>Calculations!E967</f>
        <v>0</v>
      </c>
      <c r="G293" s="149">
        <f>Calculations!F967</f>
        <v>0</v>
      </c>
      <c r="H293" s="149">
        <f>Calculations!G967</f>
        <v>0</v>
      </c>
      <c r="I293" s="372">
        <f>Calculations!H967</f>
        <v>0</v>
      </c>
    </row>
    <row r="294" spans="2:9">
      <c r="B294" s="70">
        <f>Calculations!A968</f>
        <v>0</v>
      </c>
      <c r="C294">
        <f>Calculations!B968</f>
        <v>0</v>
      </c>
      <c r="D294" s="77">
        <f>Calculations!C968</f>
        <v>0</v>
      </c>
      <c r="E294" s="92">
        <f>Calculations!D968</f>
        <v>0</v>
      </c>
      <c r="F294" s="149">
        <f>Calculations!E968</f>
        <v>0</v>
      </c>
      <c r="G294" s="149">
        <f>Calculations!F968</f>
        <v>0</v>
      </c>
      <c r="H294" s="149">
        <f>Calculations!G968</f>
        <v>0</v>
      </c>
      <c r="I294" s="372">
        <f>Calculations!H968</f>
        <v>0</v>
      </c>
    </row>
    <row r="295" spans="2:9">
      <c r="B295" s="70">
        <f>Calculations!A969</f>
        <v>0</v>
      </c>
      <c r="C295">
        <f>Calculations!B969</f>
        <v>0</v>
      </c>
      <c r="D295" s="77">
        <f>Calculations!C969</f>
        <v>0</v>
      </c>
      <c r="E295" s="92">
        <f>Calculations!D969</f>
        <v>0</v>
      </c>
      <c r="F295" s="149">
        <f>Calculations!E969</f>
        <v>0</v>
      </c>
      <c r="G295" s="149">
        <f>Calculations!F969</f>
        <v>0</v>
      </c>
      <c r="H295" s="149">
        <f>Calculations!G969</f>
        <v>0</v>
      </c>
      <c r="I295" s="372">
        <f>Calculations!H969</f>
        <v>0</v>
      </c>
    </row>
    <row r="296" spans="2:9">
      <c r="B296" s="70">
        <f>Calculations!A970</f>
        <v>0</v>
      </c>
      <c r="C296">
        <f>Calculations!B970</f>
        <v>0</v>
      </c>
      <c r="D296" s="77">
        <f>Calculations!C970</f>
        <v>0</v>
      </c>
      <c r="E296" s="92">
        <f>Calculations!D970</f>
        <v>0</v>
      </c>
      <c r="F296" s="149">
        <f>Calculations!E970</f>
        <v>0</v>
      </c>
      <c r="G296" s="149">
        <f>Calculations!F970</f>
        <v>0</v>
      </c>
      <c r="H296" s="149">
        <f>Calculations!G970</f>
        <v>0</v>
      </c>
      <c r="I296" s="372">
        <f>Calculations!H970</f>
        <v>0</v>
      </c>
    </row>
    <row r="297" spans="2:9">
      <c r="B297" s="70">
        <f>Calculations!A971</f>
        <v>0</v>
      </c>
      <c r="C297">
        <f>Calculations!B971</f>
        <v>0</v>
      </c>
      <c r="D297" s="77">
        <f>Calculations!C971</f>
        <v>0</v>
      </c>
      <c r="E297" s="92">
        <f>Calculations!D971</f>
        <v>0</v>
      </c>
      <c r="F297" s="149">
        <f>Calculations!E971</f>
        <v>0</v>
      </c>
      <c r="G297" s="149">
        <f>Calculations!F971</f>
        <v>0</v>
      </c>
      <c r="H297" s="149">
        <f>Calculations!G971</f>
        <v>0</v>
      </c>
      <c r="I297" s="372">
        <f>Calculations!H971</f>
        <v>0</v>
      </c>
    </row>
    <row r="298" spans="2:9">
      <c r="B298" s="70">
        <f>Calculations!A972</f>
        <v>0</v>
      </c>
      <c r="C298">
        <f>Calculations!B972</f>
        <v>0</v>
      </c>
      <c r="D298" s="77">
        <f>Calculations!C972</f>
        <v>0</v>
      </c>
      <c r="E298" s="92">
        <f>Calculations!D972</f>
        <v>0</v>
      </c>
      <c r="F298" s="149">
        <f>Calculations!E972</f>
        <v>0</v>
      </c>
      <c r="G298" s="149">
        <f>Calculations!F972</f>
        <v>0</v>
      </c>
      <c r="H298" s="149">
        <f>Calculations!G972</f>
        <v>0</v>
      </c>
      <c r="I298" s="372">
        <f>Calculations!H972</f>
        <v>0</v>
      </c>
    </row>
    <row r="299" spans="2:9">
      <c r="B299" s="70">
        <f>Calculations!A973</f>
        <v>0</v>
      </c>
      <c r="C299">
        <f>Calculations!B973</f>
        <v>0</v>
      </c>
      <c r="D299" s="77">
        <f>Calculations!C973</f>
        <v>0</v>
      </c>
      <c r="E299" s="92">
        <f>Calculations!D973</f>
        <v>0</v>
      </c>
      <c r="F299" s="149">
        <f>Calculations!E973</f>
        <v>0</v>
      </c>
      <c r="G299" s="149">
        <f>Calculations!F973</f>
        <v>0</v>
      </c>
      <c r="H299" s="149">
        <f>Calculations!G973</f>
        <v>0</v>
      </c>
      <c r="I299" s="372">
        <f>Calculations!H973</f>
        <v>0</v>
      </c>
    </row>
    <row r="300" spans="2:9">
      <c r="B300" s="70">
        <f>Calculations!A974</f>
        <v>0</v>
      </c>
      <c r="C300">
        <f>Calculations!B974</f>
        <v>0</v>
      </c>
      <c r="D300" s="77">
        <f>Calculations!C974</f>
        <v>0</v>
      </c>
      <c r="E300" s="92">
        <f>Calculations!D974</f>
        <v>0</v>
      </c>
      <c r="F300" s="149">
        <f>Calculations!E974</f>
        <v>0</v>
      </c>
      <c r="G300" s="149">
        <f>Calculations!F974</f>
        <v>0</v>
      </c>
      <c r="H300" s="149">
        <f>Calculations!G974</f>
        <v>0</v>
      </c>
      <c r="I300" s="372">
        <f>Calculations!H974</f>
        <v>0</v>
      </c>
    </row>
    <row r="301" spans="2:9">
      <c r="B301" s="70">
        <f>Calculations!A975</f>
        <v>0</v>
      </c>
      <c r="C301">
        <f>Calculations!B975</f>
        <v>0</v>
      </c>
      <c r="D301" s="77">
        <f>Calculations!C975</f>
        <v>0</v>
      </c>
      <c r="E301" s="92">
        <f>Calculations!D975</f>
        <v>0</v>
      </c>
      <c r="F301" s="149">
        <f>Calculations!E975</f>
        <v>0</v>
      </c>
      <c r="G301" s="149">
        <f>Calculations!F975</f>
        <v>0</v>
      </c>
      <c r="H301" s="149">
        <f>Calculations!G975</f>
        <v>0</v>
      </c>
      <c r="I301" s="372">
        <f>Calculations!H975</f>
        <v>0</v>
      </c>
    </row>
    <row r="302" spans="2:9">
      <c r="B302" s="70">
        <f>Calculations!A976</f>
        <v>0</v>
      </c>
      <c r="C302">
        <f>Calculations!B976</f>
        <v>0</v>
      </c>
      <c r="D302" s="77">
        <f>Calculations!C976</f>
        <v>0</v>
      </c>
      <c r="E302" s="92">
        <f>Calculations!D976</f>
        <v>0</v>
      </c>
      <c r="F302" s="149">
        <f>Calculations!E976</f>
        <v>0</v>
      </c>
      <c r="G302" s="149">
        <f>Calculations!F976</f>
        <v>0</v>
      </c>
      <c r="H302" s="149">
        <f>Calculations!G976</f>
        <v>0</v>
      </c>
      <c r="I302" s="372">
        <f>Calculations!H976</f>
        <v>0</v>
      </c>
    </row>
    <row r="303" spans="2:9">
      <c r="B303" s="70">
        <f>Calculations!A977</f>
        <v>0</v>
      </c>
      <c r="C303">
        <f>Calculations!B977</f>
        <v>0</v>
      </c>
      <c r="D303" s="77">
        <f>Calculations!C977</f>
        <v>0</v>
      </c>
      <c r="E303" s="92">
        <f>Calculations!D977</f>
        <v>0</v>
      </c>
      <c r="F303" s="149">
        <f>Calculations!E977</f>
        <v>0</v>
      </c>
      <c r="G303" s="149">
        <f>Calculations!F977</f>
        <v>0</v>
      </c>
      <c r="H303" s="149">
        <f>Calculations!G977</f>
        <v>0</v>
      </c>
      <c r="I303" s="372">
        <f>Calculations!H977</f>
        <v>0</v>
      </c>
    </row>
    <row r="304" spans="2:9">
      <c r="B304" s="70">
        <f>Calculations!A978</f>
        <v>0</v>
      </c>
      <c r="C304">
        <f>Calculations!B978</f>
        <v>0</v>
      </c>
      <c r="D304" s="77">
        <f>Calculations!C978</f>
        <v>0</v>
      </c>
      <c r="E304" s="92">
        <f>Calculations!D978</f>
        <v>0</v>
      </c>
      <c r="F304" s="149">
        <f>Calculations!E978</f>
        <v>0</v>
      </c>
      <c r="G304" s="149">
        <f>Calculations!F978</f>
        <v>0</v>
      </c>
      <c r="H304" s="149">
        <f>Calculations!G978</f>
        <v>0</v>
      </c>
      <c r="I304" s="372">
        <f>Calculations!H978</f>
        <v>0</v>
      </c>
    </row>
    <row r="305" spans="2:9">
      <c r="B305" s="70">
        <f>Calculations!A979</f>
        <v>0</v>
      </c>
      <c r="C305">
        <f>Calculations!B979</f>
        <v>0</v>
      </c>
      <c r="D305" s="77">
        <f>Calculations!C979</f>
        <v>0</v>
      </c>
      <c r="E305" s="92">
        <f>Calculations!D979</f>
        <v>0</v>
      </c>
      <c r="F305" s="149">
        <f>Calculations!E979</f>
        <v>0</v>
      </c>
      <c r="G305" s="149">
        <f>Calculations!F979</f>
        <v>0</v>
      </c>
      <c r="H305" s="149">
        <f>Calculations!G979</f>
        <v>0</v>
      </c>
      <c r="I305" s="372">
        <f>Calculations!H979</f>
        <v>0</v>
      </c>
    </row>
    <row r="306" spans="2:9">
      <c r="B306" s="70">
        <f>Calculations!A980</f>
        <v>0</v>
      </c>
      <c r="C306">
        <f>Calculations!B980</f>
        <v>0</v>
      </c>
      <c r="D306" s="77">
        <f>Calculations!C980</f>
        <v>0</v>
      </c>
      <c r="E306" s="92">
        <f>Calculations!D980</f>
        <v>0</v>
      </c>
      <c r="F306" s="149">
        <f>Calculations!E980</f>
        <v>0</v>
      </c>
      <c r="G306" s="149">
        <f>Calculations!F980</f>
        <v>0</v>
      </c>
      <c r="H306" s="149">
        <f>Calculations!G980</f>
        <v>0</v>
      </c>
      <c r="I306" s="372">
        <f>Calculations!H980</f>
        <v>0</v>
      </c>
    </row>
    <row r="307" spans="2:9">
      <c r="B307" s="70">
        <f>Calculations!A981</f>
        <v>0</v>
      </c>
      <c r="C307">
        <f>Calculations!B981</f>
        <v>0</v>
      </c>
      <c r="D307" s="77">
        <f>Calculations!C981</f>
        <v>0</v>
      </c>
      <c r="E307" s="92">
        <f>Calculations!D981</f>
        <v>0</v>
      </c>
      <c r="F307" s="149">
        <f>Calculations!E981</f>
        <v>0</v>
      </c>
      <c r="G307" s="149">
        <f>Calculations!F981</f>
        <v>0</v>
      </c>
      <c r="H307" s="149">
        <f>Calculations!G981</f>
        <v>0</v>
      </c>
      <c r="I307" s="372">
        <f>Calculations!H981</f>
        <v>0</v>
      </c>
    </row>
    <row r="308" spans="2:9">
      <c r="B308" s="70">
        <f>Calculations!A982</f>
        <v>0</v>
      </c>
      <c r="C308">
        <f>Calculations!B982</f>
        <v>0</v>
      </c>
      <c r="D308" s="77">
        <f>Calculations!C982</f>
        <v>0</v>
      </c>
      <c r="E308" s="92">
        <f>Calculations!D982</f>
        <v>0</v>
      </c>
      <c r="F308" s="149">
        <f>Calculations!E982</f>
        <v>0</v>
      </c>
      <c r="G308" s="149">
        <f>Calculations!F982</f>
        <v>0</v>
      </c>
      <c r="H308" s="149">
        <f>Calculations!G982</f>
        <v>0</v>
      </c>
      <c r="I308" s="372">
        <f>Calculations!H982</f>
        <v>0</v>
      </c>
    </row>
    <row r="309" spans="2:9">
      <c r="B309" s="70">
        <f>Calculations!A983</f>
        <v>0</v>
      </c>
      <c r="C309">
        <f>Calculations!B983</f>
        <v>0</v>
      </c>
      <c r="D309" s="77">
        <f>Calculations!C983</f>
        <v>0</v>
      </c>
      <c r="E309" s="92">
        <f>Calculations!D983</f>
        <v>0</v>
      </c>
      <c r="F309" s="149">
        <f>Calculations!E983</f>
        <v>0</v>
      </c>
      <c r="G309" s="149">
        <f>Calculations!F983</f>
        <v>0</v>
      </c>
      <c r="H309" s="149">
        <f>Calculations!G983</f>
        <v>0</v>
      </c>
      <c r="I309" s="372">
        <f>Calculations!H983</f>
        <v>0</v>
      </c>
    </row>
    <row r="310" spans="2:9">
      <c r="B310" s="70">
        <f>Calculations!A984</f>
        <v>0</v>
      </c>
      <c r="C310">
        <f>Calculations!B984</f>
        <v>0</v>
      </c>
      <c r="D310" s="77">
        <f>Calculations!C984</f>
        <v>0</v>
      </c>
      <c r="E310" s="92">
        <f>Calculations!D984</f>
        <v>0</v>
      </c>
      <c r="F310" s="149">
        <f>Calculations!E984</f>
        <v>0</v>
      </c>
      <c r="G310" s="149">
        <f>Calculations!F984</f>
        <v>0</v>
      </c>
      <c r="H310" s="149">
        <f>Calculations!G984</f>
        <v>0</v>
      </c>
      <c r="I310" s="372">
        <f>Calculations!H984</f>
        <v>0</v>
      </c>
    </row>
    <row r="311" spans="2:9">
      <c r="B311" s="70">
        <f>Calculations!A985</f>
        <v>0</v>
      </c>
      <c r="C311">
        <f>Calculations!B985</f>
        <v>0</v>
      </c>
      <c r="D311" s="77">
        <f>Calculations!C985</f>
        <v>0</v>
      </c>
      <c r="E311" s="92">
        <f>Calculations!D985</f>
        <v>0</v>
      </c>
      <c r="F311" s="149">
        <f>Calculations!E985</f>
        <v>0</v>
      </c>
      <c r="G311" s="149">
        <f>Calculations!F985</f>
        <v>0</v>
      </c>
      <c r="H311" s="149">
        <f>Calculations!G985</f>
        <v>0</v>
      </c>
      <c r="I311" s="372">
        <f>Calculations!H985</f>
        <v>0</v>
      </c>
    </row>
    <row r="312" spans="2:9">
      <c r="B312" s="70">
        <f>Calculations!A986</f>
        <v>0</v>
      </c>
      <c r="C312">
        <f>Calculations!B986</f>
        <v>0</v>
      </c>
      <c r="D312" s="77">
        <f>Calculations!C986</f>
        <v>0</v>
      </c>
      <c r="E312" s="92">
        <f>Calculations!D986</f>
        <v>0</v>
      </c>
      <c r="F312" s="149">
        <f>Calculations!E986</f>
        <v>0</v>
      </c>
      <c r="G312" s="149">
        <f>Calculations!F986</f>
        <v>0</v>
      </c>
      <c r="H312" s="149">
        <f>Calculations!G986</f>
        <v>0</v>
      </c>
      <c r="I312" s="372">
        <f>Calculations!H986</f>
        <v>0</v>
      </c>
    </row>
    <row r="313" spans="2:9">
      <c r="B313" s="70">
        <f>Calculations!A987</f>
        <v>0</v>
      </c>
      <c r="C313">
        <f>Calculations!B987</f>
        <v>0</v>
      </c>
      <c r="D313" s="77">
        <f>Calculations!C987</f>
        <v>0</v>
      </c>
      <c r="E313" s="92">
        <f>Calculations!D987</f>
        <v>0</v>
      </c>
      <c r="F313" s="149">
        <f>Calculations!E987</f>
        <v>0</v>
      </c>
      <c r="G313" s="149">
        <f>Calculations!F987</f>
        <v>0</v>
      </c>
      <c r="H313" s="149">
        <f>Calculations!G987</f>
        <v>0</v>
      </c>
      <c r="I313" s="372">
        <f>Calculations!H987</f>
        <v>0</v>
      </c>
    </row>
    <row r="314" spans="2:9">
      <c r="B314" s="70">
        <f>Calculations!A988</f>
        <v>0</v>
      </c>
      <c r="C314">
        <f>Calculations!B988</f>
        <v>0</v>
      </c>
      <c r="D314" s="77">
        <f>Calculations!C988</f>
        <v>0</v>
      </c>
      <c r="E314" s="92">
        <f>Calculations!D988</f>
        <v>0</v>
      </c>
      <c r="F314" s="149">
        <f>Calculations!E988</f>
        <v>0</v>
      </c>
      <c r="G314" s="149">
        <f>Calculations!F988</f>
        <v>0</v>
      </c>
      <c r="H314" s="149">
        <f>Calculations!G988</f>
        <v>0</v>
      </c>
      <c r="I314" s="372">
        <f>Calculations!H988</f>
        <v>0</v>
      </c>
    </row>
    <row r="315" spans="2:9">
      <c r="B315" s="70">
        <f>Calculations!A989</f>
        <v>0</v>
      </c>
      <c r="C315">
        <f>Calculations!B989</f>
        <v>0</v>
      </c>
      <c r="D315" s="77">
        <f>Calculations!C989</f>
        <v>0</v>
      </c>
      <c r="E315" s="92">
        <f>Calculations!D989</f>
        <v>0</v>
      </c>
      <c r="F315" s="149">
        <f>Calculations!E989</f>
        <v>0</v>
      </c>
      <c r="G315" s="149">
        <f>Calculations!F989</f>
        <v>0</v>
      </c>
      <c r="H315" s="149">
        <f>Calculations!G989</f>
        <v>0</v>
      </c>
      <c r="I315" s="372">
        <f>Calculations!H989</f>
        <v>0</v>
      </c>
    </row>
    <row r="316" spans="2:9">
      <c r="B316" s="70">
        <f>Calculations!A990</f>
        <v>0</v>
      </c>
      <c r="C316">
        <f>Calculations!B990</f>
        <v>0</v>
      </c>
      <c r="D316" s="77">
        <f>Calculations!C990</f>
        <v>0</v>
      </c>
      <c r="E316" s="92">
        <f>Calculations!D990</f>
        <v>0</v>
      </c>
      <c r="F316" s="149">
        <f>Calculations!E990</f>
        <v>0</v>
      </c>
      <c r="G316" s="149">
        <f>Calculations!F990</f>
        <v>0</v>
      </c>
      <c r="H316" s="149">
        <f>Calculations!G990</f>
        <v>0</v>
      </c>
      <c r="I316" s="372">
        <f>Calculations!H990</f>
        <v>0</v>
      </c>
    </row>
    <row r="317" spans="2:9">
      <c r="B317" s="70">
        <f>Calculations!A991</f>
        <v>0</v>
      </c>
      <c r="C317">
        <f>Calculations!B991</f>
        <v>0</v>
      </c>
      <c r="D317" s="77">
        <f>Calculations!C991</f>
        <v>0</v>
      </c>
      <c r="E317" s="92">
        <f>Calculations!D991</f>
        <v>0</v>
      </c>
      <c r="F317" s="149">
        <f>Calculations!E991</f>
        <v>0</v>
      </c>
      <c r="G317" s="149">
        <f>Calculations!F991</f>
        <v>0</v>
      </c>
      <c r="H317" s="149">
        <f>Calculations!G991</f>
        <v>0</v>
      </c>
      <c r="I317" s="372">
        <f>Calculations!H991</f>
        <v>0</v>
      </c>
    </row>
    <row r="318" spans="2:9">
      <c r="B318" s="70">
        <f>Calculations!A992</f>
        <v>0</v>
      </c>
      <c r="C318">
        <f>Calculations!B992</f>
        <v>0</v>
      </c>
      <c r="D318" s="77">
        <f>Calculations!C992</f>
        <v>0</v>
      </c>
      <c r="E318" s="92">
        <f>Calculations!D992</f>
        <v>0</v>
      </c>
      <c r="F318" s="149">
        <f>Calculations!E992</f>
        <v>0</v>
      </c>
      <c r="G318" s="149">
        <f>Calculations!F992</f>
        <v>0</v>
      </c>
      <c r="H318" s="149">
        <f>Calculations!G992</f>
        <v>0</v>
      </c>
      <c r="I318" s="372">
        <f>Calculations!H992</f>
        <v>0</v>
      </c>
    </row>
    <row r="319" spans="2:9">
      <c r="B319" s="70">
        <f>Calculations!A993</f>
        <v>0</v>
      </c>
      <c r="C319">
        <f>Calculations!B993</f>
        <v>0</v>
      </c>
      <c r="D319" s="77">
        <f>Calculations!C993</f>
        <v>0</v>
      </c>
      <c r="E319" s="92">
        <f>Calculations!D993</f>
        <v>0</v>
      </c>
      <c r="F319" s="149">
        <f>Calculations!E993</f>
        <v>0</v>
      </c>
      <c r="G319" s="149">
        <f>Calculations!F993</f>
        <v>0</v>
      </c>
      <c r="H319" s="149">
        <f>Calculations!G993</f>
        <v>0</v>
      </c>
      <c r="I319" s="372">
        <f>Calculations!H993</f>
        <v>0</v>
      </c>
    </row>
    <row r="320" spans="2:9">
      <c r="B320" s="70">
        <f>Calculations!A994</f>
        <v>0</v>
      </c>
      <c r="C320">
        <f>Calculations!B994</f>
        <v>0</v>
      </c>
      <c r="D320" s="77">
        <f>Calculations!C994</f>
        <v>0</v>
      </c>
      <c r="E320" s="92">
        <f>Calculations!D994</f>
        <v>0</v>
      </c>
      <c r="F320" s="149">
        <f>Calculations!E994</f>
        <v>0</v>
      </c>
      <c r="G320" s="149">
        <f>Calculations!F994</f>
        <v>0</v>
      </c>
      <c r="H320" s="149">
        <f>Calculations!G994</f>
        <v>0</v>
      </c>
      <c r="I320" s="372">
        <f>Calculations!H994</f>
        <v>0</v>
      </c>
    </row>
    <row r="321" spans="2:9">
      <c r="B321" s="70">
        <f>Calculations!A995</f>
        <v>0</v>
      </c>
      <c r="C321">
        <f>Calculations!B995</f>
        <v>0</v>
      </c>
      <c r="D321" s="77">
        <f>Calculations!C995</f>
        <v>0</v>
      </c>
      <c r="E321" s="92">
        <f>Calculations!D995</f>
        <v>0</v>
      </c>
      <c r="F321" s="149">
        <f>Calculations!E995</f>
        <v>0</v>
      </c>
      <c r="G321" s="149">
        <f>Calculations!F995</f>
        <v>0</v>
      </c>
      <c r="H321" s="149">
        <f>Calculations!G995</f>
        <v>0</v>
      </c>
      <c r="I321" s="372">
        <f>Calculations!H995</f>
        <v>0</v>
      </c>
    </row>
    <row r="322" spans="2:9">
      <c r="B322" s="70">
        <f>Calculations!A996</f>
        <v>0</v>
      </c>
      <c r="C322">
        <f>Calculations!B996</f>
        <v>0</v>
      </c>
      <c r="D322" s="77">
        <f>Calculations!C996</f>
        <v>0</v>
      </c>
      <c r="E322" s="92">
        <f>Calculations!D996</f>
        <v>0</v>
      </c>
      <c r="F322" s="149">
        <f>Calculations!E996</f>
        <v>0</v>
      </c>
      <c r="G322" s="149">
        <f>Calculations!F996</f>
        <v>0</v>
      </c>
      <c r="H322" s="149">
        <f>Calculations!G996</f>
        <v>0</v>
      </c>
      <c r="I322" s="372">
        <f>Calculations!H996</f>
        <v>0</v>
      </c>
    </row>
    <row r="323" spans="2:9">
      <c r="B323" s="70">
        <f>Calculations!A997</f>
        <v>0</v>
      </c>
      <c r="C323">
        <f>Calculations!B997</f>
        <v>0</v>
      </c>
      <c r="D323" s="77">
        <f>Calculations!C997</f>
        <v>0</v>
      </c>
      <c r="E323" s="92">
        <f>Calculations!D997</f>
        <v>0</v>
      </c>
      <c r="F323" s="149">
        <f>Calculations!E997</f>
        <v>0</v>
      </c>
      <c r="G323" s="149">
        <f>Calculations!F997</f>
        <v>0</v>
      </c>
      <c r="H323" s="149">
        <f>Calculations!G997</f>
        <v>0</v>
      </c>
      <c r="I323" s="372">
        <f>Calculations!H997</f>
        <v>0</v>
      </c>
    </row>
    <row r="324" spans="2:9">
      <c r="B324" s="70">
        <f>Calculations!A998</f>
        <v>0</v>
      </c>
      <c r="C324">
        <f>Calculations!B998</f>
        <v>0</v>
      </c>
      <c r="D324" s="77">
        <f>Calculations!C998</f>
        <v>0</v>
      </c>
      <c r="E324" s="92">
        <f>Calculations!D998</f>
        <v>0</v>
      </c>
      <c r="F324" s="149">
        <f>Calculations!E998</f>
        <v>0</v>
      </c>
      <c r="G324" s="149">
        <f>Calculations!F998</f>
        <v>0</v>
      </c>
      <c r="H324" s="149">
        <f>Calculations!G998</f>
        <v>0</v>
      </c>
      <c r="I324" s="372">
        <f>Calculations!H998</f>
        <v>0</v>
      </c>
    </row>
    <row r="325" spans="2:9">
      <c r="B325" s="70">
        <f>Calculations!A999</f>
        <v>0</v>
      </c>
      <c r="C325">
        <f>Calculations!B999</f>
        <v>0</v>
      </c>
      <c r="D325" s="77">
        <f>Calculations!C999</f>
        <v>0</v>
      </c>
      <c r="E325" s="92">
        <f>Calculations!D999</f>
        <v>0</v>
      </c>
      <c r="F325" s="149">
        <f>Calculations!E999</f>
        <v>0</v>
      </c>
      <c r="G325" s="149">
        <f>Calculations!F999</f>
        <v>0</v>
      </c>
      <c r="H325" s="149">
        <f>Calculations!G999</f>
        <v>0</v>
      </c>
      <c r="I325" s="372">
        <f>Calculations!H999</f>
        <v>0</v>
      </c>
    </row>
    <row r="326" spans="2:9">
      <c r="B326" s="70">
        <f>Calculations!A1000</f>
        <v>0</v>
      </c>
      <c r="C326">
        <f>Calculations!B1000</f>
        <v>0</v>
      </c>
      <c r="D326" s="77">
        <f>Calculations!C1000</f>
        <v>0</v>
      </c>
      <c r="E326" s="92">
        <f>Calculations!D1000</f>
        <v>0</v>
      </c>
      <c r="F326" s="149">
        <f>Calculations!E1000</f>
        <v>0</v>
      </c>
      <c r="G326" s="149">
        <f>Calculations!F1000</f>
        <v>0</v>
      </c>
      <c r="H326" s="149">
        <f>Calculations!G1000</f>
        <v>0</v>
      </c>
      <c r="I326" s="372">
        <f>Calculations!H1000</f>
        <v>0</v>
      </c>
    </row>
    <row r="327" spans="2:9">
      <c r="B327" s="70">
        <f>Calculations!A1001</f>
        <v>0</v>
      </c>
      <c r="C327">
        <f>Calculations!B1001</f>
        <v>0</v>
      </c>
      <c r="D327" s="77">
        <f>Calculations!C1001</f>
        <v>0</v>
      </c>
      <c r="E327" s="92">
        <f>Calculations!D1001</f>
        <v>0</v>
      </c>
      <c r="F327" s="149">
        <f>Calculations!E1001</f>
        <v>0</v>
      </c>
      <c r="G327" s="149">
        <f>Calculations!F1001</f>
        <v>0</v>
      </c>
      <c r="H327" s="149">
        <f>Calculations!G1001</f>
        <v>0</v>
      </c>
      <c r="I327" s="372">
        <f>Calculations!H1001</f>
        <v>0</v>
      </c>
    </row>
    <row r="328" spans="2:9">
      <c r="B328" s="70">
        <f>Calculations!A1002</f>
        <v>0</v>
      </c>
      <c r="C328">
        <f>Calculations!B1002</f>
        <v>0</v>
      </c>
      <c r="D328" s="77">
        <f>Calculations!C1002</f>
        <v>0</v>
      </c>
      <c r="E328" s="92">
        <f>Calculations!D1002</f>
        <v>0</v>
      </c>
      <c r="F328" s="149">
        <f>Calculations!E1002</f>
        <v>0</v>
      </c>
      <c r="G328" s="149">
        <f>Calculations!F1002</f>
        <v>0</v>
      </c>
      <c r="H328" s="149">
        <f>Calculations!G1002</f>
        <v>0</v>
      </c>
      <c r="I328" s="372">
        <f>Calculations!H1002</f>
        <v>0</v>
      </c>
    </row>
    <row r="329" spans="2:9">
      <c r="B329" s="70">
        <f>Calculations!A1003</f>
        <v>0</v>
      </c>
      <c r="C329">
        <f>Calculations!B1003</f>
        <v>0</v>
      </c>
      <c r="D329" s="77">
        <f>Calculations!C1003</f>
        <v>0</v>
      </c>
      <c r="E329" s="92">
        <f>Calculations!D1003</f>
        <v>0</v>
      </c>
      <c r="F329" s="149">
        <f>Calculations!E1003</f>
        <v>0</v>
      </c>
      <c r="G329" s="149">
        <f>Calculations!F1003</f>
        <v>0</v>
      </c>
      <c r="H329" s="149">
        <f>Calculations!G1003</f>
        <v>0</v>
      </c>
      <c r="I329" s="372">
        <f>Calculations!H1003</f>
        <v>0</v>
      </c>
    </row>
    <row r="330" spans="2:9">
      <c r="B330" s="70">
        <f>Calculations!A1004</f>
        <v>0</v>
      </c>
      <c r="C330">
        <f>Calculations!B1004</f>
        <v>0</v>
      </c>
      <c r="D330" s="77">
        <f>Calculations!C1004</f>
        <v>0</v>
      </c>
      <c r="E330" s="92">
        <f>Calculations!D1004</f>
        <v>0</v>
      </c>
      <c r="F330" s="149">
        <f>Calculations!E1004</f>
        <v>0</v>
      </c>
      <c r="G330" s="149">
        <f>Calculations!F1004</f>
        <v>0</v>
      </c>
      <c r="H330" s="149">
        <f>Calculations!G1004</f>
        <v>0</v>
      </c>
      <c r="I330" s="372">
        <f>Calculations!H1004</f>
        <v>0</v>
      </c>
    </row>
    <row r="331" spans="2:9">
      <c r="B331" s="70">
        <f>Calculations!A1005</f>
        <v>0</v>
      </c>
      <c r="C331">
        <f>Calculations!B1005</f>
        <v>0</v>
      </c>
      <c r="D331" s="77">
        <f>Calculations!C1005</f>
        <v>0</v>
      </c>
      <c r="E331" s="92">
        <f>Calculations!D1005</f>
        <v>0</v>
      </c>
      <c r="F331" s="149">
        <f>Calculations!E1005</f>
        <v>0</v>
      </c>
      <c r="G331" s="149">
        <f>Calculations!F1005</f>
        <v>0</v>
      </c>
      <c r="H331" s="149">
        <f>Calculations!G1005</f>
        <v>0</v>
      </c>
      <c r="I331" s="372">
        <f>Calculations!H1005</f>
        <v>0</v>
      </c>
    </row>
    <row r="332" spans="2:9">
      <c r="B332" s="70">
        <f>Calculations!A1006</f>
        <v>0</v>
      </c>
      <c r="C332">
        <f>Calculations!B1006</f>
        <v>0</v>
      </c>
      <c r="D332" s="77">
        <f>Calculations!C1006</f>
        <v>0</v>
      </c>
      <c r="E332" s="92">
        <f>Calculations!D1006</f>
        <v>0</v>
      </c>
      <c r="F332" s="149">
        <f>Calculations!E1006</f>
        <v>0</v>
      </c>
      <c r="G332" s="149">
        <f>Calculations!F1006</f>
        <v>0</v>
      </c>
      <c r="H332" s="149">
        <f>Calculations!G1006</f>
        <v>0</v>
      </c>
      <c r="I332" s="372">
        <f>Calculations!H1006</f>
        <v>0</v>
      </c>
    </row>
    <row r="333" spans="2:9">
      <c r="B333" s="70">
        <f>Calculations!A1007</f>
        <v>0</v>
      </c>
      <c r="C333">
        <f>Calculations!B1007</f>
        <v>0</v>
      </c>
      <c r="D333" s="77">
        <f>Calculations!C1007</f>
        <v>0</v>
      </c>
      <c r="E333" s="92">
        <f>Calculations!D1007</f>
        <v>0</v>
      </c>
      <c r="F333" s="149">
        <f>Calculations!E1007</f>
        <v>0</v>
      </c>
      <c r="G333" s="149">
        <f>Calculations!F1007</f>
        <v>0</v>
      </c>
      <c r="H333" s="149">
        <f>Calculations!G1007</f>
        <v>0</v>
      </c>
      <c r="I333" s="372">
        <f>Calculations!H1007</f>
        <v>0</v>
      </c>
    </row>
    <row r="334" spans="2:9">
      <c r="B334" s="70">
        <f>Calculations!A1008</f>
        <v>0</v>
      </c>
      <c r="C334">
        <f>Calculations!B1008</f>
        <v>0</v>
      </c>
      <c r="D334" s="77">
        <f>Calculations!C1008</f>
        <v>0</v>
      </c>
      <c r="E334" s="92">
        <f>Calculations!D1008</f>
        <v>0</v>
      </c>
      <c r="F334" s="149">
        <f>Calculations!E1008</f>
        <v>0</v>
      </c>
      <c r="G334" s="149">
        <f>Calculations!F1008</f>
        <v>0</v>
      </c>
      <c r="H334" s="149">
        <f>Calculations!G1008</f>
        <v>0</v>
      </c>
      <c r="I334" s="372">
        <f>Calculations!H1008</f>
        <v>0</v>
      </c>
    </row>
    <row r="335" spans="2:9">
      <c r="B335" s="70">
        <f>Calculations!A1009</f>
        <v>0</v>
      </c>
      <c r="C335">
        <f>Calculations!B1009</f>
        <v>0</v>
      </c>
      <c r="D335" s="77">
        <f>Calculations!C1009</f>
        <v>0</v>
      </c>
      <c r="E335" s="92">
        <f>Calculations!D1009</f>
        <v>0</v>
      </c>
      <c r="F335" s="149">
        <f>Calculations!E1009</f>
        <v>0</v>
      </c>
      <c r="G335" s="149">
        <f>Calculations!F1009</f>
        <v>0</v>
      </c>
      <c r="H335" s="149">
        <f>Calculations!G1009</f>
        <v>0</v>
      </c>
      <c r="I335" s="372">
        <f>Calculations!H1009</f>
        <v>0</v>
      </c>
    </row>
  </sheetData>
  <sheetProtection algorithmName="SHA-512" hashValue="YlKM6hYlsQIlsuaHBZ84FdxTieeje5zyLYeE5mY5mZVXy+MH1VDaLT2MhWDEM30DDBRTYA66V496Z7hsvdrudQ==" saltValue="bDhaYWJV2opBlCgQEhzkrQ==" spinCount="100000" sheet="1" objects="1" scenarios="1"/>
  <mergeCells count="19">
    <mergeCell ref="A1:K1"/>
    <mergeCell ref="B66:C66"/>
    <mergeCell ref="A13:K13"/>
    <mergeCell ref="A39:K39"/>
    <mergeCell ref="A44:K44"/>
    <mergeCell ref="A59:K59"/>
    <mergeCell ref="I46:J46"/>
    <mergeCell ref="A84:K84"/>
    <mergeCell ref="B90:C90"/>
    <mergeCell ref="A108:K108"/>
    <mergeCell ref="A109:K109"/>
    <mergeCell ref="A152:K152"/>
    <mergeCell ref="A101:K101"/>
    <mergeCell ref="A153:K153"/>
    <mergeCell ref="A171:K171"/>
    <mergeCell ref="B176:C176"/>
    <mergeCell ref="A212:K212"/>
    <mergeCell ref="A187:K187"/>
    <mergeCell ref="B210:C210"/>
  </mergeCells>
  <hyperlinks>
    <hyperlink ref="A39:K39" location="Scoring_Details_Range" display="Scoring Summary (see Tax Credit Details for more information)" xr:uid="{00000000-0004-0000-0A00-000000000000}"/>
    <hyperlink ref="A13:K13" location="'Budget Output'!A1" display="Development Budget" xr:uid="{00000000-0004-0000-0A00-000001000000}"/>
    <hyperlink ref="A101:K101" location="'Proforma, Income &amp; Expense'!A1" display="Annual Operating Expenses" xr:uid="{00000000-0004-0000-0A00-000002000000}"/>
    <hyperlink ref="A152:K152" location="'Development Budget'!A1" display="Contractor - Developer Fee Limits" xr:uid="{00000000-0004-0000-0A00-000003000000}"/>
    <hyperlink ref="A187:K187" location="'Unit Mix &amp; Rents'!A1" display="Units Mix &amp; Rents" xr:uid="{00000000-0004-0000-0A00-000004000000}"/>
    <hyperlink ref="A84:J84" location="'Proforma, Income &amp; Expense'!A1" display="Development Income" xr:uid="{00000000-0004-0000-0A00-000005000000}"/>
    <hyperlink ref="A108:J108" location="'Proforma, Income &amp; Expense'!A1" display="15 Year Pro Forma" xr:uid="{00000000-0004-0000-0A00-000006000000}"/>
    <hyperlink ref="A44:K44" location="Determination_TC_Range" display="Determination of Annual Tax Credit Amount" xr:uid="{00000000-0004-0000-0A00-000007000000}"/>
  </hyperlinks>
  <pageMargins left="0.5" right="0.5" top="0.5" bottom="0.25" header="0.65" footer="0"/>
  <pageSetup scale="70" orientation="portrait" horizontalDpi="300" r:id="rId1"/>
  <headerFooter>
    <oddHeader>&amp;R&amp;G</oddHeader>
  </headerFooter>
  <rowBreaks count="6" manualBreakCount="6">
    <brk id="58" max="10" man="1"/>
    <brk id="107" max="10" man="1"/>
    <brk id="151" max="16383" man="1"/>
    <brk id="186" max="10" man="1"/>
    <brk id="240" max="10" man="1"/>
    <brk id="300"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7"/>
  </sheetPr>
  <dimension ref="A1:P226"/>
  <sheetViews>
    <sheetView showGridLines="0" zoomScaleNormal="100" zoomScaleSheetLayoutView="99" workbookViewId="0">
      <selection sqref="A1:I1"/>
    </sheetView>
  </sheetViews>
  <sheetFormatPr defaultRowHeight="15"/>
  <cols>
    <col min="1" max="1" width="42.5703125" customWidth="1"/>
    <col min="2" max="5" width="13.5703125" customWidth="1"/>
    <col min="6" max="6" width="9" customWidth="1"/>
    <col min="7" max="7" width="14.42578125" customWidth="1"/>
    <col min="8" max="8" width="13.5703125" customWidth="1"/>
    <col min="9" max="9" width="9" customWidth="1"/>
  </cols>
  <sheetData>
    <row r="1" spans="1:16">
      <c r="A1" s="928" t="s">
        <v>1028</v>
      </c>
      <c r="B1" s="928"/>
      <c r="C1" s="928"/>
      <c r="D1" s="928"/>
      <c r="E1" s="928"/>
      <c r="F1" s="928"/>
      <c r="G1" s="928"/>
      <c r="H1" s="928"/>
      <c r="I1" s="928"/>
      <c r="J1" s="9"/>
      <c r="K1" s="9"/>
    </row>
    <row r="2" spans="1:16">
      <c r="A2" s="9"/>
      <c r="B2" s="9"/>
      <c r="C2" s="9"/>
      <c r="D2" s="9"/>
      <c r="E2" s="9"/>
      <c r="F2" s="9"/>
      <c r="G2" s="9"/>
      <c r="H2" s="9"/>
      <c r="I2" s="9"/>
      <c r="J2" s="9"/>
      <c r="K2" s="9"/>
    </row>
    <row r="3" spans="1:16">
      <c r="A3" s="1" t="s">
        <v>839</v>
      </c>
      <c r="B3" s="73">
        <f>Application!B29</f>
        <v>0</v>
      </c>
      <c r="C3" s="9"/>
      <c r="D3" s="9"/>
      <c r="E3" s="9"/>
      <c r="F3" s="9"/>
      <c r="G3" s="9"/>
      <c r="H3" s="9"/>
      <c r="I3" s="9"/>
      <c r="J3" s="9"/>
      <c r="K3" s="9"/>
    </row>
    <row r="4" spans="1:16">
      <c r="A4" s="1" t="s">
        <v>219</v>
      </c>
      <c r="B4" s="73">
        <f>Application!B6</f>
        <v>0</v>
      </c>
      <c r="F4" s="123"/>
    </row>
    <row r="5" spans="1:16" s="9" customFormat="1" ht="60" customHeight="1">
      <c r="A5" s="192" t="str">
        <f>Calculations!A171</f>
        <v>Land &amp; Buildings</v>
      </c>
      <c r="B5" s="135" t="str">
        <f>Calculations!B171</f>
        <v>Amount</v>
      </c>
      <c r="C5" s="135" t="str">
        <f>Calculations!C171</f>
        <v>4% LIHTC Basis Calculation</v>
      </c>
      <c r="D5" s="135" t="str">
        <f>Calculations!D171</f>
        <v>9% LIHTC Basis Calculation</v>
      </c>
      <c r="E5" s="135" t="str">
        <f>Calculations!E171</f>
        <v>Amount Last Provided to CHFA*</v>
      </c>
      <c r="F5" s="686" t="s">
        <v>1029</v>
      </c>
      <c r="G5" s="135" t="str">
        <f>Calculations!G171</f>
        <v>Difference
if Applicable</v>
      </c>
      <c r="H5" s="135" t="str">
        <f>Calculations!H171</f>
        <v>10% Carryover Actual Incurred Costs</v>
      </c>
      <c r="I5" s="135" t="str">
        <f>Calculations!I171</f>
        <v>% of Total Expected Project Basis</v>
      </c>
      <c r="P5"/>
    </row>
    <row r="6" spans="1:16">
      <c r="A6" s="164" t="str">
        <f>Calculations!A172</f>
        <v>Land</v>
      </c>
      <c r="B6" s="66">
        <f>Calculations!B172</f>
        <v>0</v>
      </c>
      <c r="C6" s="66">
        <f>Calculations!C172</f>
        <v>0</v>
      </c>
      <c r="D6" s="66">
        <f>Calculations!D172</f>
        <v>0</v>
      </c>
      <c r="E6" s="66">
        <f>Calculations!E172</f>
        <v>0</v>
      </c>
      <c r="F6" s="8">
        <f>Calculations!F172</f>
        <v>0</v>
      </c>
      <c r="G6" s="66">
        <f>Calculations!G172</f>
        <v>0</v>
      </c>
      <c r="H6" s="66" t="str">
        <f>Calculations!H172</f>
        <v/>
      </c>
      <c r="I6" s="197" t="str">
        <f>Calculations!I172</f>
        <v/>
      </c>
    </row>
    <row r="7" spans="1:16">
      <c r="A7" s="164" t="str">
        <f>Calculations!A173</f>
        <v>Existing Structures</v>
      </c>
      <c r="B7" s="66">
        <f>Calculations!B173</f>
        <v>0</v>
      </c>
      <c r="C7" s="66">
        <f>Calculations!C173</f>
        <v>0</v>
      </c>
      <c r="D7" s="66">
        <f>Calculations!D173</f>
        <v>0</v>
      </c>
      <c r="E7" s="66">
        <f>Calculations!E173</f>
        <v>0</v>
      </c>
      <c r="F7" s="8">
        <f>Calculations!F173</f>
        <v>0</v>
      </c>
      <c r="G7" s="66">
        <f>Calculations!G173</f>
        <v>0</v>
      </c>
      <c r="H7" s="66" t="str">
        <f>Calculations!H173</f>
        <v/>
      </c>
      <c r="I7" s="197" t="str">
        <f>Calculations!I173</f>
        <v/>
      </c>
    </row>
    <row r="8" spans="1:16">
      <c r="A8" s="164" t="str">
        <f>Calculations!A174</f>
        <v>Demolition</v>
      </c>
      <c r="B8" s="66">
        <f>Calculations!B174</f>
        <v>0</v>
      </c>
      <c r="C8" s="66">
        <f>Calculations!C174</f>
        <v>0</v>
      </c>
      <c r="D8" s="66">
        <f>Calculations!D174</f>
        <v>0</v>
      </c>
      <c r="E8" s="66">
        <f>Calculations!E174</f>
        <v>0</v>
      </c>
      <c r="F8" s="8">
        <f>Calculations!F174</f>
        <v>0</v>
      </c>
      <c r="G8" s="66">
        <f>Calculations!G174</f>
        <v>0</v>
      </c>
      <c r="H8" s="66" t="str">
        <f>Calculations!H174</f>
        <v/>
      </c>
      <c r="I8" s="197" t="str">
        <f>Calculations!I174</f>
        <v/>
      </c>
    </row>
    <row r="9" spans="1:16">
      <c r="A9" s="164"/>
      <c r="B9" s="199">
        <f>Calculations!B175</f>
        <v>0</v>
      </c>
      <c r="C9" s="199">
        <f>Calculations!C175</f>
        <v>0</v>
      </c>
      <c r="D9" s="199">
        <f>Calculations!D175</f>
        <v>0</v>
      </c>
      <c r="E9" s="199">
        <f>Calculations!E175</f>
        <v>0</v>
      </c>
      <c r="F9" s="199"/>
      <c r="G9" s="199">
        <f>Calculations!G175</f>
        <v>0</v>
      </c>
      <c r="H9" s="199" t="str">
        <f>Calculations!H175</f>
        <v/>
      </c>
      <c r="I9" s="251" t="str">
        <f>Calculations!I175</f>
        <v/>
      </c>
    </row>
    <row r="10" spans="1:16">
      <c r="A10" s="192" t="str">
        <f>Calculations!A176</f>
        <v>Site Work</v>
      </c>
      <c r="B10" s="101"/>
      <c r="C10" s="101"/>
      <c r="D10" s="101"/>
      <c r="E10" s="101"/>
      <c r="F10" s="101"/>
      <c r="G10" s="101"/>
      <c r="H10" s="101"/>
      <c r="I10" s="101"/>
    </row>
    <row r="11" spans="1:16">
      <c r="A11" s="164" t="str">
        <f>Calculations!A177</f>
        <v>On Site Work</v>
      </c>
      <c r="B11" s="66">
        <f>Calculations!B177</f>
        <v>0</v>
      </c>
      <c r="C11" s="66">
        <f>Calculations!C177</f>
        <v>0</v>
      </c>
      <c r="D11" s="66">
        <f>Calculations!D177</f>
        <v>0</v>
      </c>
      <c r="E11" s="66">
        <f>Calculations!E177</f>
        <v>0</v>
      </c>
      <c r="F11" s="8">
        <f>Calculations!F177</f>
        <v>0</v>
      </c>
      <c r="G11" s="66">
        <f>Calculations!G177</f>
        <v>0</v>
      </c>
      <c r="H11" s="66" t="str">
        <f>Calculations!H177</f>
        <v/>
      </c>
      <c r="I11" s="197" t="str">
        <f>Calculations!I177</f>
        <v/>
      </c>
    </row>
    <row r="12" spans="1:16">
      <c r="A12" s="164" t="str">
        <f>Calculations!A178</f>
        <v>Off Site Work</v>
      </c>
      <c r="B12" s="66">
        <f>Calculations!B178</f>
        <v>0</v>
      </c>
      <c r="C12" s="66">
        <f>Calculations!C178</f>
        <v>0</v>
      </c>
      <c r="D12" s="66">
        <f>Calculations!D178</f>
        <v>0</v>
      </c>
      <c r="E12" s="66">
        <f>Calculations!E178</f>
        <v>0</v>
      </c>
      <c r="F12" s="8">
        <f>Calculations!F178</f>
        <v>0</v>
      </c>
      <c r="G12" s="66">
        <f>Calculations!G178</f>
        <v>0</v>
      </c>
      <c r="H12" s="66" t="str">
        <f>Calculations!H178</f>
        <v/>
      </c>
      <c r="I12" s="197" t="str">
        <f>Calculations!I178</f>
        <v/>
      </c>
    </row>
    <row r="13" spans="1:16">
      <c r="A13" s="164"/>
      <c r="B13" s="199">
        <f>Calculations!B179</f>
        <v>0</v>
      </c>
      <c r="C13" s="199">
        <f>Calculations!C179</f>
        <v>0</v>
      </c>
      <c r="D13" s="199">
        <f>Calculations!D179</f>
        <v>0</v>
      </c>
      <c r="E13" s="199">
        <f>Calculations!E179</f>
        <v>0</v>
      </c>
      <c r="F13" s="199"/>
      <c r="G13" s="199">
        <f>Calculations!G179</f>
        <v>0</v>
      </c>
      <c r="H13" s="199" t="str">
        <f>Calculations!H179</f>
        <v/>
      </c>
      <c r="I13" s="251" t="str">
        <f>Calculations!I179</f>
        <v/>
      </c>
    </row>
    <row r="14" spans="1:16">
      <c r="A14" s="101" t="str">
        <f>Calculations!A180</f>
        <v>Rehab. &amp; New Construction</v>
      </c>
      <c r="B14" s="101"/>
      <c r="C14" s="101"/>
      <c r="D14" s="101"/>
      <c r="E14" s="101"/>
      <c r="F14" s="101"/>
      <c r="G14" s="101"/>
      <c r="H14" s="101"/>
      <c r="I14" s="101"/>
    </row>
    <row r="15" spans="1:16">
      <c r="A15" s="164" t="str">
        <f>Calculations!A181</f>
        <v>New Structures</v>
      </c>
      <c r="B15" s="66">
        <f>Calculations!B181</f>
        <v>0</v>
      </c>
      <c r="C15" s="66">
        <f>Calculations!C181</f>
        <v>0</v>
      </c>
      <c r="D15" s="66">
        <f>Calculations!D181</f>
        <v>0</v>
      </c>
      <c r="E15" s="66">
        <f>Calculations!E181</f>
        <v>0</v>
      </c>
      <c r="F15" s="8">
        <f>Calculations!F181</f>
        <v>0</v>
      </c>
      <c r="G15" s="66">
        <f>Calculations!G181</f>
        <v>0</v>
      </c>
      <c r="H15" s="66" t="str">
        <f>Calculations!H181</f>
        <v/>
      </c>
      <c r="I15" s="197" t="str">
        <f>Calculations!I181</f>
        <v/>
      </c>
    </row>
    <row r="16" spans="1:16">
      <c r="A16" s="164" t="str">
        <f>Calculations!A182</f>
        <v>Rehabilitation</v>
      </c>
      <c r="B16" s="66">
        <f>Calculations!B182</f>
        <v>0</v>
      </c>
      <c r="C16" s="66">
        <f>Calculations!C182</f>
        <v>0</v>
      </c>
      <c r="D16" s="66">
        <f>Calculations!D182</f>
        <v>0</v>
      </c>
      <c r="E16" s="66">
        <f>Calculations!E182</f>
        <v>0</v>
      </c>
      <c r="F16" s="8">
        <f>Calculations!F182</f>
        <v>0</v>
      </c>
      <c r="G16" s="66">
        <f>Calculations!G182</f>
        <v>0</v>
      </c>
      <c r="H16" s="66" t="str">
        <f>Calculations!H182</f>
        <v/>
      </c>
      <c r="I16" s="197" t="str">
        <f>Calculations!I182</f>
        <v/>
      </c>
    </row>
    <row r="17" spans="1:9">
      <c r="A17" s="164" t="str">
        <f>Calculations!A183</f>
        <v>Accessory Structures (CSF, storage, garage(s))</v>
      </c>
      <c r="B17" s="66">
        <f>Calculations!B183</f>
        <v>0</v>
      </c>
      <c r="C17" s="66">
        <f>Calculations!C183</f>
        <v>0</v>
      </c>
      <c r="D17" s="66">
        <f>Calculations!D183</f>
        <v>0</v>
      </c>
      <c r="E17" s="66">
        <f>Calculations!E183</f>
        <v>0</v>
      </c>
      <c r="F17" s="8">
        <f>Calculations!F183</f>
        <v>0</v>
      </c>
      <c r="G17" s="66">
        <f>Calculations!G183</f>
        <v>0</v>
      </c>
      <c r="H17" s="66" t="str">
        <f>Calculations!H183</f>
        <v/>
      </c>
      <c r="I17" s="197" t="str">
        <f>Calculations!I183</f>
        <v/>
      </c>
    </row>
    <row r="18" spans="1:9">
      <c r="A18" s="164" t="str">
        <f>Calculations!A184</f>
        <v>Green Systems (Solar, Geothermal, Other, etc.)</v>
      </c>
      <c r="B18" s="66">
        <f>Calculations!B184</f>
        <v>0</v>
      </c>
      <c r="C18" s="66">
        <f>Calculations!C184</f>
        <v>0</v>
      </c>
      <c r="D18" s="66">
        <f>Calculations!D184</f>
        <v>0</v>
      </c>
      <c r="E18" s="66">
        <f>Calculations!E184</f>
        <v>0</v>
      </c>
      <c r="F18" s="8">
        <f>Calculations!F184</f>
        <v>0</v>
      </c>
      <c r="G18" s="66">
        <f>Calculations!G184</f>
        <v>0</v>
      </c>
      <c r="H18" s="66" t="str">
        <f>Calculations!H184</f>
        <v/>
      </c>
      <c r="I18" s="197" t="str">
        <f>Calculations!I184</f>
        <v/>
      </c>
    </row>
    <row r="19" spans="1:9">
      <c r="A19" s="164" t="str">
        <f>Calculations!A185</f>
        <v>General Requirements</v>
      </c>
      <c r="B19" s="66">
        <f>Calculations!B185</f>
        <v>0</v>
      </c>
      <c r="C19" s="66">
        <f>Calculations!C185</f>
        <v>0</v>
      </c>
      <c r="D19" s="66">
        <f>Calculations!D185</f>
        <v>0</v>
      </c>
      <c r="E19" s="66">
        <f>Calculations!E185</f>
        <v>0</v>
      </c>
      <c r="F19" s="8">
        <f>Calculations!F185</f>
        <v>0</v>
      </c>
      <c r="G19" s="66">
        <f>Calculations!G185</f>
        <v>0</v>
      </c>
      <c r="H19" s="66" t="str">
        <f>Calculations!H185</f>
        <v/>
      </c>
      <c r="I19" s="197" t="str">
        <f>Calculations!I185</f>
        <v/>
      </c>
    </row>
    <row r="20" spans="1:9">
      <c r="A20" s="164" t="str">
        <f>Calculations!A186</f>
        <v>Contractor Overhead</v>
      </c>
      <c r="B20" s="66">
        <f>Calculations!B186</f>
        <v>0</v>
      </c>
      <c r="C20" s="66">
        <f>Calculations!C186</f>
        <v>0</v>
      </c>
      <c r="D20" s="66">
        <f>Calculations!D186</f>
        <v>0</v>
      </c>
      <c r="E20" s="66">
        <f>Calculations!E186</f>
        <v>0</v>
      </c>
      <c r="F20" s="8">
        <f>Calculations!F186</f>
        <v>0</v>
      </c>
      <c r="G20" s="66">
        <f>Calculations!G186</f>
        <v>0</v>
      </c>
      <c r="H20" s="66" t="str">
        <f>Calculations!H186</f>
        <v/>
      </c>
      <c r="I20" s="197" t="str">
        <f>Calculations!I186</f>
        <v/>
      </c>
    </row>
    <row r="21" spans="1:9">
      <c r="A21" s="164" t="str">
        <f>Calculations!A187</f>
        <v>Contractor Profit</v>
      </c>
      <c r="B21" s="66">
        <f>Calculations!B187</f>
        <v>0</v>
      </c>
      <c r="C21" s="66">
        <f>Calculations!C187</f>
        <v>0</v>
      </c>
      <c r="D21" s="66">
        <f>Calculations!D187</f>
        <v>0</v>
      </c>
      <c r="E21" s="66">
        <f>Calculations!E187</f>
        <v>0</v>
      </c>
      <c r="F21" s="8">
        <f>Calculations!F187</f>
        <v>0</v>
      </c>
      <c r="G21" s="66">
        <f>Calculations!G187</f>
        <v>0</v>
      </c>
      <c r="H21" s="66" t="str">
        <f>Calculations!H187</f>
        <v/>
      </c>
      <c r="I21" s="197" t="str">
        <f>Calculations!I187</f>
        <v/>
      </c>
    </row>
    <row r="22" spans="1:9">
      <c r="A22" s="164" t="str">
        <f>Calculations!A188</f>
        <v>Contractor Construction Contingency</v>
      </c>
      <c r="B22" s="66">
        <f>Calculations!B188</f>
        <v>0</v>
      </c>
      <c r="C22" s="66">
        <f>Calculations!C188</f>
        <v>0</v>
      </c>
      <c r="D22" s="66">
        <f>Calculations!D188</f>
        <v>0</v>
      </c>
      <c r="E22" s="66">
        <f>Calculations!E188</f>
        <v>0</v>
      </c>
      <c r="F22" s="8">
        <f>Calculations!F188</f>
        <v>0</v>
      </c>
      <c r="G22" s="66">
        <f>Calculations!G188</f>
        <v>0</v>
      </c>
      <c r="H22" s="66" t="str">
        <f>Calculations!H188</f>
        <v/>
      </c>
      <c r="I22" s="197" t="str">
        <f>Calculations!I188</f>
        <v/>
      </c>
    </row>
    <row r="23" spans="1:9">
      <c r="A23" s="164" t="str">
        <f>Calculations!A189</f>
        <v>Owner Hard Cost Contingency</v>
      </c>
      <c r="B23" s="66">
        <f>Calculations!B189</f>
        <v>0</v>
      </c>
      <c r="C23" s="66">
        <f>Calculations!C189</f>
        <v>0</v>
      </c>
      <c r="D23" s="66">
        <f>Calculations!D189</f>
        <v>0</v>
      </c>
      <c r="E23" s="66">
        <f>Calculations!E189</f>
        <v>0</v>
      </c>
      <c r="F23" s="8">
        <f>Calculations!F189</f>
        <v>0</v>
      </c>
      <c r="G23" s="66">
        <f>Calculations!G189</f>
        <v>0</v>
      </c>
      <c r="H23" s="66" t="str">
        <f>Calculations!H189</f>
        <v/>
      </c>
      <c r="I23" s="197" t="str">
        <f>Calculations!I189</f>
        <v/>
      </c>
    </row>
    <row r="24" spans="1:9">
      <c r="A24" s="164" t="str">
        <f>Calculations!A190</f>
        <v>Furniture, Fixtures, &amp; Equipment</v>
      </c>
      <c r="B24" s="66">
        <f>Calculations!B190</f>
        <v>0</v>
      </c>
      <c r="C24" s="66">
        <f>Calculations!C190</f>
        <v>0</v>
      </c>
      <c r="D24" s="66">
        <f>Calculations!D190</f>
        <v>0</v>
      </c>
      <c r="E24" s="66">
        <f>Calculations!E190</f>
        <v>0</v>
      </c>
      <c r="F24" s="8">
        <f>Calculations!F190</f>
        <v>0</v>
      </c>
      <c r="G24" s="66">
        <f>Calculations!G190</f>
        <v>0</v>
      </c>
      <c r="H24" s="66" t="str">
        <f>Calculations!H190</f>
        <v/>
      </c>
      <c r="I24" s="197" t="str">
        <f>Calculations!I190</f>
        <v/>
      </c>
    </row>
    <row r="25" spans="1:9">
      <c r="A25" s="164" t="str">
        <f>Calculations!A191</f>
        <v>Building Permits</v>
      </c>
      <c r="B25" s="66">
        <f>Calculations!B191</f>
        <v>0</v>
      </c>
      <c r="C25" s="66">
        <f>Calculations!C191</f>
        <v>0</v>
      </c>
      <c r="D25" s="66">
        <f>Calculations!D191</f>
        <v>0</v>
      </c>
      <c r="E25" s="66">
        <f>Calculations!E191</f>
        <v>0</v>
      </c>
      <c r="F25" s="8">
        <f>Calculations!F191</f>
        <v>0</v>
      </c>
      <c r="G25" s="66">
        <f>Calculations!G191</f>
        <v>0</v>
      </c>
      <c r="H25" s="66" t="str">
        <f>Calculations!H191</f>
        <v/>
      </c>
      <c r="I25" s="197" t="str">
        <f>Calculations!I191</f>
        <v/>
      </c>
    </row>
    <row r="26" spans="1:9">
      <c r="A26" s="164" t="str">
        <f>Calculations!A192</f>
        <v>Other (Specify)</v>
      </c>
      <c r="B26" s="66">
        <f>Calculations!B192</f>
        <v>0</v>
      </c>
      <c r="C26" s="66">
        <f>Calculations!C192</f>
        <v>0</v>
      </c>
      <c r="D26" s="66">
        <f>Calculations!D192</f>
        <v>0</v>
      </c>
      <c r="E26" s="66">
        <f>Calculations!E192</f>
        <v>0</v>
      </c>
      <c r="F26" s="8">
        <f>Calculations!F192</f>
        <v>0</v>
      </c>
      <c r="G26" s="66">
        <f>Calculations!G192</f>
        <v>0</v>
      </c>
      <c r="H26" s="66" t="str">
        <f>Calculations!H192</f>
        <v/>
      </c>
      <c r="I26" s="197" t="str">
        <f>Calculations!I192</f>
        <v/>
      </c>
    </row>
    <row r="27" spans="1:9">
      <c r="A27" s="164" t="str">
        <f>Calculations!A193</f>
        <v>Other (Specify)</v>
      </c>
      <c r="B27" s="66">
        <f>Calculations!B193</f>
        <v>0</v>
      </c>
      <c r="C27" s="66">
        <f>Calculations!C193</f>
        <v>0</v>
      </c>
      <c r="D27" s="66">
        <f>Calculations!D193</f>
        <v>0</v>
      </c>
      <c r="E27" s="66">
        <f>Calculations!E193</f>
        <v>0</v>
      </c>
      <c r="F27" s="8">
        <f>Calculations!F193</f>
        <v>0</v>
      </c>
      <c r="G27" s="66">
        <f>Calculations!G193</f>
        <v>0</v>
      </c>
      <c r="H27" s="66" t="str">
        <f>Calculations!H193</f>
        <v/>
      </c>
      <c r="I27" s="197" t="str">
        <f>Calculations!I193</f>
        <v/>
      </c>
    </row>
    <row r="28" spans="1:9">
      <c r="A28" s="164" t="str">
        <f>Calculations!A194</f>
        <v>Other (Specify)</v>
      </c>
      <c r="B28" s="66">
        <f>Calculations!B194</f>
        <v>0</v>
      </c>
      <c r="C28" s="66">
        <f>Calculations!C194</f>
        <v>0</v>
      </c>
      <c r="D28" s="66">
        <f>Calculations!D194</f>
        <v>0</v>
      </c>
      <c r="E28" s="66">
        <f>Calculations!E194</f>
        <v>0</v>
      </c>
      <c r="F28" s="8">
        <f>Calculations!F194</f>
        <v>0</v>
      </c>
      <c r="G28" s="66">
        <f>Calculations!G194</f>
        <v>0</v>
      </c>
      <c r="H28" s="66" t="str">
        <f>Calculations!H194</f>
        <v/>
      </c>
      <c r="I28" s="197" t="str">
        <f>Calculations!I194</f>
        <v/>
      </c>
    </row>
    <row r="29" spans="1:9">
      <c r="A29" s="164"/>
      <c r="B29" s="199">
        <f>Calculations!B195</f>
        <v>0</v>
      </c>
      <c r="C29" s="199">
        <f>Calculations!C195</f>
        <v>0</v>
      </c>
      <c r="D29" s="199">
        <f>Calculations!D195</f>
        <v>0</v>
      </c>
      <c r="E29" s="199">
        <f>Calculations!E195</f>
        <v>0</v>
      </c>
      <c r="F29" s="199"/>
      <c r="G29" s="199">
        <f>Calculations!G195</f>
        <v>0</v>
      </c>
      <c r="H29" s="199" t="str">
        <f>Calculations!H195</f>
        <v/>
      </c>
      <c r="I29" s="251" t="str">
        <f>Calculations!I195</f>
        <v/>
      </c>
    </row>
    <row r="30" spans="1:9">
      <c r="A30" s="101" t="str">
        <f>Calculations!A196</f>
        <v>Professional Fees</v>
      </c>
      <c r="B30" s="101"/>
      <c r="C30" s="101"/>
      <c r="D30" s="101"/>
      <c r="E30" s="101"/>
      <c r="F30" s="101"/>
      <c r="G30" s="101"/>
      <c r="H30" s="101"/>
      <c r="I30" s="101"/>
    </row>
    <row r="31" spans="1:9">
      <c r="A31" s="164" t="str">
        <f>Calculations!A197</f>
        <v>Architect, Design</v>
      </c>
      <c r="B31" s="66">
        <f>Calculations!B197</f>
        <v>0</v>
      </c>
      <c r="C31" s="66">
        <f>Calculations!C197</f>
        <v>0</v>
      </c>
      <c r="D31" s="66">
        <f>Calculations!D197</f>
        <v>0</v>
      </c>
      <c r="E31" s="66">
        <f>Calculations!E197</f>
        <v>0</v>
      </c>
      <c r="F31" s="8">
        <f>Calculations!F197</f>
        <v>0</v>
      </c>
      <c r="G31" s="66">
        <f>Calculations!G197</f>
        <v>0</v>
      </c>
      <c r="H31" s="66" t="str">
        <f>Calculations!H197</f>
        <v/>
      </c>
      <c r="I31" s="197" t="str">
        <f>Calculations!I197</f>
        <v/>
      </c>
    </row>
    <row r="32" spans="1:9">
      <c r="A32" s="164" t="str">
        <f>Calculations!A198</f>
        <v>Architect Construction Management/Admin</v>
      </c>
      <c r="B32" s="66">
        <f>Calculations!B198</f>
        <v>0</v>
      </c>
      <c r="C32" s="66">
        <f>Calculations!C198</f>
        <v>0</v>
      </c>
      <c r="D32" s="66">
        <f>Calculations!D198</f>
        <v>0</v>
      </c>
      <c r="E32" s="66">
        <f>Calculations!E198</f>
        <v>0</v>
      </c>
      <c r="F32" s="8">
        <f>Calculations!F198</f>
        <v>0</v>
      </c>
      <c r="G32" s="66">
        <f>Calculations!G198</f>
        <v>0</v>
      </c>
      <c r="H32" s="66" t="str">
        <f>Calculations!H198</f>
        <v/>
      </c>
      <c r="I32" s="197" t="str">
        <f>Calculations!I198</f>
        <v/>
      </c>
    </row>
    <row r="33" spans="1:9">
      <c r="A33" s="164" t="str">
        <f>Calculations!A199</f>
        <v>Landscape Design</v>
      </c>
      <c r="B33" s="66">
        <f>Calculations!B199</f>
        <v>0</v>
      </c>
      <c r="C33" s="66">
        <f>Calculations!C199</f>
        <v>0</v>
      </c>
      <c r="D33" s="66">
        <f>Calculations!D199</f>
        <v>0</v>
      </c>
      <c r="E33" s="66">
        <f>Calculations!E199</f>
        <v>0</v>
      </c>
      <c r="F33" s="8">
        <f>Calculations!F199</f>
        <v>0</v>
      </c>
      <c r="G33" s="66">
        <f>Calculations!G199</f>
        <v>0</v>
      </c>
      <c r="H33" s="66" t="str">
        <f>Calculations!H199</f>
        <v/>
      </c>
      <c r="I33" s="197" t="str">
        <f>Calculations!I199</f>
        <v/>
      </c>
    </row>
    <row r="34" spans="1:9">
      <c r="A34" s="164" t="str">
        <f>Calculations!A200</f>
        <v>Structural Engineering</v>
      </c>
      <c r="B34" s="66">
        <f>Calculations!B200</f>
        <v>0</v>
      </c>
      <c r="C34" s="66">
        <f>Calculations!C200</f>
        <v>0</v>
      </c>
      <c r="D34" s="66">
        <f>Calculations!D200</f>
        <v>0</v>
      </c>
      <c r="E34" s="66">
        <f>Calculations!E200</f>
        <v>0</v>
      </c>
      <c r="F34" s="8">
        <f>Calculations!F200</f>
        <v>0</v>
      </c>
      <c r="G34" s="66">
        <f>Calculations!G200</f>
        <v>0</v>
      </c>
      <c r="H34" s="66" t="str">
        <f>Calculations!H200</f>
        <v/>
      </c>
      <c r="I34" s="197" t="str">
        <f>Calculations!I200</f>
        <v/>
      </c>
    </row>
    <row r="35" spans="1:9">
      <c r="A35" s="164" t="str">
        <f>Calculations!A201</f>
        <v>Civil Engineering</v>
      </c>
      <c r="B35" s="66">
        <f>Calculations!B201</f>
        <v>0</v>
      </c>
      <c r="C35" s="66">
        <f>Calculations!C201</f>
        <v>0</v>
      </c>
      <c r="D35" s="66">
        <f>Calculations!D201</f>
        <v>0</v>
      </c>
      <c r="E35" s="66">
        <f>Calculations!E201</f>
        <v>0</v>
      </c>
      <c r="F35" s="8">
        <f>Calculations!F201</f>
        <v>0</v>
      </c>
      <c r="G35" s="66">
        <f>Calculations!G201</f>
        <v>0</v>
      </c>
      <c r="H35" s="66" t="str">
        <f>Calculations!H201</f>
        <v/>
      </c>
      <c r="I35" s="197" t="str">
        <f>Calculations!I201</f>
        <v/>
      </c>
    </row>
    <row r="36" spans="1:9">
      <c r="A36" s="164" t="str">
        <f>Calculations!A202</f>
        <v>Other Engineering</v>
      </c>
      <c r="B36" s="66">
        <f>Calculations!B202</f>
        <v>0</v>
      </c>
      <c r="C36" s="66">
        <f>Calculations!C202</f>
        <v>0</v>
      </c>
      <c r="D36" s="66">
        <f>Calculations!D202</f>
        <v>0</v>
      </c>
      <c r="E36" s="66">
        <f>Calculations!E202</f>
        <v>0</v>
      </c>
      <c r="F36" s="8">
        <f>Calculations!F202</f>
        <v>0</v>
      </c>
      <c r="G36" s="66">
        <f>Calculations!G202</f>
        <v>0</v>
      </c>
      <c r="H36" s="66" t="str">
        <f>Calculations!H202</f>
        <v/>
      </c>
      <c r="I36" s="197" t="str">
        <f>Calculations!I202</f>
        <v/>
      </c>
    </row>
    <row r="37" spans="1:9">
      <c r="A37" s="164" t="str">
        <f>Calculations!A203</f>
        <v>Surveyor</v>
      </c>
      <c r="B37" s="66">
        <f>Calculations!B203</f>
        <v>0</v>
      </c>
      <c r="C37" s="66">
        <f>Calculations!C203</f>
        <v>0</v>
      </c>
      <c r="D37" s="66">
        <f>Calculations!D203</f>
        <v>0</v>
      </c>
      <c r="E37" s="66">
        <f>Calculations!E203</f>
        <v>0</v>
      </c>
      <c r="F37" s="8">
        <f>Calculations!F203</f>
        <v>0</v>
      </c>
      <c r="G37" s="66">
        <f>Calculations!G203</f>
        <v>0</v>
      </c>
      <c r="H37" s="66" t="str">
        <f>Calculations!H203</f>
        <v/>
      </c>
      <c r="I37" s="197" t="str">
        <f>Calculations!I203</f>
        <v/>
      </c>
    </row>
    <row r="38" spans="1:9">
      <c r="A38" s="164" t="str">
        <f>Calculations!A204</f>
        <v>Attorney, Real Estate</v>
      </c>
      <c r="B38" s="66">
        <f>Calculations!B204</f>
        <v>0</v>
      </c>
      <c r="C38" s="66">
        <f>Calculations!C204</f>
        <v>0</v>
      </c>
      <c r="D38" s="66">
        <f>Calculations!D204</f>
        <v>0</v>
      </c>
      <c r="E38" s="66">
        <f>Calculations!E204</f>
        <v>0</v>
      </c>
      <c r="F38" s="8">
        <f>Calculations!F204</f>
        <v>0</v>
      </c>
      <c r="G38" s="66">
        <f>Calculations!G204</f>
        <v>0</v>
      </c>
      <c r="H38" s="66" t="str">
        <f>Calculations!H204</f>
        <v/>
      </c>
      <c r="I38" s="197" t="str">
        <f>Calculations!I204</f>
        <v/>
      </c>
    </row>
    <row r="39" spans="1:9">
      <c r="A39" s="164" t="str">
        <f>Calculations!A205</f>
        <v>Green Consultant</v>
      </c>
      <c r="B39" s="66">
        <f>Calculations!B205</f>
        <v>0</v>
      </c>
      <c r="C39" s="66">
        <f>Calculations!C205</f>
        <v>0</v>
      </c>
      <c r="D39" s="66">
        <f>Calculations!D205</f>
        <v>0</v>
      </c>
      <c r="E39" s="66">
        <f>Calculations!E205</f>
        <v>0</v>
      </c>
      <c r="F39" s="8">
        <f>Calculations!F205</f>
        <v>0</v>
      </c>
      <c r="G39" s="66">
        <f>Calculations!G205</f>
        <v>0</v>
      </c>
      <c r="H39" s="66" t="str">
        <f>Calculations!H205</f>
        <v/>
      </c>
      <c r="I39" s="197" t="str">
        <f>Calculations!I205</f>
        <v/>
      </c>
    </row>
    <row r="40" spans="1:9">
      <c r="A40" s="164" t="str">
        <f>Calculations!A206</f>
        <v>Green Charrette</v>
      </c>
      <c r="B40" s="66">
        <f>Calculations!B206</f>
        <v>0</v>
      </c>
      <c r="C40" s="66">
        <f>Calculations!C206</f>
        <v>0</v>
      </c>
      <c r="D40" s="66">
        <f>Calculations!D206</f>
        <v>0</v>
      </c>
      <c r="E40" s="66">
        <f>Calculations!E206</f>
        <v>0</v>
      </c>
      <c r="F40" s="8">
        <f>Calculations!F206</f>
        <v>0</v>
      </c>
      <c r="G40" s="66">
        <f>Calculations!G206</f>
        <v>0</v>
      </c>
      <c r="H40" s="66" t="str">
        <f>Calculations!H206</f>
        <v/>
      </c>
      <c r="I40" s="197" t="str">
        <f>Calculations!I206</f>
        <v/>
      </c>
    </row>
    <row r="41" spans="1:9">
      <c r="A41" s="164" t="str">
        <f>Calculations!A207</f>
        <v>Construction Accounting</v>
      </c>
      <c r="B41" s="66">
        <f>Calculations!B207</f>
        <v>0</v>
      </c>
      <c r="C41" s="66">
        <f>Calculations!C207</f>
        <v>0</v>
      </c>
      <c r="D41" s="66">
        <f>Calculations!D207</f>
        <v>0</v>
      </c>
      <c r="E41" s="66">
        <f>Calculations!E207</f>
        <v>0</v>
      </c>
      <c r="F41" s="8">
        <f>Calculations!F207</f>
        <v>0</v>
      </c>
      <c r="G41" s="66">
        <f>Calculations!G207</f>
        <v>0</v>
      </c>
      <c r="H41" s="66" t="str">
        <f>Calculations!H207</f>
        <v/>
      </c>
      <c r="I41" s="197" t="str">
        <f>Calculations!I207</f>
        <v/>
      </c>
    </row>
    <row r="42" spans="1:9">
      <c r="A42" s="164" t="str">
        <f>Calculations!A208</f>
        <v>Other (Specify)</v>
      </c>
      <c r="B42" s="66">
        <f>Calculations!B208</f>
        <v>0</v>
      </c>
      <c r="C42" s="66">
        <f>Calculations!C208</f>
        <v>0</v>
      </c>
      <c r="D42" s="66">
        <f>Calculations!D208</f>
        <v>0</v>
      </c>
      <c r="E42" s="66">
        <f>Calculations!E208</f>
        <v>0</v>
      </c>
      <c r="F42" s="8">
        <f>Calculations!F208</f>
        <v>0</v>
      </c>
      <c r="G42" s="66">
        <f>Calculations!G208</f>
        <v>0</v>
      </c>
      <c r="H42" s="66" t="str">
        <f>Calculations!H208</f>
        <v/>
      </c>
      <c r="I42" s="197" t="str">
        <f>Calculations!I208</f>
        <v/>
      </c>
    </row>
    <row r="43" spans="1:9">
      <c r="A43" s="164" t="str">
        <f>Calculations!A209</f>
        <v>Other (Specify)</v>
      </c>
      <c r="B43" s="66">
        <f>Calculations!B209</f>
        <v>0</v>
      </c>
      <c r="C43" s="66">
        <f>Calculations!C209</f>
        <v>0</v>
      </c>
      <c r="D43" s="66">
        <f>Calculations!D209</f>
        <v>0</v>
      </c>
      <c r="E43" s="66">
        <f>Calculations!E209</f>
        <v>0</v>
      </c>
      <c r="F43" s="8">
        <f>Calculations!F209</f>
        <v>0</v>
      </c>
      <c r="G43" s="66">
        <f>Calculations!G209</f>
        <v>0</v>
      </c>
      <c r="H43" s="66" t="str">
        <f>Calculations!H209</f>
        <v/>
      </c>
      <c r="I43" s="197" t="str">
        <f>Calculations!I209</f>
        <v/>
      </c>
    </row>
    <row r="44" spans="1:9">
      <c r="A44" s="164" t="str">
        <f>Calculations!A210</f>
        <v>Other (Specify)</v>
      </c>
      <c r="B44" s="66">
        <f>Calculations!B210</f>
        <v>0</v>
      </c>
      <c r="C44" s="66">
        <f>Calculations!C210</f>
        <v>0</v>
      </c>
      <c r="D44" s="66">
        <f>Calculations!D210</f>
        <v>0</v>
      </c>
      <c r="E44" s="66">
        <f>Calculations!E210</f>
        <v>0</v>
      </c>
      <c r="F44" s="8">
        <f>Calculations!F210</f>
        <v>0</v>
      </c>
      <c r="G44" s="66">
        <f>Calculations!G210</f>
        <v>0</v>
      </c>
      <c r="H44" s="66" t="str">
        <f>Calculations!H210</f>
        <v/>
      </c>
      <c r="I44" s="197" t="str">
        <f>Calculations!I210</f>
        <v/>
      </c>
    </row>
    <row r="45" spans="1:9">
      <c r="A45" s="164"/>
      <c r="B45" s="199">
        <f>Calculations!B211</f>
        <v>0</v>
      </c>
      <c r="C45" s="199">
        <f>Calculations!C211</f>
        <v>0</v>
      </c>
      <c r="D45" s="199">
        <f>Calculations!D211</f>
        <v>0</v>
      </c>
      <c r="E45" s="199">
        <f>Calculations!E211</f>
        <v>0</v>
      </c>
      <c r="F45" s="199"/>
      <c r="G45" s="199">
        <f>Calculations!G211</f>
        <v>0</v>
      </c>
      <c r="H45" s="199" t="str">
        <f>Calculations!H211</f>
        <v/>
      </c>
      <c r="I45" s="251" t="str">
        <f>Calculations!I211</f>
        <v/>
      </c>
    </row>
    <row r="46" spans="1:9">
      <c r="A46" s="101" t="str">
        <f>Calculations!A212</f>
        <v>Construction Interim Costs</v>
      </c>
      <c r="B46" s="101"/>
      <c r="C46" s="101"/>
      <c r="D46" s="101"/>
      <c r="E46" s="101"/>
      <c r="F46" s="101"/>
      <c r="G46" s="101"/>
      <c r="H46" s="101"/>
      <c r="I46" s="101"/>
    </row>
    <row r="47" spans="1:9">
      <c r="A47" s="164" t="str">
        <f>Calculations!A213</f>
        <v>Hazard &amp; Liability Insurance</v>
      </c>
      <c r="B47" s="66">
        <f>Calculations!B213</f>
        <v>0</v>
      </c>
      <c r="C47" s="66">
        <f>Calculations!C213</f>
        <v>0</v>
      </c>
      <c r="D47" s="66">
        <f>Calculations!D213</f>
        <v>0</v>
      </c>
      <c r="E47" s="66">
        <f>Calculations!E213</f>
        <v>0</v>
      </c>
      <c r="F47" s="8">
        <f>Calculations!F213</f>
        <v>0</v>
      </c>
      <c r="G47" s="66">
        <f>Calculations!G213</f>
        <v>0</v>
      </c>
      <c r="H47" s="66" t="str">
        <f>Calculations!H213</f>
        <v/>
      </c>
      <c r="I47" s="197" t="str">
        <f>Calculations!I213</f>
        <v/>
      </c>
    </row>
    <row r="48" spans="1:9">
      <c r="A48" s="164" t="str">
        <f>Calculations!A214</f>
        <v>Builder's Risk Insurance</v>
      </c>
      <c r="B48" s="66">
        <f>Calculations!B214</f>
        <v>0</v>
      </c>
      <c r="C48" s="66">
        <f>Calculations!C214</f>
        <v>0</v>
      </c>
      <c r="D48" s="66">
        <f>Calculations!D214</f>
        <v>0</v>
      </c>
      <c r="E48" s="66">
        <f>Calculations!E214</f>
        <v>0</v>
      </c>
      <c r="F48" s="8">
        <f>Calculations!F214</f>
        <v>0</v>
      </c>
      <c r="G48" s="66">
        <f>Calculations!G214</f>
        <v>0</v>
      </c>
      <c r="H48" s="66" t="str">
        <f>Calculations!H214</f>
        <v/>
      </c>
      <c r="I48" s="197" t="str">
        <f>Calculations!I214</f>
        <v/>
      </c>
    </row>
    <row r="49" spans="1:9">
      <c r="A49" s="164" t="str">
        <f>Calculations!A215</f>
        <v>Perform. &amp; Pymt Bonds</v>
      </c>
      <c r="B49" s="66">
        <f>Calculations!B215</f>
        <v>0</v>
      </c>
      <c r="C49" s="66">
        <f>Calculations!C215</f>
        <v>0</v>
      </c>
      <c r="D49" s="66">
        <f>Calculations!D215</f>
        <v>0</v>
      </c>
      <c r="E49" s="66">
        <f>Calculations!E215</f>
        <v>0</v>
      </c>
      <c r="F49" s="8">
        <f>Calculations!F215</f>
        <v>0</v>
      </c>
      <c r="G49" s="66">
        <f>Calculations!G215</f>
        <v>0</v>
      </c>
      <c r="H49" s="66" t="str">
        <f>Calculations!H215</f>
        <v/>
      </c>
      <c r="I49" s="197" t="str">
        <f>Calculations!I215</f>
        <v/>
      </c>
    </row>
    <row r="50" spans="1:9">
      <c r="A50" s="164" t="str">
        <f>Calculations!A216</f>
        <v>Construction Interest</v>
      </c>
      <c r="B50" s="66">
        <f>Calculations!B216</f>
        <v>0</v>
      </c>
      <c r="C50" s="66">
        <f>Calculations!C216</f>
        <v>0</v>
      </c>
      <c r="D50" s="66">
        <f>Calculations!D216</f>
        <v>0</v>
      </c>
      <c r="E50" s="66">
        <f>Calculations!E216</f>
        <v>0</v>
      </c>
      <c r="F50" s="8">
        <f>Calculations!F216</f>
        <v>0</v>
      </c>
      <c r="G50" s="66">
        <f>Calculations!G216</f>
        <v>0</v>
      </c>
      <c r="H50" s="66" t="str">
        <f>Calculations!H216</f>
        <v/>
      </c>
      <c r="I50" s="197" t="str">
        <f>Calculations!I216</f>
        <v/>
      </c>
    </row>
    <row r="51" spans="1:9">
      <c r="A51" s="164" t="str">
        <f>Calculations!A217</f>
        <v>Constr. Origination Fees</v>
      </c>
      <c r="B51" s="66">
        <f>Calculations!B217</f>
        <v>0</v>
      </c>
      <c r="C51" s="66">
        <f>Calculations!C217</f>
        <v>0</v>
      </c>
      <c r="D51" s="66">
        <f>Calculations!D217</f>
        <v>0</v>
      </c>
      <c r="E51" s="66">
        <f>Calculations!E217</f>
        <v>0</v>
      </c>
      <c r="F51" s="8">
        <f>Calculations!F217</f>
        <v>0</v>
      </c>
      <c r="G51" s="66">
        <f>Calculations!G217</f>
        <v>0</v>
      </c>
      <c r="H51" s="66" t="str">
        <f>Calculations!H217</f>
        <v/>
      </c>
      <c r="I51" s="197" t="str">
        <f>Calculations!I217</f>
        <v/>
      </c>
    </row>
    <row r="52" spans="1:9">
      <c r="A52" s="164" t="str">
        <f>Calculations!A218</f>
        <v>Tap Fees (Water/Sewer)</v>
      </c>
      <c r="B52" s="66">
        <f>Calculations!B218</f>
        <v>0</v>
      </c>
      <c r="C52" s="66">
        <f>Calculations!C218</f>
        <v>0</v>
      </c>
      <c r="D52" s="66">
        <f>Calculations!D218</f>
        <v>0</v>
      </c>
      <c r="E52" s="66">
        <f>Calculations!E218</f>
        <v>0</v>
      </c>
      <c r="F52" s="8">
        <f>Calculations!F218</f>
        <v>0</v>
      </c>
      <c r="G52" s="66">
        <f>Calculations!G218</f>
        <v>0</v>
      </c>
      <c r="H52" s="66" t="str">
        <f>Calculations!H218</f>
        <v/>
      </c>
      <c r="I52" s="197" t="str">
        <f>Calculations!I218</f>
        <v/>
      </c>
    </row>
    <row r="53" spans="1:9">
      <c r="A53" s="164" t="str">
        <f>Calculations!A219</f>
        <v>Impact fees</v>
      </c>
      <c r="B53" s="66">
        <f>Calculations!B219</f>
        <v>0</v>
      </c>
      <c r="C53" s="66">
        <f>Calculations!C219</f>
        <v>0</v>
      </c>
      <c r="D53" s="66">
        <f>Calculations!D219</f>
        <v>0</v>
      </c>
      <c r="E53" s="66">
        <f>Calculations!E219</f>
        <v>0</v>
      </c>
      <c r="F53" s="8">
        <f>Calculations!F219</f>
        <v>0</v>
      </c>
      <c r="G53" s="66">
        <f>Calculations!G219</f>
        <v>0</v>
      </c>
      <c r="H53" s="66" t="str">
        <f>Calculations!H219</f>
        <v/>
      </c>
      <c r="I53" s="197" t="str">
        <f>Calculations!I219</f>
        <v/>
      </c>
    </row>
    <row r="54" spans="1:9">
      <c r="A54" s="164" t="str">
        <f>Calculations!A220</f>
        <v>Materials Testing</v>
      </c>
      <c r="B54" s="66">
        <f>Calculations!B220</f>
        <v>0</v>
      </c>
      <c r="C54" s="66">
        <f>Calculations!C220</f>
        <v>0</v>
      </c>
      <c r="D54" s="66">
        <f>Calculations!D220</f>
        <v>0</v>
      </c>
      <c r="E54" s="66">
        <f>Calculations!E220</f>
        <v>0</v>
      </c>
      <c r="F54" s="8">
        <f>Calculations!F220</f>
        <v>0</v>
      </c>
      <c r="G54" s="66">
        <f>Calculations!G220</f>
        <v>0</v>
      </c>
      <c r="H54" s="66" t="str">
        <f>Calculations!H220</f>
        <v/>
      </c>
      <c r="I54" s="197" t="str">
        <f>Calculations!I220</f>
        <v/>
      </c>
    </row>
    <row r="55" spans="1:9">
      <c r="A55" s="164" t="str">
        <f>Calculations!A221</f>
        <v>Power and Telecom Provider fees</v>
      </c>
      <c r="B55" s="66">
        <f>Calculations!B221</f>
        <v>0</v>
      </c>
      <c r="C55" s="66">
        <f>Calculations!C221</f>
        <v>0</v>
      </c>
      <c r="D55" s="66">
        <f>Calculations!D221</f>
        <v>0</v>
      </c>
      <c r="E55" s="66">
        <f>Calculations!E221</f>
        <v>0</v>
      </c>
      <c r="F55" s="8">
        <f>Calculations!F221</f>
        <v>0</v>
      </c>
      <c r="G55" s="66">
        <f>Calculations!G221</f>
        <v>0</v>
      </c>
      <c r="H55" s="66" t="str">
        <f>Calculations!H221</f>
        <v/>
      </c>
      <c r="I55" s="197" t="str">
        <f>Calculations!I221</f>
        <v/>
      </c>
    </row>
    <row r="56" spans="1:9">
      <c r="A56" s="164" t="str">
        <f>Calculations!A222</f>
        <v>3rd Party/Bank Inspections/Admin</v>
      </c>
      <c r="B56" s="66">
        <f>Calculations!B222</f>
        <v>0</v>
      </c>
      <c r="C56" s="66">
        <f>Calculations!C222</f>
        <v>0</v>
      </c>
      <c r="D56" s="66">
        <f>Calculations!D222</f>
        <v>0</v>
      </c>
      <c r="E56" s="66">
        <f>Calculations!E222</f>
        <v>0</v>
      </c>
      <c r="F56" s="8">
        <f>Calculations!F222</f>
        <v>0</v>
      </c>
      <c r="G56" s="66">
        <f>Calculations!G222</f>
        <v>0</v>
      </c>
      <c r="H56" s="66" t="str">
        <f>Calculations!H222</f>
        <v/>
      </c>
      <c r="I56" s="197" t="str">
        <f>Calculations!I222</f>
        <v/>
      </c>
    </row>
    <row r="57" spans="1:9">
      <c r="A57" s="164" t="str">
        <f>Calculations!A223</f>
        <v>Title &amp; Recording</v>
      </c>
      <c r="B57" s="66">
        <f>Calculations!B223</f>
        <v>0</v>
      </c>
      <c r="C57" s="66">
        <f>Calculations!C223</f>
        <v>0</v>
      </c>
      <c r="D57" s="66">
        <f>Calculations!D223</f>
        <v>0</v>
      </c>
      <c r="E57" s="66">
        <f>Calculations!E223</f>
        <v>0</v>
      </c>
      <c r="F57" s="8">
        <f>Calculations!F223</f>
        <v>0</v>
      </c>
      <c r="G57" s="66">
        <f>Calculations!G223</f>
        <v>0</v>
      </c>
      <c r="H57" s="66" t="str">
        <f>Calculations!H223</f>
        <v/>
      </c>
      <c r="I57" s="197" t="str">
        <f>Calculations!I223</f>
        <v/>
      </c>
    </row>
    <row r="58" spans="1:9">
      <c r="A58" s="164" t="str">
        <f>Calculations!A224</f>
        <v>Construction Lender Legal Fees</v>
      </c>
      <c r="B58" s="66">
        <f>Calculations!B224</f>
        <v>0</v>
      </c>
      <c r="C58" s="66">
        <f>Calculations!C224</f>
        <v>0</v>
      </c>
      <c r="D58" s="66">
        <f>Calculations!D224</f>
        <v>0</v>
      </c>
      <c r="E58" s="66">
        <f>Calculations!E224</f>
        <v>0</v>
      </c>
      <c r="F58" s="8">
        <f>Calculations!F224</f>
        <v>0</v>
      </c>
      <c r="G58" s="66">
        <f>Calculations!G224</f>
        <v>0</v>
      </c>
      <c r="H58" s="66" t="str">
        <f>Calculations!H224</f>
        <v/>
      </c>
      <c r="I58" s="197" t="str">
        <f>Calculations!I224</f>
        <v/>
      </c>
    </row>
    <row r="59" spans="1:9">
      <c r="A59" s="164" t="str">
        <f>Calculations!A225</f>
        <v>Prop. Taxes During Construction</v>
      </c>
      <c r="B59" s="66">
        <f>Calculations!B225</f>
        <v>0</v>
      </c>
      <c r="C59" s="66">
        <f>Calculations!C225</f>
        <v>0</v>
      </c>
      <c r="D59" s="66">
        <f>Calculations!D225</f>
        <v>0</v>
      </c>
      <c r="E59" s="66">
        <f>Calculations!E225</f>
        <v>0</v>
      </c>
      <c r="F59" s="8">
        <f>Calculations!F225</f>
        <v>0</v>
      </c>
      <c r="G59" s="66">
        <f>Calculations!G225</f>
        <v>0</v>
      </c>
      <c r="H59" s="66" t="str">
        <f>Calculations!H225</f>
        <v/>
      </c>
      <c r="I59" s="197" t="str">
        <f>Calculations!I225</f>
        <v/>
      </c>
    </row>
    <row r="60" spans="1:9">
      <c r="A60" s="164" t="str">
        <f>Calculations!A226</f>
        <v>Bridge Loan</v>
      </c>
      <c r="B60" s="66">
        <f>Calculations!B226</f>
        <v>0</v>
      </c>
      <c r="C60" s="66">
        <f>Calculations!C226</f>
        <v>0</v>
      </c>
      <c r="D60" s="66">
        <f>Calculations!D226</f>
        <v>0</v>
      </c>
      <c r="E60" s="66">
        <f>Calculations!E226</f>
        <v>0</v>
      </c>
      <c r="F60" s="8">
        <f>Calculations!F226</f>
        <v>0</v>
      </c>
      <c r="G60" s="66">
        <f>Calculations!G226</f>
        <v>0</v>
      </c>
      <c r="H60" s="66" t="str">
        <f>Calculations!H226</f>
        <v/>
      </c>
      <c r="I60" s="197" t="str">
        <f>Calculations!I226</f>
        <v/>
      </c>
    </row>
    <row r="61" spans="1:9">
      <c r="A61" s="164" t="str">
        <f>Calculations!A228</f>
        <v>Other (Specify)</v>
      </c>
      <c r="B61" s="66">
        <f>Calculations!B228</f>
        <v>0</v>
      </c>
      <c r="C61" s="66">
        <f>Calculations!C228</f>
        <v>0</v>
      </c>
      <c r="D61" s="66">
        <f>Calculations!D228</f>
        <v>0</v>
      </c>
      <c r="E61" s="66">
        <f>Calculations!E228</f>
        <v>0</v>
      </c>
      <c r="F61" s="8">
        <f>Calculations!F228</f>
        <v>0</v>
      </c>
      <c r="G61" s="66">
        <f>Calculations!G228</f>
        <v>0</v>
      </c>
      <c r="H61" s="66" t="str">
        <f>Calculations!H228</f>
        <v/>
      </c>
      <c r="I61" s="197" t="str">
        <f>Calculations!I228</f>
        <v/>
      </c>
    </row>
    <row r="62" spans="1:9">
      <c r="A62" s="164" t="str">
        <f>Calculations!A229</f>
        <v>Other (Specify)</v>
      </c>
      <c r="B62" s="66">
        <f>Calculations!B229</f>
        <v>0</v>
      </c>
      <c r="C62" s="66">
        <f>Calculations!C229</f>
        <v>0</v>
      </c>
      <c r="D62" s="66">
        <f>Calculations!D229</f>
        <v>0</v>
      </c>
      <c r="E62" s="66">
        <f>Calculations!E229</f>
        <v>0</v>
      </c>
      <c r="F62" s="8">
        <f>Calculations!F229</f>
        <v>0</v>
      </c>
      <c r="G62" s="66">
        <f>Calculations!G229</f>
        <v>0</v>
      </c>
      <c r="H62" s="66" t="str">
        <f>Calculations!H229</f>
        <v/>
      </c>
      <c r="I62" s="197" t="str">
        <f>Calculations!I229</f>
        <v/>
      </c>
    </row>
    <row r="63" spans="1:9">
      <c r="A63" s="164" t="str">
        <f>Calculations!A230</f>
        <v>Other (Specify)</v>
      </c>
      <c r="B63" s="66">
        <f>Calculations!B230</f>
        <v>0</v>
      </c>
      <c r="C63" s="66">
        <f>Calculations!C230</f>
        <v>0</v>
      </c>
      <c r="D63" s="66">
        <f>Calculations!D230</f>
        <v>0</v>
      </c>
      <c r="E63" s="66">
        <f>Calculations!E230</f>
        <v>0</v>
      </c>
      <c r="F63" s="8">
        <f>Calculations!F230</f>
        <v>0</v>
      </c>
      <c r="G63" s="66">
        <f>Calculations!G230</f>
        <v>0</v>
      </c>
      <c r="H63" s="66" t="str">
        <f>Calculations!H230</f>
        <v/>
      </c>
      <c r="I63" s="197" t="str">
        <f>Calculations!I230</f>
        <v/>
      </c>
    </row>
    <row r="64" spans="1:9">
      <c r="A64" s="164"/>
      <c r="B64" s="199">
        <f>Calculations!B231</f>
        <v>0</v>
      </c>
      <c r="C64" s="199">
        <f>Calculations!C231</f>
        <v>0</v>
      </c>
      <c r="D64" s="199">
        <f>Calculations!D231</f>
        <v>0</v>
      </c>
      <c r="E64" s="199">
        <f>Calculations!E231</f>
        <v>0</v>
      </c>
      <c r="F64" s="199"/>
      <c r="G64" s="199">
        <f>Calculations!G231</f>
        <v>0</v>
      </c>
      <c r="H64" s="199" t="str">
        <f>Calculations!H231</f>
        <v/>
      </c>
      <c r="I64" s="251" t="str">
        <f>Calculations!I231</f>
        <v/>
      </c>
    </row>
    <row r="65" spans="1:9">
      <c r="A65" s="101" t="str">
        <f>Calculations!A232</f>
        <v>Permanent Financing</v>
      </c>
      <c r="B65" s="101"/>
      <c r="C65" s="101"/>
      <c r="D65" s="101"/>
      <c r="E65" s="101"/>
      <c r="F65" s="101"/>
      <c r="G65" s="101"/>
      <c r="H65" s="101"/>
      <c r="I65" s="272" t="str">
        <f>Calculations!I232</f>
        <v/>
      </c>
    </row>
    <row r="66" spans="1:9">
      <c r="A66" s="164" t="str">
        <f>Calculations!A233</f>
        <v>Bond Premium</v>
      </c>
      <c r="B66" s="66">
        <f>Calculations!B233</f>
        <v>0</v>
      </c>
      <c r="C66">
        <f>Calculations!C233</f>
        <v>0</v>
      </c>
      <c r="D66">
        <f>Calculations!D233</f>
        <v>0</v>
      </c>
      <c r="E66" s="66">
        <f>Calculations!E233</f>
        <v>0</v>
      </c>
      <c r="F66" s="8">
        <f>Calculations!F233</f>
        <v>0</v>
      </c>
      <c r="G66" s="66">
        <f>Calculations!G233</f>
        <v>0</v>
      </c>
      <c r="H66" s="66" t="str">
        <f>Calculations!H233</f>
        <v/>
      </c>
      <c r="I66" s="197" t="str">
        <f>Calculations!I233</f>
        <v/>
      </c>
    </row>
    <row r="67" spans="1:9">
      <c r="A67" s="164" t="str">
        <f>Calculations!A234</f>
        <v>Bond Issue 30-day lag reserve</v>
      </c>
      <c r="B67" s="66">
        <f>Calculations!B234</f>
        <v>0</v>
      </c>
      <c r="C67">
        <f>Calculations!C234</f>
        <v>0</v>
      </c>
      <c r="D67">
        <f>Calculations!D234</f>
        <v>0</v>
      </c>
      <c r="E67" s="66">
        <f>Calculations!E234</f>
        <v>0</v>
      </c>
      <c r="F67" s="8">
        <f>Calculations!F234</f>
        <v>0</v>
      </c>
      <c r="G67" s="66">
        <f>Calculations!G234</f>
        <v>0</v>
      </c>
      <c r="H67" s="66" t="str">
        <f>Calculations!H234</f>
        <v/>
      </c>
      <c r="I67" s="197" t="str">
        <f>Calculations!I234</f>
        <v/>
      </c>
    </row>
    <row r="68" spans="1:9">
      <c r="A68" s="164" t="str">
        <f>Calculations!A235</f>
        <v>Bond Cost of Issuance</v>
      </c>
      <c r="B68" s="66">
        <f>Calculations!B235</f>
        <v>0</v>
      </c>
      <c r="C68">
        <f>Calculations!C235</f>
        <v>0</v>
      </c>
      <c r="D68">
        <f>Calculations!D235</f>
        <v>0</v>
      </c>
      <c r="E68" s="66">
        <f>Calculations!E235</f>
        <v>0</v>
      </c>
      <c r="F68" s="8">
        <f>Calculations!F235</f>
        <v>0</v>
      </c>
      <c r="G68" s="66">
        <f>Calculations!G235</f>
        <v>0</v>
      </c>
      <c r="H68" s="66" t="str">
        <f>Calculations!H235</f>
        <v/>
      </c>
      <c r="I68" s="197" t="str">
        <f>Calculations!I235</f>
        <v/>
      </c>
    </row>
    <row r="69" spans="1:9">
      <c r="A69" s="164" t="str">
        <f>Calculations!A236</f>
        <v>Discount Points</v>
      </c>
      <c r="B69" s="66">
        <f>Calculations!B236</f>
        <v>0</v>
      </c>
      <c r="C69">
        <f>Calculations!C236</f>
        <v>0</v>
      </c>
      <c r="D69">
        <f>Calculations!D236</f>
        <v>0</v>
      </c>
      <c r="E69" s="66">
        <f>Calculations!E236</f>
        <v>0</v>
      </c>
      <c r="F69" s="8">
        <f>Calculations!F236</f>
        <v>0</v>
      </c>
      <c r="G69" s="66">
        <f>Calculations!G236</f>
        <v>0</v>
      </c>
      <c r="H69" s="66" t="str">
        <f>Calculations!H236</f>
        <v/>
      </c>
      <c r="I69" s="197" t="str">
        <f>Calculations!I236</f>
        <v/>
      </c>
    </row>
    <row r="70" spans="1:9">
      <c r="A70" s="164" t="str">
        <f>Calculations!A237</f>
        <v>Perm Loan Origination</v>
      </c>
      <c r="B70" s="66">
        <f>Calculations!B237</f>
        <v>0</v>
      </c>
      <c r="C70">
        <f>Calculations!C237</f>
        <v>0</v>
      </c>
      <c r="D70">
        <f>Calculations!D237</f>
        <v>0</v>
      </c>
      <c r="E70" s="66">
        <f>Calculations!E237</f>
        <v>0</v>
      </c>
      <c r="F70" s="8">
        <f>Calculations!F237</f>
        <v>0</v>
      </c>
      <c r="G70" s="66">
        <f>Calculations!G237</f>
        <v>0</v>
      </c>
      <c r="H70" s="66" t="str">
        <f>Calculations!H237</f>
        <v/>
      </c>
      <c r="I70" s="197" t="str">
        <f>Calculations!I237</f>
        <v/>
      </c>
    </row>
    <row r="71" spans="1:9">
      <c r="A71" s="164" t="str">
        <f>Calculations!A238</f>
        <v>Credit Enhancement</v>
      </c>
      <c r="B71" s="66">
        <f>Calculations!B238</f>
        <v>0</v>
      </c>
      <c r="C71">
        <f>Calculations!C238</f>
        <v>0</v>
      </c>
      <c r="D71">
        <f>Calculations!D238</f>
        <v>0</v>
      </c>
      <c r="E71" s="66">
        <f>Calculations!E238</f>
        <v>0</v>
      </c>
      <c r="F71" s="8">
        <f>Calculations!F238</f>
        <v>0</v>
      </c>
      <c r="G71" s="66">
        <f>Calculations!G238</f>
        <v>0</v>
      </c>
      <c r="H71" s="66" t="str">
        <f>Calculations!H238</f>
        <v/>
      </c>
      <c r="I71" s="197" t="str">
        <f>Calculations!I238</f>
        <v/>
      </c>
    </row>
    <row r="72" spans="1:9">
      <c r="A72" s="164" t="str">
        <f>Calculations!A239</f>
        <v>Title &amp; Recording</v>
      </c>
      <c r="B72" s="66">
        <f>Calculations!B239</f>
        <v>0</v>
      </c>
      <c r="C72">
        <f>Calculations!C239</f>
        <v>0</v>
      </c>
      <c r="D72">
        <f>Calculations!D239</f>
        <v>0</v>
      </c>
      <c r="E72" s="66">
        <f>Calculations!E239</f>
        <v>0</v>
      </c>
      <c r="F72" s="8">
        <f>Calculations!F239</f>
        <v>0</v>
      </c>
      <c r="G72" s="66">
        <f>Calculations!G239</f>
        <v>0</v>
      </c>
      <c r="H72" s="66" t="str">
        <f>Calculations!H239</f>
        <v/>
      </c>
      <c r="I72" s="197" t="str">
        <f>Calculations!I239</f>
        <v/>
      </c>
    </row>
    <row r="73" spans="1:9">
      <c r="A73" s="164" t="str">
        <f>Calculations!A240</f>
        <v>Legal Fees</v>
      </c>
      <c r="B73" s="66">
        <f>Calculations!B240</f>
        <v>0</v>
      </c>
      <c r="C73">
        <f>Calculations!C240</f>
        <v>0</v>
      </c>
      <c r="D73">
        <f>Calculations!D240</f>
        <v>0</v>
      </c>
      <c r="E73" s="66">
        <f>Calculations!E240</f>
        <v>0</v>
      </c>
      <c r="F73" s="8">
        <f>Calculations!F240</f>
        <v>0</v>
      </c>
      <c r="G73" s="66">
        <f>Calculations!G240</f>
        <v>0</v>
      </c>
      <c r="H73" s="66" t="str">
        <f>Calculations!H240</f>
        <v/>
      </c>
      <c r="I73" s="197" t="str">
        <f>Calculations!I240</f>
        <v/>
      </c>
    </row>
    <row r="74" spans="1:9">
      <c r="A74" s="164" t="str">
        <f>Calculations!A241</f>
        <v>Prepaid MIP</v>
      </c>
      <c r="B74" s="66">
        <f>Calculations!B241</f>
        <v>0</v>
      </c>
      <c r="C74">
        <f>Calculations!C241</f>
        <v>0</v>
      </c>
      <c r="D74">
        <f>Calculations!D241</f>
        <v>0</v>
      </c>
      <c r="E74" s="66">
        <f>Calculations!E241</f>
        <v>0</v>
      </c>
      <c r="F74" s="8">
        <f>Calculations!F241</f>
        <v>0</v>
      </c>
      <c r="G74" s="66">
        <f>Calculations!G241</f>
        <v>0</v>
      </c>
      <c r="H74" s="66" t="str">
        <f>Calculations!H241</f>
        <v/>
      </c>
      <c r="I74" s="197" t="str">
        <f>Calculations!I241</f>
        <v/>
      </c>
    </row>
    <row r="75" spans="1:9">
      <c r="A75" s="164" t="str">
        <f>Calculations!A242</f>
        <v>Forward Rate Lock</v>
      </c>
      <c r="B75" s="66">
        <f>Calculations!B242</f>
        <v>0</v>
      </c>
      <c r="C75">
        <f>Calculations!C242</f>
        <v>0</v>
      </c>
      <c r="D75">
        <f>Calculations!D242</f>
        <v>0</v>
      </c>
      <c r="E75" s="66">
        <f>Calculations!E242</f>
        <v>0</v>
      </c>
      <c r="F75" s="8">
        <f>Calculations!F242</f>
        <v>0</v>
      </c>
      <c r="G75" s="66">
        <f>Calculations!G242</f>
        <v>0</v>
      </c>
      <c r="H75" s="66" t="str">
        <f>Calculations!H242</f>
        <v/>
      </c>
      <c r="I75" s="197" t="str">
        <f>Calculations!I242</f>
        <v/>
      </c>
    </row>
    <row r="76" spans="1:9">
      <c r="A76" s="164" t="str">
        <f>Calculations!A243</f>
        <v>Conversion Fee</v>
      </c>
      <c r="B76" s="66">
        <f>Calculations!B243</f>
        <v>0</v>
      </c>
      <c r="C76">
        <f>Calculations!C243</f>
        <v>0</v>
      </c>
      <c r="D76">
        <f>Calculations!D243</f>
        <v>0</v>
      </c>
      <c r="E76" s="66">
        <f>Calculations!E243</f>
        <v>0</v>
      </c>
      <c r="F76" s="8">
        <f>Calculations!F243</f>
        <v>0</v>
      </c>
      <c r="G76" s="66">
        <f>Calculations!G243</f>
        <v>0</v>
      </c>
      <c r="H76" s="66" t="str">
        <f>Calculations!H243</f>
        <v/>
      </c>
      <c r="I76" s="197" t="str">
        <f>Calculations!I243</f>
        <v/>
      </c>
    </row>
    <row r="77" spans="1:9">
      <c r="A77" s="164" t="str">
        <f>Calculations!A244</f>
        <v>Other (Specify)</v>
      </c>
      <c r="B77" s="66">
        <f>Calculations!B244</f>
        <v>0</v>
      </c>
      <c r="C77">
        <f>Calculations!C244</f>
        <v>0</v>
      </c>
      <c r="D77">
        <f>Calculations!D244</f>
        <v>0</v>
      </c>
      <c r="E77" s="66">
        <f>Calculations!E244</f>
        <v>0</v>
      </c>
      <c r="F77" s="8">
        <f>Calculations!F244</f>
        <v>0</v>
      </c>
      <c r="G77" s="66">
        <f>Calculations!G244</f>
        <v>0</v>
      </c>
      <c r="H77" s="66" t="str">
        <f>Calculations!H244</f>
        <v/>
      </c>
      <c r="I77" s="197" t="str">
        <f>Calculations!I244</f>
        <v/>
      </c>
    </row>
    <row r="78" spans="1:9">
      <c r="A78" s="164" t="str">
        <f>Calculations!A245</f>
        <v>Other (Specify)</v>
      </c>
      <c r="B78" s="66">
        <f>Calculations!B245</f>
        <v>0</v>
      </c>
      <c r="C78">
        <f>Calculations!C245</f>
        <v>0</v>
      </c>
      <c r="D78">
        <f>Calculations!D245</f>
        <v>0</v>
      </c>
      <c r="E78" s="66">
        <f>Calculations!E245</f>
        <v>0</v>
      </c>
      <c r="F78" s="8">
        <f>Calculations!F245</f>
        <v>0</v>
      </c>
      <c r="G78" s="66">
        <f>Calculations!G245</f>
        <v>0</v>
      </c>
      <c r="H78" s="66" t="str">
        <f>Calculations!H245</f>
        <v/>
      </c>
      <c r="I78" s="197" t="str">
        <f>Calculations!I245</f>
        <v/>
      </c>
    </row>
    <row r="79" spans="1:9">
      <c r="A79" s="164" t="str">
        <f>Calculations!A246</f>
        <v>Other (Specify)</v>
      </c>
      <c r="B79" s="66">
        <f>Calculations!B246</f>
        <v>0</v>
      </c>
      <c r="C79">
        <f>Calculations!C246</f>
        <v>0</v>
      </c>
      <c r="D79">
        <f>Calculations!D246</f>
        <v>0</v>
      </c>
      <c r="E79" s="66">
        <f>Calculations!E246</f>
        <v>0</v>
      </c>
      <c r="F79" s="8">
        <f>Calculations!F246</f>
        <v>0</v>
      </c>
      <c r="G79" s="66">
        <f>Calculations!G246</f>
        <v>0</v>
      </c>
      <c r="H79" s="66" t="str">
        <f>Calculations!H246</f>
        <v/>
      </c>
      <c r="I79" s="197" t="str">
        <f>Calculations!I246</f>
        <v/>
      </c>
    </row>
    <row r="80" spans="1:9">
      <c r="A80" s="164"/>
      <c r="B80" s="199">
        <f>Calculations!B247</f>
        <v>0</v>
      </c>
      <c r="C80" s="199">
        <f>Calculations!C247</f>
        <v>0</v>
      </c>
      <c r="D80" s="199">
        <f>Calculations!D247</f>
        <v>0</v>
      </c>
      <c r="E80" s="199">
        <f>Calculations!E247</f>
        <v>0</v>
      </c>
      <c r="F80" s="199"/>
      <c r="G80" s="199">
        <f>Calculations!G247</f>
        <v>0</v>
      </c>
      <c r="H80" s="199" t="str">
        <f>Calculations!H247</f>
        <v/>
      </c>
      <c r="I80" s="251" t="str">
        <f>Calculations!I247</f>
        <v/>
      </c>
    </row>
    <row r="81" spans="1:9">
      <c r="A81" s="101" t="str">
        <f>Calculations!A248</f>
        <v>Soft Costs</v>
      </c>
      <c r="B81" s="101"/>
      <c r="C81" s="101"/>
      <c r="D81" s="101"/>
      <c r="E81" s="101"/>
      <c r="F81" s="101"/>
      <c r="G81" s="101"/>
      <c r="H81" s="101"/>
      <c r="I81" s="101"/>
    </row>
    <row r="82" spans="1:9">
      <c r="A82" s="164" t="str">
        <f>Calculations!A249</f>
        <v>Marketing/Leasing Costs</v>
      </c>
      <c r="B82" s="66">
        <f>Calculations!B249</f>
        <v>0</v>
      </c>
      <c r="C82" s="66">
        <f>Calculations!C249</f>
        <v>0</v>
      </c>
      <c r="D82" s="66">
        <f>Calculations!D249</f>
        <v>0</v>
      </c>
      <c r="E82" s="66">
        <f>Calculations!E249</f>
        <v>0</v>
      </c>
      <c r="F82" s="8">
        <f>Calculations!F249</f>
        <v>0</v>
      </c>
      <c r="G82" s="66">
        <f>Calculations!G249</f>
        <v>0</v>
      </c>
      <c r="H82" s="66" t="str">
        <f>Calculations!H249</f>
        <v/>
      </c>
      <c r="I82" s="197" t="str">
        <f>Calculations!I249</f>
        <v/>
      </c>
    </row>
    <row r="83" spans="1:9">
      <c r="A83" s="164" t="str">
        <f>Calculations!A250</f>
        <v>Cost Estimating/Capital Needs Assessment</v>
      </c>
      <c r="B83" s="66">
        <f>Calculations!B250</f>
        <v>0</v>
      </c>
      <c r="C83" s="66">
        <f>Calculations!C250</f>
        <v>0</v>
      </c>
      <c r="D83" s="66">
        <f>Calculations!D250</f>
        <v>0</v>
      </c>
      <c r="E83" s="66">
        <f>Calculations!E250</f>
        <v>0</v>
      </c>
      <c r="F83" s="8">
        <f>Calculations!F250</f>
        <v>0</v>
      </c>
      <c r="G83" s="66">
        <f>Calculations!G250</f>
        <v>0</v>
      </c>
      <c r="H83" s="66" t="str">
        <f>Calculations!H250</f>
        <v/>
      </c>
      <c r="I83" s="197" t="str">
        <f>Calculations!I250</f>
        <v/>
      </c>
    </row>
    <row r="84" spans="1:9">
      <c r="A84" s="164" t="str">
        <f>Calculations!A251</f>
        <v>Geotechnical/Soils Study</v>
      </c>
      <c r="B84" s="66">
        <f>Calculations!B251</f>
        <v>0</v>
      </c>
      <c r="C84" s="66">
        <f>Calculations!C251</f>
        <v>0</v>
      </c>
      <c r="D84" s="66">
        <f>Calculations!D251</f>
        <v>0</v>
      </c>
      <c r="E84" s="66">
        <f>Calculations!E251</f>
        <v>0</v>
      </c>
      <c r="F84" s="8">
        <f>Calculations!F251</f>
        <v>0</v>
      </c>
      <c r="G84" s="66">
        <f>Calculations!G251</f>
        <v>0</v>
      </c>
      <c r="H84" s="66" t="str">
        <f>Calculations!H251</f>
        <v/>
      </c>
      <c r="I84" s="197" t="str">
        <f>Calculations!I251</f>
        <v/>
      </c>
    </row>
    <row r="85" spans="1:9">
      <c r="A85" s="164" t="str">
        <f>Calculations!A252</f>
        <v>Appraisal</v>
      </c>
      <c r="B85" s="66">
        <f>Calculations!B252</f>
        <v>0</v>
      </c>
      <c r="C85" s="66">
        <f>Calculations!C252</f>
        <v>0</v>
      </c>
      <c r="D85" s="66">
        <f>Calculations!D252</f>
        <v>0</v>
      </c>
      <c r="E85" s="66">
        <f>Calculations!E252</f>
        <v>0</v>
      </c>
      <c r="F85" s="8">
        <f>Calculations!F252</f>
        <v>0</v>
      </c>
      <c r="G85" s="66">
        <f>Calculations!G252</f>
        <v>0</v>
      </c>
      <c r="H85" s="66" t="str">
        <f>Calculations!H252</f>
        <v/>
      </c>
      <c r="I85" s="197" t="str">
        <f>Calculations!I252</f>
        <v/>
      </c>
    </row>
    <row r="86" spans="1:9">
      <c r="A86" s="164" t="str">
        <f>Calculations!A253</f>
        <v>Market Study</v>
      </c>
      <c r="B86" s="66">
        <f>Calculations!B253</f>
        <v>0</v>
      </c>
      <c r="C86" s="66">
        <f>Calculations!C253</f>
        <v>0</v>
      </c>
      <c r="D86" s="66">
        <f>Calculations!D253</f>
        <v>0</v>
      </c>
      <c r="E86" s="66">
        <f>Calculations!E253</f>
        <v>0</v>
      </c>
      <c r="F86" s="8">
        <f>Calculations!F253</f>
        <v>0</v>
      </c>
      <c r="G86" s="66">
        <f>Calculations!G253</f>
        <v>0</v>
      </c>
      <c r="H86" s="66" t="str">
        <f>Calculations!H253</f>
        <v/>
      </c>
      <c r="I86" s="197" t="str">
        <f>Calculations!I253</f>
        <v/>
      </c>
    </row>
    <row r="87" spans="1:9">
      <c r="A87" s="164" t="str">
        <f>Calculations!A254</f>
        <v>Environmental Study (Phase 1, Phase 2, Lead, Asbestos, etc.)</v>
      </c>
      <c r="B87" s="66">
        <f>Calculations!B254</f>
        <v>0</v>
      </c>
      <c r="C87" s="66">
        <f>Calculations!C254</f>
        <v>0</v>
      </c>
      <c r="D87" s="66">
        <f>Calculations!D254</f>
        <v>0</v>
      </c>
      <c r="E87" s="66">
        <f>Calculations!E254</f>
        <v>0</v>
      </c>
      <c r="F87" s="8">
        <f>Calculations!F254</f>
        <v>0</v>
      </c>
      <c r="G87" s="66">
        <f>Calculations!G254</f>
        <v>0</v>
      </c>
      <c r="H87" s="66" t="str">
        <f>Calculations!H254</f>
        <v/>
      </c>
      <c r="I87" s="197" t="str">
        <f>Calculations!I254</f>
        <v/>
      </c>
    </row>
    <row r="88" spans="1:9">
      <c r="A88" s="164" t="str">
        <f>Calculations!A255</f>
        <v>Other Studies (traffic, wetlands, etc.)</v>
      </c>
      <c r="B88" s="66">
        <f>Calculations!B255</f>
        <v>0</v>
      </c>
      <c r="C88" s="66">
        <f>Calculations!C255</f>
        <v>0</v>
      </c>
      <c r="D88" s="66">
        <f>Calculations!D255</f>
        <v>0</v>
      </c>
      <c r="E88" s="66">
        <f>Calculations!E255</f>
        <v>0</v>
      </c>
      <c r="F88" s="8">
        <f>Calculations!F255</f>
        <v>0</v>
      </c>
      <c r="G88" s="66">
        <f>Calculations!G255</f>
        <v>0</v>
      </c>
      <c r="H88" s="66" t="str">
        <f>Calculations!H255</f>
        <v/>
      </c>
      <c r="I88" s="197" t="str">
        <f>Calculations!I255</f>
        <v/>
      </c>
    </row>
    <row r="89" spans="1:9">
      <c r="A89" s="164" t="str">
        <f>Calculations!A256</f>
        <v>Tax Credit Fees</v>
      </c>
      <c r="B89" s="66">
        <f>Calculations!B256</f>
        <v>0</v>
      </c>
      <c r="C89" s="66">
        <f>Calculations!C256</f>
        <v>0</v>
      </c>
      <c r="D89" s="66">
        <f>Calculations!D256</f>
        <v>0</v>
      </c>
      <c r="E89" s="66">
        <f>Calculations!E256</f>
        <v>0</v>
      </c>
      <c r="F89" s="8">
        <f>Calculations!F256</f>
        <v>0</v>
      </c>
      <c r="G89" s="66">
        <f>Calculations!G256</f>
        <v>0</v>
      </c>
      <c r="H89" s="66" t="str">
        <f>Calculations!H256</f>
        <v/>
      </c>
      <c r="I89" s="197" t="str">
        <f>Calculations!I256</f>
        <v/>
      </c>
    </row>
    <row r="90" spans="1:9">
      <c r="A90" s="164" t="str">
        <f>Calculations!A257</f>
        <v>Compliance Fees</v>
      </c>
      <c r="B90" s="66">
        <f>Calculations!B257</f>
        <v>0</v>
      </c>
      <c r="C90" s="66">
        <f>Calculations!C257</f>
        <v>0</v>
      </c>
      <c r="D90" s="66">
        <f>Calculations!D257</f>
        <v>0</v>
      </c>
      <c r="E90" s="66">
        <f>Calculations!E257</f>
        <v>0</v>
      </c>
      <c r="F90" s="8">
        <f>Calculations!F257</f>
        <v>0</v>
      </c>
      <c r="G90" s="66">
        <f>Calculations!G257</f>
        <v>0</v>
      </c>
      <c r="H90" s="66" t="str">
        <f>Calculations!H257</f>
        <v/>
      </c>
      <c r="I90" s="197" t="str">
        <f>Calculations!I257</f>
        <v/>
      </c>
    </row>
    <row r="91" spans="1:9">
      <c r="A91" s="164" t="str">
        <f>Calculations!A258</f>
        <v>Cost Certification</v>
      </c>
      <c r="B91" s="66">
        <f>Calculations!B258</f>
        <v>0</v>
      </c>
      <c r="C91" s="66">
        <f>Calculations!C258</f>
        <v>0</v>
      </c>
      <c r="D91" s="66">
        <f>Calculations!D258</f>
        <v>0</v>
      </c>
      <c r="E91" s="66">
        <f>Calculations!E258</f>
        <v>0</v>
      </c>
      <c r="F91" s="8">
        <f>Calculations!F258</f>
        <v>0</v>
      </c>
      <c r="G91" s="66">
        <f>Calculations!G258</f>
        <v>0</v>
      </c>
      <c r="H91" s="66" t="str">
        <f>Calculations!H258</f>
        <v/>
      </c>
      <c r="I91" s="197" t="str">
        <f>Calculations!I258</f>
        <v/>
      </c>
    </row>
    <row r="92" spans="1:9">
      <c r="A92" s="164" t="str">
        <f>Calculations!A259</f>
        <v>Green Certification Fees (LEED Certification, etc.)</v>
      </c>
      <c r="B92" s="66">
        <f>Calculations!B259</f>
        <v>0</v>
      </c>
      <c r="C92" s="66">
        <f>Calculations!C259</f>
        <v>0</v>
      </c>
      <c r="D92" s="66">
        <f>Calculations!D259</f>
        <v>0</v>
      </c>
      <c r="E92" s="66">
        <f>Calculations!E259</f>
        <v>0</v>
      </c>
      <c r="F92" s="8">
        <f>Calculations!F259</f>
        <v>0</v>
      </c>
      <c r="G92" s="66">
        <f>Calculations!G259</f>
        <v>0</v>
      </c>
      <c r="H92" s="66" t="str">
        <f>Calculations!H259</f>
        <v/>
      </c>
      <c r="I92" s="197" t="str">
        <f>Calculations!I259</f>
        <v/>
      </c>
    </row>
    <row r="93" spans="1:9">
      <c r="A93" s="164" t="str">
        <f>Calculations!A260</f>
        <v>Relocation - Temporary</v>
      </c>
      <c r="B93" s="66">
        <f>Calculations!B260</f>
        <v>0</v>
      </c>
      <c r="C93" s="66">
        <f>Calculations!C260</f>
        <v>0</v>
      </c>
      <c r="D93" s="66">
        <f>Calculations!D260</f>
        <v>0</v>
      </c>
      <c r="E93" s="66">
        <f>Calculations!E260</f>
        <v>0</v>
      </c>
      <c r="F93" s="8">
        <f>Calculations!F260</f>
        <v>0</v>
      </c>
      <c r="G93" s="66">
        <f>Calculations!G260</f>
        <v>0</v>
      </c>
      <c r="H93" s="66" t="str">
        <f>Calculations!H260</f>
        <v/>
      </c>
      <c r="I93" s="197" t="str">
        <f>Calculations!I260</f>
        <v/>
      </c>
    </row>
    <row r="94" spans="1:9">
      <c r="A94" s="164" t="str">
        <f>Calculations!A261</f>
        <v>Relocation - Permanent</v>
      </c>
      <c r="B94" s="66">
        <f>Calculations!B261</f>
        <v>0</v>
      </c>
      <c r="C94" s="66">
        <f>Calculations!C261</f>
        <v>0</v>
      </c>
      <c r="D94" s="66">
        <f>Calculations!D261</f>
        <v>0</v>
      </c>
      <c r="E94" s="66">
        <f>Calculations!E261</f>
        <v>0</v>
      </c>
      <c r="F94" s="8">
        <f>Calculations!F261</f>
        <v>0</v>
      </c>
      <c r="G94" s="66">
        <f>Calculations!G261</f>
        <v>0</v>
      </c>
      <c r="H94" s="66" t="str">
        <f>Calculations!H261</f>
        <v/>
      </c>
      <c r="I94" s="197" t="str">
        <f>Calculations!I261</f>
        <v/>
      </c>
    </row>
    <row r="95" spans="1:9">
      <c r="A95" s="164" t="str">
        <f>Calculations!A262</f>
        <v>Soft Cost Contingency</v>
      </c>
      <c r="B95" s="66">
        <f>Calculations!B262</f>
        <v>0</v>
      </c>
      <c r="C95" s="66">
        <f>Calculations!C262</f>
        <v>0</v>
      </c>
      <c r="D95" s="66">
        <f>Calculations!D262</f>
        <v>0</v>
      </c>
      <c r="E95" s="66">
        <f>Calculations!E262</f>
        <v>0</v>
      </c>
      <c r="F95" s="8">
        <f>Calculations!F262</f>
        <v>0</v>
      </c>
      <c r="G95" s="66">
        <f>Calculations!G262</f>
        <v>0</v>
      </c>
      <c r="H95" s="66" t="str">
        <f>Calculations!H262</f>
        <v/>
      </c>
      <c r="I95" s="197" t="str">
        <f>Calculations!I262</f>
        <v/>
      </c>
    </row>
    <row r="96" spans="1:9">
      <c r="A96" s="164" t="str">
        <f>Calculations!A263</f>
        <v>Other (Specify)</v>
      </c>
      <c r="B96" s="66">
        <f>Calculations!B263</f>
        <v>0</v>
      </c>
      <c r="C96" s="66">
        <f>Calculations!C263</f>
        <v>0</v>
      </c>
      <c r="D96" s="66">
        <f>Calculations!D263</f>
        <v>0</v>
      </c>
      <c r="E96" s="66">
        <f>Calculations!E263</f>
        <v>0</v>
      </c>
      <c r="F96" s="8">
        <f>Calculations!F263</f>
        <v>0</v>
      </c>
      <c r="G96" s="66">
        <f>Calculations!G263</f>
        <v>0</v>
      </c>
      <c r="H96" s="66" t="str">
        <f>Calculations!H263</f>
        <v/>
      </c>
      <c r="I96" s="197" t="str">
        <f>Calculations!I263</f>
        <v/>
      </c>
    </row>
    <row r="97" spans="1:9">
      <c r="A97" s="164" t="str">
        <f>Calculations!A264</f>
        <v>Other (Specify)</v>
      </c>
      <c r="B97" s="66">
        <f>Calculations!B264</f>
        <v>0</v>
      </c>
      <c r="C97" s="66">
        <f>Calculations!C264</f>
        <v>0</v>
      </c>
      <c r="D97" s="66">
        <f>Calculations!D264</f>
        <v>0</v>
      </c>
      <c r="E97" s="66">
        <f>Calculations!E264</f>
        <v>0</v>
      </c>
      <c r="F97" s="8">
        <f>Calculations!F264</f>
        <v>0</v>
      </c>
      <c r="G97" s="66">
        <f>Calculations!G264</f>
        <v>0</v>
      </c>
      <c r="H97" s="66" t="str">
        <f>Calculations!H264</f>
        <v/>
      </c>
      <c r="I97" s="197" t="str">
        <f>Calculations!I264</f>
        <v/>
      </c>
    </row>
    <row r="98" spans="1:9">
      <c r="A98" s="164" t="str">
        <f>Calculations!A265</f>
        <v>Other (Specify)</v>
      </c>
      <c r="B98" s="66">
        <f>Calculations!B265</f>
        <v>0</v>
      </c>
      <c r="C98" s="66">
        <f>Calculations!C265</f>
        <v>0</v>
      </c>
      <c r="D98" s="66">
        <f>Calculations!D265</f>
        <v>0</v>
      </c>
      <c r="E98" s="66">
        <f>Calculations!E265</f>
        <v>0</v>
      </c>
      <c r="F98" s="8">
        <f>Calculations!F265</f>
        <v>0</v>
      </c>
      <c r="G98" s="66">
        <f>Calculations!G265</f>
        <v>0</v>
      </c>
      <c r="H98" s="66" t="str">
        <f>Calculations!H265</f>
        <v/>
      </c>
      <c r="I98" s="197" t="str">
        <f>Calculations!I265</f>
        <v/>
      </c>
    </row>
    <row r="99" spans="1:9">
      <c r="A99" s="164"/>
      <c r="B99" s="199">
        <f>Calculations!B266</f>
        <v>0</v>
      </c>
      <c r="C99" s="199">
        <f>Calculations!C266</f>
        <v>0</v>
      </c>
      <c r="D99" s="199">
        <f>Calculations!D266</f>
        <v>0</v>
      </c>
      <c r="E99" s="199">
        <f>Calculations!E266</f>
        <v>0</v>
      </c>
      <c r="F99" s="199"/>
      <c r="G99" s="199">
        <f>Calculations!G266</f>
        <v>0</v>
      </c>
      <c r="H99" s="199" t="str">
        <f>Calculations!H266</f>
        <v/>
      </c>
      <c r="I99" s="251" t="str">
        <f>Calculations!I266</f>
        <v/>
      </c>
    </row>
    <row r="100" spans="1:9">
      <c r="A100" s="101" t="str">
        <f>Calculations!A267</f>
        <v>Syndication Costs</v>
      </c>
      <c r="B100" s="101"/>
      <c r="C100" s="101"/>
      <c r="D100" s="101"/>
      <c r="E100" s="101"/>
      <c r="F100" s="101"/>
      <c r="G100" s="101"/>
      <c r="H100" s="101"/>
      <c r="I100" s="101"/>
    </row>
    <row r="101" spans="1:9">
      <c r="A101" s="164" t="str">
        <f>Calculations!A268</f>
        <v>Organization Costs</v>
      </c>
      <c r="B101" s="66">
        <f>Calculations!B268</f>
        <v>0</v>
      </c>
      <c r="C101" s="66">
        <f>Calculations!C268</f>
        <v>0</v>
      </c>
      <c r="D101" s="66">
        <f>Calculations!D268</f>
        <v>0</v>
      </c>
      <c r="E101" s="66">
        <f>Calculations!E268</f>
        <v>0</v>
      </c>
      <c r="F101" s="8">
        <f>Calculations!F268</f>
        <v>0</v>
      </c>
      <c r="G101" s="66">
        <f>Calculations!G268</f>
        <v>0</v>
      </c>
      <c r="H101" s="66" t="str">
        <f>Calculations!H268</f>
        <v/>
      </c>
      <c r="I101" s="197" t="str">
        <f>Calculations!I268</f>
        <v/>
      </c>
    </row>
    <row r="102" spans="1:9">
      <c r="A102" s="164" t="str">
        <f>Calculations!A269</f>
        <v>Tax Opinion</v>
      </c>
      <c r="B102" s="66">
        <f>Calculations!B269</f>
        <v>0</v>
      </c>
      <c r="C102" s="66">
        <f>Calculations!C269</f>
        <v>0</v>
      </c>
      <c r="D102" s="66">
        <f>Calculations!D269</f>
        <v>0</v>
      </c>
      <c r="E102" s="66">
        <f>Calculations!E269</f>
        <v>0</v>
      </c>
      <c r="F102" s="8">
        <f>Calculations!F269</f>
        <v>0</v>
      </c>
      <c r="G102" s="66">
        <f>Calculations!G269</f>
        <v>0</v>
      </c>
      <c r="H102" s="66" t="str">
        <f>Calculations!H269</f>
        <v/>
      </c>
      <c r="I102" s="197" t="str">
        <f>Calculations!I269</f>
        <v/>
      </c>
    </row>
    <row r="103" spans="1:9">
      <c r="A103" s="164" t="str">
        <f>Calculations!A270</f>
        <v>Syndication Legal Fees</v>
      </c>
      <c r="B103" s="66">
        <f>Calculations!B270</f>
        <v>0</v>
      </c>
      <c r="C103" s="66">
        <f>Calculations!C270</f>
        <v>0</v>
      </c>
      <c r="D103" s="66">
        <f>Calculations!D270</f>
        <v>0</v>
      </c>
      <c r="E103" s="66">
        <f>Calculations!E270</f>
        <v>0</v>
      </c>
      <c r="F103" s="8">
        <f>Calculations!F270</f>
        <v>0</v>
      </c>
      <c r="G103" s="66">
        <f>Calculations!G270</f>
        <v>0</v>
      </c>
      <c r="H103" s="66" t="str">
        <f>Calculations!H270</f>
        <v/>
      </c>
      <c r="I103" s="197" t="str">
        <f>Calculations!I270</f>
        <v/>
      </c>
    </row>
    <row r="104" spans="1:9">
      <c r="A104" s="164" t="str">
        <f>Calculations!A271</f>
        <v>Other (Specify)</v>
      </c>
      <c r="B104" s="66">
        <f>Calculations!B271</f>
        <v>0</v>
      </c>
      <c r="C104" s="66">
        <f>Calculations!C271</f>
        <v>0</v>
      </c>
      <c r="D104" s="66">
        <f>Calculations!D271</f>
        <v>0</v>
      </c>
      <c r="E104" s="66">
        <f>Calculations!E271</f>
        <v>0</v>
      </c>
      <c r="F104" s="8">
        <f>Calculations!F271</f>
        <v>0</v>
      </c>
      <c r="G104" s="66">
        <f>Calculations!G271</f>
        <v>0</v>
      </c>
      <c r="H104" s="66" t="str">
        <f>Calculations!H271</f>
        <v/>
      </c>
      <c r="I104" s="197" t="str">
        <f>Calculations!I271</f>
        <v/>
      </c>
    </row>
    <row r="105" spans="1:9">
      <c r="A105" s="164" t="str">
        <f>Calculations!A272</f>
        <v>Other (Specify)</v>
      </c>
      <c r="B105" s="66">
        <f>Calculations!B272</f>
        <v>0</v>
      </c>
      <c r="C105" s="66">
        <f>Calculations!C272</f>
        <v>0</v>
      </c>
      <c r="D105" s="66">
        <f>Calculations!D272</f>
        <v>0</v>
      </c>
      <c r="E105" s="66">
        <f>Calculations!E272</f>
        <v>0</v>
      </c>
      <c r="F105" s="8">
        <f>Calculations!F272</f>
        <v>0</v>
      </c>
      <c r="G105" s="66">
        <f>Calculations!G272</f>
        <v>0</v>
      </c>
      <c r="H105" s="66" t="str">
        <f>Calculations!H272</f>
        <v/>
      </c>
      <c r="I105" s="197" t="str">
        <f>Calculations!I272</f>
        <v/>
      </c>
    </row>
    <row r="106" spans="1:9">
      <c r="A106" s="164" t="str">
        <f>Calculations!A273</f>
        <v>Other (Specify)</v>
      </c>
      <c r="B106" s="66">
        <f>Calculations!B273</f>
        <v>0</v>
      </c>
      <c r="C106" s="66">
        <f>Calculations!C273</f>
        <v>0</v>
      </c>
      <c r="D106" s="66">
        <f>Calculations!D273</f>
        <v>0</v>
      </c>
      <c r="E106" s="66">
        <f>Calculations!E273</f>
        <v>0</v>
      </c>
      <c r="F106" s="8">
        <f>Calculations!F273</f>
        <v>0</v>
      </c>
      <c r="G106" s="66">
        <f>Calculations!G273</f>
        <v>0</v>
      </c>
      <c r="H106" s="66" t="str">
        <f>Calculations!H273</f>
        <v/>
      </c>
      <c r="I106" s="197" t="str">
        <f>Calculations!I273</f>
        <v/>
      </c>
    </row>
    <row r="107" spans="1:9">
      <c r="A107" s="164"/>
      <c r="B107" s="199">
        <f>Calculations!B274</f>
        <v>0</v>
      </c>
      <c r="C107" s="199">
        <f>Calculations!C274</f>
        <v>0</v>
      </c>
      <c r="D107" s="199">
        <f>Calculations!D274</f>
        <v>0</v>
      </c>
      <c r="E107" s="199">
        <f>Calculations!E274</f>
        <v>0</v>
      </c>
      <c r="F107" s="199"/>
      <c r="G107" s="199">
        <f>Calculations!G274</f>
        <v>0</v>
      </c>
      <c r="H107" s="199" t="str">
        <f>Calculations!H274</f>
        <v/>
      </c>
      <c r="I107" s="251" t="str">
        <f>Calculations!I274</f>
        <v/>
      </c>
    </row>
    <row r="108" spans="1:9">
      <c r="A108" s="101" t="str">
        <f>Calculations!A275</f>
        <v>Developer Fees</v>
      </c>
      <c r="B108" s="101"/>
      <c r="C108" s="101"/>
      <c r="D108" s="101"/>
      <c r="E108" s="101"/>
      <c r="F108" s="101"/>
      <c r="G108" s="101"/>
      <c r="H108" s="101"/>
      <c r="I108" s="101"/>
    </row>
    <row r="109" spans="1:9">
      <c r="A109" s="164" t="str">
        <f>Calculations!A276</f>
        <v>Developer Fee</v>
      </c>
      <c r="B109" s="66">
        <f>Calculations!B276</f>
        <v>0</v>
      </c>
      <c r="C109" s="66">
        <f>Calculations!C276</f>
        <v>0</v>
      </c>
      <c r="D109" s="66">
        <f>Calculations!D276</f>
        <v>0</v>
      </c>
      <c r="E109" s="66">
        <f>Calculations!E276</f>
        <v>0</v>
      </c>
      <c r="F109" s="8">
        <f>Calculations!F276</f>
        <v>0</v>
      </c>
      <c r="G109" s="66">
        <f>Calculations!G276</f>
        <v>0</v>
      </c>
      <c r="H109" s="66" t="str">
        <f>Calculations!H276</f>
        <v/>
      </c>
      <c r="I109" s="197" t="str">
        <f>Calculations!I276</f>
        <v/>
      </c>
    </row>
    <row r="110" spans="1:9">
      <c r="A110" s="164" t="str">
        <f>Calculations!A277</f>
        <v>Developer Overhead</v>
      </c>
      <c r="B110" s="66">
        <f>Calculations!B277</f>
        <v>0</v>
      </c>
      <c r="C110" s="66">
        <f>Calculations!C277</f>
        <v>0</v>
      </c>
      <c r="D110" s="66">
        <f>Calculations!D277</f>
        <v>0</v>
      </c>
      <c r="E110" s="66">
        <f>Calculations!E277</f>
        <v>0</v>
      </c>
      <c r="F110" s="8">
        <f>Calculations!F277</f>
        <v>0</v>
      </c>
      <c r="G110" s="66">
        <f>Calculations!G277</f>
        <v>0</v>
      </c>
      <c r="H110" s="66" t="str">
        <f>Calculations!H277</f>
        <v/>
      </c>
      <c r="I110" s="197" t="str">
        <f>Calculations!I277</f>
        <v/>
      </c>
    </row>
    <row r="111" spans="1:9">
      <c r="A111" s="164" t="str">
        <f>Calculations!A278</f>
        <v>Developer Profit</v>
      </c>
      <c r="B111" s="66">
        <f>Calculations!B278</f>
        <v>0</v>
      </c>
      <c r="C111" s="66">
        <f>Calculations!C278</f>
        <v>0</v>
      </c>
      <c r="D111" s="66">
        <f>Calculations!D278</f>
        <v>0</v>
      </c>
      <c r="E111" s="66">
        <f>Calculations!E278</f>
        <v>0</v>
      </c>
      <c r="F111" s="8">
        <f>Calculations!F278</f>
        <v>0</v>
      </c>
      <c r="G111" s="66">
        <f>Calculations!G278</f>
        <v>0</v>
      </c>
      <c r="H111" s="66" t="str">
        <f>Calculations!H278</f>
        <v/>
      </c>
      <c r="I111" s="197" t="str">
        <f>Calculations!I278</f>
        <v/>
      </c>
    </row>
    <row r="112" spans="1:9">
      <c r="A112" s="164" t="s">
        <v>483</v>
      </c>
      <c r="B112" s="66">
        <f>Calculations!B279</f>
        <v>0</v>
      </c>
      <c r="C112" s="66">
        <f>Calculations!C279</f>
        <v>0</v>
      </c>
      <c r="D112" s="66">
        <f>Calculations!D279</f>
        <v>0</v>
      </c>
      <c r="E112" s="66">
        <f>Calculations!E279</f>
        <v>0</v>
      </c>
      <c r="F112" s="8">
        <f>Calculations!F279</f>
        <v>0</v>
      </c>
      <c r="G112" s="66">
        <f>Calculations!G279</f>
        <v>0</v>
      </c>
      <c r="H112" s="66" t="str">
        <f>Calculations!H279</f>
        <v/>
      </c>
      <c r="I112" s="197">
        <f>Calculations!I279</f>
        <v>0</v>
      </c>
    </row>
    <row r="113" spans="1:13">
      <c r="A113" s="164" t="str">
        <f>Calculations!A280</f>
        <v>Third Party Development Management/Owner's Rep</v>
      </c>
      <c r="B113" s="66">
        <f>Calculations!B280</f>
        <v>0</v>
      </c>
      <c r="C113" s="66">
        <f>Calculations!C280</f>
        <v>0</v>
      </c>
      <c r="D113" s="66">
        <f>Calculations!D280</f>
        <v>0</v>
      </c>
      <c r="E113" s="66">
        <f>Calculations!E280</f>
        <v>0</v>
      </c>
      <c r="F113" s="8">
        <f>Calculations!F280</f>
        <v>0</v>
      </c>
      <c r="G113" s="66">
        <f>Calculations!G280</f>
        <v>0</v>
      </c>
      <c r="H113" s="66" t="str">
        <f>Calculations!H280</f>
        <v/>
      </c>
      <c r="I113" s="197" t="str">
        <f>Calculations!I280</f>
        <v/>
      </c>
    </row>
    <row r="114" spans="1:13">
      <c r="A114" s="164" t="str">
        <f>Calculations!A281</f>
        <v>Financial/Tax Credit Consultant, Application Preparation, etc.</v>
      </c>
      <c r="B114" s="66">
        <f>Calculations!B281</f>
        <v>0</v>
      </c>
      <c r="C114" s="66">
        <f>Calculations!C281</f>
        <v>0</v>
      </c>
      <c r="D114" s="66">
        <f>Calculations!D281</f>
        <v>0</v>
      </c>
      <c r="E114" s="66">
        <f>Calculations!E281</f>
        <v>0</v>
      </c>
      <c r="F114" s="8">
        <f>Calculations!F281</f>
        <v>0</v>
      </c>
      <c r="G114" s="66">
        <f>Calculations!G281</f>
        <v>0</v>
      </c>
      <c r="H114" s="66" t="str">
        <f>Calculations!H281</f>
        <v/>
      </c>
      <c r="I114" s="197" t="str">
        <f>Calculations!I281</f>
        <v/>
      </c>
    </row>
    <row r="115" spans="1:13">
      <c r="A115" s="164" t="str">
        <f>Calculations!A282</f>
        <v>Other Consultant Fees</v>
      </c>
      <c r="B115" s="66">
        <f>Calculations!B282</f>
        <v>0</v>
      </c>
      <c r="C115" s="66">
        <f>Calculations!C282</f>
        <v>0</v>
      </c>
      <c r="D115" s="66">
        <f>Calculations!D282</f>
        <v>0</v>
      </c>
      <c r="E115" s="66">
        <f>Calculations!E282</f>
        <v>0</v>
      </c>
      <c r="F115" s="8">
        <f>Calculations!F282</f>
        <v>0</v>
      </c>
      <c r="G115" s="66">
        <f>Calculations!G282</f>
        <v>0</v>
      </c>
      <c r="H115" s="66" t="str">
        <f>Calculations!H282</f>
        <v/>
      </c>
      <c r="I115" s="197" t="str">
        <f>Calculations!I282</f>
        <v/>
      </c>
    </row>
    <row r="116" spans="1:13">
      <c r="A116" s="164"/>
      <c r="B116" s="199">
        <f>Calculations!B283</f>
        <v>0</v>
      </c>
      <c r="C116" s="199">
        <f>Calculations!C283</f>
        <v>0</v>
      </c>
      <c r="D116" s="199">
        <f>Calculations!D283</f>
        <v>0</v>
      </c>
      <c r="E116" s="199">
        <f>Calculations!E283</f>
        <v>0</v>
      </c>
      <c r="F116" s="199"/>
      <c r="G116" s="199">
        <f>Calculations!G283</f>
        <v>0</v>
      </c>
      <c r="H116" s="199" t="str">
        <f>Calculations!H283</f>
        <v/>
      </c>
      <c r="I116" s="251" t="str">
        <f>Calculations!I283</f>
        <v/>
      </c>
    </row>
    <row r="117" spans="1:13">
      <c r="A117" s="101" t="str">
        <f>Calculations!A284</f>
        <v>Project Reserves</v>
      </c>
      <c r="B117" s="101"/>
      <c r="C117" s="101"/>
      <c r="D117" s="101"/>
      <c r="E117" s="101"/>
      <c r="F117" s="101"/>
      <c r="G117" s="101"/>
      <c r="H117" s="101"/>
      <c r="I117" s="101"/>
    </row>
    <row r="118" spans="1:13">
      <c r="A118" s="164" t="str">
        <f>Calculations!A285</f>
        <v>Rent-up Reserves</v>
      </c>
      <c r="B118" s="66">
        <f>Calculations!B285</f>
        <v>0</v>
      </c>
      <c r="C118" s="66">
        <f>Calculations!C285</f>
        <v>0</v>
      </c>
      <c r="D118" s="66">
        <f>Calculations!D285</f>
        <v>0</v>
      </c>
      <c r="E118" s="66">
        <f>Calculations!E285</f>
        <v>0</v>
      </c>
      <c r="F118" s="8">
        <f>Calculations!F285</f>
        <v>0</v>
      </c>
      <c r="G118" s="66">
        <f>Calculations!G285</f>
        <v>0</v>
      </c>
      <c r="H118" s="66" t="str">
        <f>Calculations!H285</f>
        <v/>
      </c>
      <c r="I118" s="197" t="str">
        <f>Calculations!I285</f>
        <v/>
      </c>
    </row>
    <row r="119" spans="1:13">
      <c r="A119" s="164" t="str">
        <f>Calculations!A286</f>
        <v>Operating Reserves</v>
      </c>
      <c r="B119" s="66">
        <f>Calculations!B286</f>
        <v>0</v>
      </c>
      <c r="C119" s="66">
        <f>Calculations!C286</f>
        <v>0</v>
      </c>
      <c r="D119" s="66">
        <f>Calculations!D286</f>
        <v>0</v>
      </c>
      <c r="E119" s="66">
        <f>Calculations!E286</f>
        <v>0</v>
      </c>
      <c r="F119" s="8">
        <f>Calculations!F286</f>
        <v>0</v>
      </c>
      <c r="G119" s="66">
        <f>Calculations!G286</f>
        <v>0</v>
      </c>
      <c r="H119" s="66" t="str">
        <f>Calculations!H286</f>
        <v/>
      </c>
      <c r="I119" s="197" t="str">
        <f>Calculations!I286</f>
        <v/>
      </c>
    </row>
    <row r="120" spans="1:13">
      <c r="A120" s="164" t="str">
        <f>Calculations!A287</f>
        <v>Replacement Reserves</v>
      </c>
      <c r="B120" s="66">
        <f>Calculations!B287</f>
        <v>0</v>
      </c>
      <c r="C120" s="66">
        <f>Calculations!C287</f>
        <v>0</v>
      </c>
      <c r="D120" s="66">
        <f>Calculations!D287</f>
        <v>0</v>
      </c>
      <c r="E120" s="66">
        <f>Calculations!E287</f>
        <v>0</v>
      </c>
      <c r="F120" s="8">
        <f>Calculations!F287</f>
        <v>0</v>
      </c>
      <c r="G120" s="66">
        <f>Calculations!G287</f>
        <v>0</v>
      </c>
      <c r="H120" s="66" t="str">
        <f>Calculations!H287</f>
        <v/>
      </c>
      <c r="I120" s="197" t="str">
        <f>Calculations!I287</f>
        <v/>
      </c>
    </row>
    <row r="121" spans="1:13">
      <c r="A121" s="164" t="str">
        <f>Calculations!A288</f>
        <v>Debt Service Reserves</v>
      </c>
      <c r="B121" s="66">
        <f>Calculations!B288</f>
        <v>0</v>
      </c>
      <c r="C121" s="66">
        <f>Calculations!C288</f>
        <v>0</v>
      </c>
      <c r="D121" s="66">
        <f>Calculations!D288</f>
        <v>0</v>
      </c>
      <c r="E121" s="66">
        <f>Calculations!E288</f>
        <v>0</v>
      </c>
      <c r="F121" s="8">
        <f>Calculations!F288</f>
        <v>0</v>
      </c>
      <c r="G121" s="66">
        <f>Calculations!G288</f>
        <v>0</v>
      </c>
      <c r="H121" s="66"/>
      <c r="I121" s="197"/>
    </row>
    <row r="122" spans="1:13" ht="15" customHeight="1">
      <c r="A122" s="164" t="str">
        <f>Calculations!A289</f>
        <v>Other (Specify)</v>
      </c>
      <c r="B122" s="66">
        <f>Calculations!B289</f>
        <v>0</v>
      </c>
      <c r="C122" s="66">
        <f>Calculations!C289</f>
        <v>0</v>
      </c>
      <c r="D122" s="66">
        <f>Calculations!D289</f>
        <v>0</v>
      </c>
      <c r="E122" s="66">
        <f>Calculations!E289</f>
        <v>0</v>
      </c>
      <c r="F122" s="8">
        <f>Calculations!F289</f>
        <v>0</v>
      </c>
      <c r="G122" s="66">
        <f>Calculations!G289</f>
        <v>0</v>
      </c>
      <c r="H122" s="66" t="str">
        <f>Calculations!H289</f>
        <v/>
      </c>
      <c r="I122" s="197" t="str">
        <f>Calculations!I289</f>
        <v/>
      </c>
      <c r="J122" s="939"/>
      <c r="K122" s="939"/>
    </row>
    <row r="123" spans="1:13" ht="15" customHeight="1">
      <c r="A123" s="164" t="str">
        <f>Calculations!A290</f>
        <v>Other (Specify)</v>
      </c>
      <c r="B123" s="66">
        <f>Calculations!B290</f>
        <v>0</v>
      </c>
      <c r="C123" s="66">
        <f>Calculations!C290</f>
        <v>0</v>
      </c>
      <c r="D123" s="66">
        <f>Calculations!D290</f>
        <v>0</v>
      </c>
      <c r="E123" s="66">
        <f>Calculations!E290</f>
        <v>0</v>
      </c>
      <c r="F123" s="8">
        <f>Calculations!F290</f>
        <v>0</v>
      </c>
      <c r="G123" s="66">
        <f>Calculations!G290</f>
        <v>0</v>
      </c>
      <c r="H123" s="66" t="str">
        <f>Calculations!H290</f>
        <v/>
      </c>
      <c r="I123" s="197" t="str">
        <f>Calculations!I290</f>
        <v/>
      </c>
      <c r="J123" s="939"/>
      <c r="K123" s="939"/>
    </row>
    <row r="124" spans="1:13" ht="15.75" thickBot="1">
      <c r="A124" s="192"/>
      <c r="B124" s="199">
        <f>Calculations!B291</f>
        <v>0</v>
      </c>
      <c r="C124" s="199">
        <f>Calculations!C291</f>
        <v>0</v>
      </c>
      <c r="D124" s="199">
        <f>Calculations!D291</f>
        <v>0</v>
      </c>
      <c r="E124" s="199">
        <f>Calculations!E291</f>
        <v>0</v>
      </c>
      <c r="F124" s="199"/>
      <c r="G124" s="199">
        <f>Calculations!G291</f>
        <v>0</v>
      </c>
      <c r="H124" s="199" t="str">
        <f>Calculations!H291</f>
        <v/>
      </c>
      <c r="I124" s="403" t="str">
        <f>Calculations!I291</f>
        <v/>
      </c>
      <c r="J124" s="939"/>
      <c r="K124" s="939"/>
      <c r="L124" s="251"/>
      <c r="M124" s="251"/>
    </row>
    <row r="125" spans="1:13" ht="15.75" thickTop="1">
      <c r="A125" s="68" t="str">
        <f>Calculations!A292</f>
        <v>Total</v>
      </c>
      <c r="B125" s="198">
        <f>Calculations!B292</f>
        <v>0</v>
      </c>
      <c r="C125" s="198">
        <f>Calculations!C292</f>
        <v>0</v>
      </c>
      <c r="D125" s="198">
        <f>Calculations!D292</f>
        <v>0</v>
      </c>
      <c r="E125" s="198">
        <f>Calculations!E292</f>
        <v>0</v>
      </c>
      <c r="F125" s="198"/>
      <c r="G125" s="198">
        <f>Calculations!G292</f>
        <v>0</v>
      </c>
      <c r="H125" s="198">
        <f>Calculations!H292</f>
        <v>0</v>
      </c>
      <c r="I125" s="251" t="str">
        <f>Calculations!I292</f>
        <v/>
      </c>
      <c r="J125" s="938"/>
      <c r="K125" s="938"/>
    </row>
    <row r="126" spans="1:13">
      <c r="A126" s="68"/>
      <c r="B126" s="199"/>
      <c r="C126" s="199"/>
      <c r="D126" s="199"/>
      <c r="E126" s="199"/>
      <c r="F126" s="199"/>
      <c r="G126" s="199"/>
      <c r="H126" s="199"/>
      <c r="I126" s="251"/>
      <c r="J126" s="516"/>
      <c r="K126" s="516"/>
    </row>
    <row r="127" spans="1:13">
      <c r="A127" s="404"/>
      <c r="B127" s="199"/>
      <c r="C127" s="199"/>
      <c r="D127" s="199"/>
      <c r="E127" s="199"/>
      <c r="F127" s="199"/>
      <c r="G127" s="405" t="s">
        <v>1030</v>
      </c>
      <c r="H127" s="940">
        <f>Calculations!K289</f>
        <v>0</v>
      </c>
      <c r="I127" s="940"/>
      <c r="J127" s="516"/>
      <c r="K127" s="516"/>
    </row>
    <row r="129" spans="1:12">
      <c r="A129" s="928" t="s">
        <v>493</v>
      </c>
      <c r="B129" s="928"/>
      <c r="C129" s="928"/>
      <c r="D129" s="928"/>
      <c r="E129" s="928"/>
      <c r="F129" s="928"/>
      <c r="G129" s="928"/>
      <c r="H129" s="928"/>
      <c r="I129" s="928"/>
      <c r="J129" s="88"/>
      <c r="K129" s="88"/>
      <c r="L129" s="88"/>
    </row>
    <row r="130" spans="1:12">
      <c r="D130" s="88"/>
      <c r="E130" s="88"/>
      <c r="F130" s="88"/>
      <c r="G130" s="88"/>
      <c r="H130" s="88"/>
      <c r="I130" s="88"/>
      <c r="J130" s="88"/>
      <c r="K130" s="88"/>
      <c r="L130" s="88"/>
    </row>
    <row r="131" spans="1:12" ht="45" customHeight="1">
      <c r="A131" s="192" t="str">
        <f>Calculations!K171</f>
        <v>Land &amp; Buildings</v>
      </c>
      <c r="B131" s="135" t="str">
        <f>Calculations!L171</f>
        <v>Amount</v>
      </c>
      <c r="E131" s="135" t="str">
        <f>Calculations!M171</f>
        <v>Amount Last Provided to CHFA*</v>
      </c>
      <c r="F131" s="135"/>
      <c r="G131" s="135" t="str">
        <f>Calculations!N171</f>
        <v>Difference</v>
      </c>
      <c r="I131" s="88"/>
      <c r="J131" s="88"/>
      <c r="K131" s="88"/>
    </row>
    <row r="132" spans="1:12">
      <c r="A132" s="164" t="str">
        <f>Calculations!K172</f>
        <v>Land</v>
      </c>
      <c r="B132" s="106">
        <f>Calculations!L172</f>
        <v>0</v>
      </c>
      <c r="E132" s="106">
        <f>Calculations!M172</f>
        <v>0</v>
      </c>
      <c r="F132" s="106"/>
      <c r="G132" s="106">
        <f>Calculations!N172</f>
        <v>0</v>
      </c>
      <c r="I132" s="88"/>
      <c r="J132" s="88"/>
      <c r="K132" s="88"/>
    </row>
    <row r="133" spans="1:12">
      <c r="A133" s="164" t="str">
        <f>Calculations!K173</f>
        <v>Existing Structures</v>
      </c>
      <c r="B133" s="106">
        <f>Calculations!L173</f>
        <v>0</v>
      </c>
      <c r="E133" s="106">
        <f>Calculations!M173</f>
        <v>0</v>
      </c>
      <c r="F133" s="106"/>
      <c r="G133" s="106">
        <f>Calculations!N173</f>
        <v>0</v>
      </c>
      <c r="I133" s="88"/>
      <c r="J133" s="88"/>
      <c r="K133" s="88"/>
    </row>
    <row r="134" spans="1:12">
      <c r="A134" s="164" t="str">
        <f>Calculations!K174</f>
        <v>Demolition</v>
      </c>
      <c r="B134" s="193">
        <f>Calculations!L174</f>
        <v>0</v>
      </c>
      <c r="E134" s="193">
        <f>Calculations!M174</f>
        <v>0</v>
      </c>
      <c r="F134" s="193"/>
      <c r="G134" s="193">
        <f>Calculations!N174</f>
        <v>0</v>
      </c>
      <c r="I134" s="88"/>
      <c r="J134" s="88"/>
      <c r="K134" s="88"/>
    </row>
    <row r="135" spans="1:12">
      <c r="A135" s="88"/>
      <c r="B135" s="105">
        <f>Calculations!L175</f>
        <v>0</v>
      </c>
      <c r="E135" s="132">
        <f>Calculations!M175</f>
        <v>0</v>
      </c>
      <c r="F135" s="132"/>
      <c r="G135" s="132">
        <f>Calculations!N175</f>
        <v>0</v>
      </c>
      <c r="I135" s="88"/>
      <c r="J135" s="88"/>
      <c r="K135" s="88"/>
    </row>
    <row r="136" spans="1:12">
      <c r="A136" s="192" t="str">
        <f>Calculations!K176</f>
        <v>Site Work</v>
      </c>
      <c r="B136" s="135"/>
      <c r="E136" s="135"/>
      <c r="F136" s="135"/>
      <c r="G136" s="135"/>
      <c r="I136" s="88"/>
      <c r="J136" s="88"/>
      <c r="K136" s="88"/>
    </row>
    <row r="137" spans="1:12">
      <c r="A137" s="164" t="str">
        <f>Calculations!K177</f>
        <v>On Site Work</v>
      </c>
      <c r="B137" s="106">
        <f>Calculations!L177</f>
        <v>0</v>
      </c>
      <c r="E137" s="106">
        <f>Calculations!M177</f>
        <v>0</v>
      </c>
      <c r="F137" s="106"/>
      <c r="G137" s="106">
        <f>Calculations!N177</f>
        <v>0</v>
      </c>
      <c r="I137" s="88"/>
      <c r="J137" s="88"/>
      <c r="K137" s="88"/>
    </row>
    <row r="138" spans="1:12">
      <c r="A138" s="164" t="str">
        <f>Calculations!K178</f>
        <v>Off Site Work</v>
      </c>
      <c r="B138" s="193">
        <f>Calculations!L178</f>
        <v>0</v>
      </c>
      <c r="E138" s="193">
        <f>Calculations!M178</f>
        <v>0</v>
      </c>
      <c r="F138" s="193"/>
      <c r="G138" s="193">
        <f>Calculations!N178</f>
        <v>0</v>
      </c>
      <c r="I138" s="88"/>
      <c r="J138" s="88"/>
      <c r="K138" s="88"/>
    </row>
    <row r="139" spans="1:12">
      <c r="A139" s="88"/>
      <c r="B139" s="105">
        <f>Calculations!L179</f>
        <v>0</v>
      </c>
      <c r="E139" s="132">
        <f>Calculations!M179</f>
        <v>0</v>
      </c>
      <c r="F139" s="132"/>
      <c r="G139" s="132">
        <f>Calculations!N179</f>
        <v>0</v>
      </c>
      <c r="I139" s="88"/>
      <c r="J139" s="88"/>
      <c r="K139" s="88"/>
    </row>
    <row r="140" spans="1:12">
      <c r="A140" s="192" t="str">
        <f>Calculations!K180</f>
        <v>Rehab. &amp; New Construction</v>
      </c>
      <c r="B140" s="135"/>
      <c r="E140" s="135"/>
      <c r="F140" s="135"/>
      <c r="G140" s="135"/>
      <c r="I140" s="88"/>
      <c r="J140" s="88"/>
      <c r="K140" s="88"/>
    </row>
    <row r="141" spans="1:12">
      <c r="A141" s="164" t="str">
        <f>Calculations!K181</f>
        <v>New Structures</v>
      </c>
      <c r="B141" s="106">
        <f>Calculations!L181</f>
        <v>0</v>
      </c>
      <c r="E141" s="106">
        <f>Calculations!M181</f>
        <v>0</v>
      </c>
      <c r="F141" s="106"/>
      <c r="G141" s="106">
        <f>Calculations!N181</f>
        <v>0</v>
      </c>
      <c r="I141" s="88"/>
      <c r="J141" s="88"/>
      <c r="K141" s="88"/>
    </row>
    <row r="142" spans="1:12">
      <c r="A142" s="164" t="str">
        <f>Calculations!K182</f>
        <v>Rehabilitation</v>
      </c>
      <c r="B142" s="106">
        <f>Calculations!L182</f>
        <v>0</v>
      </c>
      <c r="E142" s="106">
        <f>Calculations!M182</f>
        <v>0</v>
      </c>
      <c r="F142" s="106"/>
      <c r="G142" s="106">
        <f>Calculations!N182</f>
        <v>0</v>
      </c>
      <c r="I142" s="88"/>
      <c r="J142" s="88"/>
      <c r="K142" s="88"/>
    </row>
    <row r="143" spans="1:12">
      <c r="A143" s="164" t="str">
        <f>Calculations!K183</f>
        <v>Accessory Structures</v>
      </c>
      <c r="B143" s="106">
        <f>Calculations!L183</f>
        <v>0</v>
      </c>
      <c r="E143" s="106">
        <f>Calculations!M183</f>
        <v>0</v>
      </c>
      <c r="F143" s="106"/>
      <c r="G143" s="106">
        <f>Calculations!N183</f>
        <v>0</v>
      </c>
      <c r="I143" s="88"/>
      <c r="J143" s="88"/>
      <c r="K143" s="88"/>
    </row>
    <row r="144" spans="1:12">
      <c r="A144" s="164" t="str">
        <f>Calculations!K184</f>
        <v>General Requirements</v>
      </c>
      <c r="B144" s="106">
        <f>Calculations!L184</f>
        <v>0</v>
      </c>
      <c r="E144" s="106">
        <f>Calculations!M184</f>
        <v>0</v>
      </c>
      <c r="F144" s="106"/>
      <c r="G144" s="106">
        <f>Calculations!N184</f>
        <v>0</v>
      </c>
      <c r="I144" s="88"/>
      <c r="J144" s="88"/>
      <c r="K144" s="88"/>
    </row>
    <row r="145" spans="1:11">
      <c r="A145" s="164" t="str">
        <f>Calculations!K185</f>
        <v>Contractor Overhead</v>
      </c>
      <c r="B145" s="106">
        <f>Calculations!L185</f>
        <v>0</v>
      </c>
      <c r="E145" s="106">
        <f>Calculations!M185</f>
        <v>0</v>
      </c>
      <c r="F145" s="106"/>
      <c r="G145" s="106">
        <f>Calculations!N185</f>
        <v>0</v>
      </c>
      <c r="I145" s="88"/>
      <c r="J145" s="88"/>
      <c r="K145" s="88"/>
    </row>
    <row r="146" spans="1:11">
      <c r="A146" s="164" t="str">
        <f>Calculations!K186</f>
        <v>Contractor Profit</v>
      </c>
      <c r="B146" s="106">
        <f>Calculations!L186</f>
        <v>0</v>
      </c>
      <c r="E146" s="106">
        <f>Calculations!M186</f>
        <v>0</v>
      </c>
      <c r="F146" s="106"/>
      <c r="G146" s="106">
        <f>Calculations!N186</f>
        <v>0</v>
      </c>
      <c r="I146" s="88"/>
      <c r="J146" s="88"/>
      <c r="K146" s="88"/>
    </row>
    <row r="147" spans="1:11">
      <c r="A147" s="164" t="str">
        <f>Calculations!K187</f>
        <v>Construction Contingency</v>
      </c>
      <c r="B147" s="106">
        <f>Calculations!L187</f>
        <v>0</v>
      </c>
      <c r="E147" s="106">
        <f>Calculations!M187</f>
        <v>0</v>
      </c>
      <c r="F147" s="106"/>
      <c r="G147" s="106">
        <f>Calculations!N187</f>
        <v>0</v>
      </c>
      <c r="I147" s="88"/>
      <c r="J147" s="88"/>
      <c r="K147" s="88"/>
    </row>
    <row r="148" spans="1:11">
      <c r="A148" s="164" t="str">
        <f>Calculations!K188</f>
        <v>Building Permits</v>
      </c>
      <c r="B148" s="106">
        <f>Calculations!L188</f>
        <v>0</v>
      </c>
      <c r="E148" s="106">
        <f>Calculations!M188</f>
        <v>0</v>
      </c>
      <c r="F148" s="106"/>
      <c r="G148" s="106">
        <f>Calculations!N188</f>
        <v>0</v>
      </c>
      <c r="I148" s="88"/>
      <c r="J148" s="88"/>
      <c r="K148" s="88"/>
    </row>
    <row r="149" spans="1:11">
      <c r="A149" s="164" t="str">
        <f>Calculations!K189</f>
        <v>Other (Specify)</v>
      </c>
      <c r="B149" s="106">
        <f>Calculations!L189</f>
        <v>0</v>
      </c>
      <c r="E149" s="106">
        <f>Calculations!M189</f>
        <v>0</v>
      </c>
      <c r="F149" s="106"/>
      <c r="G149" s="106">
        <f>Calculations!N189</f>
        <v>0</v>
      </c>
      <c r="I149" s="88"/>
      <c r="J149" s="88"/>
      <c r="K149" s="88"/>
    </row>
    <row r="150" spans="1:11">
      <c r="A150" s="164" t="str">
        <f>Calculations!K190</f>
        <v>Other (Specify)</v>
      </c>
      <c r="B150" s="106">
        <f>Calculations!L190</f>
        <v>0</v>
      </c>
      <c r="E150" s="106">
        <f>Calculations!M190</f>
        <v>0</v>
      </c>
      <c r="F150" s="106"/>
      <c r="G150" s="106">
        <f>Calculations!N190</f>
        <v>0</v>
      </c>
      <c r="I150" s="88"/>
      <c r="J150" s="88"/>
      <c r="K150" s="88"/>
    </row>
    <row r="151" spans="1:11">
      <c r="A151" s="164" t="str">
        <f>Calculations!K191</f>
        <v>Other (Specify)</v>
      </c>
      <c r="B151" s="193">
        <f>Calculations!L191</f>
        <v>0</v>
      </c>
      <c r="E151" s="193">
        <f>Calculations!M191</f>
        <v>0</v>
      </c>
      <c r="F151" s="193"/>
      <c r="G151" s="193">
        <f>Calculations!N191</f>
        <v>0</v>
      </c>
      <c r="I151" s="88"/>
      <c r="J151" s="88"/>
      <c r="K151" s="88"/>
    </row>
    <row r="152" spans="1:11">
      <c r="A152" s="88"/>
      <c r="B152" s="105">
        <f>Calculations!L192</f>
        <v>0</v>
      </c>
      <c r="E152" s="132">
        <f>Calculations!M192</f>
        <v>0</v>
      </c>
      <c r="F152" s="132"/>
      <c r="G152" s="132">
        <f>Calculations!N192</f>
        <v>0</v>
      </c>
      <c r="I152" s="88"/>
      <c r="J152" s="88"/>
      <c r="K152" s="88"/>
    </row>
    <row r="153" spans="1:11">
      <c r="A153" s="192" t="str">
        <f>Calculations!K193</f>
        <v>Professional Fees</v>
      </c>
      <c r="B153" s="135"/>
      <c r="E153" s="135"/>
      <c r="F153" s="135"/>
      <c r="G153" s="135"/>
      <c r="I153" s="88"/>
      <c r="J153" s="88"/>
      <c r="K153" s="88"/>
    </row>
    <row r="154" spans="1:11">
      <c r="A154" s="164" t="str">
        <f>Calculations!K194</f>
        <v>Architect, Design</v>
      </c>
      <c r="B154" s="106">
        <f>Calculations!L194</f>
        <v>0</v>
      </c>
      <c r="E154" s="106">
        <f>Calculations!M194</f>
        <v>0</v>
      </c>
      <c r="F154" s="106"/>
      <c r="G154" s="106">
        <f>Calculations!N194</f>
        <v>0</v>
      </c>
      <c r="I154" s="88"/>
      <c r="J154" s="88"/>
      <c r="K154" s="88"/>
    </row>
    <row r="155" spans="1:11">
      <c r="A155" s="164" t="str">
        <f>Calculations!K195</f>
        <v>Architect, Supervision</v>
      </c>
      <c r="B155" s="106">
        <f>Calculations!L195</f>
        <v>0</v>
      </c>
      <c r="E155" s="106">
        <f>Calculations!M195</f>
        <v>0</v>
      </c>
      <c r="F155" s="106"/>
      <c r="G155" s="106">
        <f>Calculations!N195</f>
        <v>0</v>
      </c>
      <c r="I155" s="88"/>
      <c r="J155" s="88"/>
      <c r="K155" s="88"/>
    </row>
    <row r="156" spans="1:11">
      <c r="A156" s="164" t="str">
        <f>Calculations!K196</f>
        <v>Attorney, Real Estate</v>
      </c>
      <c r="B156" s="106">
        <f>Calculations!L196</f>
        <v>0</v>
      </c>
      <c r="E156" s="106">
        <f>Calculations!M196</f>
        <v>0</v>
      </c>
      <c r="F156" s="106"/>
      <c r="G156" s="106">
        <f>Calculations!N196</f>
        <v>0</v>
      </c>
      <c r="I156" s="88"/>
      <c r="J156" s="88"/>
      <c r="K156" s="88"/>
    </row>
    <row r="157" spans="1:11">
      <c r="A157" s="164" t="str">
        <f>Calculations!K197</f>
        <v>Consultant/agent</v>
      </c>
      <c r="B157" s="106">
        <f>Calculations!L197</f>
        <v>0</v>
      </c>
      <c r="E157" s="106">
        <f>Calculations!M197</f>
        <v>0</v>
      </c>
      <c r="F157" s="106"/>
      <c r="G157" s="106">
        <f>Calculations!N197</f>
        <v>0</v>
      </c>
      <c r="I157" s="88"/>
      <c r="J157" s="88"/>
      <c r="K157" s="88"/>
    </row>
    <row r="158" spans="1:11">
      <c r="A158" s="164" t="str">
        <f>Calculations!K198</f>
        <v>Engineer/Surveyor</v>
      </c>
      <c r="B158" s="106">
        <f>Calculations!L198</f>
        <v>0</v>
      </c>
      <c r="E158" s="106">
        <f>Calculations!M198</f>
        <v>0</v>
      </c>
      <c r="F158" s="106"/>
      <c r="G158" s="106">
        <f>Calculations!N198</f>
        <v>0</v>
      </c>
      <c r="I158" s="88"/>
      <c r="J158" s="88"/>
      <c r="K158" s="88"/>
    </row>
    <row r="159" spans="1:11">
      <c r="A159" s="164" t="str">
        <f>Calculations!K199</f>
        <v>Other (Specify)</v>
      </c>
      <c r="B159" s="106">
        <f>Calculations!L199</f>
        <v>0</v>
      </c>
      <c r="E159" s="106">
        <f>Calculations!M199</f>
        <v>0</v>
      </c>
      <c r="F159" s="106"/>
      <c r="G159" s="106">
        <f>Calculations!N199</f>
        <v>0</v>
      </c>
      <c r="I159" s="88"/>
      <c r="J159" s="88"/>
      <c r="K159" s="88"/>
    </row>
    <row r="160" spans="1:11">
      <c r="A160" s="164" t="str">
        <f>Calculations!K200</f>
        <v>Other (Specify)</v>
      </c>
      <c r="B160" s="106">
        <f>Calculations!L200</f>
        <v>0</v>
      </c>
      <c r="E160" s="106">
        <f>Calculations!M200</f>
        <v>0</v>
      </c>
      <c r="F160" s="106"/>
      <c r="G160" s="106">
        <f>Calculations!N200</f>
        <v>0</v>
      </c>
      <c r="I160" s="88"/>
      <c r="J160" s="88"/>
      <c r="K160" s="88"/>
    </row>
    <row r="161" spans="1:11">
      <c r="A161" s="164" t="str">
        <f>Calculations!K201</f>
        <v>Other-Accounting</v>
      </c>
      <c r="B161" s="193">
        <f>Calculations!L201</f>
        <v>0</v>
      </c>
      <c r="E161" s="193">
        <f>Calculations!M201</f>
        <v>0</v>
      </c>
      <c r="F161" s="193"/>
      <c r="G161" s="193">
        <f>Calculations!N201</f>
        <v>0</v>
      </c>
      <c r="I161" s="88"/>
      <c r="J161" s="88"/>
      <c r="K161" s="88"/>
    </row>
    <row r="162" spans="1:11">
      <c r="A162" s="164"/>
      <c r="B162" s="105">
        <f>Calculations!L202</f>
        <v>0</v>
      </c>
      <c r="E162" s="132">
        <f>Calculations!M202</f>
        <v>0</v>
      </c>
      <c r="F162" s="132"/>
      <c r="G162" s="132">
        <f>Calculations!N202</f>
        <v>0</v>
      </c>
      <c r="I162" s="88"/>
      <c r="J162" s="88"/>
      <c r="K162" s="88"/>
    </row>
    <row r="163" spans="1:11">
      <c r="A163" s="192" t="str">
        <f>Calculations!K203</f>
        <v>Construction Interim Costs</v>
      </c>
      <c r="B163" s="135"/>
      <c r="E163" s="135"/>
      <c r="F163" s="135"/>
      <c r="G163" s="135"/>
      <c r="I163" s="88"/>
      <c r="J163" s="88"/>
      <c r="K163" s="88"/>
    </row>
    <row r="164" spans="1:11">
      <c r="A164" s="164" t="str">
        <f>Calculations!K204</f>
        <v>Hazard &amp; Liability Insurance</v>
      </c>
      <c r="B164" s="106">
        <f>Calculations!L204</f>
        <v>0</v>
      </c>
      <c r="E164" s="106">
        <f>Calculations!M204</f>
        <v>0</v>
      </c>
      <c r="F164" s="106"/>
      <c r="G164" s="106">
        <f>Calculations!N204</f>
        <v>0</v>
      </c>
      <c r="I164" s="88"/>
      <c r="J164" s="88"/>
      <c r="K164" s="88"/>
    </row>
    <row r="165" spans="1:11">
      <c r="A165" s="164" t="str">
        <f>Calculations!K205</f>
        <v>Builder's Risk Insurance</v>
      </c>
      <c r="B165" s="106">
        <f>Calculations!L205</f>
        <v>0</v>
      </c>
      <c r="E165" s="106">
        <f>Calculations!M205</f>
        <v>0</v>
      </c>
      <c r="F165" s="106"/>
      <c r="G165" s="106">
        <f>Calculations!N205</f>
        <v>0</v>
      </c>
      <c r="I165" s="88"/>
      <c r="J165" s="88"/>
      <c r="K165" s="88"/>
    </row>
    <row r="166" spans="1:11">
      <c r="A166" s="164" t="str">
        <f>Calculations!K206</f>
        <v>Perform. &amp; Pymt Bonds</v>
      </c>
      <c r="B166" s="106">
        <f>Calculations!L206</f>
        <v>0</v>
      </c>
      <c r="E166" s="106">
        <f>Calculations!M206</f>
        <v>0</v>
      </c>
      <c r="F166" s="106"/>
      <c r="G166" s="106">
        <f>Calculations!N206</f>
        <v>0</v>
      </c>
      <c r="I166" s="88"/>
      <c r="J166" s="88"/>
      <c r="K166" s="88"/>
    </row>
    <row r="167" spans="1:11">
      <c r="A167" s="164" t="str">
        <f>Calculations!K207</f>
        <v>Credit Report</v>
      </c>
      <c r="B167" s="106">
        <f>Calculations!L207</f>
        <v>0</v>
      </c>
      <c r="E167" s="106">
        <f>Calculations!M207</f>
        <v>0</v>
      </c>
      <c r="F167" s="106"/>
      <c r="G167" s="106">
        <f>Calculations!N207</f>
        <v>0</v>
      </c>
      <c r="I167" s="88"/>
      <c r="J167" s="88"/>
      <c r="K167" s="88"/>
    </row>
    <row r="168" spans="1:11">
      <c r="A168" s="164" t="str">
        <f>Calculations!K208</f>
        <v>Construction Interest</v>
      </c>
      <c r="B168" s="106">
        <f>Calculations!L208</f>
        <v>0</v>
      </c>
      <c r="E168" s="106">
        <f>Calculations!M208</f>
        <v>0</v>
      </c>
      <c r="F168" s="106"/>
      <c r="G168" s="106">
        <f>Calculations!N208</f>
        <v>0</v>
      </c>
      <c r="I168" s="88"/>
      <c r="J168" s="88"/>
      <c r="K168" s="88"/>
    </row>
    <row r="169" spans="1:11">
      <c r="A169" s="164" t="str">
        <f>Calculations!K209</f>
        <v>Constr. Origination Fees</v>
      </c>
      <c r="B169" s="106">
        <f>Calculations!L209</f>
        <v>0</v>
      </c>
      <c r="E169" s="106">
        <f>Calculations!M209</f>
        <v>0</v>
      </c>
      <c r="F169" s="106"/>
      <c r="G169" s="106">
        <f>Calculations!N209</f>
        <v>0</v>
      </c>
      <c r="I169" s="88"/>
      <c r="J169" s="88"/>
      <c r="K169" s="88"/>
    </row>
    <row r="170" spans="1:11">
      <c r="A170" s="164" t="str">
        <f>Calculations!K210</f>
        <v>Tap Fees (Water/Sewer)</v>
      </c>
      <c r="B170" s="106">
        <f>Calculations!L210</f>
        <v>0</v>
      </c>
      <c r="E170" s="106">
        <f>Calculations!M210</f>
        <v>0</v>
      </c>
      <c r="F170" s="106"/>
      <c r="G170" s="106">
        <f>Calculations!N210</f>
        <v>0</v>
      </c>
      <c r="I170" s="88"/>
      <c r="J170" s="88"/>
      <c r="K170" s="88"/>
    </row>
    <row r="171" spans="1:11">
      <c r="A171" s="164" t="str">
        <f>Calculations!K211</f>
        <v>Bond Cost of Issuance</v>
      </c>
      <c r="B171" s="106">
        <f>Calculations!L211</f>
        <v>0</v>
      </c>
      <c r="E171" s="106">
        <f>Calculations!M211</f>
        <v>0</v>
      </c>
      <c r="F171" s="106"/>
      <c r="G171" s="106">
        <f>Calculations!N211</f>
        <v>0</v>
      </c>
      <c r="I171" s="88"/>
      <c r="J171" s="88"/>
      <c r="K171" s="88"/>
    </row>
    <row r="172" spans="1:11">
      <c r="A172" s="164" t="str">
        <f>Calculations!K212</f>
        <v>Impact Fees</v>
      </c>
      <c r="B172" s="106">
        <f>Calculations!L212</f>
        <v>0</v>
      </c>
      <c r="E172" s="106">
        <f>Calculations!M212</f>
        <v>0</v>
      </c>
      <c r="F172" s="106"/>
      <c r="G172" s="106">
        <f>Calculations!N212</f>
        <v>0</v>
      </c>
      <c r="I172" s="88"/>
      <c r="J172" s="88"/>
      <c r="K172" s="88"/>
    </row>
    <row r="173" spans="1:11">
      <c r="A173" s="164" t="str">
        <f>Calculations!K213</f>
        <v>Title &amp; Recording</v>
      </c>
      <c r="B173" s="106">
        <f>Calculations!L213</f>
        <v>0</v>
      </c>
      <c r="E173" s="106">
        <f>Calculations!M213</f>
        <v>0</v>
      </c>
      <c r="F173" s="106"/>
      <c r="G173" s="106">
        <f>Calculations!N213</f>
        <v>0</v>
      </c>
      <c r="I173" s="88"/>
      <c r="J173" s="88"/>
      <c r="K173" s="88"/>
    </row>
    <row r="174" spans="1:11">
      <c r="A174" s="164" t="str">
        <f>Calculations!K214</f>
        <v>Legal Fees</v>
      </c>
      <c r="B174" s="106">
        <f>Calculations!L214</f>
        <v>0</v>
      </c>
      <c r="E174" s="106">
        <f>Calculations!M214</f>
        <v>0</v>
      </c>
      <c r="F174" s="106"/>
      <c r="G174" s="106">
        <f>Calculations!N214</f>
        <v>0</v>
      </c>
      <c r="I174" s="88"/>
      <c r="J174" s="88"/>
      <c r="K174" s="88"/>
    </row>
    <row r="175" spans="1:11">
      <c r="A175" s="164" t="str">
        <f>Calculations!K215</f>
        <v>Prop. Taxes during const</v>
      </c>
      <c r="B175" s="106">
        <f>Calculations!L215</f>
        <v>0</v>
      </c>
      <c r="E175" s="106">
        <f>Calculations!M215</f>
        <v>0</v>
      </c>
      <c r="F175" s="106"/>
      <c r="G175" s="106">
        <f>Calculations!N215</f>
        <v>0</v>
      </c>
      <c r="I175" s="88"/>
      <c r="J175" s="88"/>
      <c r="K175" s="88"/>
    </row>
    <row r="176" spans="1:11">
      <c r="A176" s="164" t="str">
        <f>Calculations!K216</f>
        <v>Other (Specify)</v>
      </c>
      <c r="B176" s="106">
        <f>Calculations!L216</f>
        <v>0</v>
      </c>
      <c r="E176" s="106">
        <f>Calculations!M216</f>
        <v>0</v>
      </c>
      <c r="F176" s="106"/>
      <c r="G176" s="106">
        <f>Calculations!N216</f>
        <v>0</v>
      </c>
      <c r="I176" s="88"/>
      <c r="J176" s="88"/>
      <c r="K176" s="88"/>
    </row>
    <row r="177" spans="1:11">
      <c r="A177" s="164" t="str">
        <f>Calculations!K217</f>
        <v>Other (Specify)</v>
      </c>
      <c r="B177" s="106">
        <f>Calculations!L217</f>
        <v>0</v>
      </c>
      <c r="E177" s="106">
        <f>Calculations!M217</f>
        <v>0</v>
      </c>
      <c r="F177" s="106"/>
      <c r="G177" s="106">
        <f>Calculations!N217</f>
        <v>0</v>
      </c>
      <c r="I177" s="88"/>
      <c r="J177" s="88"/>
      <c r="K177" s="88"/>
    </row>
    <row r="178" spans="1:11">
      <c r="A178" s="164" t="str">
        <f>Calculations!K218</f>
        <v>Other (Specify)</v>
      </c>
      <c r="B178" s="193">
        <f>Calculations!L218</f>
        <v>0</v>
      </c>
      <c r="E178" s="193">
        <f>Calculations!M218</f>
        <v>0</v>
      </c>
      <c r="F178" s="193"/>
      <c r="G178" s="193">
        <f>Calculations!N218</f>
        <v>0</v>
      </c>
      <c r="I178" s="88"/>
      <c r="J178" s="88"/>
      <c r="K178" s="88"/>
    </row>
    <row r="179" spans="1:11">
      <c r="A179" s="164"/>
      <c r="B179" s="105">
        <f>Calculations!L219</f>
        <v>0</v>
      </c>
      <c r="E179" s="132">
        <f>Calculations!M219</f>
        <v>0</v>
      </c>
      <c r="F179" s="132"/>
      <c r="G179" s="132">
        <f>Calculations!N219</f>
        <v>0</v>
      </c>
      <c r="I179" s="88"/>
      <c r="J179" s="88"/>
      <c r="K179" s="88"/>
    </row>
    <row r="180" spans="1:11">
      <c r="A180" s="192" t="str">
        <f>Calculations!K220</f>
        <v>Permanent Financing</v>
      </c>
      <c r="B180" s="135"/>
      <c r="E180" s="135"/>
      <c r="F180" s="135"/>
      <c r="G180" s="135"/>
      <c r="I180" s="88"/>
      <c r="J180" s="88"/>
      <c r="K180" s="88"/>
    </row>
    <row r="181" spans="1:11">
      <c r="A181" s="164" t="str">
        <f>Calculations!K221</f>
        <v>Bond Premium</v>
      </c>
      <c r="B181" s="106">
        <f>Calculations!L221</f>
        <v>0</v>
      </c>
      <c r="E181" s="106">
        <f>Calculations!M221</f>
        <v>0</v>
      </c>
      <c r="F181" s="106"/>
      <c r="G181" s="106">
        <f>Calculations!N221</f>
        <v>0</v>
      </c>
      <c r="I181" s="88"/>
      <c r="J181" s="88"/>
      <c r="K181" s="88"/>
    </row>
    <row r="182" spans="1:11">
      <c r="A182" s="164" t="str">
        <f>Calculations!K222</f>
        <v>Bond Issue 30-day lag reserve</v>
      </c>
      <c r="B182" s="106">
        <f>Calculations!L222</f>
        <v>0</v>
      </c>
      <c r="E182" s="106">
        <f>Calculations!M222</f>
        <v>0</v>
      </c>
      <c r="F182" s="106"/>
      <c r="G182" s="106">
        <f>Calculations!N222</f>
        <v>0</v>
      </c>
      <c r="I182" s="88"/>
      <c r="J182" s="88"/>
      <c r="K182" s="88"/>
    </row>
    <row r="183" spans="1:11">
      <c r="A183" s="164" t="str">
        <f>Calculations!K223</f>
        <v>Discount Points</v>
      </c>
      <c r="B183" s="106">
        <f>Calculations!L223</f>
        <v>0</v>
      </c>
      <c r="E183" s="106">
        <f>Calculations!M223</f>
        <v>0</v>
      </c>
      <c r="F183" s="106"/>
      <c r="G183" s="106">
        <f>Calculations!N223</f>
        <v>0</v>
      </c>
      <c r="I183" s="88"/>
      <c r="J183" s="88"/>
      <c r="K183" s="88"/>
    </row>
    <row r="184" spans="1:11">
      <c r="A184" s="164" t="str">
        <f>Calculations!K224</f>
        <v>Perm Loan Origination</v>
      </c>
      <c r="B184" s="106">
        <f>Calculations!L224</f>
        <v>0</v>
      </c>
      <c r="E184" s="106">
        <f>Calculations!M224</f>
        <v>0</v>
      </c>
      <c r="F184" s="106"/>
      <c r="G184" s="106">
        <f>Calculations!N224</f>
        <v>0</v>
      </c>
      <c r="I184" s="88"/>
      <c r="J184" s="88"/>
      <c r="K184" s="88"/>
    </row>
    <row r="185" spans="1:11">
      <c r="A185" s="164" t="str">
        <f>Calculations!K225</f>
        <v>Credit Enhancement</v>
      </c>
      <c r="B185" s="106">
        <f>Calculations!L225</f>
        <v>0</v>
      </c>
      <c r="E185" s="106">
        <f>Calculations!M225</f>
        <v>0</v>
      </c>
      <c r="F185" s="106"/>
      <c r="G185" s="106">
        <f>Calculations!N225</f>
        <v>0</v>
      </c>
      <c r="I185" s="88"/>
      <c r="J185" s="88"/>
      <c r="K185" s="88"/>
    </row>
    <row r="186" spans="1:11">
      <c r="A186" s="164" t="str">
        <f>Calculations!K226</f>
        <v>Title &amp; Recording</v>
      </c>
      <c r="B186" s="106">
        <f>Calculations!L226</f>
        <v>0</v>
      </c>
      <c r="E186" s="106">
        <f>Calculations!M226</f>
        <v>0</v>
      </c>
      <c r="F186" s="106"/>
      <c r="G186" s="106">
        <f>Calculations!N226</f>
        <v>0</v>
      </c>
      <c r="I186" s="88"/>
      <c r="J186" s="88"/>
      <c r="K186" s="88"/>
    </row>
    <row r="187" spans="1:11">
      <c r="A187" s="164" t="str">
        <f>Calculations!K228</f>
        <v>Legal Fees</v>
      </c>
      <c r="B187" s="106">
        <f>Calculations!L228</f>
        <v>0</v>
      </c>
      <c r="E187" s="106">
        <f>Calculations!M228</f>
        <v>0</v>
      </c>
      <c r="F187" s="106"/>
      <c r="G187" s="106">
        <f>Calculations!N228</f>
        <v>0</v>
      </c>
      <c r="I187" s="88"/>
      <c r="J187" s="88"/>
      <c r="K187" s="88"/>
    </row>
    <row r="188" spans="1:11">
      <c r="A188" s="164" t="str">
        <f>Calculations!K229</f>
        <v>Prepaid MIP</v>
      </c>
      <c r="B188" s="106">
        <f>Calculations!L229</f>
        <v>0</v>
      </c>
      <c r="E188" s="106">
        <f>Calculations!M229</f>
        <v>0</v>
      </c>
      <c r="F188" s="106"/>
      <c r="G188" s="106">
        <f>Calculations!N229</f>
        <v>0</v>
      </c>
      <c r="I188" s="88"/>
      <c r="J188" s="88"/>
      <c r="K188" s="88"/>
    </row>
    <row r="189" spans="1:11">
      <c r="A189" s="164" t="str">
        <f>Calculations!K230</f>
        <v>Other (Specify)</v>
      </c>
      <c r="B189" s="106">
        <f>Calculations!L230</f>
        <v>0</v>
      </c>
      <c r="E189" s="106">
        <f>Calculations!M230</f>
        <v>0</v>
      </c>
      <c r="F189" s="106"/>
      <c r="G189" s="106">
        <f>Calculations!N230</f>
        <v>0</v>
      </c>
      <c r="I189" s="88"/>
      <c r="J189" s="88"/>
      <c r="K189" s="88"/>
    </row>
    <row r="190" spans="1:11">
      <c r="A190" s="164" t="str">
        <f>Calculations!K231</f>
        <v>Other (Specify)</v>
      </c>
      <c r="B190" s="106">
        <f>Calculations!L231</f>
        <v>0</v>
      </c>
      <c r="E190" s="106">
        <f>Calculations!M231</f>
        <v>0</v>
      </c>
      <c r="F190" s="106"/>
      <c r="G190" s="106">
        <f>Calculations!N231</f>
        <v>0</v>
      </c>
      <c r="I190" s="88"/>
      <c r="J190" s="88"/>
      <c r="K190" s="88"/>
    </row>
    <row r="191" spans="1:11">
      <c r="A191" s="164" t="str">
        <f>Calculations!K232</f>
        <v>Other (Specify)</v>
      </c>
      <c r="B191" s="193">
        <f>Calculations!L232</f>
        <v>0</v>
      </c>
      <c r="E191" s="193">
        <f>Calculations!M232</f>
        <v>0</v>
      </c>
      <c r="F191" s="193"/>
      <c r="G191" s="193">
        <f>Calculations!N232</f>
        <v>0</v>
      </c>
      <c r="I191" s="88"/>
      <c r="J191" s="88"/>
      <c r="K191" s="88"/>
    </row>
    <row r="192" spans="1:11">
      <c r="A192" s="164"/>
      <c r="B192" s="105">
        <f>Calculations!L233</f>
        <v>0</v>
      </c>
      <c r="E192" s="132">
        <f>Calculations!M233</f>
        <v>0</v>
      </c>
      <c r="F192" s="132"/>
      <c r="G192" s="132">
        <f>Calculations!N233</f>
        <v>0</v>
      </c>
      <c r="I192" s="88"/>
      <c r="J192" s="88"/>
      <c r="K192" s="88"/>
    </row>
    <row r="193" spans="1:11">
      <c r="A193" s="192" t="str">
        <f>Calculations!K234</f>
        <v>Soft Costs</v>
      </c>
      <c r="B193" s="135"/>
      <c r="E193" s="135"/>
      <c r="F193" s="135"/>
      <c r="G193" s="135"/>
      <c r="I193" s="88"/>
      <c r="J193" s="88"/>
      <c r="K193" s="88"/>
    </row>
    <row r="194" spans="1:11">
      <c r="A194" s="164" t="str">
        <f>Calculations!K235</f>
        <v>Feasibility Study</v>
      </c>
      <c r="B194" s="106">
        <f>Calculations!L235</f>
        <v>0</v>
      </c>
      <c r="E194" s="106">
        <f>Calculations!M235</f>
        <v>0</v>
      </c>
      <c r="F194" s="106"/>
      <c r="G194" s="106">
        <f>Calculations!N235</f>
        <v>0</v>
      </c>
      <c r="I194" s="88"/>
      <c r="J194" s="88"/>
      <c r="K194" s="88"/>
    </row>
    <row r="195" spans="1:11">
      <c r="A195" s="164" t="str">
        <f>Calculations!K236</f>
        <v>Market Study</v>
      </c>
      <c r="B195" s="106">
        <f>Calculations!L236</f>
        <v>0</v>
      </c>
      <c r="E195" s="106">
        <f>Calculations!M236</f>
        <v>0</v>
      </c>
      <c r="F195" s="106"/>
      <c r="G195" s="106">
        <f>Calculations!N236</f>
        <v>0</v>
      </c>
      <c r="I195" s="88"/>
      <c r="J195" s="88"/>
      <c r="K195" s="88"/>
    </row>
    <row r="196" spans="1:11">
      <c r="A196" s="164" t="str">
        <f>Calculations!K237</f>
        <v>Environmental Study</v>
      </c>
      <c r="B196" s="106">
        <f>Calculations!L237</f>
        <v>0</v>
      </c>
      <c r="E196" s="106">
        <f>Calculations!M237</f>
        <v>0</v>
      </c>
      <c r="F196" s="106"/>
      <c r="G196" s="106">
        <f>Calculations!N237</f>
        <v>0</v>
      </c>
      <c r="I196" s="88"/>
      <c r="J196" s="88"/>
      <c r="K196" s="88"/>
    </row>
    <row r="197" spans="1:11">
      <c r="A197" s="164" t="str">
        <f>Calculations!K238</f>
        <v>Tax Credit Fees</v>
      </c>
      <c r="B197" s="106">
        <f>Calculations!L238</f>
        <v>0</v>
      </c>
      <c r="E197" s="106">
        <f>Calculations!M238</f>
        <v>0</v>
      </c>
      <c r="F197" s="106"/>
      <c r="G197" s="106">
        <f>Calculations!N238</f>
        <v>0</v>
      </c>
      <c r="I197" s="88"/>
      <c r="J197" s="88"/>
      <c r="K197" s="88"/>
    </row>
    <row r="198" spans="1:11">
      <c r="A198" s="164" t="str">
        <f>Calculations!K239</f>
        <v>Compliance Fees</v>
      </c>
      <c r="B198" s="106">
        <f>Calculations!L239</f>
        <v>0</v>
      </c>
      <c r="E198" s="106">
        <f>Calculations!M239</f>
        <v>0</v>
      </c>
      <c r="F198" s="106"/>
      <c r="G198" s="106">
        <f>Calculations!N239</f>
        <v>0</v>
      </c>
      <c r="I198" s="88"/>
      <c r="J198" s="88"/>
      <c r="K198" s="88"/>
    </row>
    <row r="199" spans="1:11">
      <c r="A199" s="164" t="str">
        <f>Calculations!K240</f>
        <v>Appraisal</v>
      </c>
      <c r="B199" s="106">
        <f>Calculations!L240</f>
        <v>0</v>
      </c>
      <c r="E199" s="106">
        <f>Calculations!M240</f>
        <v>0</v>
      </c>
      <c r="F199" s="106"/>
      <c r="G199" s="106">
        <f>Calculations!N240</f>
        <v>0</v>
      </c>
      <c r="I199" s="88"/>
      <c r="J199" s="88"/>
      <c r="K199" s="88"/>
    </row>
    <row r="200" spans="1:11">
      <c r="A200" s="164" t="str">
        <f>Calculations!K241</f>
        <v>Cost Certification</v>
      </c>
      <c r="B200" s="106">
        <f>Calculations!L241</f>
        <v>0</v>
      </c>
      <c r="E200" s="106">
        <f>Calculations!M241</f>
        <v>0</v>
      </c>
      <c r="F200" s="106"/>
      <c r="G200" s="106">
        <f>Calculations!N241</f>
        <v>0</v>
      </c>
      <c r="I200" s="88"/>
      <c r="J200" s="88"/>
      <c r="K200" s="88"/>
    </row>
    <row r="201" spans="1:11">
      <c r="A201" s="164" t="str">
        <f>Calculations!K242</f>
        <v>Other (Specify)</v>
      </c>
      <c r="B201" s="106">
        <f>Calculations!L242</f>
        <v>0</v>
      </c>
      <c r="E201" s="106">
        <f>Calculations!M242</f>
        <v>0</v>
      </c>
      <c r="F201" s="106"/>
      <c r="G201" s="106">
        <f>Calculations!N242</f>
        <v>0</v>
      </c>
      <c r="I201" s="88"/>
      <c r="J201" s="88"/>
      <c r="K201" s="88"/>
    </row>
    <row r="202" spans="1:11">
      <c r="A202" s="164" t="str">
        <f>Calculations!K243</f>
        <v>Other (Specify)</v>
      </c>
      <c r="B202" s="106">
        <f>Calculations!L243</f>
        <v>0</v>
      </c>
      <c r="E202" s="106">
        <f>Calculations!M243</f>
        <v>0</v>
      </c>
      <c r="F202" s="106"/>
      <c r="G202" s="106">
        <f>Calculations!N243</f>
        <v>0</v>
      </c>
      <c r="I202" s="88"/>
      <c r="J202" s="88"/>
      <c r="K202" s="88"/>
    </row>
    <row r="203" spans="1:11">
      <c r="A203" s="164" t="str">
        <f>Calculations!K244</f>
        <v>Other (Specify)</v>
      </c>
      <c r="B203" s="193">
        <f>Calculations!L244</f>
        <v>0</v>
      </c>
      <c r="E203" s="193">
        <f>Calculations!M244</f>
        <v>0</v>
      </c>
      <c r="F203" s="193"/>
      <c r="G203" s="193">
        <f>Calculations!N244</f>
        <v>0</v>
      </c>
      <c r="I203" s="88"/>
      <c r="J203" s="88"/>
      <c r="K203" s="88"/>
    </row>
    <row r="204" spans="1:11">
      <c r="A204" s="164"/>
      <c r="B204" s="105">
        <f>Calculations!L245</f>
        <v>0</v>
      </c>
      <c r="E204" s="132">
        <f>Calculations!M245</f>
        <v>0</v>
      </c>
      <c r="F204" s="132"/>
      <c r="G204" s="132">
        <f>Calculations!N245</f>
        <v>0</v>
      </c>
      <c r="I204" s="88"/>
      <c r="J204" s="88"/>
      <c r="K204" s="88"/>
    </row>
    <row r="205" spans="1:11">
      <c r="A205" s="192" t="str">
        <f>Calculations!K246</f>
        <v>Syndication Costs</v>
      </c>
      <c r="B205" s="135"/>
      <c r="E205" s="135"/>
      <c r="F205" s="135"/>
      <c r="G205" s="135"/>
      <c r="I205" s="88"/>
      <c r="J205" s="88"/>
      <c r="K205" s="88"/>
    </row>
    <row r="206" spans="1:11">
      <c r="A206" s="164" t="str">
        <f>Calculations!K247</f>
        <v>Organization Costs</v>
      </c>
      <c r="B206" s="106">
        <f>Calculations!L247</f>
        <v>0</v>
      </c>
      <c r="E206" s="106">
        <f>Calculations!M247</f>
        <v>0</v>
      </c>
      <c r="F206" s="106"/>
      <c r="G206" s="106">
        <f>Calculations!N247</f>
        <v>0</v>
      </c>
      <c r="I206" s="88"/>
      <c r="J206" s="88"/>
      <c r="K206" s="88"/>
    </row>
    <row r="207" spans="1:11">
      <c r="A207" s="164" t="str">
        <f>Calculations!K248</f>
        <v>Bridge Loan</v>
      </c>
      <c r="B207" s="106">
        <f>Calculations!L248</f>
        <v>0</v>
      </c>
      <c r="E207" s="106">
        <f>Calculations!M248</f>
        <v>0</v>
      </c>
      <c r="F207" s="106"/>
      <c r="G207" s="106">
        <f>Calculations!N248</f>
        <v>0</v>
      </c>
      <c r="I207" s="88"/>
      <c r="J207" s="88"/>
      <c r="K207" s="88"/>
    </row>
    <row r="208" spans="1:11">
      <c r="A208" s="164" t="str">
        <f>Calculations!K249</f>
        <v>Tax Opinion</v>
      </c>
      <c r="B208" s="106">
        <f>Calculations!L249</f>
        <v>0</v>
      </c>
      <c r="E208" s="106">
        <f>Calculations!M249</f>
        <v>0</v>
      </c>
      <c r="F208" s="106"/>
      <c r="G208" s="106">
        <f>Calculations!N249</f>
        <v>0</v>
      </c>
      <c r="I208" s="88"/>
      <c r="J208" s="88"/>
      <c r="K208" s="88"/>
    </row>
    <row r="209" spans="1:11">
      <c r="A209" s="164" t="str">
        <f>Calculations!K250</f>
        <v>Other (Specify)</v>
      </c>
      <c r="B209" s="106">
        <f>Calculations!L250</f>
        <v>0</v>
      </c>
      <c r="E209" s="106">
        <f>Calculations!M250</f>
        <v>0</v>
      </c>
      <c r="F209" s="106"/>
      <c r="G209" s="106">
        <f>Calculations!N250</f>
        <v>0</v>
      </c>
      <c r="I209" s="88"/>
      <c r="J209" s="88"/>
      <c r="K209" s="88"/>
    </row>
    <row r="210" spans="1:11">
      <c r="A210" s="164" t="str">
        <f>Calculations!K251</f>
        <v>Other (Specify)</v>
      </c>
      <c r="B210" s="106">
        <f>Calculations!L251</f>
        <v>0</v>
      </c>
      <c r="E210" s="106">
        <f>Calculations!M251</f>
        <v>0</v>
      </c>
      <c r="F210" s="106"/>
      <c r="G210" s="106">
        <f>Calculations!N251</f>
        <v>0</v>
      </c>
      <c r="I210" s="88"/>
      <c r="J210" s="88"/>
      <c r="K210" s="88"/>
    </row>
    <row r="211" spans="1:11">
      <c r="A211" s="164" t="str">
        <f>Calculations!K252</f>
        <v>Other - Accounting</v>
      </c>
      <c r="B211" s="193">
        <f>Calculations!L252</f>
        <v>0</v>
      </c>
      <c r="E211" s="193">
        <f>Calculations!M252</f>
        <v>0</v>
      </c>
      <c r="F211" s="193"/>
      <c r="G211" s="193">
        <f>Calculations!N252</f>
        <v>0</v>
      </c>
      <c r="I211" s="88"/>
      <c r="J211" s="88"/>
      <c r="K211" s="88"/>
    </row>
    <row r="212" spans="1:11">
      <c r="A212" s="164"/>
      <c r="B212" s="105">
        <f>Calculations!L253</f>
        <v>0</v>
      </c>
      <c r="E212" s="132">
        <f>Calculations!M253</f>
        <v>0</v>
      </c>
      <c r="F212" s="132"/>
      <c r="G212" s="132">
        <f>Calculations!N253</f>
        <v>0</v>
      </c>
      <c r="I212" s="88"/>
      <c r="J212" s="88"/>
      <c r="K212" s="88"/>
    </row>
    <row r="213" spans="1:11">
      <c r="A213" s="192" t="str">
        <f>Calculations!K254</f>
        <v>Developer Fees</v>
      </c>
      <c r="B213" s="135"/>
      <c r="E213" s="135"/>
      <c r="F213" s="135"/>
      <c r="G213" s="135"/>
      <c r="I213" s="88"/>
      <c r="J213" s="88"/>
      <c r="K213" s="88"/>
    </row>
    <row r="214" spans="1:11">
      <c r="A214" s="164" t="str">
        <f>Calculations!K255</f>
        <v>Developer Fee</v>
      </c>
      <c r="B214" s="106">
        <f>Calculations!L255</f>
        <v>0</v>
      </c>
      <c r="E214" s="106">
        <f>Calculations!M255</f>
        <v>0</v>
      </c>
      <c r="F214" s="106"/>
      <c r="G214" s="106">
        <f>Calculations!N255</f>
        <v>0</v>
      </c>
      <c r="I214" s="88"/>
      <c r="J214" s="88"/>
      <c r="K214" s="88"/>
    </row>
    <row r="215" spans="1:11">
      <c r="A215" s="164" t="str">
        <f>Calculations!K256</f>
        <v>Developer Overhead</v>
      </c>
      <c r="B215" s="106">
        <f>Calculations!L256</f>
        <v>0</v>
      </c>
      <c r="E215" s="106">
        <f>Calculations!M256</f>
        <v>0</v>
      </c>
      <c r="F215" s="106"/>
      <c r="G215" s="106">
        <f>Calculations!N256</f>
        <v>0</v>
      </c>
      <c r="I215" s="88"/>
      <c r="J215" s="88"/>
      <c r="K215" s="88"/>
    </row>
    <row r="216" spans="1:11">
      <c r="A216" s="164" t="str">
        <f>Calculations!K257</f>
        <v>Developer Profit</v>
      </c>
      <c r="B216" s="106">
        <f>Calculations!L257</f>
        <v>0</v>
      </c>
      <c r="E216" s="106">
        <f>Calculations!M257</f>
        <v>0</v>
      </c>
      <c r="F216" s="106"/>
      <c r="G216" s="106">
        <f>Calculations!N257</f>
        <v>0</v>
      </c>
      <c r="I216" s="88"/>
      <c r="J216" s="88"/>
      <c r="K216" s="88"/>
    </row>
    <row r="217" spans="1:11">
      <c r="A217" s="164" t="str">
        <f>Calculations!K258</f>
        <v>Other (Specify)</v>
      </c>
      <c r="B217" s="193">
        <f>Calculations!L258</f>
        <v>0</v>
      </c>
      <c r="E217" s="193">
        <f>Calculations!M258</f>
        <v>0</v>
      </c>
      <c r="F217" s="193"/>
      <c r="G217" s="193">
        <f>Calculations!N258</f>
        <v>0</v>
      </c>
      <c r="I217" s="88"/>
      <c r="J217" s="88"/>
      <c r="K217" s="88"/>
    </row>
    <row r="218" spans="1:11">
      <c r="A218" s="164"/>
      <c r="B218" s="105">
        <f>Calculations!L259</f>
        <v>0</v>
      </c>
      <c r="E218" s="132">
        <f>Calculations!M259</f>
        <v>0</v>
      </c>
      <c r="F218" s="132"/>
      <c r="G218" s="132">
        <f>Calculations!N259</f>
        <v>0</v>
      </c>
      <c r="I218" s="88"/>
      <c r="J218" s="88"/>
      <c r="K218" s="88"/>
    </row>
    <row r="219" spans="1:11">
      <c r="A219" s="192" t="str">
        <f>Calculations!K260</f>
        <v>Project Reserves</v>
      </c>
      <c r="B219" s="135"/>
      <c r="E219" s="135"/>
      <c r="F219" s="135"/>
      <c r="G219" s="135"/>
      <c r="I219" s="88"/>
      <c r="J219" s="88"/>
      <c r="K219" s="88"/>
    </row>
    <row r="220" spans="1:11">
      <c r="A220" s="164" t="str">
        <f>Calculations!K261</f>
        <v>Rent-up Reserves</v>
      </c>
      <c r="B220" s="106">
        <f>Calculations!L261</f>
        <v>0</v>
      </c>
      <c r="E220" s="106">
        <f>Calculations!M261</f>
        <v>0</v>
      </c>
      <c r="F220" s="106"/>
      <c r="G220" s="106">
        <f>Calculations!N261</f>
        <v>0</v>
      </c>
      <c r="I220" s="88"/>
      <c r="J220" s="88"/>
      <c r="K220" s="88"/>
    </row>
    <row r="221" spans="1:11">
      <c r="A221" s="164" t="str">
        <f>Calculations!K262</f>
        <v>Operating Reserves</v>
      </c>
      <c r="B221" s="106">
        <f>Calculations!L262</f>
        <v>0</v>
      </c>
      <c r="E221" s="106">
        <f>Calculations!M262</f>
        <v>0</v>
      </c>
      <c r="F221" s="106"/>
      <c r="G221" s="106">
        <f>Calculations!N262</f>
        <v>0</v>
      </c>
      <c r="I221" s="88"/>
      <c r="J221" s="88"/>
      <c r="K221" s="88"/>
    </row>
    <row r="222" spans="1:11">
      <c r="A222" s="164" t="str">
        <f>Calculations!K263</f>
        <v>Replacement Reserves</v>
      </c>
      <c r="B222" s="106">
        <f>Calculations!L263</f>
        <v>0</v>
      </c>
      <c r="E222" s="106">
        <f>Calculations!M263</f>
        <v>0</v>
      </c>
      <c r="F222" s="106"/>
      <c r="G222" s="106">
        <f>Calculations!N263</f>
        <v>0</v>
      </c>
      <c r="I222" s="88"/>
      <c r="J222" s="88"/>
      <c r="K222" s="88"/>
    </row>
    <row r="223" spans="1:11">
      <c r="A223" s="164" t="str">
        <f>Calculations!K264</f>
        <v>Escrows</v>
      </c>
      <c r="B223" s="106">
        <f>Calculations!L264</f>
        <v>0</v>
      </c>
      <c r="E223" s="106">
        <f>Calculations!M264</f>
        <v>0</v>
      </c>
      <c r="F223" s="106"/>
      <c r="G223" s="106">
        <f>Calculations!N264</f>
        <v>0</v>
      </c>
      <c r="I223" s="88"/>
      <c r="J223" s="88"/>
      <c r="K223" s="88"/>
    </row>
    <row r="224" spans="1:11">
      <c r="A224" s="164" t="str">
        <f>Calculations!K265</f>
        <v>Other (Specify)</v>
      </c>
      <c r="B224" s="193">
        <f>Calculations!L265</f>
        <v>0</v>
      </c>
      <c r="E224" s="193">
        <f>Calculations!M265</f>
        <v>0</v>
      </c>
      <c r="F224" s="193"/>
      <c r="G224" s="193">
        <f>Calculations!N265</f>
        <v>0</v>
      </c>
      <c r="I224" s="88"/>
      <c r="J224" s="88"/>
      <c r="K224" s="88"/>
    </row>
    <row r="225" spans="1:11" ht="15.75" thickBot="1">
      <c r="A225" s="192"/>
      <c r="B225" s="105">
        <f>Calculations!L266</f>
        <v>0</v>
      </c>
      <c r="E225" s="132">
        <f>Calculations!M266</f>
        <v>0</v>
      </c>
      <c r="F225" s="132"/>
      <c r="G225" s="132">
        <f>Calculations!N266</f>
        <v>0</v>
      </c>
      <c r="I225" s="88"/>
      <c r="J225" s="88"/>
      <c r="K225" s="88"/>
    </row>
    <row r="226" spans="1:11" ht="15.75" thickTop="1">
      <c r="A226" s="68" t="s">
        <v>1031</v>
      </c>
      <c r="B226" s="198">
        <f>Calculations!L267</f>
        <v>0</v>
      </c>
      <c r="E226" s="198">
        <f>Calculations!M267</f>
        <v>0</v>
      </c>
      <c r="F226" s="198"/>
      <c r="G226" s="198">
        <f>Calculations!N267</f>
        <v>0</v>
      </c>
      <c r="I226" s="88"/>
      <c r="J226" s="88"/>
      <c r="K226" s="88"/>
    </row>
  </sheetData>
  <sheetProtection algorithmName="SHA-512" hashValue="qs5WP70rbjFe2L6PESMshemNkyyGtS2qBdo9cB6UdzsYs8CUqg9RmRWM8HS6drE2IlC+rRKjTl8dc2CeR9jEZA==" saltValue="I8i7ZFeGFxB4449wFB3S1A==" spinCount="100000" sheet="1" objects="1" scenarios="1"/>
  <mergeCells count="5">
    <mergeCell ref="A129:I129"/>
    <mergeCell ref="J125:K125"/>
    <mergeCell ref="J122:K124"/>
    <mergeCell ref="H127:I127"/>
    <mergeCell ref="A1:I1"/>
  </mergeCells>
  <printOptions horizontalCentered="1"/>
  <pageMargins left="0.25" right="0.25" top="0.75" bottom="0.75" header="0.3" footer="0.3"/>
  <pageSetup scale="81" orientation="landscape" r:id="rId1"/>
  <rowBreaks count="6" manualBreakCount="6">
    <brk id="29" max="8" man="1"/>
    <brk id="64" max="8" man="1"/>
    <brk id="99" max="8" man="1"/>
    <brk id="128" max="8" man="1"/>
    <brk id="162" max="8" man="1"/>
    <brk id="192"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66FFFF"/>
    <pageSetUpPr fitToPage="1"/>
  </sheetPr>
  <dimension ref="A1:R101"/>
  <sheetViews>
    <sheetView zoomScaleNormal="100" workbookViewId="0"/>
  </sheetViews>
  <sheetFormatPr defaultColWidth="9" defaultRowHeight="15"/>
  <cols>
    <col min="1" max="1" width="5.85546875" style="325" customWidth="1"/>
    <col min="2" max="2" width="38.140625" style="325" customWidth="1"/>
    <col min="3" max="3" width="23" style="325" customWidth="1"/>
    <col min="4" max="4" width="28" style="656" customWidth="1"/>
    <col min="5" max="5" width="27.7109375" style="325" customWidth="1"/>
    <col min="6" max="6" width="26" style="325" customWidth="1"/>
    <col min="7" max="7" width="19.85546875" style="325" customWidth="1"/>
    <col min="8" max="8" width="32.5703125" style="325" customWidth="1"/>
    <col min="9" max="9" width="16.5703125" style="325" customWidth="1"/>
    <col min="10" max="24" width="14.5703125" style="325" customWidth="1"/>
    <col min="25" max="16384" width="9" style="325"/>
  </cols>
  <sheetData>
    <row r="1" spans="1:11" ht="15.75">
      <c r="A1"/>
      <c r="B1"/>
      <c r="C1"/>
      <c r="D1" s="77"/>
      <c r="E1"/>
      <c r="F1"/>
      <c r="G1"/>
      <c r="H1"/>
      <c r="I1"/>
      <c r="J1" s="657"/>
    </row>
    <row r="2" spans="1:11" ht="20.25">
      <c r="A2" s="562"/>
      <c r="B2" s="563" t="s">
        <v>1032</v>
      </c>
      <c r="C2" s="564"/>
      <c r="D2" s="648"/>
      <c r="E2"/>
      <c r="F2" s="693" t="s">
        <v>1033</v>
      </c>
      <c r="G2" s="694"/>
      <c r="H2" s="579"/>
      <c r="I2"/>
      <c r="J2" s="326"/>
    </row>
    <row r="3" spans="1:11" ht="18">
      <c r="A3" s="562"/>
      <c r="B3" s="562" t="s">
        <v>1034</v>
      </c>
      <c r="C3" s="841">
        <f>Application!B29</f>
        <v>0</v>
      </c>
      <c r="D3" s="649"/>
      <c r="E3" s="565"/>
      <c r="F3" s="565"/>
      <c r="G3"/>
      <c r="H3" s="566"/>
      <c r="I3"/>
      <c r="J3" s="657"/>
    </row>
    <row r="4" spans="1:11" ht="18">
      <c r="A4" s="562"/>
      <c r="B4" s="562" t="s">
        <v>1035</v>
      </c>
      <c r="C4" s="567">
        <f ca="1">TODAY()</f>
        <v>45679</v>
      </c>
      <c r="D4" s="649"/>
      <c r="E4" s="562"/>
      <c r="F4"/>
      <c r="G4"/>
      <c r="H4" s="579"/>
      <c r="I4"/>
      <c r="J4" s="326"/>
    </row>
    <row r="5" spans="1:11" ht="18">
      <c r="A5" s="562"/>
      <c r="B5" s="562" t="s">
        <v>1036</v>
      </c>
      <c r="C5" s="841">
        <f>'Contact Information'!B4</f>
        <v>0</v>
      </c>
      <c r="D5" s="649"/>
      <c r="E5" s="564"/>
      <c r="F5"/>
      <c r="G5"/>
      <c r="H5" s="579"/>
      <c r="I5"/>
      <c r="J5" s="326"/>
    </row>
    <row r="6" spans="1:11" ht="18">
      <c r="A6" s="568"/>
      <c r="B6" s="568" t="s">
        <v>1037</v>
      </c>
      <c r="C6" s="840">
        <v>44835</v>
      </c>
      <c r="D6" s="649"/>
      <c r="E6" s="562"/>
      <c r="F6"/>
      <c r="G6"/>
      <c r="H6" s="579"/>
      <c r="I6"/>
      <c r="J6" s="326"/>
    </row>
    <row r="7" spans="1:11" ht="15.6" customHeight="1">
      <c r="A7"/>
      <c r="B7" s="568" t="s">
        <v>1038</v>
      </c>
      <c r="C7" s="662">
        <f>Calculations!B14</f>
        <v>0</v>
      </c>
      <c r="D7" s="77"/>
      <c r="E7"/>
      <c r="F7" s="695"/>
      <c r="G7"/>
      <c r="H7" s="579"/>
      <c r="I7"/>
      <c r="J7" s="326"/>
    </row>
    <row r="8" spans="1:11" ht="15.6" customHeight="1" thickBot="1">
      <c r="A8" s="569"/>
      <c r="B8" s="569"/>
      <c r="C8" s="569"/>
      <c r="D8" s="77"/>
      <c r="E8"/>
      <c r="F8"/>
      <c r="G8"/>
      <c r="H8" s="579"/>
      <c r="I8"/>
      <c r="J8" s="326"/>
    </row>
    <row r="9" spans="1:11" ht="15.6" customHeight="1" thickTop="1">
      <c r="A9" s="696"/>
      <c r="B9" s="570" t="s">
        <v>41</v>
      </c>
      <c r="C9" s="571"/>
      <c r="D9" s="650" t="s">
        <v>1039</v>
      </c>
      <c r="E9" s="572" t="s">
        <v>1040</v>
      </c>
      <c r="F9" s="573" t="s">
        <v>1041</v>
      </c>
      <c r="G9" s="564"/>
      <c r="H9" s="697" t="s">
        <v>1042</v>
      </c>
      <c r="I9" s="658">
        <f>Calculations!H60</f>
        <v>0</v>
      </c>
      <c r="J9" s="328"/>
    </row>
    <row r="10" spans="1:11" ht="15.6" customHeight="1">
      <c r="A10" s="569"/>
      <c r="B10" s="698" t="s">
        <v>1043</v>
      </c>
      <c r="C10" s="574"/>
      <c r="D10" s="651"/>
      <c r="E10" s="575"/>
      <c r="F10" s="576"/>
      <c r="G10" s="564"/>
      <c r="H10" s="699" t="s">
        <v>1044</v>
      </c>
      <c r="I10" s="577">
        <f>Calculations!M53</f>
        <v>0</v>
      </c>
      <c r="J10" s="328"/>
    </row>
    <row r="11" spans="1:11" ht="15.75">
      <c r="A11" s="579"/>
      <c r="B11" s="578" t="s">
        <v>1045</v>
      </c>
      <c r="C11" s="579"/>
      <c r="D11" s="790">
        <f>Calculations!B172</f>
        <v>0</v>
      </c>
      <c r="E11" s="580" t="e">
        <f t="shared" ref="E11:E12" si="0">(D11/$I$12)</f>
        <v>#DIV/0!</v>
      </c>
      <c r="F11" s="581" t="e">
        <f t="shared" ref="F11:F12" si="1">(D11/$I$11)</f>
        <v>#DIV/0!</v>
      </c>
      <c r="G11" s="564"/>
      <c r="H11" s="699" t="s">
        <v>1046</v>
      </c>
      <c r="I11" s="582">
        <f>I9+I10</f>
        <v>0</v>
      </c>
      <c r="J11" s="328"/>
      <c r="K11" s="327"/>
    </row>
    <row r="12" spans="1:11" ht="16.5" thickBot="1">
      <c r="A12" s="579"/>
      <c r="B12" s="578" t="s">
        <v>404</v>
      </c>
      <c r="C12" s="579"/>
      <c r="D12" s="790">
        <f>Calculations!B173</f>
        <v>0</v>
      </c>
      <c r="E12" s="580" t="e">
        <f t="shared" si="0"/>
        <v>#DIV/0!</v>
      </c>
      <c r="F12" s="581" t="e">
        <f t="shared" si="1"/>
        <v>#DIV/0!</v>
      </c>
      <c r="G12" s="564"/>
      <c r="H12" s="700" t="s">
        <v>893</v>
      </c>
      <c r="I12" s="659">
        <f>'Income+Expense'!D43</f>
        <v>0</v>
      </c>
      <c r="J12" s="326"/>
      <c r="K12" s="327"/>
    </row>
    <row r="13" spans="1:11" ht="16.5" thickTop="1">
      <c r="A13" s="569"/>
      <c r="B13" s="699" t="s">
        <v>1047</v>
      </c>
      <c r="C13" s="569"/>
      <c r="D13" s="652">
        <f t="shared" ref="D13:F13" si="2">SUM(D11:D12)</f>
        <v>0</v>
      </c>
      <c r="E13" s="701" t="e">
        <f t="shared" si="2"/>
        <v>#DIV/0!</v>
      </c>
      <c r="F13" s="702" t="e">
        <f t="shared" si="2"/>
        <v>#DIV/0!</v>
      </c>
      <c r="G13" s="564"/>
      <c r="H13" s="579"/>
      <c r="I13" s="564"/>
      <c r="J13" s="326"/>
      <c r="K13" s="327"/>
    </row>
    <row r="14" spans="1:11" ht="15.75">
      <c r="A14" s="569"/>
      <c r="B14" s="698" t="s">
        <v>1048</v>
      </c>
      <c r="C14" s="574"/>
      <c r="D14" s="651"/>
      <c r="E14" s="575"/>
      <c r="F14" s="576"/>
      <c r="G14" s="579"/>
      <c r="H14" s="579"/>
      <c r="I14" s="564"/>
      <c r="K14" s="327"/>
    </row>
    <row r="15" spans="1:11">
      <c r="A15" s="583"/>
      <c r="B15" s="578" t="s">
        <v>1049</v>
      </c>
      <c r="C15" s="579"/>
      <c r="D15" s="790">
        <f>Calculations!B177</f>
        <v>0</v>
      </c>
      <c r="E15" s="580" t="e">
        <f t="shared" ref="E15:E17" si="3">(D15/$I$12)</f>
        <v>#DIV/0!</v>
      </c>
      <c r="F15" s="581" t="e">
        <f t="shared" ref="F15:F17" si="4">(D15/$I$11)</f>
        <v>#DIV/0!</v>
      </c>
      <c r="G15" s="579"/>
      <c r="H15" s="579"/>
      <c r="I15" s="791" t="e">
        <f>I10/I11</f>
        <v>#DIV/0!</v>
      </c>
      <c r="K15" s="327"/>
    </row>
    <row r="16" spans="1:11">
      <c r="A16" s="583"/>
      <c r="B16" s="578" t="s">
        <v>1050</v>
      </c>
      <c r="C16" s="579"/>
      <c r="D16" s="790">
        <f>Calculations!B178</f>
        <v>0</v>
      </c>
      <c r="E16" s="580" t="e">
        <f t="shared" si="3"/>
        <v>#DIV/0!</v>
      </c>
      <c r="F16" s="581" t="e">
        <f t="shared" si="4"/>
        <v>#DIV/0!</v>
      </c>
      <c r="G16" s="579"/>
      <c r="H16" s="579"/>
      <c r="I16" s="564"/>
    </row>
    <row r="17" spans="1:11">
      <c r="A17" s="579"/>
      <c r="B17" s="578" t="s">
        <v>405</v>
      </c>
      <c r="C17" s="579"/>
      <c r="D17" s="790">
        <f>Calculations!B174</f>
        <v>0</v>
      </c>
      <c r="E17" s="580" t="e">
        <f t="shared" si="3"/>
        <v>#DIV/0!</v>
      </c>
      <c r="F17" s="581" t="e">
        <f t="shared" si="4"/>
        <v>#DIV/0!</v>
      </c>
      <c r="G17" s="579"/>
      <c r="H17" s="579"/>
      <c r="I17" s="564"/>
    </row>
    <row r="18" spans="1:11" ht="15.75">
      <c r="A18" s="569"/>
      <c r="B18" s="699" t="s">
        <v>1047</v>
      </c>
      <c r="C18" s="569"/>
      <c r="D18" s="652">
        <f t="shared" ref="D18:F18" si="5">SUM(D15:D17)</f>
        <v>0</v>
      </c>
      <c r="E18" s="701" t="e">
        <f t="shared" si="5"/>
        <v>#DIV/0!</v>
      </c>
      <c r="F18" s="702" t="e">
        <f t="shared" si="5"/>
        <v>#DIV/0!</v>
      </c>
      <c r="G18" s="579"/>
      <c r="H18" s="579"/>
      <c r="I18" s="564"/>
    </row>
    <row r="19" spans="1:11" ht="15.75">
      <c r="A19" s="569"/>
      <c r="B19" s="698" t="s">
        <v>1051</v>
      </c>
      <c r="C19" s="574"/>
      <c r="D19" s="651"/>
      <c r="E19" s="575"/>
      <c r="F19" s="576"/>
      <c r="G19" s="579"/>
      <c r="H19" s="579"/>
      <c r="I19" s="564"/>
    </row>
    <row r="20" spans="1:11">
      <c r="A20" s="583"/>
      <c r="B20" s="578" t="s">
        <v>1052</v>
      </c>
      <c r="C20" s="579"/>
      <c r="D20" s="790">
        <f>Calculations!B181</f>
        <v>0</v>
      </c>
      <c r="E20" s="580" t="e">
        <f t="shared" ref="E20:E28" si="6">(D20/$I$12)</f>
        <v>#DIV/0!</v>
      </c>
      <c r="F20" s="581" t="e">
        <f t="shared" ref="F20:F28" si="7">(D20/$I$11)</f>
        <v>#DIV/0!</v>
      </c>
      <c r="G20" s="579"/>
      <c r="H20" s="579"/>
      <c r="I20" s="564"/>
      <c r="K20" s="327"/>
    </row>
    <row r="21" spans="1:11">
      <c r="A21" s="583"/>
      <c r="B21" s="578" t="s">
        <v>411</v>
      </c>
      <c r="C21" s="579"/>
      <c r="D21" s="790">
        <f>Calculations!B182</f>
        <v>0</v>
      </c>
      <c r="E21" s="580" t="e">
        <f t="shared" si="6"/>
        <v>#DIV/0!</v>
      </c>
      <c r="F21" s="581" t="e">
        <f t="shared" si="7"/>
        <v>#DIV/0!</v>
      </c>
      <c r="G21" s="579"/>
      <c r="H21" s="579"/>
      <c r="I21" s="579"/>
      <c r="K21" s="327"/>
    </row>
    <row r="22" spans="1:11">
      <c r="A22" s="579"/>
      <c r="B22" s="578" t="s">
        <v>414</v>
      </c>
      <c r="C22" s="579"/>
      <c r="D22" s="790">
        <f>Calculations!B185</f>
        <v>0</v>
      </c>
      <c r="E22" s="580" t="e">
        <f t="shared" si="6"/>
        <v>#DIV/0!</v>
      </c>
      <c r="F22" s="581" t="e">
        <f t="shared" si="7"/>
        <v>#DIV/0!</v>
      </c>
      <c r="G22" s="579"/>
      <c r="H22" s="579"/>
      <c r="I22" s="564"/>
    </row>
    <row r="23" spans="1:11">
      <c r="A23" s="579"/>
      <c r="B23" s="578" t="s">
        <v>1053</v>
      </c>
      <c r="C23" s="579"/>
      <c r="D23" s="790">
        <f>Calculations!B186+Calculations!B187</f>
        <v>0</v>
      </c>
      <c r="E23" s="580" t="e">
        <f t="shared" si="6"/>
        <v>#DIV/0!</v>
      </c>
      <c r="F23" s="581" t="e">
        <f t="shared" si="7"/>
        <v>#DIV/0!</v>
      </c>
      <c r="G23" s="579"/>
      <c r="H23" s="579"/>
      <c r="I23" s="564"/>
    </row>
    <row r="24" spans="1:11">
      <c r="A24" s="579"/>
      <c r="B24" s="578" t="s">
        <v>417</v>
      </c>
      <c r="C24" s="579"/>
      <c r="D24" s="790">
        <f>Calculations!B188</f>
        <v>0</v>
      </c>
      <c r="E24" s="580" t="e">
        <f t="shared" si="6"/>
        <v>#DIV/0!</v>
      </c>
      <c r="F24" s="581" t="e">
        <f t="shared" si="7"/>
        <v>#DIV/0!</v>
      </c>
      <c r="G24" s="584" t="e">
        <f>+D24/(D15+D16+D17+D20+D21+D22+D23+D26)</f>
        <v>#DIV/0!</v>
      </c>
      <c r="H24" s="585" t="s">
        <v>1054</v>
      </c>
      <c r="I24" s="579"/>
      <c r="K24" s="327"/>
    </row>
    <row r="25" spans="1:11">
      <c r="A25" s="579"/>
      <c r="B25" s="578" t="s">
        <v>418</v>
      </c>
      <c r="C25" s="579"/>
      <c r="D25" s="790">
        <f>Calculations!B189</f>
        <v>0</v>
      </c>
      <c r="E25" s="580" t="e">
        <f t="shared" si="6"/>
        <v>#DIV/0!</v>
      </c>
      <c r="F25" s="581" t="e">
        <f t="shared" si="7"/>
        <v>#DIV/0!</v>
      </c>
      <c r="G25" s="584" t="e">
        <f>+D25/(D15+D16+D17+D20+D21+D22+D23+D26)</f>
        <v>#DIV/0!</v>
      </c>
      <c r="H25" s="585" t="s">
        <v>1054</v>
      </c>
      <c r="I25" s="579"/>
      <c r="K25" s="327"/>
    </row>
    <row r="26" spans="1:11">
      <c r="A26" s="579"/>
      <c r="B26" s="578" t="s">
        <v>1055</v>
      </c>
      <c r="C26" s="579"/>
      <c r="D26" s="790">
        <f>Calculations!B190</f>
        <v>0</v>
      </c>
      <c r="E26" s="580" t="e">
        <f t="shared" si="6"/>
        <v>#DIV/0!</v>
      </c>
      <c r="F26" s="581" t="e">
        <f t="shared" si="7"/>
        <v>#DIV/0!</v>
      </c>
      <c r="G26" s="586"/>
      <c r="H26" s="587"/>
      <c r="I26" s="579"/>
    </row>
    <row r="27" spans="1:11">
      <c r="A27" s="583"/>
      <c r="B27" s="578" t="s">
        <v>1056</v>
      </c>
      <c r="C27" s="588"/>
      <c r="D27" s="790">
        <f>Calculations!B191</f>
        <v>0</v>
      </c>
      <c r="E27" s="580" t="e">
        <f t="shared" si="6"/>
        <v>#DIV/0!</v>
      </c>
      <c r="F27" s="581" t="e">
        <f t="shared" si="7"/>
        <v>#DIV/0!</v>
      </c>
      <c r="G27" s="586"/>
      <c r="H27" s="587"/>
      <c r="I27" s="579"/>
    </row>
    <row r="28" spans="1:11">
      <c r="A28" s="579"/>
      <c r="B28" s="589" t="s">
        <v>1057</v>
      </c>
      <c r="C28" s="579"/>
      <c r="D28" s="790">
        <f>Calculations!B183+Calculations!B184+Calculations!B192+Calculations!B193+Calculations!B194</f>
        <v>0</v>
      </c>
      <c r="E28" s="580" t="e">
        <f t="shared" si="6"/>
        <v>#DIV/0!</v>
      </c>
      <c r="F28" s="581" t="e">
        <f t="shared" si="7"/>
        <v>#DIV/0!</v>
      </c>
      <c r="G28" s="586"/>
      <c r="H28" s="579"/>
      <c r="I28" s="579"/>
    </row>
    <row r="29" spans="1:11" ht="15.75">
      <c r="A29" s="569"/>
      <c r="B29" s="699" t="s">
        <v>1047</v>
      </c>
      <c r="C29" s="569"/>
      <c r="D29" s="652">
        <f t="shared" ref="D29:F29" si="8">SUM(D20:D28)</f>
        <v>0</v>
      </c>
      <c r="E29" s="701" t="e">
        <f t="shared" si="8"/>
        <v>#DIV/0!</v>
      </c>
      <c r="F29" s="702" t="e">
        <f t="shared" si="8"/>
        <v>#DIV/0!</v>
      </c>
      <c r="G29" s="564"/>
      <c r="H29" s="564"/>
      <c r="I29" s="564"/>
    </row>
    <row r="30" spans="1:11" ht="15.75">
      <c r="A30" s="569"/>
      <c r="B30" s="698" t="s">
        <v>1058</v>
      </c>
      <c r="C30" s="574"/>
      <c r="D30" s="651"/>
      <c r="E30" s="575"/>
      <c r="F30" s="576"/>
      <c r="G30" s="564"/>
      <c r="H30" s="564"/>
      <c r="I30" s="564"/>
    </row>
    <row r="31" spans="1:11">
      <c r="A31" s="579"/>
      <c r="B31" s="578" t="s">
        <v>1059</v>
      </c>
      <c r="C31" s="579"/>
      <c r="D31" s="790">
        <f>Calculations!B197+Calculations!B199</f>
        <v>0</v>
      </c>
      <c r="E31" s="580" t="e">
        <f t="shared" ref="E31:E38" si="9">(D31/$I$12)</f>
        <v>#DIV/0!</v>
      </c>
      <c r="F31" s="581" t="e">
        <f t="shared" ref="F31:F38" si="10">(D31/$I$11)</f>
        <v>#DIV/0!</v>
      </c>
      <c r="G31" s="590"/>
      <c r="H31" s="591"/>
      <c r="I31" s="564"/>
    </row>
    <row r="32" spans="1:11" ht="15.75">
      <c r="A32" s="579"/>
      <c r="B32" s="578" t="s">
        <v>1060</v>
      </c>
      <c r="C32" s="579"/>
      <c r="D32" s="790">
        <f>Calculations!B200+Calculations!B201+Calculations!B202</f>
        <v>0</v>
      </c>
      <c r="E32" s="580" t="e">
        <f t="shared" si="9"/>
        <v>#DIV/0!</v>
      </c>
      <c r="F32" s="581" t="e">
        <f t="shared" si="10"/>
        <v>#DIV/0!</v>
      </c>
      <c r="G32" s="564"/>
      <c r="H32" s="579"/>
      <c r="I32" s="564"/>
      <c r="J32" s="329"/>
    </row>
    <row r="33" spans="1:18">
      <c r="A33" s="579"/>
      <c r="B33" s="578" t="s">
        <v>1061</v>
      </c>
      <c r="C33" s="579"/>
      <c r="D33" s="790">
        <f>Calculations!B204</f>
        <v>0</v>
      </c>
      <c r="E33" s="580" t="e">
        <f t="shared" si="9"/>
        <v>#DIV/0!</v>
      </c>
      <c r="F33" s="581" t="e">
        <f t="shared" si="10"/>
        <v>#DIV/0!</v>
      </c>
      <c r="G33" s="564"/>
      <c r="H33" s="579"/>
      <c r="I33" s="564"/>
      <c r="J33" s="327"/>
    </row>
    <row r="34" spans="1:18">
      <c r="A34" s="579"/>
      <c r="B34" s="578" t="s">
        <v>1062</v>
      </c>
      <c r="C34" s="579"/>
      <c r="D34" s="790">
        <f>Calculations!B203</f>
        <v>0</v>
      </c>
      <c r="E34" s="580" t="e">
        <f t="shared" si="9"/>
        <v>#DIV/0!</v>
      </c>
      <c r="F34" s="581" t="e">
        <f t="shared" si="10"/>
        <v>#DIV/0!</v>
      </c>
      <c r="G34" s="564"/>
      <c r="H34" s="579"/>
      <c r="I34" s="564"/>
      <c r="J34" s="327"/>
    </row>
    <row r="35" spans="1:18">
      <c r="A35" s="579"/>
      <c r="B35" s="578" t="s">
        <v>1063</v>
      </c>
      <c r="C35" s="579"/>
      <c r="D35" s="790">
        <f>Calculations!B205+Calculations!B206</f>
        <v>0</v>
      </c>
      <c r="E35" s="580" t="e">
        <f t="shared" si="9"/>
        <v>#DIV/0!</v>
      </c>
      <c r="F35" s="581" t="e">
        <f t="shared" si="10"/>
        <v>#DIV/0!</v>
      </c>
      <c r="G35" s="564"/>
      <c r="H35" s="579"/>
      <c r="I35" s="564"/>
      <c r="J35" s="327"/>
    </row>
    <row r="36" spans="1:18">
      <c r="A36" s="583"/>
      <c r="B36" s="578" t="s">
        <v>1064</v>
      </c>
      <c r="C36" s="579"/>
      <c r="D36" s="790">
        <f>Calculations!B198</f>
        <v>0</v>
      </c>
      <c r="E36" s="580" t="e">
        <f t="shared" si="9"/>
        <v>#DIV/0!</v>
      </c>
      <c r="F36" s="581" t="e">
        <f t="shared" si="10"/>
        <v>#DIV/0!</v>
      </c>
      <c r="G36" s="579"/>
      <c r="H36" s="579"/>
      <c r="I36" s="579"/>
    </row>
    <row r="37" spans="1:18">
      <c r="A37" s="583"/>
      <c r="B37" s="578" t="s">
        <v>431</v>
      </c>
      <c r="C37" s="579"/>
      <c r="D37" s="790">
        <f>Calculations!B207</f>
        <v>0</v>
      </c>
      <c r="E37" s="580" t="e">
        <f t="shared" si="9"/>
        <v>#DIV/0!</v>
      </c>
      <c r="F37" s="581" t="e">
        <f t="shared" si="10"/>
        <v>#DIV/0!</v>
      </c>
      <c r="G37" s="579"/>
      <c r="H37" s="579"/>
      <c r="I37" s="579"/>
    </row>
    <row r="38" spans="1:18" ht="15.75">
      <c r="A38" s="579"/>
      <c r="B38" s="589" t="s">
        <v>1057</v>
      </c>
      <c r="C38" s="579"/>
      <c r="D38" s="790">
        <f>Calculations!B208+Calculations!B209+Calculations!B210</f>
        <v>0</v>
      </c>
      <c r="E38" s="580" t="e">
        <f t="shared" si="9"/>
        <v>#DIV/0!</v>
      </c>
      <c r="F38" s="581" t="e">
        <f t="shared" si="10"/>
        <v>#DIV/0!</v>
      </c>
      <c r="G38" s="569"/>
      <c r="H38" s="569"/>
      <c r="I38" s="569"/>
      <c r="J38" s="327"/>
    </row>
    <row r="39" spans="1:18" ht="15.75">
      <c r="A39" s="569"/>
      <c r="B39" s="699" t="s">
        <v>1047</v>
      </c>
      <c r="C39" s="569"/>
      <c r="D39" s="703">
        <f t="shared" ref="D39:F39" si="11">SUM(D31:D38)</f>
        <v>0</v>
      </c>
      <c r="E39" s="701" t="e">
        <f t="shared" si="11"/>
        <v>#DIV/0!</v>
      </c>
      <c r="F39" s="702" t="e">
        <f t="shared" si="11"/>
        <v>#DIV/0!</v>
      </c>
      <c r="G39" s="564"/>
      <c r="H39" s="579"/>
      <c r="I39" s="564"/>
      <c r="J39" s="327"/>
    </row>
    <row r="40" spans="1:18" s="329" customFormat="1" ht="15.75">
      <c r="A40" s="569"/>
      <c r="B40" s="698" t="s">
        <v>1065</v>
      </c>
      <c r="C40" s="574"/>
      <c r="D40" s="651"/>
      <c r="E40" s="575"/>
      <c r="F40" s="576"/>
      <c r="G40" s="579"/>
      <c r="H40" s="579"/>
      <c r="I40" s="579"/>
      <c r="J40" s="325"/>
      <c r="K40" s="325"/>
      <c r="L40" s="325"/>
      <c r="M40" s="325"/>
      <c r="N40" s="325"/>
      <c r="O40" s="325"/>
      <c r="P40" s="325"/>
      <c r="Q40" s="325"/>
      <c r="R40" s="325"/>
    </row>
    <row r="41" spans="1:18">
      <c r="A41" s="579"/>
      <c r="B41" s="578" t="s">
        <v>1066</v>
      </c>
      <c r="C41" s="579"/>
      <c r="D41" s="790">
        <f>Calculations!B213+Calculations!B214</f>
        <v>0</v>
      </c>
      <c r="E41" s="580" t="e">
        <f t="shared" ref="E41:E50" si="12">(D41/$I$12)</f>
        <v>#DIV/0!</v>
      </c>
      <c r="F41" s="581" t="e">
        <f t="shared" ref="F41:F50" si="13">(D41/$I$11)</f>
        <v>#DIV/0!</v>
      </c>
      <c r="G41" s="579"/>
      <c r="H41" s="579"/>
      <c r="I41" s="579"/>
    </row>
    <row r="42" spans="1:18">
      <c r="A42" s="579"/>
      <c r="B42" s="578" t="s">
        <v>1067</v>
      </c>
      <c r="C42" s="579"/>
      <c r="D42" s="790">
        <f>Calculations!B215</f>
        <v>0</v>
      </c>
      <c r="E42" s="580" t="e">
        <f t="shared" si="12"/>
        <v>#DIV/0!</v>
      </c>
      <c r="F42" s="581" t="e">
        <f t="shared" si="13"/>
        <v>#DIV/0!</v>
      </c>
      <c r="G42" s="564"/>
      <c r="H42" s="579"/>
      <c r="I42" s="564"/>
      <c r="J42" s="327"/>
    </row>
    <row r="43" spans="1:18">
      <c r="A43" s="579"/>
      <c r="B43" s="578" t="s">
        <v>1068</v>
      </c>
      <c r="C43" s="579"/>
      <c r="D43" s="790">
        <f>Calculations!B217</f>
        <v>0</v>
      </c>
      <c r="E43" s="580" t="e">
        <f t="shared" si="12"/>
        <v>#DIV/0!</v>
      </c>
      <c r="F43" s="581" t="e">
        <f t="shared" si="13"/>
        <v>#DIV/0!</v>
      </c>
      <c r="G43" s="564"/>
      <c r="H43" s="579"/>
      <c r="I43" s="564"/>
      <c r="J43" s="327"/>
    </row>
    <row r="44" spans="1:18">
      <c r="A44" s="579"/>
      <c r="B44" s="578" t="s">
        <v>436</v>
      </c>
      <c r="C44" s="579"/>
      <c r="D44" s="790">
        <f>Calculations!B216</f>
        <v>0</v>
      </c>
      <c r="E44" s="580" t="e">
        <f t="shared" si="12"/>
        <v>#DIV/0!</v>
      </c>
      <c r="F44" s="581" t="e">
        <f t="shared" si="13"/>
        <v>#DIV/0!</v>
      </c>
      <c r="G44" s="564"/>
      <c r="H44" s="579"/>
      <c r="I44" s="564"/>
    </row>
    <row r="45" spans="1:18">
      <c r="A45" s="583"/>
      <c r="B45" s="578" t="s">
        <v>444</v>
      </c>
      <c r="C45" s="592"/>
      <c r="D45" s="790">
        <f>Calculations!B224</f>
        <v>0</v>
      </c>
      <c r="E45" s="580" t="e">
        <f t="shared" si="12"/>
        <v>#DIV/0!</v>
      </c>
      <c r="F45" s="581" t="e">
        <f t="shared" si="13"/>
        <v>#DIV/0!</v>
      </c>
      <c r="G45" s="564"/>
      <c r="H45" s="579"/>
      <c r="I45" s="564"/>
    </row>
    <row r="46" spans="1:18">
      <c r="A46" s="579"/>
      <c r="B46" s="578" t="s">
        <v>1069</v>
      </c>
      <c r="C46" s="579"/>
      <c r="D46" s="790">
        <f>Calculations!B223</f>
        <v>0</v>
      </c>
      <c r="E46" s="580" t="e">
        <f t="shared" si="12"/>
        <v>#DIV/0!</v>
      </c>
      <c r="F46" s="581" t="e">
        <f t="shared" si="13"/>
        <v>#DIV/0!</v>
      </c>
      <c r="G46" s="579"/>
      <c r="H46" s="579"/>
      <c r="I46" s="579"/>
    </row>
    <row r="47" spans="1:18">
      <c r="A47" s="579"/>
      <c r="B47" s="578" t="s">
        <v>1070</v>
      </c>
      <c r="C47" s="579"/>
      <c r="D47" s="790">
        <f>Calculations!B225</f>
        <v>0</v>
      </c>
      <c r="E47" s="580" t="e">
        <f t="shared" si="12"/>
        <v>#DIV/0!</v>
      </c>
      <c r="F47" s="581" t="e">
        <f t="shared" si="13"/>
        <v>#DIV/0!</v>
      </c>
      <c r="G47" s="564"/>
      <c r="H47" s="579"/>
      <c r="I47" s="564"/>
    </row>
    <row r="48" spans="1:18">
      <c r="A48" s="583"/>
      <c r="B48" s="578" t="s">
        <v>1071</v>
      </c>
      <c r="C48" s="592"/>
      <c r="D48" s="790">
        <f>Calculations!B222</f>
        <v>0</v>
      </c>
      <c r="E48" s="580" t="e">
        <f t="shared" si="12"/>
        <v>#DIV/0!</v>
      </c>
      <c r="F48" s="581" t="e">
        <f t="shared" si="13"/>
        <v>#DIV/0!</v>
      </c>
      <c r="G48" s="579"/>
      <c r="H48" s="579"/>
      <c r="I48" s="579"/>
    </row>
    <row r="49" spans="1:10">
      <c r="A49" s="583"/>
      <c r="B49" s="578" t="s">
        <v>1072</v>
      </c>
      <c r="C49" s="579"/>
      <c r="D49" s="790">
        <f>Calculations!B221</f>
        <v>0</v>
      </c>
      <c r="E49" s="580" t="e">
        <f t="shared" si="12"/>
        <v>#DIV/0!</v>
      </c>
      <c r="F49" s="581" t="e">
        <f t="shared" si="13"/>
        <v>#DIV/0!</v>
      </c>
      <c r="G49" s="579"/>
      <c r="H49" s="579"/>
      <c r="I49" s="579"/>
    </row>
    <row r="50" spans="1:10">
      <c r="A50" s="579"/>
      <c r="B50" s="589" t="s">
        <v>1057</v>
      </c>
      <c r="C50" s="579"/>
      <c r="D50" s="790">
        <f>Calculations!B226+Calculations!B228+Calculations!B229+Calculations!B230</f>
        <v>0</v>
      </c>
      <c r="E50" s="580" t="e">
        <f t="shared" si="12"/>
        <v>#DIV/0!</v>
      </c>
      <c r="F50" s="581" t="e">
        <f t="shared" si="13"/>
        <v>#DIV/0!</v>
      </c>
      <c r="G50" s="564"/>
      <c r="H50" s="579"/>
      <c r="I50" s="564"/>
      <c r="J50" s="327"/>
    </row>
    <row r="51" spans="1:10" ht="15.75">
      <c r="A51" s="569"/>
      <c r="B51" s="699" t="s">
        <v>1047</v>
      </c>
      <c r="C51" s="569"/>
      <c r="D51" s="652">
        <f t="shared" ref="D51:F51" si="14">SUM(D41:D50)</f>
        <v>0</v>
      </c>
      <c r="E51" s="704" t="e">
        <f t="shared" si="14"/>
        <v>#DIV/0!</v>
      </c>
      <c r="F51" s="705" t="e">
        <f t="shared" si="14"/>
        <v>#DIV/0!</v>
      </c>
      <c r="G51" s="564"/>
      <c r="H51" s="579"/>
      <c r="I51" s="564"/>
    </row>
    <row r="52" spans="1:10" ht="15.75">
      <c r="A52" s="569"/>
      <c r="B52" s="698" t="s">
        <v>1073</v>
      </c>
      <c r="C52" s="574"/>
      <c r="D52" s="651"/>
      <c r="E52" s="575"/>
      <c r="F52" s="576"/>
      <c r="G52" s="587"/>
      <c r="H52" s="579"/>
      <c r="I52" s="564"/>
    </row>
    <row r="53" spans="1:10">
      <c r="A53" s="579"/>
      <c r="B53" s="578" t="s">
        <v>1074</v>
      </c>
      <c r="C53" s="579"/>
      <c r="D53" s="790">
        <f>Calculations!B233+Calculations!B234+Calculations!B236+Calculations!B237+Calculations!B238+Calculations!B241+Calculations!B242+Calculations!B243</f>
        <v>0</v>
      </c>
      <c r="E53" s="580" t="e">
        <f t="shared" ref="E53:E60" si="15">(D53/$I$12)</f>
        <v>#DIV/0!</v>
      </c>
      <c r="F53" s="581" t="e">
        <f t="shared" ref="F53:F60" si="16">(D53/$I$11)</f>
        <v>#DIV/0!</v>
      </c>
      <c r="G53" s="564"/>
      <c r="H53" s="564"/>
      <c r="I53" s="564"/>
    </row>
    <row r="54" spans="1:10">
      <c r="A54" s="583"/>
      <c r="B54" s="578" t="s">
        <v>1075</v>
      </c>
      <c r="C54" s="592"/>
      <c r="D54" s="790">
        <f>Calculations!B240</f>
        <v>0</v>
      </c>
      <c r="E54" s="580" t="e">
        <f t="shared" si="15"/>
        <v>#DIV/0!</v>
      </c>
      <c r="F54" s="581" t="e">
        <f t="shared" si="16"/>
        <v>#DIV/0!</v>
      </c>
      <c r="G54" s="564"/>
      <c r="H54" s="564"/>
      <c r="I54" s="564"/>
    </row>
    <row r="55" spans="1:10">
      <c r="A55" s="579"/>
      <c r="B55" s="578" t="s">
        <v>1069</v>
      </c>
      <c r="C55" s="564"/>
      <c r="D55" s="790">
        <f>Calculations!B239</f>
        <v>0</v>
      </c>
      <c r="E55" s="580" t="e">
        <f t="shared" si="15"/>
        <v>#DIV/0!</v>
      </c>
      <c r="F55" s="581" t="e">
        <f t="shared" si="16"/>
        <v>#DIV/0!</v>
      </c>
      <c r="G55" s="579"/>
      <c r="H55" s="579"/>
      <c r="I55" s="579"/>
    </row>
    <row r="56" spans="1:10">
      <c r="A56" s="583"/>
      <c r="B56" s="578" t="s">
        <v>451</v>
      </c>
      <c r="C56" s="579"/>
      <c r="D56" s="790">
        <f>Calculations!B235</f>
        <v>0</v>
      </c>
      <c r="E56" s="580" t="e">
        <f t="shared" si="15"/>
        <v>#DIV/0!</v>
      </c>
      <c r="F56" s="581" t="e">
        <f t="shared" si="16"/>
        <v>#DIV/0!</v>
      </c>
      <c r="G56" s="579"/>
      <c r="H56" s="579"/>
      <c r="I56" s="579"/>
    </row>
    <row r="57" spans="1:10">
      <c r="A57" s="583"/>
      <c r="B57" s="578" t="s">
        <v>476</v>
      </c>
      <c r="C57" s="579"/>
      <c r="D57" s="790">
        <f>Calculations!B268</f>
        <v>0</v>
      </c>
      <c r="E57" s="580" t="e">
        <f t="shared" si="15"/>
        <v>#DIV/0!</v>
      </c>
      <c r="F57" s="581" t="e">
        <f t="shared" si="16"/>
        <v>#DIV/0!</v>
      </c>
      <c r="G57" s="579"/>
      <c r="H57" s="579"/>
      <c r="I57" s="579"/>
    </row>
    <row r="58" spans="1:10">
      <c r="A58" s="583"/>
      <c r="B58" s="578" t="s">
        <v>477</v>
      </c>
      <c r="C58" s="579"/>
      <c r="D58" s="790">
        <f>Calculations!B269</f>
        <v>0</v>
      </c>
      <c r="E58" s="580" t="e">
        <f t="shared" si="15"/>
        <v>#DIV/0!</v>
      </c>
      <c r="F58" s="581" t="e">
        <f t="shared" si="16"/>
        <v>#DIV/0!</v>
      </c>
      <c r="G58" s="579"/>
      <c r="H58" s="579"/>
      <c r="I58" s="579"/>
    </row>
    <row r="59" spans="1:10">
      <c r="A59" s="583"/>
      <c r="B59" s="578" t="s">
        <v>478</v>
      </c>
      <c r="C59" s="579"/>
      <c r="D59" s="790">
        <f>Calculations!B270</f>
        <v>0</v>
      </c>
      <c r="E59" s="580" t="e">
        <f t="shared" si="15"/>
        <v>#DIV/0!</v>
      </c>
      <c r="F59" s="581" t="e">
        <f t="shared" si="16"/>
        <v>#DIV/0!</v>
      </c>
      <c r="G59" s="564"/>
      <c r="H59" s="579"/>
      <c r="I59" s="564"/>
    </row>
    <row r="60" spans="1:10">
      <c r="A60" s="579"/>
      <c r="B60" s="589" t="s">
        <v>1057</v>
      </c>
      <c r="C60" s="579"/>
      <c r="D60" s="790">
        <f>Calculations!B244+Calculations!B245+Calculations!B246+Calculations!B271+Calculations!B272+Calculations!B273</f>
        <v>0</v>
      </c>
      <c r="E60" s="580" t="e">
        <f t="shared" si="15"/>
        <v>#DIV/0!</v>
      </c>
      <c r="F60" s="581" t="e">
        <f t="shared" si="16"/>
        <v>#DIV/0!</v>
      </c>
      <c r="G60" s="564"/>
      <c r="H60" s="579"/>
      <c r="I60" s="564"/>
    </row>
    <row r="61" spans="1:10" ht="15.75">
      <c r="A61" s="569"/>
      <c r="B61" s="699" t="s">
        <v>1047</v>
      </c>
      <c r="C61" s="569"/>
      <c r="D61" s="652">
        <f>SUM(D53:D60)</f>
        <v>0</v>
      </c>
      <c r="E61" s="701" t="e">
        <f>SUM(E53:E60)</f>
        <v>#DIV/0!</v>
      </c>
      <c r="F61" s="702" t="e">
        <f>SUM(F53:F60)</f>
        <v>#DIV/0!</v>
      </c>
      <c r="G61" s="564"/>
      <c r="H61" s="579"/>
      <c r="I61" s="564"/>
    </row>
    <row r="62" spans="1:10" ht="15.75">
      <c r="A62" s="569"/>
      <c r="B62" s="698" t="s">
        <v>1076</v>
      </c>
      <c r="C62" s="574"/>
      <c r="D62" s="651"/>
      <c r="E62" s="575"/>
      <c r="F62" s="576"/>
      <c r="G62" s="579"/>
      <c r="H62" s="579"/>
      <c r="I62" s="579"/>
    </row>
    <row r="63" spans="1:10">
      <c r="A63" s="583"/>
      <c r="B63" s="578" t="s">
        <v>438</v>
      </c>
      <c r="C63" s="579"/>
      <c r="D63" s="790">
        <f>Calculations!B218</f>
        <v>0</v>
      </c>
      <c r="E63" s="580" t="e">
        <f t="shared" ref="E63:E79" si="17">(D63/$I$12)</f>
        <v>#DIV/0!</v>
      </c>
      <c r="F63" s="581" t="e">
        <f t="shared" ref="F63:F79" si="18">(D63/$I$11)</f>
        <v>#DIV/0!</v>
      </c>
      <c r="G63" s="564"/>
      <c r="H63" s="579"/>
      <c r="I63" s="564"/>
    </row>
    <row r="64" spans="1:10">
      <c r="A64" s="583"/>
      <c r="B64" s="578" t="s">
        <v>502</v>
      </c>
      <c r="C64" s="592"/>
      <c r="D64" s="790">
        <f>Calculations!B219</f>
        <v>0</v>
      </c>
      <c r="E64" s="580" t="e">
        <f t="shared" si="17"/>
        <v>#DIV/0!</v>
      </c>
      <c r="F64" s="581" t="e">
        <f t="shared" si="18"/>
        <v>#DIV/0!</v>
      </c>
      <c r="G64" s="579"/>
      <c r="H64" s="579"/>
      <c r="I64" s="579"/>
    </row>
    <row r="65" spans="1:9">
      <c r="A65" s="583"/>
      <c r="B65" s="578" t="s">
        <v>1077</v>
      </c>
      <c r="C65" s="592"/>
      <c r="D65" s="790">
        <f>Calculations!B252</f>
        <v>0</v>
      </c>
      <c r="E65" s="580" t="e">
        <f t="shared" si="17"/>
        <v>#DIV/0!</v>
      </c>
      <c r="F65" s="581" t="e">
        <f t="shared" si="18"/>
        <v>#DIV/0!</v>
      </c>
      <c r="G65" s="579"/>
      <c r="H65" s="579"/>
      <c r="I65" s="579"/>
    </row>
    <row r="66" spans="1:9">
      <c r="A66" s="583"/>
      <c r="B66" s="578" t="s">
        <v>465</v>
      </c>
      <c r="C66" s="592"/>
      <c r="D66" s="790">
        <f>Calculations!B253</f>
        <v>0</v>
      </c>
      <c r="E66" s="580" t="e">
        <f t="shared" si="17"/>
        <v>#DIV/0!</v>
      </c>
      <c r="F66" s="581" t="e">
        <f t="shared" si="18"/>
        <v>#DIV/0!</v>
      </c>
      <c r="G66" s="564"/>
      <c r="H66" s="564"/>
      <c r="I66" s="564"/>
    </row>
    <row r="67" spans="1:9">
      <c r="A67" s="579"/>
      <c r="B67" s="578" t="s">
        <v>1078</v>
      </c>
      <c r="C67" s="564"/>
      <c r="D67" s="790">
        <f>Calculations!B254</f>
        <v>0</v>
      </c>
      <c r="E67" s="580" t="e">
        <f t="shared" si="17"/>
        <v>#DIV/0!</v>
      </c>
      <c r="F67" s="581" t="e">
        <f t="shared" si="18"/>
        <v>#DIV/0!</v>
      </c>
      <c r="G67" s="579"/>
      <c r="H67" s="579"/>
      <c r="I67" s="579"/>
    </row>
    <row r="68" spans="1:9">
      <c r="A68" s="579"/>
      <c r="B68" s="578" t="s">
        <v>467</v>
      </c>
      <c r="C68" s="564"/>
      <c r="D68" s="790">
        <f>Calculations!B255</f>
        <v>0</v>
      </c>
      <c r="E68" s="580" t="e">
        <f t="shared" si="17"/>
        <v>#DIV/0!</v>
      </c>
      <c r="F68" s="581" t="e">
        <f t="shared" si="18"/>
        <v>#DIV/0!</v>
      </c>
      <c r="G68" s="579"/>
      <c r="H68" s="579"/>
      <c r="I68" s="579"/>
    </row>
    <row r="69" spans="1:9">
      <c r="A69" s="579"/>
      <c r="B69" s="578" t="s">
        <v>1079</v>
      </c>
      <c r="C69" s="579"/>
      <c r="D69" s="790">
        <f>Calculations!B251</f>
        <v>0</v>
      </c>
      <c r="E69" s="580" t="e">
        <f t="shared" si="17"/>
        <v>#DIV/0!</v>
      </c>
      <c r="F69" s="581" t="e">
        <f t="shared" si="18"/>
        <v>#DIV/0!</v>
      </c>
      <c r="G69" s="579"/>
      <c r="H69" s="579"/>
      <c r="I69" s="579"/>
    </row>
    <row r="70" spans="1:9">
      <c r="A70" s="583"/>
      <c r="B70" s="578" t="s">
        <v>1080</v>
      </c>
      <c r="C70" s="579"/>
      <c r="D70" s="790">
        <f>Calculations!B220</f>
        <v>0</v>
      </c>
      <c r="E70" s="580" t="e">
        <f t="shared" si="17"/>
        <v>#DIV/0!</v>
      </c>
      <c r="F70" s="581" t="e">
        <f t="shared" si="18"/>
        <v>#DIV/0!</v>
      </c>
      <c r="G70" s="564"/>
      <c r="H70" s="564"/>
      <c r="I70" s="564"/>
    </row>
    <row r="71" spans="1:9">
      <c r="A71" s="579"/>
      <c r="B71" s="578" t="s">
        <v>1081</v>
      </c>
      <c r="C71" s="564"/>
      <c r="D71" s="790">
        <f>Calculations!B250</f>
        <v>0</v>
      </c>
      <c r="E71" s="580" t="e">
        <f t="shared" si="17"/>
        <v>#DIV/0!</v>
      </c>
      <c r="F71" s="581" t="e">
        <f t="shared" si="18"/>
        <v>#DIV/0!</v>
      </c>
      <c r="G71" s="564"/>
      <c r="H71" s="579"/>
      <c r="I71" s="564"/>
    </row>
    <row r="72" spans="1:9" ht="15" customHeight="1">
      <c r="A72" s="579"/>
      <c r="B72" s="578" t="s">
        <v>1082</v>
      </c>
      <c r="C72" s="579"/>
      <c r="D72" s="790">
        <f>Calculations!B260</f>
        <v>0</v>
      </c>
      <c r="E72" s="580" t="e">
        <f t="shared" si="17"/>
        <v>#DIV/0!</v>
      </c>
      <c r="F72" s="581" t="e">
        <f t="shared" si="18"/>
        <v>#DIV/0!</v>
      </c>
      <c r="G72" s="564"/>
      <c r="H72" s="579"/>
      <c r="I72" s="564"/>
    </row>
    <row r="73" spans="1:9">
      <c r="A73" s="579"/>
      <c r="B73" s="578" t="s">
        <v>1083</v>
      </c>
      <c r="C73" s="579"/>
      <c r="D73" s="790">
        <f>Calculations!B261</f>
        <v>0</v>
      </c>
      <c r="E73" s="580" t="e">
        <f t="shared" si="17"/>
        <v>#DIV/0!</v>
      </c>
      <c r="F73" s="581" t="e">
        <f t="shared" si="18"/>
        <v>#DIV/0!</v>
      </c>
      <c r="G73" s="564"/>
      <c r="H73" s="579"/>
      <c r="I73" s="564"/>
    </row>
    <row r="74" spans="1:9">
      <c r="A74" s="579"/>
      <c r="B74" s="578" t="s">
        <v>468</v>
      </c>
      <c r="C74" s="579"/>
      <c r="D74" s="790">
        <f>Calculations!B256+Calculations!B257</f>
        <v>0</v>
      </c>
      <c r="E74" s="580" t="e">
        <f t="shared" si="17"/>
        <v>#DIV/0!</v>
      </c>
      <c r="F74" s="581" t="e">
        <f t="shared" si="18"/>
        <v>#DIV/0!</v>
      </c>
      <c r="G74" s="564"/>
      <c r="H74" s="579"/>
      <c r="I74" s="564"/>
    </row>
    <row r="75" spans="1:9" ht="15.6" customHeight="1">
      <c r="A75" s="579"/>
      <c r="B75" s="578" t="s">
        <v>1084</v>
      </c>
      <c r="C75" s="579"/>
      <c r="D75" s="790">
        <f>Calculations!B249</f>
        <v>0</v>
      </c>
      <c r="E75" s="580" t="e">
        <f t="shared" si="17"/>
        <v>#DIV/0!</v>
      </c>
      <c r="F75" s="581" t="e">
        <f t="shared" si="18"/>
        <v>#DIV/0!</v>
      </c>
      <c r="G75" s="564"/>
      <c r="H75" s="564"/>
      <c r="I75" s="564"/>
    </row>
    <row r="76" spans="1:9" ht="15.75">
      <c r="A76" s="579"/>
      <c r="B76" s="578" t="s">
        <v>470</v>
      </c>
      <c r="C76" s="564"/>
      <c r="D76" s="790">
        <f>Calculations!B258</f>
        <v>0</v>
      </c>
      <c r="E76" s="580" t="e">
        <f t="shared" si="17"/>
        <v>#DIV/0!</v>
      </c>
      <c r="F76" s="581" t="e">
        <f t="shared" si="18"/>
        <v>#DIV/0!</v>
      </c>
      <c r="G76"/>
      <c r="H76" s="579"/>
      <c r="I76" s="579"/>
    </row>
    <row r="77" spans="1:9">
      <c r="A77" s="579"/>
      <c r="B77" s="578" t="s">
        <v>471</v>
      </c>
      <c r="C77" s="564"/>
      <c r="D77" s="790">
        <f>Calculations!B259</f>
        <v>0</v>
      </c>
      <c r="E77" s="580" t="e">
        <f t="shared" si="17"/>
        <v>#DIV/0!</v>
      </c>
      <c r="F77" s="581" t="e">
        <f t="shared" si="18"/>
        <v>#DIV/0!</v>
      </c>
      <c r="G77" s="579"/>
      <c r="H77" s="579"/>
      <c r="I77" s="579"/>
    </row>
    <row r="78" spans="1:9">
      <c r="A78" s="579"/>
      <c r="B78" s="578" t="s">
        <v>474</v>
      </c>
      <c r="C78" s="579"/>
      <c r="D78" s="790">
        <f>Calculations!B262</f>
        <v>0</v>
      </c>
      <c r="E78" s="580" t="e">
        <f t="shared" si="17"/>
        <v>#DIV/0!</v>
      </c>
      <c r="F78" s="581" t="e">
        <f t="shared" si="18"/>
        <v>#DIV/0!</v>
      </c>
      <c r="G78" s="791" t="e">
        <f>D78/SUM(D80-D78,D39,D51,D61,D94)</f>
        <v>#DIV/0!</v>
      </c>
      <c r="H78" s="579"/>
      <c r="I78" s="564"/>
    </row>
    <row r="79" spans="1:9">
      <c r="A79" s="579"/>
      <c r="B79" s="589" t="s">
        <v>1057</v>
      </c>
      <c r="C79" s="579"/>
      <c r="D79" s="790">
        <f>Calculations!B263+Calculations!B264+Calculations!B265</f>
        <v>0</v>
      </c>
      <c r="E79" s="580" t="e">
        <f t="shared" si="17"/>
        <v>#DIV/0!</v>
      </c>
      <c r="F79" s="581" t="e">
        <f t="shared" si="18"/>
        <v>#DIV/0!</v>
      </c>
      <c r="G79" s="564"/>
      <c r="H79" s="579"/>
      <c r="I79" s="564"/>
    </row>
    <row r="80" spans="1:9" ht="15.75">
      <c r="A80" s="569"/>
      <c r="B80" s="699" t="s">
        <v>1047</v>
      </c>
      <c r="C80" s="569"/>
      <c r="D80" s="652">
        <f t="shared" ref="D80:F80" si="19">SUM(D63:D79)</f>
        <v>0</v>
      </c>
      <c r="E80" s="701" t="e">
        <f t="shared" si="19"/>
        <v>#DIV/0!</v>
      </c>
      <c r="F80" s="702" t="e">
        <f t="shared" si="19"/>
        <v>#DIV/0!</v>
      </c>
      <c r="G80" s="590"/>
      <c r="H80" s="593"/>
      <c r="I80" s="564"/>
    </row>
    <row r="81" spans="1:9" ht="15.75">
      <c r="A81" s="569"/>
      <c r="B81" s="698" t="s">
        <v>1085</v>
      </c>
      <c r="C81" s="574"/>
      <c r="D81" s="651"/>
      <c r="E81" s="575"/>
      <c r="F81" s="576"/>
      <c r="G81" s="594"/>
      <c r="H81" s="580"/>
      <c r="I81" s="564"/>
    </row>
    <row r="82" spans="1:9" ht="15.75">
      <c r="A82" s="579"/>
      <c r="B82" s="578" t="s">
        <v>1086</v>
      </c>
      <c r="C82" s="579"/>
      <c r="D82" s="790">
        <f>Calculations!B276+Calculations!B277+Calculations!B278</f>
        <v>0</v>
      </c>
      <c r="E82" s="580" t="e">
        <f t="shared" ref="E82:E86" si="20">(D82/$I$12)</f>
        <v>#DIV/0!</v>
      </c>
      <c r="F82" s="581" t="e">
        <f t="shared" ref="F82:F86" si="21">(D82/$I$11)</f>
        <v>#DIV/0!</v>
      </c>
      <c r="G82"/>
      <c r="H82"/>
      <c r="I82"/>
    </row>
    <row r="83" spans="1:9" ht="15.75">
      <c r="A83" s="579"/>
      <c r="B83" s="578" t="s">
        <v>1087</v>
      </c>
      <c r="C83" s="579" t="s">
        <v>1088</v>
      </c>
      <c r="D83" s="790">
        <f>Calculations!B279</f>
        <v>0</v>
      </c>
      <c r="E83" s="580" t="e">
        <f>(D83/$I$12)</f>
        <v>#DIV/0!</v>
      </c>
      <c r="F83" s="581" t="e">
        <f>(D83/$I$11)</f>
        <v>#DIV/0!</v>
      </c>
      <c r="G83"/>
      <c r="H83"/>
      <c r="I83"/>
    </row>
    <row r="84" spans="1:9" ht="15.75">
      <c r="A84" s="579"/>
      <c r="B84" s="578" t="s">
        <v>1089</v>
      </c>
      <c r="C84" s="579"/>
      <c r="D84" s="790">
        <f>Calculations!B280</f>
        <v>0</v>
      </c>
      <c r="E84" s="580" t="e">
        <f>(D84/$I$12)</f>
        <v>#DIV/0!</v>
      </c>
      <c r="F84" s="581" t="e">
        <f>(D84/$I$11)</f>
        <v>#DIV/0!</v>
      </c>
      <c r="G84"/>
      <c r="H84"/>
      <c r="I84"/>
    </row>
    <row r="85" spans="1:9">
      <c r="A85" s="579"/>
      <c r="B85" s="578" t="s">
        <v>1090</v>
      </c>
      <c r="C85" s="579"/>
      <c r="D85" s="790">
        <f>Calculations!B281</f>
        <v>0</v>
      </c>
      <c r="E85" s="580" t="e">
        <f t="shared" si="20"/>
        <v>#DIV/0!</v>
      </c>
      <c r="F85" s="581" t="e">
        <f t="shared" si="21"/>
        <v>#DIV/0!</v>
      </c>
      <c r="G85" s="594"/>
      <c r="H85" s="595"/>
      <c r="I85" s="579"/>
    </row>
    <row r="86" spans="1:9" ht="15.75">
      <c r="A86" s="583"/>
      <c r="B86" s="589" t="s">
        <v>1057</v>
      </c>
      <c r="C86" s="592"/>
      <c r="D86" s="663">
        <f>Calculations!B282</f>
        <v>0</v>
      </c>
      <c r="E86" s="580" t="e">
        <f t="shared" si="20"/>
        <v>#DIV/0!</v>
      </c>
      <c r="F86" s="581" t="e">
        <f t="shared" si="21"/>
        <v>#DIV/0!</v>
      </c>
      <c r="G86" s="564"/>
      <c r="H86" s="564"/>
      <c r="I86" s="564"/>
    </row>
    <row r="87" spans="1:9" ht="15.75" customHeight="1">
      <c r="A87" s="569"/>
      <c r="B87" s="699" t="s">
        <v>1091</v>
      </c>
      <c r="C87" s="569"/>
      <c r="D87" s="652">
        <f>SUM(D82:D86)</f>
        <v>0</v>
      </c>
      <c r="E87" s="701" t="e">
        <f>SUM(E82:E86)</f>
        <v>#DIV/0!</v>
      </c>
      <c r="F87" s="702" t="e">
        <f>SUM(F82:F86)</f>
        <v>#DIV/0!</v>
      </c>
      <c r="G87" s="791" t="e">
        <f>D87/(D95-D87-D94-D13)</f>
        <v>#DIV/0!</v>
      </c>
      <c r="H87" s="941" t="s">
        <v>1092</v>
      </c>
      <c r="I87" s="941"/>
    </row>
    <row r="88" spans="1:9" ht="15.75">
      <c r="A88" s="569"/>
      <c r="B88" s="698" t="s">
        <v>1093</v>
      </c>
      <c r="C88" s="574"/>
      <c r="D88" s="651"/>
      <c r="E88" s="575"/>
      <c r="F88" s="576"/>
      <c r="G88" s="564"/>
      <c r="H88" s="564"/>
      <c r="I88" s="564"/>
    </row>
    <row r="89" spans="1:9">
      <c r="A89" s="579"/>
      <c r="B89" s="578" t="s">
        <v>1094</v>
      </c>
      <c r="C89" s="579"/>
      <c r="D89" s="790">
        <f>Calculations!B286</f>
        <v>0</v>
      </c>
      <c r="E89" s="580" t="e">
        <f t="shared" ref="E89:E93" si="22">(D89/$I$12)</f>
        <v>#DIV/0!</v>
      </c>
      <c r="F89" s="581" t="e">
        <f t="shared" ref="F89:F93" si="23">(D89/$I$11)</f>
        <v>#DIV/0!</v>
      </c>
      <c r="G89" s="833" t="e">
        <f>(D89+D90)/((+'Income+Expense'!J57+-'Income+Expense'!G56)/12)</f>
        <v>#DIV/0!</v>
      </c>
      <c r="H89" s="579" t="s">
        <v>1095</v>
      </c>
      <c r="I89" s="564"/>
    </row>
    <row r="90" spans="1:9">
      <c r="A90" s="579"/>
      <c r="B90" s="578" t="s">
        <v>1096</v>
      </c>
      <c r="C90" s="579"/>
      <c r="D90" s="790">
        <f>Calculations!B288</f>
        <v>0</v>
      </c>
      <c r="E90" s="580" t="e">
        <f t="shared" si="22"/>
        <v>#DIV/0!</v>
      </c>
      <c r="F90" s="581" t="e">
        <f t="shared" si="23"/>
        <v>#DIV/0!</v>
      </c>
      <c r="G90" s="833" t="e">
        <f>D90/((-'Income+Expense'!G57)/12)</f>
        <v>#DIV/0!</v>
      </c>
      <c r="H90" s="579" t="s">
        <v>1097</v>
      </c>
      <c r="I90" s="564"/>
    </row>
    <row r="91" spans="1:9">
      <c r="A91" s="579"/>
      <c r="B91" s="578" t="s">
        <v>1098</v>
      </c>
      <c r="C91" s="579"/>
      <c r="D91" s="790">
        <f>Calculations!B285</f>
        <v>0</v>
      </c>
      <c r="E91" s="580" t="e">
        <f t="shared" si="22"/>
        <v>#DIV/0!</v>
      </c>
      <c r="F91" s="581" t="e">
        <f t="shared" si="23"/>
        <v>#DIV/0!</v>
      </c>
      <c r="G91" s="564"/>
      <c r="H91" s="579"/>
      <c r="I91" s="564"/>
    </row>
    <row r="92" spans="1:9">
      <c r="A92" s="579"/>
      <c r="B92" s="578" t="s">
        <v>1099</v>
      </c>
      <c r="C92" s="579"/>
      <c r="D92" s="790">
        <f>Calculations!B287</f>
        <v>0</v>
      </c>
      <c r="E92" s="580" t="e">
        <f t="shared" si="22"/>
        <v>#DIV/0!</v>
      </c>
      <c r="F92" s="581" t="e">
        <f t="shared" si="23"/>
        <v>#DIV/0!</v>
      </c>
      <c r="G92" s="579"/>
      <c r="H92" s="579"/>
      <c r="I92" s="579"/>
    </row>
    <row r="93" spans="1:9">
      <c r="A93" s="583"/>
      <c r="B93" s="589" t="s">
        <v>1057</v>
      </c>
      <c r="C93" s="579"/>
      <c r="D93" s="790">
        <f>Calculations!B289</f>
        <v>0</v>
      </c>
      <c r="E93" s="580" t="e">
        <f t="shared" si="22"/>
        <v>#DIV/0!</v>
      </c>
      <c r="F93" s="581" t="e">
        <f t="shared" si="23"/>
        <v>#DIV/0!</v>
      </c>
      <c r="G93" s="579"/>
      <c r="H93" s="579"/>
      <c r="I93" s="564"/>
    </row>
    <row r="94" spans="1:9" ht="15.75">
      <c r="A94" s="569"/>
      <c r="B94" s="699" t="s">
        <v>1047</v>
      </c>
      <c r="C94" s="569"/>
      <c r="D94" s="652">
        <f>SUM(D89:D93)</f>
        <v>0</v>
      </c>
      <c r="E94" s="701" t="e">
        <f>SUM(E89:E93)</f>
        <v>#DIV/0!</v>
      </c>
      <c r="F94" s="702" t="e">
        <f>SUM(F89:F93)</f>
        <v>#DIV/0!</v>
      </c>
      <c r="G94" s="578"/>
      <c r="H94" s="596"/>
      <c r="I94" s="564"/>
    </row>
    <row r="95" spans="1:9" ht="16.5" thickBot="1">
      <c r="A95" s="569"/>
      <c r="B95" s="706" t="s">
        <v>1100</v>
      </c>
      <c r="C95" s="707"/>
      <c r="D95" s="708">
        <f>D80+D29+D87+D94+D61+D51+D39+D18+D13</f>
        <v>0</v>
      </c>
      <c r="E95" s="709" t="e">
        <f>E80+E29+E87+E94+E61+E51+E39+E18+E13</f>
        <v>#DIV/0!</v>
      </c>
      <c r="F95" s="710" t="e">
        <f>F80+F29+F87+F94+F61+F51+F39+F18+F13</f>
        <v>#DIV/0!</v>
      </c>
      <c r="G95" s="578"/>
      <c r="H95" s="596"/>
      <c r="I95" s="564"/>
    </row>
    <row r="96" spans="1:9" ht="16.5" thickTop="1">
      <c r="A96" s="569"/>
      <c r="B96" s="569"/>
      <c r="C96" s="569"/>
      <c r="D96" s="711"/>
      <c r="E96" s="712"/>
      <c r="F96" s="580"/>
      <c r="G96" s="713"/>
      <c r="H96" s="579"/>
      <c r="I96"/>
    </row>
    <row r="97" spans="1:9" ht="16.5" thickBot="1">
      <c r="A97" s="569"/>
      <c r="B97"/>
      <c r="C97"/>
      <c r="D97" s="652"/>
      <c r="E97" s="597" t="s">
        <v>1101</v>
      </c>
      <c r="F97" s="597" t="s">
        <v>1102</v>
      </c>
      <c r="G97" s="712"/>
      <c r="H97" s="579"/>
      <c r="I97"/>
    </row>
    <row r="98" spans="1:9" ht="15.75">
      <c r="A98" s="569"/>
      <c r="B98"/>
      <c r="C98"/>
      <c r="D98" s="653" t="s">
        <v>1103</v>
      </c>
      <c r="E98" s="714" t="e">
        <f>(D18+D29)/$I$12</f>
        <v>#DIV/0!</v>
      </c>
      <c r="F98" s="715" t="e">
        <f>($D$18+$D$29)/$I$11</f>
        <v>#DIV/0!</v>
      </c>
      <c r="G98" s="712" t="e">
        <f>E98/E95</f>
        <v>#DIV/0!</v>
      </c>
      <c r="H98" s="579"/>
      <c r="I98"/>
    </row>
    <row r="99" spans="1:9" ht="15.75">
      <c r="A99" s="598"/>
      <c r="B99"/>
      <c r="C99"/>
      <c r="D99" s="654" t="s">
        <v>459</v>
      </c>
      <c r="E99" s="716" t="e">
        <f>($D$95-$D$11-$D$18-$D$29)/$I$12</f>
        <v>#DIV/0!</v>
      </c>
      <c r="F99" s="717" t="e">
        <f>($D$95-$D$11-$D$18-$D$29)/$I$11</f>
        <v>#DIV/0!</v>
      </c>
      <c r="G99" s="712" t="e">
        <f>E99/E95</f>
        <v>#DIV/0!</v>
      </c>
      <c r="H99" s="579"/>
      <c r="I99" s="579"/>
    </row>
    <row r="100" spans="1:9" ht="16.5" thickBot="1">
      <c r="A100" s="598"/>
      <c r="B100"/>
      <c r="C100"/>
      <c r="D100" s="655" t="s">
        <v>917</v>
      </c>
      <c r="E100" s="718" t="e">
        <f>$D$11/$I$12</f>
        <v>#DIV/0!</v>
      </c>
      <c r="F100" s="719" t="e">
        <f>$D$11/$I$11</f>
        <v>#DIV/0!</v>
      </c>
      <c r="G100" s="712" t="e">
        <f>E100/E95</f>
        <v>#DIV/0!</v>
      </c>
      <c r="H100" s="579"/>
      <c r="I100"/>
    </row>
    <row r="101" spans="1:9" ht="15.75">
      <c r="A101" s="579"/>
      <c r="B101"/>
      <c r="C101"/>
      <c r="D101" s="711" t="s">
        <v>1104</v>
      </c>
      <c r="E101" s="579"/>
      <c r="F101" s="720"/>
      <c r="G101" s="716"/>
      <c r="H101"/>
      <c r="I101"/>
    </row>
  </sheetData>
  <mergeCells count="1">
    <mergeCell ref="H87:I87"/>
  </mergeCells>
  <conditionalFormatting sqref="B28">
    <cfRule type="expression" dxfId="28" priority="2">
      <formula>D28&gt;0</formula>
    </cfRule>
  </conditionalFormatting>
  <conditionalFormatting sqref="B38">
    <cfRule type="expression" dxfId="27" priority="3">
      <formula>D38&gt;0</formula>
    </cfRule>
  </conditionalFormatting>
  <conditionalFormatting sqref="B50">
    <cfRule type="expression" dxfId="26" priority="4">
      <formula>D50&gt;0</formula>
    </cfRule>
  </conditionalFormatting>
  <conditionalFormatting sqref="B60">
    <cfRule type="expression" dxfId="25" priority="5">
      <formula>D60&gt;0</formula>
    </cfRule>
  </conditionalFormatting>
  <conditionalFormatting sqref="B79">
    <cfRule type="expression" dxfId="24" priority="6">
      <formula>D79&gt;0</formula>
    </cfRule>
  </conditionalFormatting>
  <conditionalFormatting sqref="B86">
    <cfRule type="expression" dxfId="23" priority="7">
      <formula>D86&gt;0</formula>
    </cfRule>
  </conditionalFormatting>
  <conditionalFormatting sqref="B93">
    <cfRule type="expression" dxfId="22" priority="1">
      <formula>D93&gt;0</formula>
    </cfRule>
  </conditionalFormatting>
  <printOptions horizontalCentered="1"/>
  <pageMargins left="0.7" right="0.7" top="0.7" bottom="0.7" header="0.25" footer="0.25"/>
  <pageSetup scale="41" orientation="portrait" r:id="rId1"/>
  <headerFooter>
    <oddFooter>&amp;L&amp;"Times New Roman,Regular"&amp;8&amp;F&amp;C&amp;"Times New Roman,Regular"&amp;8Page &amp;P of &amp;N&amp;R&amp;"Times New Roman,Regular"&amp;8&amp;A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66FFFF"/>
    <pageSetUpPr fitToPage="1"/>
  </sheetPr>
  <dimension ref="A1:AC86"/>
  <sheetViews>
    <sheetView zoomScaleNormal="100" workbookViewId="0"/>
  </sheetViews>
  <sheetFormatPr defaultColWidth="10" defaultRowHeight="15"/>
  <cols>
    <col min="1" max="1" width="5.5703125" style="325" customWidth="1"/>
    <col min="2" max="2" width="30.7109375" style="325" customWidth="1"/>
    <col min="3" max="3" width="25.5703125" style="325" customWidth="1"/>
    <col min="4" max="4" width="15.5703125" style="325" customWidth="1"/>
    <col min="5" max="5" width="25.5703125" style="325" customWidth="1"/>
    <col min="6" max="6" width="20.5703125" style="325" customWidth="1"/>
    <col min="7" max="7" width="35.5703125" style="325" customWidth="1"/>
    <col min="8" max="8" width="27.28515625" style="325" customWidth="1"/>
    <col min="9" max="9" width="45.5703125" style="325" customWidth="1"/>
    <col min="10" max="10" width="14.28515625" style="325" customWidth="1"/>
    <col min="11" max="11" width="22.42578125" style="325" customWidth="1"/>
    <col min="12" max="12" width="10.140625" style="325" customWidth="1"/>
    <col min="13" max="13" width="10" style="325" customWidth="1"/>
    <col min="14" max="14" width="18.5703125" style="325" customWidth="1"/>
    <col min="15" max="15" width="11.5703125" style="325" customWidth="1"/>
    <col min="16" max="16" width="5.5703125" style="325" customWidth="1"/>
    <col min="17" max="17" width="13.5703125" style="325" customWidth="1"/>
    <col min="18" max="18" width="11.5703125" style="325" customWidth="1"/>
    <col min="19" max="19" width="14.5703125" style="325" customWidth="1"/>
    <col min="20" max="20" width="12.5703125" style="325" customWidth="1"/>
    <col min="21" max="21" width="11.5703125" style="325" customWidth="1"/>
    <col min="22" max="22" width="14.5703125" style="325" customWidth="1"/>
    <col min="23" max="24" width="11.5703125" style="325" customWidth="1"/>
    <col min="25" max="25" width="14.5703125" style="325" customWidth="1"/>
    <col min="26" max="26" width="13.5703125" style="325" customWidth="1"/>
    <col min="27" max="27" width="20.5703125" style="325" customWidth="1"/>
    <col min="28" max="28" width="21.5703125" style="325" customWidth="1"/>
    <col min="29" max="29" width="15.5703125" style="325" customWidth="1"/>
    <col min="30" max="30" width="14.5703125" style="325" customWidth="1"/>
    <col min="31" max="31" width="11.5703125" style="325" customWidth="1"/>
    <col min="32" max="32" width="14.5703125" style="325" customWidth="1"/>
    <col min="33" max="33" width="13.5703125" style="325" customWidth="1"/>
    <col min="34" max="35" width="14.5703125" style="325" customWidth="1"/>
    <col min="36" max="39" width="10" style="325" customWidth="1"/>
    <col min="40" max="40" width="23.5703125" style="325" customWidth="1"/>
    <col min="41" max="41" width="10" style="325" customWidth="1"/>
    <col min="42" max="42" width="12.5703125" style="325" customWidth="1"/>
    <col min="43" max="43" width="14.5703125" style="325" customWidth="1"/>
    <col min="44" max="44" width="12.5703125" style="325" customWidth="1"/>
    <col min="45" max="45" width="15.5703125" style="325" customWidth="1"/>
    <col min="46" max="47" width="12.5703125" style="325" customWidth="1"/>
    <col min="48" max="48" width="14.5703125" style="325" customWidth="1"/>
    <col min="49" max="51" width="12.5703125" style="325" customWidth="1"/>
    <col min="52" max="52" width="14.5703125" style="325" customWidth="1"/>
    <col min="53" max="54" width="12.5703125" style="325" customWidth="1"/>
    <col min="55" max="55" width="15.5703125" style="325" customWidth="1"/>
    <col min="56" max="56" width="12.5703125" style="325" customWidth="1"/>
    <col min="57" max="57" width="13.5703125" style="325" customWidth="1"/>
    <col min="58" max="58" width="12.5703125" style="325" customWidth="1"/>
    <col min="59" max="59" width="9.5703125" style="325" customWidth="1"/>
    <col min="60" max="62" width="12.5703125" style="325" customWidth="1"/>
    <col min="63" max="65" width="10" style="325" customWidth="1"/>
    <col min="66" max="66" width="11.5703125" style="325" customWidth="1"/>
    <col min="67" max="207" width="10" style="325" customWidth="1"/>
    <col min="208" max="209" width="1.5703125" style="325" customWidth="1"/>
    <col min="210" max="16384" width="10" style="325"/>
  </cols>
  <sheetData>
    <row r="1" spans="1:14" ht="15.75">
      <c r="A1"/>
      <c r="B1"/>
      <c r="C1"/>
      <c r="D1"/>
      <c r="E1"/>
      <c r="F1"/>
      <c r="G1"/>
      <c r="H1"/>
      <c r="I1"/>
      <c r="J1"/>
      <c r="K1"/>
      <c r="L1"/>
      <c r="M1"/>
      <c r="N1" s="657"/>
    </row>
    <row r="2" spans="1:14" ht="20.25">
      <c r="A2"/>
      <c r="B2" s="563" t="s">
        <v>1105</v>
      </c>
      <c r="C2" s="579"/>
      <c r="D2" s="694"/>
      <c r="E2" s="568" t="s">
        <v>1106</v>
      </c>
      <c r="F2" s="694"/>
      <c r="G2" s="579"/>
      <c r="H2" s="579"/>
      <c r="I2" s="579"/>
      <c r="J2" s="579"/>
      <c r="K2" s="579"/>
      <c r="L2" s="579"/>
      <c r="M2" s="579"/>
      <c r="N2" s="326"/>
    </row>
    <row r="3" spans="1:14" ht="18">
      <c r="A3"/>
      <c r="B3" s="562" t="s">
        <v>1034</v>
      </c>
      <c r="C3" s="587">
        <f>Development_Budget!C3</f>
        <v>0</v>
      </c>
      <c r="D3" s="579"/>
      <c r="E3"/>
      <c r="F3" s="579"/>
      <c r="G3" s="579"/>
      <c r="H3" s="579"/>
      <c r="I3" s="579"/>
      <c r="J3" s="579"/>
      <c r="K3" s="579"/>
      <c r="L3" s="579"/>
      <c r="M3" s="579"/>
      <c r="N3" s="657"/>
    </row>
    <row r="4" spans="1:14" ht="18">
      <c r="A4"/>
      <c r="B4" s="562" t="s">
        <v>1035</v>
      </c>
      <c r="C4" s="567">
        <f ca="1">TODAY()</f>
        <v>45679</v>
      </c>
      <c r="D4" s="567"/>
      <c r="E4" s="587"/>
      <c r="F4" s="579"/>
      <c r="G4" s="579"/>
      <c r="H4" s="579"/>
      <c r="I4" s="568"/>
      <c r="J4" s="579"/>
      <c r="K4" s="579"/>
      <c r="L4" s="579"/>
      <c r="M4" s="579"/>
      <c r="N4" s="326"/>
    </row>
    <row r="5" spans="1:14" ht="18">
      <c r="A5"/>
      <c r="B5" s="562" t="s">
        <v>1036</v>
      </c>
      <c r="C5" s="587">
        <f>'Contact Information'!B4</f>
        <v>0</v>
      </c>
      <c r="D5" s="579"/>
      <c r="E5" s="579"/>
      <c r="F5" s="579"/>
      <c r="G5" s="579"/>
      <c r="H5" s="579"/>
      <c r="I5"/>
      <c r="J5" s="579"/>
      <c r="K5" s="599"/>
      <c r="L5" s="599"/>
      <c r="M5" s="579"/>
      <c r="N5" s="326"/>
    </row>
    <row r="6" spans="1:14" ht="18">
      <c r="A6"/>
      <c r="B6" s="562" t="s">
        <v>1037</v>
      </c>
      <c r="C6" s="567">
        <v>44835</v>
      </c>
      <c r="D6" s="579"/>
      <c r="E6" s="579"/>
      <c r="F6" s="579"/>
      <c r="G6" s="579"/>
      <c r="H6" s="579"/>
      <c r="I6" s="568"/>
      <c r="J6" s="579"/>
      <c r="K6" s="579"/>
      <c r="L6" s="579"/>
      <c r="M6" s="579"/>
      <c r="N6" s="326"/>
    </row>
    <row r="7" spans="1:14" ht="18">
      <c r="A7"/>
      <c r="B7" s="562" t="s">
        <v>1038</v>
      </c>
      <c r="C7" s="579">
        <f>Calculations!B14</f>
        <v>0</v>
      </c>
      <c r="D7" s="579"/>
      <c r="E7" s="579"/>
      <c r="F7" s="579"/>
      <c r="G7" s="579"/>
      <c r="H7" s="579"/>
      <c r="I7" s="568"/>
      <c r="J7" s="579"/>
      <c r="K7" s="579"/>
      <c r="L7" s="579"/>
      <c r="M7" s="579"/>
      <c r="N7" s="326"/>
    </row>
    <row r="8" spans="1:14" ht="18.75" thickBot="1">
      <c r="A8"/>
      <c r="B8" s="600"/>
      <c r="C8" s="600"/>
      <c r="D8" s="600"/>
      <c r="E8" s="600"/>
      <c r="F8" s="600"/>
      <c r="G8" s="600"/>
      <c r="H8" s="600"/>
      <c r="I8" s="600"/>
      <c r="J8" s="600"/>
      <c r="K8" s="579"/>
      <c r="L8" s="579"/>
      <c r="M8" s="579"/>
      <c r="N8" s="326"/>
    </row>
    <row r="9" spans="1:14" ht="16.5" thickTop="1">
      <c r="A9"/>
      <c r="B9" s="721" t="s">
        <v>1107</v>
      </c>
      <c r="C9" s="722"/>
      <c r="D9" s="722"/>
      <c r="E9" s="722"/>
      <c r="F9" s="722"/>
      <c r="G9" s="722"/>
      <c r="H9" s="722"/>
      <c r="I9" s="723" t="s">
        <v>1108</v>
      </c>
      <c r="J9" s="722"/>
      <c r="K9" s="578"/>
      <c r="L9" s="579"/>
      <c r="M9" s="579"/>
      <c r="N9" s="326"/>
    </row>
    <row r="10" spans="1:14" ht="17.100000000000001" customHeight="1">
      <c r="A10"/>
      <c r="B10" s="724" t="s">
        <v>1109</v>
      </c>
      <c r="C10" s="725" t="s">
        <v>1110</v>
      </c>
      <c r="D10" s="725" t="s">
        <v>1111</v>
      </c>
      <c r="E10" s="725" t="s">
        <v>1112</v>
      </c>
      <c r="F10" s="725" t="s">
        <v>1113</v>
      </c>
      <c r="G10" s="726" t="s">
        <v>1114</v>
      </c>
      <c r="H10" s="726" t="s">
        <v>1115</v>
      </c>
      <c r="I10" s="601" t="s">
        <v>1116</v>
      </c>
      <c r="J10" s="670"/>
      <c r="K10" s="578"/>
      <c r="L10" s="579"/>
      <c r="M10" s="579"/>
      <c r="N10" s="326"/>
    </row>
    <row r="11" spans="1:14" ht="15.75">
      <c r="A11"/>
      <c r="B11" s="664">
        <f>Calculations!B888</f>
        <v>0</v>
      </c>
      <c r="C11" s="665">
        <f>Calculations!A888</f>
        <v>0</v>
      </c>
      <c r="D11" s="666">
        <f>Calculations!D888</f>
        <v>0</v>
      </c>
      <c r="E11" s="667">
        <f>Calculations!C888</f>
        <v>0</v>
      </c>
      <c r="F11" s="667">
        <f>Calculations!E888</f>
        <v>0</v>
      </c>
      <c r="G11" s="669" t="str">
        <f t="shared" ref="G11:G42" si="0">IF(F11=0,"",D11*F11*12)</f>
        <v/>
      </c>
      <c r="H11" s="834"/>
      <c r="I11" s="727" t="s">
        <v>1117</v>
      </c>
      <c r="J11" s="668">
        <f>'Proforma, Income &amp; Expense'!B26</f>
        <v>0</v>
      </c>
      <c r="K11" s="845" t="e">
        <f>(J11/G43)</f>
        <v>#DIV/0!</v>
      </c>
      <c r="L11" s="579"/>
      <c r="M11" s="579"/>
      <c r="N11" s="326"/>
    </row>
    <row r="12" spans="1:14" ht="15.75">
      <c r="A12"/>
      <c r="B12" s="664">
        <f>Calculations!B889</f>
        <v>0</v>
      </c>
      <c r="C12" s="665">
        <f>Calculations!A889</f>
        <v>0</v>
      </c>
      <c r="D12" s="666">
        <f>Calculations!D889</f>
        <v>0</v>
      </c>
      <c r="E12" s="667">
        <f>Calculations!C889</f>
        <v>0</v>
      </c>
      <c r="F12" s="667">
        <f>Calculations!E889</f>
        <v>0</v>
      </c>
      <c r="G12" s="669" t="str">
        <f t="shared" si="0"/>
        <v/>
      </c>
      <c r="H12" s="834"/>
      <c r="I12" s="727" t="s">
        <v>1118</v>
      </c>
      <c r="J12" s="668">
        <f>'Proforma, Income &amp; Expense'!B27</f>
        <v>0</v>
      </c>
      <c r="K12" s="792">
        <v>0</v>
      </c>
      <c r="L12" s="585" t="s">
        <v>1119</v>
      </c>
      <c r="M12" s="580"/>
      <c r="N12" s="326"/>
    </row>
    <row r="13" spans="1:14" ht="15.75">
      <c r="A13"/>
      <c r="B13" s="664">
        <f>Calculations!B890</f>
        <v>0</v>
      </c>
      <c r="C13" s="842">
        <f>Calculations!A890</f>
        <v>0</v>
      </c>
      <c r="D13" s="843">
        <f>Calculations!D890</f>
        <v>0</v>
      </c>
      <c r="E13" s="844">
        <f>Calculations!C890</f>
        <v>0</v>
      </c>
      <c r="F13" s="844">
        <f>Calculations!E890</f>
        <v>0</v>
      </c>
      <c r="G13" s="669" t="str">
        <f t="shared" si="0"/>
        <v/>
      </c>
      <c r="H13" s="834"/>
      <c r="I13" s="727" t="s">
        <v>1120</v>
      </c>
      <c r="J13" s="668">
        <f>'Proforma, Income &amp; Expense'!B28</f>
        <v>0</v>
      </c>
      <c r="K13" s="728"/>
      <c r="L13" s="579"/>
      <c r="M13" s="579"/>
      <c r="N13" s="326"/>
    </row>
    <row r="14" spans="1:14" ht="15.75">
      <c r="A14"/>
      <c r="B14" s="664">
        <f>Calculations!B891</f>
        <v>0</v>
      </c>
      <c r="C14" s="842">
        <f>Calculations!A891</f>
        <v>0</v>
      </c>
      <c r="D14" s="843">
        <f>Calculations!D891</f>
        <v>0</v>
      </c>
      <c r="E14" s="844">
        <f>Calculations!C891</f>
        <v>0</v>
      </c>
      <c r="F14" s="844">
        <f>Calculations!E891</f>
        <v>0</v>
      </c>
      <c r="G14" s="669" t="str">
        <f t="shared" si="0"/>
        <v/>
      </c>
      <c r="H14" s="834"/>
      <c r="I14" s="727" t="s">
        <v>571</v>
      </c>
      <c r="J14" s="668">
        <f>'Proforma, Income &amp; Expense'!B24</f>
        <v>0</v>
      </c>
      <c r="K14" s="728"/>
      <c r="L14" s="579"/>
      <c r="M14" s="579"/>
      <c r="N14" s="326"/>
    </row>
    <row r="15" spans="1:14" ht="15.75">
      <c r="A15"/>
      <c r="B15" s="664">
        <f>Calculations!B892</f>
        <v>0</v>
      </c>
      <c r="C15" s="842">
        <f>Calculations!A892</f>
        <v>0</v>
      </c>
      <c r="D15" s="843">
        <f>Calculations!D892</f>
        <v>0</v>
      </c>
      <c r="E15" s="844">
        <f>Calculations!C892</f>
        <v>0</v>
      </c>
      <c r="F15" s="844">
        <f>Calculations!E892</f>
        <v>0</v>
      </c>
      <c r="G15" s="669" t="str">
        <f t="shared" si="0"/>
        <v/>
      </c>
      <c r="H15" s="834"/>
      <c r="I15" s="727" t="s">
        <v>569</v>
      </c>
      <c r="J15" s="668">
        <f>'Proforma, Income &amp; Expense'!B22</f>
        <v>0</v>
      </c>
      <c r="K15" s="728"/>
      <c r="L15" s="579"/>
      <c r="M15" s="579"/>
      <c r="N15" s="326"/>
    </row>
    <row r="16" spans="1:14" ht="15.75">
      <c r="A16"/>
      <c r="B16" s="664">
        <f>Calculations!B893</f>
        <v>0</v>
      </c>
      <c r="C16" s="842">
        <f>Calculations!A893</f>
        <v>0</v>
      </c>
      <c r="D16" s="843">
        <f>Calculations!D893</f>
        <v>0</v>
      </c>
      <c r="E16" s="844">
        <f>Calculations!C893</f>
        <v>0</v>
      </c>
      <c r="F16" s="844">
        <f>Calculations!E893</f>
        <v>0</v>
      </c>
      <c r="G16" s="669" t="str">
        <f t="shared" si="0"/>
        <v/>
      </c>
      <c r="H16" s="834"/>
      <c r="I16" s="727" t="s">
        <v>570</v>
      </c>
      <c r="J16" s="668">
        <f>'Proforma, Income &amp; Expense'!B23</f>
        <v>0</v>
      </c>
      <c r="K16" s="728"/>
      <c r="L16" s="579"/>
      <c r="M16" s="579"/>
      <c r="N16" s="326"/>
    </row>
    <row r="17" spans="1:14" ht="15.75">
      <c r="A17"/>
      <c r="B17" s="664">
        <f>Calculations!B894</f>
        <v>0</v>
      </c>
      <c r="C17" s="842">
        <f>Calculations!A894</f>
        <v>0</v>
      </c>
      <c r="D17" s="843">
        <f>Calculations!D894</f>
        <v>0</v>
      </c>
      <c r="E17" s="844">
        <f>Calculations!C894</f>
        <v>0</v>
      </c>
      <c r="F17" s="844">
        <f>Calculations!E894</f>
        <v>0</v>
      </c>
      <c r="G17" s="669" t="str">
        <f t="shared" si="0"/>
        <v/>
      </c>
      <c r="H17" s="834"/>
      <c r="I17" s="727" t="s">
        <v>577</v>
      </c>
      <c r="J17" s="668">
        <f>'Proforma, Income &amp; Expense'!B30</f>
        <v>0</v>
      </c>
      <c r="K17" s="728"/>
      <c r="L17" s="579"/>
      <c r="M17" s="579"/>
      <c r="N17" s="326"/>
    </row>
    <row r="18" spans="1:14" ht="15.75">
      <c r="A18"/>
      <c r="B18" s="664">
        <f>Calculations!B895</f>
        <v>0</v>
      </c>
      <c r="C18" s="842">
        <f>Calculations!A895</f>
        <v>0</v>
      </c>
      <c r="D18" s="843">
        <f>Calculations!D895</f>
        <v>0</v>
      </c>
      <c r="E18" s="844">
        <f>Calculations!C895</f>
        <v>0</v>
      </c>
      <c r="F18" s="844">
        <f>Calculations!E895</f>
        <v>0</v>
      </c>
      <c r="G18" s="669" t="str">
        <f t="shared" si="0"/>
        <v/>
      </c>
      <c r="H18" s="834"/>
      <c r="I18" s="727" t="s">
        <v>578</v>
      </c>
      <c r="J18" s="668">
        <f>'Proforma, Income &amp; Expense'!B31</f>
        <v>0</v>
      </c>
      <c r="K18" s="728"/>
      <c r="L18" s="579"/>
      <c r="M18" s="579"/>
      <c r="N18" s="326"/>
    </row>
    <row r="19" spans="1:14" ht="15.75">
      <c r="A19"/>
      <c r="B19" s="664">
        <f>Calculations!B896</f>
        <v>0</v>
      </c>
      <c r="C19" s="842">
        <f>Calculations!A896</f>
        <v>0</v>
      </c>
      <c r="D19" s="843">
        <f>Calculations!D896</f>
        <v>0</v>
      </c>
      <c r="E19" s="844">
        <f>Calculations!C896</f>
        <v>0</v>
      </c>
      <c r="F19" s="844">
        <f>Calculations!E896</f>
        <v>0</v>
      </c>
      <c r="G19" s="669" t="str">
        <f t="shared" si="0"/>
        <v/>
      </c>
      <c r="H19" s="834"/>
      <c r="I19" s="727" t="s">
        <v>1121</v>
      </c>
      <c r="J19" s="668">
        <v>0</v>
      </c>
      <c r="K19" s="728"/>
      <c r="L19" s="579"/>
      <c r="M19" s="579"/>
      <c r="N19" s="326"/>
    </row>
    <row r="20" spans="1:14" ht="15.75">
      <c r="A20"/>
      <c r="B20" s="664">
        <f>Calculations!B897</f>
        <v>0</v>
      </c>
      <c r="C20" s="842">
        <f>Calculations!A897</f>
        <v>0</v>
      </c>
      <c r="D20" s="843">
        <f>Calculations!D897</f>
        <v>0</v>
      </c>
      <c r="E20" s="844">
        <f>Calculations!C897</f>
        <v>0</v>
      </c>
      <c r="F20" s="844">
        <f>Calculations!E897</f>
        <v>0</v>
      </c>
      <c r="G20" s="669" t="str">
        <f t="shared" si="0"/>
        <v/>
      </c>
      <c r="H20" s="834"/>
      <c r="I20" s="727" t="s">
        <v>572</v>
      </c>
      <c r="J20" s="668">
        <f>'Proforma, Income &amp; Expense'!B25</f>
        <v>0</v>
      </c>
      <c r="K20" s="578"/>
      <c r="L20" s="579"/>
      <c r="M20" s="579"/>
      <c r="N20" s="326"/>
    </row>
    <row r="21" spans="1:14" ht="15.75">
      <c r="A21"/>
      <c r="B21" s="664">
        <f>Calculations!B898</f>
        <v>0</v>
      </c>
      <c r="C21" s="842">
        <f>Calculations!A898</f>
        <v>0</v>
      </c>
      <c r="D21" s="843">
        <f>Calculations!D898</f>
        <v>0</v>
      </c>
      <c r="E21" s="844">
        <f>Calculations!C898</f>
        <v>0</v>
      </c>
      <c r="F21" s="844">
        <f>Calculations!E898</f>
        <v>0</v>
      </c>
      <c r="G21" s="669" t="str">
        <f t="shared" si="0"/>
        <v/>
      </c>
      <c r="H21" s="834"/>
      <c r="I21" s="729" t="s">
        <v>1122</v>
      </c>
      <c r="J21" s="668">
        <f>'Income+Expense'!B37+'Proforma, Income &amp; Expense'!B32+'Proforma, Income &amp; Expense'!B33</f>
        <v>0</v>
      </c>
      <c r="K21" s="578"/>
      <c r="L21" s="579"/>
      <c r="M21" s="579"/>
      <c r="N21" s="657"/>
    </row>
    <row r="22" spans="1:14" ht="15.75">
      <c r="A22"/>
      <c r="B22" s="664">
        <f>Calculations!B899</f>
        <v>0</v>
      </c>
      <c r="C22" s="842">
        <f>Calculations!A899</f>
        <v>0</v>
      </c>
      <c r="D22" s="843">
        <f>Calculations!D899</f>
        <v>0</v>
      </c>
      <c r="E22" s="844">
        <f>Calculations!C899</f>
        <v>0</v>
      </c>
      <c r="F22" s="844">
        <f>Calculations!E899</f>
        <v>0</v>
      </c>
      <c r="G22" s="669" t="str">
        <f t="shared" si="0"/>
        <v/>
      </c>
      <c r="H22" s="834"/>
      <c r="I22" s="729" t="str">
        <f>'Proforma, Income &amp; Expense'!A34</f>
        <v>Other (Specify)</v>
      </c>
      <c r="J22" s="668">
        <f>'Proforma, Income &amp; Expense'!B34</f>
        <v>0</v>
      </c>
      <c r="K22" s="578"/>
      <c r="L22" s="579"/>
      <c r="M22" s="579"/>
      <c r="N22" s="326"/>
    </row>
    <row r="23" spans="1:14" ht="15.75">
      <c r="A23"/>
      <c r="B23" s="664">
        <f>Calculations!B900</f>
        <v>0</v>
      </c>
      <c r="C23" s="842">
        <f>Calculations!A900</f>
        <v>0</v>
      </c>
      <c r="D23" s="843">
        <f>Calculations!D900</f>
        <v>0</v>
      </c>
      <c r="E23" s="844">
        <f>Calculations!C900</f>
        <v>0</v>
      </c>
      <c r="F23" s="844">
        <f>Calculations!E900</f>
        <v>0</v>
      </c>
      <c r="G23" s="669" t="str">
        <f t="shared" si="0"/>
        <v/>
      </c>
      <c r="H23" s="834"/>
      <c r="I23" s="602" t="s">
        <v>1123</v>
      </c>
      <c r="J23" s="669">
        <f>SUM(J11:J22)</f>
        <v>0</v>
      </c>
      <c r="K23" s="578"/>
      <c r="L23" s="579"/>
      <c r="M23" s="579"/>
      <c r="N23" s="326"/>
    </row>
    <row r="24" spans="1:14" ht="15.75">
      <c r="A24"/>
      <c r="B24" s="664">
        <f>Calculations!B901</f>
        <v>0</v>
      </c>
      <c r="C24" s="842">
        <f>Calculations!A901</f>
        <v>0</v>
      </c>
      <c r="D24" s="843">
        <f>Calculations!D901</f>
        <v>0</v>
      </c>
      <c r="E24" s="844">
        <f>Calculations!C901</f>
        <v>0</v>
      </c>
      <c r="F24" s="844">
        <f>Calculations!E901</f>
        <v>0</v>
      </c>
      <c r="G24" s="669" t="str">
        <f t="shared" ref="G24:G32" si="1">IF(F24=0,"",D24*F24*12)</f>
        <v/>
      </c>
      <c r="H24" s="834"/>
      <c r="I24" s="601" t="s">
        <v>1124</v>
      </c>
      <c r="J24" s="670"/>
      <c r="K24" s="578"/>
      <c r="L24" s="579"/>
      <c r="M24" s="579"/>
      <c r="N24" s="326"/>
    </row>
    <row r="25" spans="1:14" ht="15.75">
      <c r="A25"/>
      <c r="B25" s="664">
        <f>Calculations!B902</f>
        <v>0</v>
      </c>
      <c r="C25" s="842">
        <f>Calculations!A902</f>
        <v>0</v>
      </c>
      <c r="D25" s="843">
        <f>Calculations!D902</f>
        <v>0</v>
      </c>
      <c r="E25" s="844">
        <f>Calculations!C902</f>
        <v>0</v>
      </c>
      <c r="F25" s="844">
        <f>Calculations!E902</f>
        <v>0</v>
      </c>
      <c r="G25" s="669" t="str">
        <f t="shared" si="1"/>
        <v/>
      </c>
      <c r="H25" s="834"/>
      <c r="I25" s="727" t="s">
        <v>580</v>
      </c>
      <c r="J25" s="668">
        <f>'Proforma, Income &amp; Expense'!B37</f>
        <v>0</v>
      </c>
      <c r="K25" s="578" t="s">
        <v>1125</v>
      </c>
      <c r="L25" s="579"/>
      <c r="M25" s="579"/>
      <c r="N25" s="326"/>
    </row>
    <row r="26" spans="1:14" ht="15.75">
      <c r="A26"/>
      <c r="B26" s="664">
        <f>Calculations!B903</f>
        <v>0</v>
      </c>
      <c r="C26" s="842">
        <f>Calculations!A903</f>
        <v>0</v>
      </c>
      <c r="D26" s="843">
        <f>Calculations!D903</f>
        <v>0</v>
      </c>
      <c r="E26" s="844">
        <f>Calculations!C903</f>
        <v>0</v>
      </c>
      <c r="F26" s="844">
        <f>Calculations!E903</f>
        <v>0</v>
      </c>
      <c r="G26" s="669" t="str">
        <f t="shared" si="1"/>
        <v/>
      </c>
      <c r="H26" s="834"/>
      <c r="I26" s="727" t="s">
        <v>581</v>
      </c>
      <c r="J26" s="668">
        <f>'Proforma, Income &amp; Expense'!B38</f>
        <v>0</v>
      </c>
      <c r="K26" s="793" t="e">
        <f>(J25+J26+J27+J28+J29)/D43/12</f>
        <v>#DIV/0!</v>
      </c>
      <c r="L26" s="579"/>
      <c r="M26" s="579"/>
      <c r="N26" s="326"/>
    </row>
    <row r="27" spans="1:14" ht="15.75">
      <c r="A27"/>
      <c r="B27" s="664">
        <f>Calculations!B904</f>
        <v>0</v>
      </c>
      <c r="C27" s="842">
        <f>Calculations!A904</f>
        <v>0</v>
      </c>
      <c r="D27" s="843">
        <f>Calculations!D904</f>
        <v>0</v>
      </c>
      <c r="E27" s="844">
        <f>Calculations!C904</f>
        <v>0</v>
      </c>
      <c r="F27" s="844">
        <f>Calculations!E904</f>
        <v>0</v>
      </c>
      <c r="G27" s="669" t="str">
        <f t="shared" si="1"/>
        <v/>
      </c>
      <c r="H27" s="834"/>
      <c r="I27" s="727" t="s">
        <v>582</v>
      </c>
      <c r="J27" s="668">
        <f>'Proforma, Income &amp; Expense'!B39</f>
        <v>0</v>
      </c>
      <c r="K27" s="578"/>
      <c r="L27" s="580"/>
      <c r="M27" s="579"/>
      <c r="N27" s="326"/>
    </row>
    <row r="28" spans="1:14" ht="15.75">
      <c r="A28"/>
      <c r="B28" s="664">
        <f>Calculations!B905</f>
        <v>0</v>
      </c>
      <c r="C28" s="842">
        <f>Calculations!A905</f>
        <v>0</v>
      </c>
      <c r="D28" s="843">
        <f>Calculations!D905</f>
        <v>0</v>
      </c>
      <c r="E28" s="844">
        <f>Calculations!C905</f>
        <v>0</v>
      </c>
      <c r="F28" s="844">
        <f>Calculations!E905</f>
        <v>0</v>
      </c>
      <c r="G28" s="669" t="str">
        <f t="shared" si="1"/>
        <v/>
      </c>
      <c r="H28" s="834"/>
      <c r="I28" s="727" t="s">
        <v>583</v>
      </c>
      <c r="J28" s="668">
        <f>'Proforma, Income &amp; Expense'!B40</f>
        <v>0</v>
      </c>
      <c r="K28" s="578"/>
      <c r="L28" s="580"/>
      <c r="M28" s="579"/>
      <c r="N28" s="326"/>
    </row>
    <row r="29" spans="1:14" ht="15.75">
      <c r="A29"/>
      <c r="B29" s="664">
        <f>Calculations!B906</f>
        <v>0</v>
      </c>
      <c r="C29" s="842">
        <f>Calculations!A906</f>
        <v>0</v>
      </c>
      <c r="D29" s="843">
        <f>Calculations!D906</f>
        <v>0</v>
      </c>
      <c r="E29" s="844">
        <f>Calculations!C906</f>
        <v>0</v>
      </c>
      <c r="F29" s="844">
        <f>Calculations!E906</f>
        <v>0</v>
      </c>
      <c r="G29" s="669" t="str">
        <f t="shared" si="1"/>
        <v/>
      </c>
      <c r="H29" s="834"/>
      <c r="I29" s="727" t="s">
        <v>584</v>
      </c>
      <c r="J29" s="668">
        <f>'Proforma, Income &amp; Expense'!B41</f>
        <v>0</v>
      </c>
      <c r="K29" s="578"/>
      <c r="L29" s="580"/>
      <c r="M29" s="579"/>
      <c r="N29" s="326"/>
    </row>
    <row r="30" spans="1:14" ht="15.75">
      <c r="A30"/>
      <c r="B30" s="664">
        <f>Calculations!B907</f>
        <v>0</v>
      </c>
      <c r="C30" s="842">
        <f>Calculations!A907</f>
        <v>0</v>
      </c>
      <c r="D30" s="843">
        <f>Calculations!D907</f>
        <v>0</v>
      </c>
      <c r="E30" s="844">
        <f>Calculations!C907</f>
        <v>0</v>
      </c>
      <c r="F30" s="844">
        <f>Calculations!E907</f>
        <v>0</v>
      </c>
      <c r="G30" s="669" t="str">
        <f t="shared" si="1"/>
        <v/>
      </c>
      <c r="H30" s="834"/>
      <c r="I30" s="727" t="s">
        <v>1126</v>
      </c>
      <c r="J30" s="668">
        <f>'Proforma, Income &amp; Expense'!B42</f>
        <v>0</v>
      </c>
      <c r="K30" s="730"/>
      <c r="L30" s="579"/>
      <c r="M30" s="579"/>
      <c r="N30" s="326"/>
    </row>
    <row r="31" spans="1:14" ht="15.75">
      <c r="A31"/>
      <c r="B31" s="664">
        <f>Calculations!B908</f>
        <v>0</v>
      </c>
      <c r="C31" s="842">
        <f>Calculations!A908</f>
        <v>0</v>
      </c>
      <c r="D31" s="843">
        <f>Calculations!D908</f>
        <v>0</v>
      </c>
      <c r="E31" s="844">
        <f>Calculations!C908</f>
        <v>0</v>
      </c>
      <c r="F31" s="844">
        <f>Calculations!E908</f>
        <v>0</v>
      </c>
      <c r="G31" s="669" t="str">
        <f t="shared" si="1"/>
        <v/>
      </c>
      <c r="H31" s="834"/>
      <c r="I31" s="727" t="s">
        <v>586</v>
      </c>
      <c r="J31" s="668">
        <f>'Proforma, Income &amp; Expense'!B43</f>
        <v>0</v>
      </c>
      <c r="K31" s="730"/>
      <c r="L31" s="580"/>
      <c r="M31" s="579"/>
      <c r="N31" s="326"/>
    </row>
    <row r="32" spans="1:14" ht="15.75">
      <c r="A32"/>
      <c r="B32" s="664">
        <f>Calculations!B909</f>
        <v>0</v>
      </c>
      <c r="C32" s="842">
        <f>Calculations!A909</f>
        <v>0</v>
      </c>
      <c r="D32" s="843">
        <f>Calculations!D909</f>
        <v>0</v>
      </c>
      <c r="E32" s="844">
        <f>Calculations!C909</f>
        <v>0</v>
      </c>
      <c r="F32" s="844">
        <f>Calculations!E909</f>
        <v>0</v>
      </c>
      <c r="G32" s="669" t="str">
        <f t="shared" si="1"/>
        <v/>
      </c>
      <c r="H32" s="834"/>
      <c r="I32" s="727" t="s">
        <v>587</v>
      </c>
      <c r="J32" s="668">
        <f>'Proforma, Income &amp; Expense'!B44</f>
        <v>0</v>
      </c>
      <c r="K32" s="578"/>
      <c r="L32" s="579"/>
      <c r="M32" s="579"/>
      <c r="N32" s="326"/>
    </row>
    <row r="33" spans="1:14" ht="15.75">
      <c r="A33"/>
      <c r="B33" s="664">
        <f>Calculations!B910</f>
        <v>0</v>
      </c>
      <c r="C33" s="842">
        <f>Calculations!A910</f>
        <v>0</v>
      </c>
      <c r="D33" s="843">
        <f>Calculations!D910</f>
        <v>0</v>
      </c>
      <c r="E33" s="844">
        <f>Calculations!C901</f>
        <v>0</v>
      </c>
      <c r="F33" s="844">
        <f>Calculations!E901</f>
        <v>0</v>
      </c>
      <c r="G33" s="669" t="str">
        <f t="shared" si="0"/>
        <v/>
      </c>
      <c r="H33" s="834"/>
      <c r="I33" s="727" t="s">
        <v>1127</v>
      </c>
      <c r="J33" s="668">
        <v>0</v>
      </c>
      <c r="K33" s="578"/>
      <c r="L33" s="579"/>
      <c r="M33" s="579"/>
      <c r="N33" s="326"/>
    </row>
    <row r="34" spans="1:14" ht="15.75">
      <c r="A34"/>
      <c r="B34" s="664">
        <f>Calculations!B911</f>
        <v>0</v>
      </c>
      <c r="C34" s="842">
        <f>Calculations!A911</f>
        <v>0</v>
      </c>
      <c r="D34" s="843">
        <f>Calculations!D911</f>
        <v>0</v>
      </c>
      <c r="E34" s="844">
        <f>Calculations!C902</f>
        <v>0</v>
      </c>
      <c r="F34" s="844">
        <f>Calculations!E902</f>
        <v>0</v>
      </c>
      <c r="G34" s="669" t="str">
        <f t="shared" si="0"/>
        <v/>
      </c>
      <c r="H34" s="834"/>
      <c r="I34" s="727" t="s">
        <v>1128</v>
      </c>
      <c r="J34" s="668">
        <v>0</v>
      </c>
      <c r="K34" s="578"/>
      <c r="L34" s="579"/>
      <c r="M34" s="579"/>
    </row>
    <row r="35" spans="1:14" ht="15.75">
      <c r="A35"/>
      <c r="B35" s="664">
        <f>Calculations!B912</f>
        <v>0</v>
      </c>
      <c r="C35" s="842">
        <f>Calculations!A912</f>
        <v>0</v>
      </c>
      <c r="D35" s="843">
        <f>Calculations!D912</f>
        <v>0</v>
      </c>
      <c r="E35" s="844">
        <f>Calculations!C903</f>
        <v>0</v>
      </c>
      <c r="F35" s="844">
        <f>Calculations!E903</f>
        <v>0</v>
      </c>
      <c r="G35" s="669" t="str">
        <f t="shared" si="0"/>
        <v/>
      </c>
      <c r="H35" s="834"/>
      <c r="I35" s="729" t="s">
        <v>620</v>
      </c>
      <c r="J35" s="668">
        <f>'Proforma, Income &amp; Expense'!B45+'Proforma, Income &amp; Expense'!B46+'Proforma, Income &amp; Expense'!B47+'Proforma, Income &amp; Expense'!B48</f>
        <v>0</v>
      </c>
      <c r="K35" s="578"/>
      <c r="L35" s="579"/>
      <c r="M35" s="579"/>
    </row>
    <row r="36" spans="1:14" ht="15.75">
      <c r="A36"/>
      <c r="B36" s="664">
        <f>Calculations!B913</f>
        <v>0</v>
      </c>
      <c r="C36" s="842">
        <f>Calculations!A913</f>
        <v>0</v>
      </c>
      <c r="D36" s="843">
        <f>Calculations!D913</f>
        <v>0</v>
      </c>
      <c r="E36" s="844">
        <f>Calculations!C904</f>
        <v>0</v>
      </c>
      <c r="F36" s="844">
        <f>Calculations!E904</f>
        <v>0</v>
      </c>
      <c r="G36" s="669" t="str">
        <f t="shared" si="0"/>
        <v/>
      </c>
      <c r="H36" s="834"/>
      <c r="I36" s="729" t="s">
        <v>620</v>
      </c>
      <c r="J36" s="668">
        <v>0</v>
      </c>
      <c r="K36" s="578"/>
      <c r="L36" s="579"/>
      <c r="M36" s="579"/>
    </row>
    <row r="37" spans="1:14" ht="15.75">
      <c r="A37"/>
      <c r="B37" s="664">
        <f>Calculations!B914</f>
        <v>0</v>
      </c>
      <c r="C37" s="842">
        <f>Calculations!A914</f>
        <v>0</v>
      </c>
      <c r="D37" s="843">
        <f>Calculations!D914</f>
        <v>0</v>
      </c>
      <c r="E37" s="844">
        <f>Calculations!C905</f>
        <v>0</v>
      </c>
      <c r="F37" s="844">
        <f>Calculations!E905</f>
        <v>0</v>
      </c>
      <c r="G37" s="669" t="str">
        <f t="shared" si="0"/>
        <v/>
      </c>
      <c r="H37" s="834"/>
      <c r="I37" s="602" t="s">
        <v>1129</v>
      </c>
      <c r="J37" s="669">
        <f>SUM(J25:J36)</f>
        <v>0</v>
      </c>
      <c r="K37" s="578"/>
      <c r="L37" s="579"/>
      <c r="M37" s="579"/>
    </row>
    <row r="38" spans="1:14" ht="15.75">
      <c r="A38"/>
      <c r="B38" s="664">
        <f>Calculations!B915</f>
        <v>0</v>
      </c>
      <c r="C38" s="842">
        <f>Calculations!A915</f>
        <v>0</v>
      </c>
      <c r="D38" s="843">
        <f>Calculations!D915</f>
        <v>0</v>
      </c>
      <c r="E38" s="844">
        <f>Calculations!C906</f>
        <v>0</v>
      </c>
      <c r="F38" s="844">
        <f>Calculations!E906</f>
        <v>0</v>
      </c>
      <c r="G38" s="669" t="str">
        <f t="shared" si="0"/>
        <v/>
      </c>
      <c r="H38" s="834"/>
      <c r="I38" s="601" t="s">
        <v>1130</v>
      </c>
      <c r="J38" s="670"/>
      <c r="K38" s="578"/>
      <c r="L38" s="579"/>
      <c r="M38" s="579"/>
    </row>
    <row r="39" spans="1:14" ht="15.75">
      <c r="A39"/>
      <c r="B39" s="664">
        <f>Calculations!B916</f>
        <v>0</v>
      </c>
      <c r="C39" s="842">
        <f>Calculations!A916</f>
        <v>0</v>
      </c>
      <c r="D39" s="843">
        <f>Calculations!D916</f>
        <v>0</v>
      </c>
      <c r="E39" s="844">
        <f>Calculations!C907</f>
        <v>0</v>
      </c>
      <c r="F39" s="844">
        <f>Calculations!E907</f>
        <v>0</v>
      </c>
      <c r="G39" s="669" t="str">
        <f t="shared" si="0"/>
        <v/>
      </c>
      <c r="H39" s="834"/>
      <c r="I39" s="727" t="s">
        <v>594</v>
      </c>
      <c r="J39" s="668">
        <f>'Proforma, Income &amp; Expense'!B56</f>
        <v>0</v>
      </c>
      <c r="K39" s="578"/>
      <c r="L39" s="579"/>
      <c r="M39" s="579"/>
    </row>
    <row r="40" spans="1:14" ht="15.75">
      <c r="A40"/>
      <c r="B40" s="664">
        <f>Calculations!B917</f>
        <v>0</v>
      </c>
      <c r="C40" s="842">
        <f>Calculations!A917</f>
        <v>0</v>
      </c>
      <c r="D40" s="843">
        <f>Calculations!D917</f>
        <v>0</v>
      </c>
      <c r="E40" s="844">
        <f>Calculations!C908</f>
        <v>0</v>
      </c>
      <c r="F40" s="844">
        <f>Calculations!E908</f>
        <v>0</v>
      </c>
      <c r="G40" s="669" t="str">
        <f t="shared" si="0"/>
        <v/>
      </c>
      <c r="H40" s="834"/>
      <c r="I40" s="727" t="s">
        <v>1131</v>
      </c>
      <c r="J40" s="668">
        <f>'Proforma, Income &amp; Expense'!B55</f>
        <v>0</v>
      </c>
      <c r="K40" s="578"/>
      <c r="L40" s="579"/>
      <c r="M40" s="579"/>
    </row>
    <row r="41" spans="1:14" ht="15.75">
      <c r="A41"/>
      <c r="B41" s="664">
        <f>Calculations!B918</f>
        <v>0</v>
      </c>
      <c r="C41" s="842">
        <f>Calculations!A918</f>
        <v>0</v>
      </c>
      <c r="D41" s="843">
        <f>Calculations!D918</f>
        <v>0</v>
      </c>
      <c r="E41" s="844">
        <f>Calculations!C909</f>
        <v>0</v>
      </c>
      <c r="F41" s="844">
        <f>Calculations!E909</f>
        <v>0</v>
      </c>
      <c r="G41" s="669" t="str">
        <f t="shared" si="0"/>
        <v/>
      </c>
      <c r="H41" s="834"/>
      <c r="I41" s="727" t="s">
        <v>592</v>
      </c>
      <c r="J41" s="668">
        <f>'Proforma, Income &amp; Expense'!B54</f>
        <v>0</v>
      </c>
      <c r="K41" s="578"/>
      <c r="L41" s="579"/>
      <c r="M41" s="579"/>
    </row>
    <row r="42" spans="1:14" ht="18" customHeight="1">
      <c r="A42"/>
      <c r="B42" s="664">
        <f>Calculations!B919</f>
        <v>0</v>
      </c>
      <c r="C42" s="842">
        <f>Calculations!A919</f>
        <v>0</v>
      </c>
      <c r="D42" s="843">
        <f>Calculations!D919</f>
        <v>0</v>
      </c>
      <c r="E42" s="844">
        <f>Calculations!C910</f>
        <v>0</v>
      </c>
      <c r="F42" s="844">
        <f>Calculations!E910</f>
        <v>0</v>
      </c>
      <c r="G42" s="669" t="str">
        <f t="shared" si="0"/>
        <v/>
      </c>
      <c r="H42" s="834"/>
      <c r="I42" s="727" t="s">
        <v>1132</v>
      </c>
      <c r="J42" s="668">
        <f>'Proforma, Income &amp; Expense'!B57</f>
        <v>0</v>
      </c>
      <c r="K42" s="578"/>
      <c r="L42" s="579"/>
      <c r="M42" s="579"/>
    </row>
    <row r="43" spans="1:14" ht="15.75">
      <c r="A43"/>
      <c r="B43" s="731"/>
      <c r="C43" s="732" t="s">
        <v>1133</v>
      </c>
      <c r="D43" s="733">
        <f>SUM(D11:D42)</f>
        <v>0</v>
      </c>
      <c r="E43" s="732"/>
      <c r="F43" s="732" t="s">
        <v>1134</v>
      </c>
      <c r="G43" s="669">
        <f>SUM(G11:G42)</f>
        <v>0</v>
      </c>
      <c r="H43" s="669"/>
      <c r="I43" s="727" t="s">
        <v>590</v>
      </c>
      <c r="J43" s="668">
        <f>'Proforma, Income &amp; Expense'!B52</f>
        <v>0</v>
      </c>
      <c r="K43" s="578"/>
      <c r="L43" s="579"/>
      <c r="M43" s="579"/>
    </row>
    <row r="44" spans="1:14" ht="15.75">
      <c r="A44"/>
      <c r="B44" s="731"/>
      <c r="C44" s="732" t="s">
        <v>1135</v>
      </c>
      <c r="D44" s="734">
        <f>SUMPRODUCT(D11:D42,E11:E42)</f>
        <v>0</v>
      </c>
      <c r="E44" s="735"/>
      <c r="F44" s="735"/>
      <c r="G44" s="669"/>
      <c r="H44" s="669"/>
      <c r="I44" s="727" t="s">
        <v>591</v>
      </c>
      <c r="J44" s="668">
        <f>'Proforma, Income &amp; Expense'!B53</f>
        <v>0</v>
      </c>
      <c r="K44" s="578"/>
      <c r="L44" s="579"/>
      <c r="M44" s="579"/>
    </row>
    <row r="45" spans="1:14" ht="15.75">
      <c r="A45"/>
      <c r="B45" s="736"/>
      <c r="C45" s="732" t="s">
        <v>1136</v>
      </c>
      <c r="D45" s="737" t="e">
        <f>SUMPRODUCT(C11:C42,D11:D42)/D43</f>
        <v>#DIV/0!</v>
      </c>
      <c r="E45" s="735"/>
      <c r="F45" s="732" t="s">
        <v>1137</v>
      </c>
      <c r="G45" s="668">
        <f>12*'Proforma, Income &amp; Expense'!B13</f>
        <v>0</v>
      </c>
      <c r="H45" s="667"/>
      <c r="I45" s="727" t="s">
        <v>597</v>
      </c>
      <c r="J45" s="668">
        <f>'Proforma, Income &amp; Expense'!B59</f>
        <v>0</v>
      </c>
      <c r="K45" s="578"/>
      <c r="L45" s="579"/>
      <c r="M45" s="579"/>
    </row>
    <row r="46" spans="1:14" ht="15.75">
      <c r="A46"/>
      <c r="B46" s="736"/>
      <c r="C46" s="732" t="s">
        <v>1138</v>
      </c>
      <c r="D46" s="734">
        <f>SUMIF(C11:C42,"&lt;=0.6",D11:D42)</f>
        <v>0</v>
      </c>
      <c r="E46" s="735"/>
      <c r="F46" s="732" t="s">
        <v>1139</v>
      </c>
      <c r="G46" s="668">
        <f>12*'Proforma, Income &amp; Expense'!B12</f>
        <v>0</v>
      </c>
      <c r="H46" s="667"/>
      <c r="I46" s="727" t="s">
        <v>589</v>
      </c>
      <c r="J46" s="668">
        <f>'Proforma, Income &amp; Expense'!B51</f>
        <v>0</v>
      </c>
      <c r="K46" s="578" t="s">
        <v>1140</v>
      </c>
      <c r="L46" s="579"/>
      <c r="M46" s="579"/>
    </row>
    <row r="47" spans="1:14" ht="15.75">
      <c r="A47"/>
      <c r="B47" s="736"/>
      <c r="C47" s="735"/>
      <c r="D47" s="735"/>
      <c r="E47" s="739"/>
      <c r="F47" s="732" t="s">
        <v>1141</v>
      </c>
      <c r="G47" s="668">
        <f>12*'Proforma, Income &amp; Expense'!B14+'Proforma, Income &amp; Expense'!B15</f>
        <v>0</v>
      </c>
      <c r="H47" s="667"/>
      <c r="I47" s="729" t="s">
        <v>620</v>
      </c>
      <c r="J47" s="668">
        <f>'Proforma, Income &amp; Expense'!B58+'Proforma, Income &amp; Expense'!B60+'Proforma, Income &amp; Expense'!B61</f>
        <v>0</v>
      </c>
      <c r="K47" s="578"/>
      <c r="L47" s="579"/>
      <c r="M47" s="579"/>
    </row>
    <row r="48" spans="1:14" ht="16.5" customHeight="1" thickBot="1">
      <c r="A48"/>
      <c r="B48" s="603"/>
      <c r="C48" s="735"/>
      <c r="D48" s="735"/>
      <c r="E48" s="735"/>
      <c r="F48" s="732" t="s">
        <v>1142</v>
      </c>
      <c r="G48" s="669">
        <f>G43+G45+G46+G47</f>
        <v>0</v>
      </c>
      <c r="H48" s="669"/>
      <c r="I48" s="729" t="str">
        <f>'Proforma, Income &amp; Expense'!A62</f>
        <v>Other (Specify)</v>
      </c>
      <c r="J48" s="668">
        <f>'Proforma, Income &amp; Expense'!B62</f>
        <v>0</v>
      </c>
      <c r="K48" s="578"/>
      <c r="L48" s="579"/>
      <c r="M48" s="579"/>
    </row>
    <row r="49" spans="1:13" ht="17.25" thickTop="1" thickBot="1">
      <c r="A49"/>
      <c r="B49" s="736"/>
      <c r="C49" s="740" t="s">
        <v>1143</v>
      </c>
      <c r="D49" s="831">
        <f>Calculations!B359</f>
        <v>7.0000000000000007E-2</v>
      </c>
      <c r="E49" s="741"/>
      <c r="F49" s="732" t="s">
        <v>1144</v>
      </c>
      <c r="G49" s="669">
        <f>-(D49*G48)</f>
        <v>0</v>
      </c>
      <c r="H49" s="669"/>
      <c r="I49" s="602" t="s">
        <v>1145</v>
      </c>
      <c r="J49" s="669">
        <f>SUM(J39:J48)</f>
        <v>0</v>
      </c>
      <c r="K49" s="578"/>
      <c r="L49" s="579"/>
      <c r="M49" s="579"/>
    </row>
    <row r="50" spans="1:13" ht="16.5" thickTop="1">
      <c r="A50"/>
      <c r="B50" s="736"/>
      <c r="C50" s="735"/>
      <c r="D50" s="735"/>
      <c r="E50" s="604"/>
      <c r="F50" s="605" t="s">
        <v>1146</v>
      </c>
      <c r="G50" s="669">
        <f>(G48+G49)</f>
        <v>0</v>
      </c>
      <c r="H50" s="669"/>
      <c r="I50" s="601" t="s">
        <v>1147</v>
      </c>
      <c r="J50" s="670"/>
      <c r="K50" s="578"/>
      <c r="L50" s="579"/>
      <c r="M50" s="579"/>
    </row>
    <row r="51" spans="1:13" ht="15.75">
      <c r="A51"/>
      <c r="B51" s="736"/>
      <c r="C51" s="735"/>
      <c r="D51" s="735"/>
      <c r="E51" s="735"/>
      <c r="F51" s="735"/>
      <c r="G51" s="738"/>
      <c r="H51" s="738"/>
      <c r="I51" s="752" t="s">
        <v>599</v>
      </c>
      <c r="J51" s="668">
        <f>'Proforma, Income &amp; Expense'!B65</f>
        <v>0</v>
      </c>
      <c r="K51" s="578"/>
      <c r="L51" s="579"/>
      <c r="M51" s="579"/>
    </row>
    <row r="52" spans="1:13" ht="15.75">
      <c r="A52"/>
      <c r="B52" s="736"/>
      <c r="C52" s="735"/>
      <c r="D52" s="604"/>
      <c r="E52" s="604" t="s">
        <v>1148</v>
      </c>
      <c r="F52" s="735"/>
      <c r="G52" s="669"/>
      <c r="H52" s="669"/>
      <c r="I52" s="752" t="s">
        <v>600</v>
      </c>
      <c r="J52" s="668">
        <f>'Proforma, Income &amp; Expense'!B66</f>
        <v>0</v>
      </c>
      <c r="K52" s="578"/>
      <c r="L52" s="579"/>
      <c r="M52" s="579"/>
    </row>
    <row r="53" spans="1:13" ht="15.75">
      <c r="A53"/>
      <c r="B53" s="736"/>
      <c r="C53" s="735"/>
      <c r="D53" s="735"/>
      <c r="E53" s="735"/>
      <c r="F53" s="732" t="s">
        <v>1149</v>
      </c>
      <c r="G53" s="742">
        <f>'Financing DOH'!E18</f>
        <v>0</v>
      </c>
      <c r="H53" s="826"/>
      <c r="I53" s="752" t="s">
        <v>1150</v>
      </c>
      <c r="J53" s="668">
        <f>'Proforma, Income &amp; Expense'!B68</f>
        <v>0</v>
      </c>
      <c r="K53" s="578"/>
      <c r="L53" s="579"/>
      <c r="M53" s="579"/>
    </row>
    <row r="54" spans="1:13" ht="15.75">
      <c r="A54"/>
      <c r="B54" s="736"/>
      <c r="C54" s="735"/>
      <c r="D54" s="735"/>
      <c r="E54" s="735"/>
      <c r="F54" s="732" t="s">
        <v>1151</v>
      </c>
      <c r="G54" s="742">
        <f>'Financing DOH'!E26</f>
        <v>0</v>
      </c>
      <c r="H54" s="826"/>
      <c r="I54" s="752" t="s">
        <v>1099</v>
      </c>
      <c r="J54" s="668">
        <f>D43*'Proforma, Income &amp; Expense'!B76</f>
        <v>0</v>
      </c>
      <c r="K54" s="578" t="s">
        <v>1152</v>
      </c>
      <c r="L54" s="579" t="e">
        <f>J54/D43</f>
        <v>#DIV/0!</v>
      </c>
      <c r="M54" s="579"/>
    </row>
    <row r="55" spans="1:13" ht="15.75">
      <c r="A55"/>
      <c r="B55" s="736"/>
      <c r="C55" s="735"/>
      <c r="D55" s="735"/>
      <c r="E55" s="735"/>
      <c r="F55" s="732" t="s">
        <v>1153</v>
      </c>
      <c r="G55" s="742">
        <f>'Financing DOH'!E34</f>
        <v>0</v>
      </c>
      <c r="H55" s="826"/>
      <c r="I55" s="729" t="s">
        <v>620</v>
      </c>
      <c r="J55" s="668">
        <f>'Proforma, Income &amp; Expense'!B69+'Proforma, Income &amp; Expense'!B70+'Proforma, Income &amp; Expense'!B71</f>
        <v>0</v>
      </c>
      <c r="K55" s="578"/>
      <c r="L55" s="579"/>
      <c r="M55" s="579"/>
    </row>
    <row r="56" spans="1:13" ht="16.5" thickBot="1">
      <c r="A56"/>
      <c r="B56" s="731"/>
      <c r="C56" s="735"/>
      <c r="D56" s="735"/>
      <c r="E56" s="604" t="s">
        <v>1154</v>
      </c>
      <c r="F56" s="735"/>
      <c r="G56" s="742">
        <f>G53+G54+G55</f>
        <v>0</v>
      </c>
      <c r="H56" s="826"/>
      <c r="I56" s="605" t="s">
        <v>1155</v>
      </c>
      <c r="J56" s="669">
        <f>SUM(J51:J55)</f>
        <v>0</v>
      </c>
      <c r="K56" s="578"/>
      <c r="L56" s="676"/>
      <c r="M56" s="579"/>
    </row>
    <row r="57" spans="1:13" ht="17.25" thickTop="1" thickBot="1">
      <c r="A57"/>
      <c r="B57" s="743"/>
      <c r="C57" s="674" t="s">
        <v>1156</v>
      </c>
      <c r="D57" s="744" t="e">
        <f>(J57+(-G56))/G50</f>
        <v>#DIV/0!</v>
      </c>
      <c r="E57" s="745"/>
      <c r="F57" s="746" t="s">
        <v>1157</v>
      </c>
      <c r="G57" s="830">
        <f>J58/1.15</f>
        <v>0</v>
      </c>
      <c r="H57" s="827"/>
      <c r="I57" s="610" t="s">
        <v>1158</v>
      </c>
      <c r="J57" s="671">
        <f>J23+J37+J49+J56</f>
        <v>0</v>
      </c>
      <c r="K57" s="835" t="s">
        <v>1159</v>
      </c>
      <c r="L57" s="836">
        <f>J57-J54</f>
        <v>0</v>
      </c>
      <c r="M57" s="579"/>
    </row>
    <row r="58" spans="1:13" ht="17.25" thickTop="1" thickBot="1">
      <c r="A58"/>
      <c r="B58" s="578"/>
      <c r="C58" s="579"/>
      <c r="D58" s="747"/>
      <c r="E58" s="747"/>
      <c r="F58" s="748" t="s">
        <v>1160</v>
      </c>
      <c r="G58" s="794" t="e">
        <f>J58/-(G56)</f>
        <v>#DIV/0!</v>
      </c>
      <c r="H58" s="828"/>
      <c r="I58" s="611" t="s">
        <v>1161</v>
      </c>
      <c r="J58" s="672">
        <f>(G50-J57)</f>
        <v>0</v>
      </c>
      <c r="K58" s="578"/>
    </row>
    <row r="59" spans="1:13" ht="16.5" thickTop="1">
      <c r="A59"/>
      <c r="B59" s="578"/>
      <c r="C59" s="579"/>
      <c r="D59" s="579"/>
      <c r="E59" s="579"/>
      <c r="F59" s="579"/>
      <c r="G59" s="579"/>
      <c r="H59" s="579"/>
      <c r="I59" s="612" t="s">
        <v>1162</v>
      </c>
      <c r="J59" s="673" t="e">
        <f>J57/D43</f>
        <v>#DIV/0!</v>
      </c>
      <c r="K59" s="578"/>
      <c r="L59" s="579" t="s">
        <v>1163</v>
      </c>
      <c r="M59" s="579"/>
    </row>
    <row r="60" spans="1:13" ht="16.5" thickBot="1">
      <c r="A60"/>
      <c r="B60" s="749" t="s">
        <v>692</v>
      </c>
      <c r="C60" s="750"/>
      <c r="D60" s="750"/>
      <c r="E60" s="750"/>
      <c r="F60" s="750"/>
      <c r="G60" s="751"/>
      <c r="H60" s="837"/>
      <c r="I60" s="755" t="s">
        <v>1164</v>
      </c>
      <c r="J60" s="846"/>
      <c r="K60" s="578"/>
      <c r="L60" s="579" t="e">
        <f>J57/G59</f>
        <v>#DIV/0!</v>
      </c>
      <c r="M60" s="579"/>
    </row>
    <row r="61" spans="1:13" ht="16.5" thickTop="1">
      <c r="A61"/>
      <c r="B61" s="606" t="s">
        <v>1165</v>
      </c>
      <c r="C61" s="607"/>
      <c r="D61" s="607"/>
      <c r="E61" s="607" t="s">
        <v>1166</v>
      </c>
      <c r="F61" s="607"/>
      <c r="G61" s="608"/>
      <c r="H61" s="838"/>
    </row>
    <row r="62" spans="1:13" ht="15.75">
      <c r="A62" s="609"/>
      <c r="B62" s="820" t="str">
        <f>CONCATENATE(IF(Amenities!B104="Yes",Amenities!A104,"")," ",IF(Amenities!B105="Yes",Amenities!A105,"")," ",IF(Amenities!B106="Yes",Amenities!A106,"")," ",IF(Amenities!B106="Yes",Amenities!A106,"")," ",IF(Amenities!B107="Yes",Amenities!A107,"")," ",IF(Amenities!B108="Yes",Amenities!A108,"")," ",IF(Amenities!B109="Yes",Amenities!A109,"")," ")</f>
        <v xml:space="preserve">       </v>
      </c>
      <c r="C62" s="821"/>
      <c r="D62" s="579"/>
      <c r="E62" s="824" t="str">
        <f>CONCATENATE(IF(Amenities!B96="Yes",Amenities!A96,"")," ",IF(Amenities!B97="Yes",Amenities!A97,"")," ",IF(Amenities!B98="Yes",Amenities!A98,"")," ",IF(Amenities!B99="Yes",Amenities!A99,"")," ",IF(Amenities!B100="Yes",Amenities!A100,"")," ",IF(Amenities!B101="Yes",Amenities!A101,"")," ")</f>
        <v xml:space="preserve">      </v>
      </c>
      <c r="F62" s="829"/>
      <c r="G62" s="821"/>
      <c r="H62" s="829"/>
    </row>
    <row r="63" spans="1:13" ht="15.75">
      <c r="A63" s="609"/>
      <c r="B63" s="822"/>
      <c r="C63" s="823"/>
      <c r="D63"/>
      <c r="E63" s="825"/>
      <c r="F63" s="822"/>
      <c r="G63" s="823"/>
      <c r="H63" s="839"/>
    </row>
    <row r="64" spans="1:13" ht="15.75">
      <c r="A64"/>
      <c r="B64" s="606" t="s">
        <v>1167</v>
      </c>
      <c r="C64" s="607"/>
      <c r="D64" s="607"/>
      <c r="E64" s="607"/>
      <c r="F64" s="607"/>
      <c r="G64" s="608"/>
      <c r="H64" s="838"/>
    </row>
    <row r="65" spans="1:29" ht="15.75">
      <c r="A65"/>
      <c r="B65" s="736" t="s">
        <v>1168</v>
      </c>
      <c r="C65" s="675">
        <f>Calculations!B87</f>
        <v>0</v>
      </c>
      <c r="D65" s="579"/>
      <c r="E65" s="579"/>
      <c r="F65" s="579"/>
      <c r="G65" s="753"/>
      <c r="H65" s="579"/>
    </row>
    <row r="66" spans="1:29" ht="15.75">
      <c r="A66"/>
      <c r="B66" s="736" t="s">
        <v>1169</v>
      </c>
      <c r="C66" s="675">
        <f>Calculations!C87</f>
        <v>0</v>
      </c>
      <c r="D66" s="579"/>
      <c r="E66" s="579"/>
      <c r="F66" s="579"/>
      <c r="G66" s="753"/>
      <c r="H66" s="579"/>
    </row>
    <row r="67" spans="1:29" ht="15.75">
      <c r="A67"/>
      <c r="B67" s="736" t="s">
        <v>1170</v>
      </c>
      <c r="C67" s="675">
        <f>Calculations!D87</f>
        <v>0</v>
      </c>
      <c r="D67" s="579"/>
      <c r="E67" s="579"/>
      <c r="F67" s="579"/>
      <c r="G67" s="753"/>
      <c r="H67" s="579"/>
    </row>
    <row r="68" spans="1:29" ht="15.75">
      <c r="A68"/>
      <c r="B68" s="736" t="s">
        <v>1171</v>
      </c>
      <c r="C68" s="675">
        <f>Calculations!E87</f>
        <v>0</v>
      </c>
      <c r="D68" s="579"/>
      <c r="E68" s="579"/>
      <c r="F68" s="579"/>
      <c r="G68" s="753"/>
      <c r="H68" s="579"/>
    </row>
    <row r="69" spans="1:29" ht="16.5" thickBot="1">
      <c r="A69"/>
      <c r="B69" s="731" t="s">
        <v>1172</v>
      </c>
      <c r="C69" s="675">
        <f>Calculations!F87</f>
        <v>0</v>
      </c>
      <c r="D69" s="633"/>
      <c r="E69" s="633"/>
      <c r="F69" s="633"/>
      <c r="G69" s="754"/>
      <c r="H69" s="633"/>
    </row>
    <row r="70" spans="1:29" ht="16.5" thickTop="1">
      <c r="A70"/>
      <c r="B70" s="634"/>
      <c r="C70" s="634"/>
      <c r="D70" s="579"/>
      <c r="E70" s="579"/>
      <c r="F70" s="579"/>
      <c r="G70" s="579"/>
      <c r="H70" s="579"/>
      <c r="I70" s="579"/>
      <c r="J70" s="579"/>
      <c r="K70" s="579"/>
      <c r="L70" s="579"/>
      <c r="M70" s="579"/>
      <c r="AB70" s="330"/>
      <c r="AC70" s="330"/>
    </row>
    <row r="71" spans="1:29" ht="15.75">
      <c r="A71"/>
      <c r="B71" s="579"/>
      <c r="C71" s="579"/>
      <c r="D71" s="579"/>
      <c r="E71" s="579"/>
      <c r="F71" s="579"/>
      <c r="G71" s="579"/>
      <c r="H71" s="579"/>
      <c r="I71" s="579"/>
      <c r="J71" s="579"/>
      <c r="K71" s="579"/>
      <c r="L71" s="579"/>
      <c r="M71" s="579"/>
      <c r="AB71" s="330"/>
      <c r="AC71" s="330"/>
    </row>
    <row r="72" spans="1:29" ht="15.75">
      <c r="A72"/>
      <c r="B72" s="579"/>
      <c r="C72" s="579"/>
      <c r="D72" s="579"/>
      <c r="E72" s="579"/>
      <c r="F72" s="579"/>
      <c r="G72" s="579"/>
      <c r="H72" s="579"/>
      <c r="I72" s="579"/>
      <c r="J72" s="579"/>
      <c r="K72" s="579"/>
      <c r="L72" s="579"/>
      <c r="M72" s="579"/>
      <c r="AB72" s="330"/>
      <c r="AC72" s="330"/>
    </row>
    <row r="73" spans="1:29" ht="15.75">
      <c r="A73"/>
      <c r="B73" s="579"/>
      <c r="C73" s="579"/>
      <c r="D73" s="579"/>
      <c r="E73" s="579"/>
      <c r="F73" s="579"/>
      <c r="G73" s="579"/>
      <c r="H73" s="579"/>
      <c r="I73" s="579"/>
      <c r="J73" s="579"/>
      <c r="K73" s="579"/>
      <c r="L73" s="579"/>
      <c r="M73" s="579"/>
      <c r="AA73" s="331"/>
      <c r="AB73" s="330"/>
      <c r="AC73" s="330"/>
    </row>
    <row r="74" spans="1:29" ht="15.75">
      <c r="A74"/>
      <c r="B74" s="613"/>
      <c r="C74" s="579"/>
      <c r="D74" s="579"/>
      <c r="E74" s="579"/>
      <c r="F74" s="579"/>
      <c r="G74" s="579"/>
      <c r="H74" s="579"/>
      <c r="I74" s="579"/>
      <c r="J74" s="579"/>
      <c r="K74" s="579"/>
      <c r="L74" s="579"/>
      <c r="M74" s="579"/>
      <c r="AA74" s="331"/>
      <c r="AB74" s="330"/>
      <c r="AC74" s="330"/>
    </row>
    <row r="75" spans="1:29" ht="15.75">
      <c r="A75"/>
      <c r="B75" s="599"/>
      <c r="C75" s="579"/>
      <c r="D75" s="579"/>
      <c r="E75" s="579"/>
      <c r="F75" s="579"/>
      <c r="G75" s="579"/>
      <c r="H75" s="579"/>
      <c r="I75" s="579"/>
      <c r="J75" s="579"/>
      <c r="K75" s="579"/>
      <c r="L75" s="579"/>
      <c r="M75" s="579"/>
      <c r="AA75" s="331"/>
      <c r="AB75" s="330"/>
      <c r="AC75" s="330"/>
    </row>
    <row r="76" spans="1:29" ht="15.75">
      <c r="A76"/>
      <c r="B76" s="599"/>
      <c r="C76" s="579"/>
      <c r="D76" s="579"/>
      <c r="E76" s="579"/>
      <c r="F76" s="579"/>
      <c r="G76" s="579"/>
      <c r="H76" s="579"/>
      <c r="I76" s="579"/>
      <c r="J76" s="579"/>
      <c r="K76" s="579"/>
      <c r="L76" s="579"/>
      <c r="M76" s="579"/>
      <c r="AA76" s="331"/>
      <c r="AB76" s="330"/>
      <c r="AC76" s="330"/>
    </row>
    <row r="77" spans="1:29" ht="15.75">
      <c r="A77"/>
      <c r="B77" s="599"/>
      <c r="C77" s="579"/>
      <c r="D77" s="579"/>
      <c r="E77" s="579"/>
      <c r="F77" s="579"/>
      <c r="G77" s="579"/>
      <c r="H77" s="579"/>
      <c r="I77" s="579"/>
      <c r="J77" s="579"/>
      <c r="K77" s="579"/>
      <c r="L77" s="579"/>
      <c r="M77" s="579"/>
      <c r="AA77" s="331"/>
      <c r="AB77" s="330"/>
      <c r="AC77" s="330"/>
    </row>
    <row r="78" spans="1:29" ht="15.75">
      <c r="A78"/>
      <c r="B78" s="614"/>
      <c r="C78" s="579"/>
      <c r="D78" s="579"/>
      <c r="E78" s="579"/>
      <c r="F78" s="579"/>
      <c r="G78" s="579"/>
      <c r="H78" s="579"/>
      <c r="I78" s="579"/>
      <c r="J78" s="579"/>
      <c r="K78" s="579"/>
      <c r="L78" s="579"/>
      <c r="M78" s="579"/>
      <c r="AA78" s="331"/>
      <c r="AB78" s="330"/>
      <c r="AC78" s="330"/>
    </row>
    <row r="79" spans="1:29" ht="15.75">
      <c r="A79"/>
      <c r="B79" s="614"/>
      <c r="C79" s="579"/>
      <c r="D79" s="579"/>
      <c r="E79" s="579"/>
      <c r="F79" s="579"/>
      <c r="G79" s="579"/>
      <c r="H79" s="579"/>
      <c r="I79" s="579"/>
      <c r="J79" s="579"/>
      <c r="K79" s="579"/>
      <c r="L79" s="579"/>
      <c r="M79" s="579"/>
      <c r="AA79" s="331"/>
      <c r="AB79" s="330"/>
      <c r="AC79" s="330"/>
    </row>
    <row r="80" spans="1:29" ht="15.75">
      <c r="A80"/>
      <c r="B80"/>
      <c r="C80" s="579"/>
      <c r="D80" s="579"/>
      <c r="E80" s="579"/>
      <c r="F80" s="579"/>
      <c r="G80" s="579"/>
      <c r="H80" s="579"/>
      <c r="I80" s="579"/>
      <c r="J80" s="579"/>
      <c r="K80" s="579"/>
      <c r="L80" s="579"/>
      <c r="M80" s="579"/>
      <c r="AA80" s="331"/>
    </row>
    <row r="81" spans="1:27" ht="15.75">
      <c r="A81"/>
      <c r="B81" s="599"/>
      <c r="C81" s="579"/>
      <c r="D81" s="579"/>
      <c r="E81" s="579"/>
      <c r="F81" s="579"/>
      <c r="G81" s="579"/>
      <c r="H81" s="579"/>
      <c r="I81" s="579"/>
      <c r="J81" s="579"/>
      <c r="K81" s="579"/>
      <c r="L81" s="579"/>
      <c r="M81" s="756"/>
      <c r="AA81" s="331"/>
    </row>
    <row r="82" spans="1:27" ht="15.75">
      <c r="A82"/>
      <c r="B82" s="599"/>
      <c r="C82" s="579"/>
      <c r="D82" s="579"/>
      <c r="E82" s="579"/>
      <c r="F82" s="579"/>
      <c r="G82" s="579"/>
      <c r="H82" s="579"/>
      <c r="I82" s="579"/>
      <c r="J82" s="579"/>
      <c r="K82" s="579"/>
      <c r="L82" s="579"/>
      <c r="M82" s="579"/>
    </row>
    <row r="83" spans="1:27" ht="15.75">
      <c r="A83"/>
      <c r="B83" s="599"/>
      <c r="C83" s="579"/>
      <c r="D83" s="579"/>
      <c r="E83" s="579"/>
      <c r="F83" s="579"/>
      <c r="G83" s="579"/>
      <c r="H83" s="579"/>
      <c r="I83" s="579"/>
      <c r="J83" s="579"/>
      <c r="K83" s="579"/>
      <c r="L83" s="579"/>
      <c r="M83" s="579"/>
    </row>
    <row r="84" spans="1:27" ht="15.75">
      <c r="A84"/>
      <c r="B84" s="613"/>
      <c r="C84" s="579"/>
      <c r="D84" s="579"/>
      <c r="E84" s="579"/>
      <c r="F84" s="579"/>
      <c r="G84" s="579"/>
      <c r="H84" s="579"/>
      <c r="I84" s="579"/>
      <c r="J84" s="579"/>
      <c r="K84" s="579"/>
      <c r="L84" s="579"/>
      <c r="M84" s="579"/>
    </row>
    <row r="85" spans="1:27" ht="15.75">
      <c r="A85"/>
      <c r="B85" s="599"/>
      <c r="C85" s="579"/>
      <c r="D85" s="579"/>
      <c r="E85" s="579"/>
      <c r="F85" s="579"/>
      <c r="G85" s="579"/>
      <c r="H85" s="579"/>
      <c r="I85" s="579"/>
      <c r="J85" s="579"/>
      <c r="K85" s="579"/>
      <c r="L85" s="579"/>
      <c r="M85" s="579"/>
    </row>
    <row r="86" spans="1:27" ht="15.75">
      <c r="A86"/>
      <c r="B86" s="599"/>
      <c r="C86" s="579"/>
      <c r="D86" s="579"/>
      <c r="E86" s="579"/>
      <c r="F86" s="579"/>
      <c r="G86" s="579"/>
      <c r="H86" s="579"/>
      <c r="I86" s="579"/>
      <c r="J86" s="579"/>
      <c r="K86" s="579"/>
      <c r="L86" s="579"/>
      <c r="M86" s="579"/>
    </row>
  </sheetData>
  <conditionalFormatting sqref="C11:F42">
    <cfRule type="expression" dxfId="21" priority="6">
      <formula>$B11&lt;&gt;0</formula>
    </cfRule>
  </conditionalFormatting>
  <conditionalFormatting sqref="I22">
    <cfRule type="expression" dxfId="20" priority="1">
      <formula>$J$22&gt;0</formula>
    </cfRule>
  </conditionalFormatting>
  <conditionalFormatting sqref="I35">
    <cfRule type="expression" dxfId="19" priority="3">
      <formula>$J$35&gt;0</formula>
    </cfRule>
  </conditionalFormatting>
  <conditionalFormatting sqref="I36 I47:I48 I55">
    <cfRule type="expression" dxfId="18" priority="2">
      <formula>$J36&gt;0</formula>
    </cfRule>
  </conditionalFormatting>
  <printOptions horizontalCentered="1"/>
  <pageMargins left="0.7" right="0.7" top="0.7" bottom="0.7" header="0.25" footer="0.25"/>
  <pageSetup scale="42" orientation="landscape" r:id="rId1"/>
  <headerFooter>
    <oddFooter>&amp;L&amp;"Times New Roman,Regular"&amp;8&amp;F&amp;C&amp;"Times New Roman,Regular"&amp;8Page &amp;P of &amp;N&amp;R&amp;"Times New Roman,Regular"&amp;8&amp;A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M25"/>
  <sheetViews>
    <sheetView zoomScaleNormal="100" workbookViewId="0"/>
  </sheetViews>
  <sheetFormatPr defaultRowHeight="15"/>
  <cols>
    <col min="1" max="1" width="157.140625" customWidth="1"/>
  </cols>
  <sheetData>
    <row r="1" spans="1:13" ht="21">
      <c r="A1" s="4" t="s">
        <v>88</v>
      </c>
    </row>
    <row r="2" spans="1:13">
      <c r="A2" s="3" t="s">
        <v>89</v>
      </c>
    </row>
    <row r="3" spans="1:13" ht="303" customHeight="1">
      <c r="A3" s="21" t="str">
        <f ca="1">IF(TRIM(Validation!G1475)="", "No Missing Data or Data Entry Errors", Validation!G1475)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v>
      </c>
    </row>
    <row r="4" spans="1:13">
      <c r="A4" s="3" t="s">
        <v>90</v>
      </c>
    </row>
    <row r="5" spans="1:13">
      <c r="A5" s="21" t="e">
        <f ca="1">IF(TRIM(Validation!G133)="", "No Missing Data or Data Entry Errors", Validation!G133)</f>
        <v>#REF!</v>
      </c>
    </row>
    <row r="6" spans="1:13">
      <c r="A6" s="3" t="s">
        <v>91</v>
      </c>
    </row>
    <row r="7" spans="1:13" ht="105" customHeight="1">
      <c r="A7" s="21" t="str">
        <f ca="1">IF(TRIM(Validation!G215)="", "No Missing Data or Data Entry Errors", Validation!G215)</f>
        <v xml:space="preserve">Enter a value for 'Total Number of Units' in cell B3.
Enter a value for 'Do Rents Include Utilities' in cell B4.
Please enter at least one row of the Rental Income Table beginning on worksheet row 4.
</v>
      </c>
    </row>
    <row r="8" spans="1:13">
      <c r="A8" s="3" t="s">
        <v>92</v>
      </c>
    </row>
    <row r="9" spans="1:13" ht="105" customHeight="1">
      <c r="A9" s="21" t="str">
        <f ca="1">IF(TRIM(Validation!G289)="", "No Missing Data or Data Entry Errors", Validation!G289)</f>
        <v xml:space="preserve">Enter a value for 'Construction Loan Amount' in cell B3.
Enter a value for 'Construction Loan Rate' in cell B4.
Enter a value for 'Project Funded without Permanent Debt' in cell B5.
Total residential financing must be greater than 0.
</v>
      </c>
    </row>
    <row r="10" spans="1:13">
      <c r="A10" s="3" t="s">
        <v>93</v>
      </c>
    </row>
    <row r="11" spans="1:13" ht="105" customHeight="1">
      <c r="A11" s="21" t="str">
        <f ca="1">IF(TRIM(Validation!G739)="", "No Missing Data or Data Entry Errors", Validation!G739)</f>
        <v xml:space="preserve">The total of development budget in column B must be greater than zero.
</v>
      </c>
      <c r="M11" s="9"/>
    </row>
    <row r="12" spans="1:13">
      <c r="A12" s="3" t="s">
        <v>94</v>
      </c>
    </row>
    <row r="13" spans="1:13" ht="105" customHeight="1">
      <c r="A13" s="21" t="str">
        <f ca="1">IF(TRIM(Validation!G918)="", "No Missing Data or Data Entry Errors", Validation!G918)</f>
        <v>No Missing Data or Data Entry Errors</v>
      </c>
    </row>
    <row r="14" spans="1:13">
      <c r="A14" s="3" t="s">
        <v>95</v>
      </c>
    </row>
    <row r="15" spans="1:13" ht="105" customHeight="1">
      <c r="A15" s="21">
        <f ca="1">IF(TRIM(Validation!G1098)="", "No Missing Data or Data Entry Errors", Validation!G1098)</f>
        <v>0</v>
      </c>
    </row>
    <row r="16" spans="1:13">
      <c r="A16" s="3" t="s">
        <v>96</v>
      </c>
    </row>
    <row r="17" spans="1:1" ht="232.5" customHeight="1">
      <c r="A17" s="21" t="str">
        <f ca="1">IF(OR(NOT(Calculations!B2),TRIM(Validation!G237)=""), "No Missing Data or Data Entry Errors", Validation!G237)</f>
        <v>No Missing Data or Data Entry Errors</v>
      </c>
    </row>
    <row r="18" spans="1:1" ht="18" customHeight="1">
      <c r="A18" s="3" t="s">
        <v>97</v>
      </c>
    </row>
    <row r="19" spans="1:1" ht="409.5" customHeight="1">
      <c r="A19" s="21" t="str">
        <f ca="1">IF(TRIM(Validation!G3452)="", "No Missing Data or Data Entry Errors", Validation!G3452)</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20" spans="1:1">
      <c r="A20" s="3" t="s">
        <v>98</v>
      </c>
    </row>
    <row r="21" spans="1:1" ht="56.25" customHeight="1">
      <c r="A21" s="21" t="str">
        <f ca="1">IF(TRIM(Validation!G1562)="", "No Missing Data or Data Entry Errors", Validation!G1562)</f>
        <v xml:space="preserve">Enter a value for 'Prevailing Wages' in cell C5.
The total of the cost in column C must be greater than zero.
</v>
      </c>
    </row>
    <row r="22" spans="1:1">
      <c r="A22" s="3" t="s">
        <v>99</v>
      </c>
    </row>
    <row r="23" spans="1:1" ht="105" customHeight="1">
      <c r="A23" s="21" t="str">
        <f ca="1">IF(TRIM(Validation!G3370)="", "No Missing Data or Data Entry Errors", Validation!G3370)</f>
        <v>Enter a value for 'Number of Floors in the Tallest Building' in cell B60.
TRUE</v>
      </c>
    </row>
    <row r="24" spans="1:1">
      <c r="A24" s="9"/>
    </row>
    <row r="25" spans="1:1" ht="35.25" customHeight="1"/>
  </sheetData>
  <sheetProtection algorithmName="SHA-512" hashValue="H8lxMzOeHbtGAlofkaeoximnE3Zj0vNmkxZ1oku0ErjEfdfi9qIb7fLwB6NxWZ3yVudob0QkSa3bp6Gqw2Nq7A==" saltValue="5sTngK9mEv5piwxRjhzlvg==" spinCount="100000" sheet="1" objects="1" scenarios="1"/>
  <conditionalFormatting sqref="A3">
    <cfRule type="cellIs" dxfId="38" priority="1" operator="equal">
      <formula>"No Missing Data or Data Entry Errors"</formula>
    </cfRule>
  </conditionalFormatting>
  <conditionalFormatting sqref="A5">
    <cfRule type="cellIs" dxfId="37" priority="13" operator="equal">
      <formula>"No Missing Data or Data Entry Errors"</formula>
    </cfRule>
  </conditionalFormatting>
  <conditionalFormatting sqref="A7">
    <cfRule type="cellIs" dxfId="36" priority="10" operator="equal">
      <formula>"No Missing Data or Data Entry Errors"</formula>
    </cfRule>
  </conditionalFormatting>
  <conditionalFormatting sqref="A9">
    <cfRule type="cellIs" dxfId="35" priority="9" operator="equal">
      <formula>"No Missing Data or Data Entry Errors"</formula>
    </cfRule>
  </conditionalFormatting>
  <conditionalFormatting sqref="A11">
    <cfRule type="cellIs" dxfId="34" priority="8" operator="equal">
      <formula>"No Missing Data or Data Entry Errors"</formula>
    </cfRule>
  </conditionalFormatting>
  <conditionalFormatting sqref="A13">
    <cfRule type="cellIs" dxfId="33" priority="7" operator="equal">
      <formula>"No Missing Data or Data Entry Errors"</formula>
    </cfRule>
  </conditionalFormatting>
  <conditionalFormatting sqref="A15">
    <cfRule type="cellIs" dxfId="32" priority="6" operator="equal">
      <formula>"No Missing Data or Data Entry Errors"</formula>
    </cfRule>
  </conditionalFormatting>
  <conditionalFormatting sqref="A17:A19">
    <cfRule type="cellIs" dxfId="31" priority="5" operator="equal">
      <formula>"No Missing Data or Data Entry Errors"</formula>
    </cfRule>
  </conditionalFormatting>
  <conditionalFormatting sqref="A21">
    <cfRule type="cellIs" dxfId="30" priority="3" operator="equal">
      <formula>"No Missing Data or Data Entry Errors"</formula>
    </cfRule>
  </conditionalFormatting>
  <conditionalFormatting sqref="A23">
    <cfRule type="cellIs" dxfId="29" priority="2" operator="equal">
      <formula>"No Missing Data or Data Entry Errors"</formula>
    </cfRule>
  </conditionalFormatting>
  <hyperlinks>
    <hyperlink ref="A4" location="Application!A1" display="Application Worksheet" xr:uid="{00000000-0004-0000-0100-000000000000}"/>
    <hyperlink ref="A16" location="Scoring!A1" display="Scoring Worksheet" xr:uid="{00000000-0004-0000-0100-000002000000}"/>
    <hyperlink ref="A8" location="Financing!A1" display="Financing Worksheet" xr:uid="{00000000-0004-0000-0100-000003000000}"/>
    <hyperlink ref="A10" location="'Development Budget'!A1" display="Development Budget Worksheet" xr:uid="{00000000-0004-0000-0100-000004000000}"/>
    <hyperlink ref="A12" location="'Commercial Budget'!A1" display="Commercial Budget Worksheet" xr:uid="{00000000-0004-0000-0100-000005000000}"/>
    <hyperlink ref="A14" location="'Proforma, Income &amp; Expense'!A1" display="Proforma, Income &amp; Expense Worksheet" xr:uid="{00000000-0004-0000-0100-000006000000}"/>
    <hyperlink ref="A20" location="'Cost Summary'!A1" display="Cost Summary Worksheet" xr:uid="{00000000-0004-0000-0100-000008000000}"/>
    <hyperlink ref="A22" location="'Final Building Profile'!A1" display="Final Building Profile Worksheet" xr:uid="{00000000-0004-0000-0100-000009000000}"/>
    <hyperlink ref="A18" location="Amenities!A1" display="Amenities Worksheet" xr:uid="{00000000-0004-0000-0100-00000A000000}"/>
    <hyperlink ref="A2" location="'Contact Information'!A1" display="Contact Information Worksheet" xr:uid="{BE4C8630-5D29-4A43-B685-CB0615817D61}"/>
    <hyperlink ref="A6" location="'Unit Mix &amp; Rents'!A1" display="Unit Mix &amp; Rents Worksheet" xr:uid="{00000000-0004-0000-0100-000001000000}"/>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66FFFF"/>
    <pageSetUpPr fitToPage="1"/>
  </sheetPr>
  <dimension ref="A1:N64"/>
  <sheetViews>
    <sheetView topLeftCell="B1" zoomScaleNormal="100" workbookViewId="0">
      <selection activeCell="B1" sqref="B1"/>
    </sheetView>
  </sheetViews>
  <sheetFormatPr defaultColWidth="9" defaultRowHeight="15"/>
  <cols>
    <col min="1" max="1" width="5" style="325" hidden="1" customWidth="1"/>
    <col min="2" max="2" width="4.7109375" style="325" customWidth="1"/>
    <col min="3" max="3" width="35.5703125" style="325" customWidth="1"/>
    <col min="4" max="4" width="39.140625" style="325" customWidth="1"/>
    <col min="5" max="5" width="27.85546875" style="325" customWidth="1"/>
    <col min="6" max="6" width="11.5703125" style="325" customWidth="1"/>
    <col min="7" max="7" width="11.42578125" style="325" customWidth="1"/>
    <col min="8" max="8" width="26.5703125" style="325" customWidth="1"/>
    <col min="9" max="9" width="12.28515625" style="325" customWidth="1"/>
    <col min="10" max="10" width="7.42578125" style="325" customWidth="1"/>
    <col min="11" max="16384" width="9" style="325"/>
  </cols>
  <sheetData>
    <row r="1" spans="1:14" ht="15.75">
      <c r="A1"/>
      <c r="B1"/>
      <c r="C1"/>
      <c r="D1"/>
      <c r="E1"/>
      <c r="F1"/>
      <c r="G1"/>
      <c r="H1"/>
      <c r="I1"/>
      <c r="J1"/>
      <c r="K1" s="657"/>
      <c r="L1" s="326"/>
      <c r="M1" s="326"/>
      <c r="N1" s="326"/>
    </row>
    <row r="2" spans="1:14" ht="21.75" customHeight="1">
      <c r="A2"/>
      <c r="B2"/>
      <c r="C2" s="563" t="s">
        <v>1105</v>
      </c>
      <c r="D2"/>
      <c r="E2"/>
      <c r="F2" s="562" t="s">
        <v>1173</v>
      </c>
      <c r="G2"/>
      <c r="H2"/>
      <c r="I2"/>
      <c r="J2"/>
      <c r="K2" s="326"/>
      <c r="L2" s="326"/>
      <c r="M2" s="326"/>
      <c r="N2" s="326"/>
    </row>
    <row r="3" spans="1:14" ht="18">
      <c r="A3"/>
      <c r="B3"/>
      <c r="C3" s="562" t="s">
        <v>1034</v>
      </c>
      <c r="D3" s="587">
        <f>Development_Budget!C3</f>
        <v>0</v>
      </c>
      <c r="E3"/>
      <c r="F3" s="587"/>
      <c r="G3" s="587"/>
      <c r="H3"/>
      <c r="I3"/>
      <c r="J3" s="566"/>
      <c r="K3" s="657"/>
      <c r="L3" s="326"/>
      <c r="M3" s="326"/>
      <c r="N3" s="326"/>
    </row>
    <row r="4" spans="1:14" ht="18">
      <c r="A4"/>
      <c r="B4"/>
      <c r="C4" s="562" t="s">
        <v>1035</v>
      </c>
      <c r="D4" s="567">
        <f ca="1">TODAY()</f>
        <v>45679</v>
      </c>
      <c r="E4" s="579"/>
      <c r="F4" s="562"/>
      <c r="G4"/>
      <c r="H4" s="565"/>
      <c r="I4"/>
      <c r="J4" s="566"/>
      <c r="K4" s="326"/>
      <c r="L4" s="326"/>
      <c r="M4" s="326"/>
      <c r="N4" s="326"/>
    </row>
    <row r="5" spans="1:14" ht="18">
      <c r="A5"/>
      <c r="B5"/>
      <c r="C5" s="562" t="s">
        <v>1036</v>
      </c>
      <c r="D5" s="587">
        <f>'Contact Information'!B4</f>
        <v>0</v>
      </c>
      <c r="E5"/>
      <c r="F5"/>
      <c r="G5"/>
      <c r="H5" s="565"/>
      <c r="I5"/>
      <c r="J5" s="565"/>
      <c r="K5" s="326"/>
      <c r="L5" s="326"/>
      <c r="M5" s="326"/>
      <c r="N5" s="326"/>
    </row>
    <row r="6" spans="1:14" ht="18">
      <c r="A6"/>
      <c r="B6"/>
      <c r="C6" s="562" t="s">
        <v>1037</v>
      </c>
      <c r="D6" s="567">
        <v>44835</v>
      </c>
      <c r="E6"/>
      <c r="F6"/>
      <c r="G6"/>
      <c r="H6" s="565"/>
      <c r="I6"/>
      <c r="J6" s="579"/>
      <c r="K6" s="326"/>
      <c r="L6" s="326"/>
      <c r="M6" s="326"/>
      <c r="N6" s="326"/>
    </row>
    <row r="7" spans="1:14" ht="18">
      <c r="A7"/>
      <c r="B7"/>
      <c r="C7" s="562" t="s">
        <v>1038</v>
      </c>
      <c r="D7" s="567">
        <f>Calculations!B14</f>
        <v>0</v>
      </c>
      <c r="E7"/>
      <c r="F7"/>
      <c r="G7"/>
      <c r="H7" s="565"/>
      <c r="I7"/>
      <c r="J7" s="579"/>
      <c r="K7" s="326"/>
      <c r="L7" s="326"/>
      <c r="M7" s="326"/>
      <c r="N7" s="326"/>
    </row>
    <row r="8" spans="1:14" ht="18">
      <c r="A8"/>
      <c r="B8" s="562"/>
      <c r="C8"/>
      <c r="D8" s="587"/>
      <c r="E8" s="587"/>
      <c r="F8" s="587"/>
      <c r="G8" s="562"/>
      <c r="H8" s="565"/>
      <c r="I8" s="579"/>
      <c r="J8" s="579"/>
      <c r="K8" s="326"/>
      <c r="L8" s="326"/>
      <c r="M8" s="326"/>
      <c r="N8" s="326"/>
    </row>
    <row r="9" spans="1:14" ht="16.5" thickBot="1">
      <c r="A9"/>
      <c r="B9"/>
      <c r="C9" s="615" t="s">
        <v>1174</v>
      </c>
      <c r="D9"/>
      <c r="E9" s="596">
        <f>Development_Budget!D95</f>
        <v>0</v>
      </c>
      <c r="F9"/>
      <c r="G9"/>
      <c r="H9"/>
      <c r="I9" s="616" t="s">
        <v>1175</v>
      </c>
      <c r="J9" s="579"/>
      <c r="K9" s="326"/>
      <c r="L9" s="326"/>
      <c r="M9" s="326"/>
      <c r="N9" s="326"/>
    </row>
    <row r="10" spans="1:14" ht="16.5" thickTop="1">
      <c r="A10"/>
      <c r="B10" s="757"/>
      <c r="C10" s="617" t="s">
        <v>1176</v>
      </c>
      <c r="D10" s="618"/>
      <c r="E10" s="619"/>
      <c r="F10" s="639"/>
      <c r="G10" s="620"/>
      <c r="H10" s="758" t="s">
        <v>1177</v>
      </c>
      <c r="I10" s="579" t="s">
        <v>1178</v>
      </c>
      <c r="J10"/>
      <c r="K10" s="326"/>
      <c r="L10" s="326"/>
      <c r="M10" s="326"/>
      <c r="N10" s="326"/>
    </row>
    <row r="11" spans="1:14" ht="15.75" customHeight="1">
      <c r="A11"/>
      <c r="B11" s="942" t="s">
        <v>1179</v>
      </c>
      <c r="C11" s="759" t="s">
        <v>1180</v>
      </c>
      <c r="D11" s="621"/>
      <c r="E11" s="621"/>
      <c r="F11" s="640"/>
      <c r="G11" s="622"/>
      <c r="H11" s="579"/>
      <c r="I11" s="579" t="s">
        <v>1181</v>
      </c>
      <c r="J11"/>
      <c r="K11" s="326"/>
      <c r="L11" s="326"/>
      <c r="M11" s="326"/>
      <c r="N11" s="326"/>
    </row>
    <row r="12" spans="1:14" ht="15.75">
      <c r="A12"/>
      <c r="B12" s="943"/>
      <c r="C12" s="621"/>
      <c r="D12" s="621" t="s">
        <v>1182</v>
      </c>
      <c r="E12" s="677">
        <f>Calculations!A123</f>
        <v>0</v>
      </c>
      <c r="F12" s="640"/>
      <c r="G12" s="622"/>
      <c r="H12" s="579"/>
      <c r="I12" s="579" t="s">
        <v>1183</v>
      </c>
      <c r="J12"/>
      <c r="K12" s="326"/>
      <c r="L12" s="326"/>
      <c r="M12" s="326"/>
      <c r="N12" s="326"/>
    </row>
    <row r="13" spans="1:14" ht="15.75">
      <c r="A13"/>
      <c r="B13" s="943"/>
      <c r="C13" s="621"/>
      <c r="D13" s="621" t="s">
        <v>1184</v>
      </c>
      <c r="E13" s="678" t="s">
        <v>1175</v>
      </c>
      <c r="F13" s="641"/>
      <c r="G13" s="622"/>
      <c r="H13"/>
      <c r="I13" s="616" t="s">
        <v>1185</v>
      </c>
      <c r="J13"/>
      <c r="K13" s="326"/>
      <c r="L13" s="326"/>
      <c r="M13" s="326"/>
      <c r="N13" s="326"/>
    </row>
    <row r="14" spans="1:14" ht="15.75">
      <c r="A14"/>
      <c r="B14" s="943"/>
      <c r="C14" s="621"/>
      <c r="D14" s="621" t="s">
        <v>1186</v>
      </c>
      <c r="E14" s="679">
        <f>Calculations!B123</f>
        <v>0</v>
      </c>
      <c r="F14" s="640"/>
      <c r="G14" s="760"/>
      <c r="H14"/>
      <c r="I14" s="616" t="s">
        <v>1187</v>
      </c>
      <c r="J14"/>
      <c r="K14" s="326"/>
      <c r="L14" s="326"/>
      <c r="M14" s="326"/>
      <c r="N14" s="326"/>
    </row>
    <row r="15" spans="1:14" ht="15.75">
      <c r="A15"/>
      <c r="B15" s="943"/>
      <c r="C15" s="621"/>
      <c r="D15" s="621" t="s">
        <v>372</v>
      </c>
      <c r="E15" s="680">
        <f>Calculations!C123</f>
        <v>0</v>
      </c>
      <c r="F15" s="640"/>
      <c r="G15" s="622"/>
      <c r="H15"/>
      <c r="I15" s="616" t="s">
        <v>1188</v>
      </c>
      <c r="J15"/>
      <c r="K15" s="326"/>
      <c r="L15" s="326"/>
      <c r="M15" s="326"/>
      <c r="N15" s="326"/>
    </row>
    <row r="16" spans="1:14" ht="15.75">
      <c r="A16"/>
      <c r="B16" s="943"/>
      <c r="C16" s="621"/>
      <c r="D16" s="621" t="s">
        <v>1189</v>
      </c>
      <c r="E16" s="681">
        <f>Financing!D9</f>
        <v>0</v>
      </c>
      <c r="F16" s="640"/>
      <c r="G16" s="622"/>
      <c r="H16" s="579"/>
      <c r="I16" s="579"/>
      <c r="J16"/>
      <c r="K16" s="326"/>
      <c r="L16" s="326"/>
      <c r="M16" s="326"/>
      <c r="N16" s="326"/>
    </row>
    <row r="17" spans="1:14" ht="15.75">
      <c r="A17"/>
      <c r="B17" s="943"/>
      <c r="C17" s="621"/>
      <c r="D17" s="327" t="s">
        <v>1190</v>
      </c>
      <c r="E17" s="681">
        <f>Calculations!D123</f>
        <v>0</v>
      </c>
      <c r="F17" s="642"/>
      <c r="G17" s="622"/>
      <c r="H17" s="579"/>
      <c r="I17"/>
      <c r="J17"/>
      <c r="K17" s="326"/>
      <c r="L17" s="326"/>
      <c r="M17" s="326"/>
      <c r="N17" s="579"/>
    </row>
    <row r="18" spans="1:14" ht="15.75">
      <c r="A18"/>
      <c r="B18" s="943"/>
      <c r="C18" s="621"/>
      <c r="D18" s="621" t="s">
        <v>1191</v>
      </c>
      <c r="E18" s="623">
        <f>IF(E17=0,PMT(E15/12,12*1,E14,0,0)*12,PMT(E15/12,12*E17,E14,0,0)*12)</f>
        <v>0</v>
      </c>
      <c r="F18" s="640" t="e">
        <f>'Income+Expense'!J58/-'Financing DOH'!E18</f>
        <v>#DIV/0!</v>
      </c>
      <c r="G18" s="622" t="s">
        <v>1192</v>
      </c>
      <c r="H18" s="579"/>
      <c r="I18"/>
      <c r="J18"/>
      <c r="K18" s="326"/>
      <c r="L18" s="326"/>
      <c r="M18" s="326"/>
      <c r="N18" s="579"/>
    </row>
    <row r="19" spans="1:14" ht="15.75">
      <c r="A19"/>
      <c r="B19" s="943"/>
      <c r="C19" s="759" t="s">
        <v>1193</v>
      </c>
      <c r="D19" s="621"/>
      <c r="E19" s="621"/>
      <c r="F19" s="640"/>
      <c r="G19" s="622"/>
      <c r="H19" s="579"/>
      <c r="I19"/>
      <c r="J19"/>
      <c r="K19" s="326"/>
      <c r="L19" s="326"/>
      <c r="M19" s="326"/>
      <c r="N19" s="326"/>
    </row>
    <row r="20" spans="1:14" ht="15.75">
      <c r="A20"/>
      <c r="B20" s="943"/>
      <c r="C20" s="621"/>
      <c r="D20" s="621" t="s">
        <v>1182</v>
      </c>
      <c r="E20" s="677">
        <f>Calculations!A124</f>
        <v>0</v>
      </c>
      <c r="F20" s="640"/>
      <c r="G20" s="622"/>
      <c r="H20" s="579"/>
      <c r="I20"/>
      <c r="J20"/>
      <c r="K20" s="326"/>
      <c r="L20" s="326"/>
      <c r="M20" s="326"/>
      <c r="N20" s="326"/>
    </row>
    <row r="21" spans="1:14" ht="15.75">
      <c r="A21"/>
      <c r="B21" s="943"/>
      <c r="C21" s="621"/>
      <c r="D21" s="621" t="s">
        <v>1184</v>
      </c>
      <c r="E21" s="678" t="s">
        <v>1175</v>
      </c>
      <c r="F21" s="640"/>
      <c r="G21" s="622"/>
      <c r="H21" s="579"/>
      <c r="I21"/>
      <c r="J21"/>
      <c r="K21" s="326"/>
      <c r="L21" s="326"/>
      <c r="M21" s="326"/>
      <c r="N21" s="326"/>
    </row>
    <row r="22" spans="1:14" ht="15.75">
      <c r="A22"/>
      <c r="B22" s="943"/>
      <c r="C22" s="621"/>
      <c r="D22" s="621" t="s">
        <v>1186</v>
      </c>
      <c r="E22" s="679">
        <f>Calculations!B124</f>
        <v>0</v>
      </c>
      <c r="F22" s="640"/>
      <c r="G22" s="760"/>
      <c r="H22" s="579"/>
      <c r="I22"/>
      <c r="J22"/>
      <c r="K22" s="326"/>
      <c r="L22" s="326"/>
      <c r="M22" s="326"/>
      <c r="N22" s="326"/>
    </row>
    <row r="23" spans="1:14" ht="15.75">
      <c r="A23"/>
      <c r="B23" s="943"/>
      <c r="C23" s="621"/>
      <c r="D23" s="621" t="s">
        <v>372</v>
      </c>
      <c r="E23" s="680">
        <f>Calculations!C124</f>
        <v>0</v>
      </c>
      <c r="F23" s="640"/>
      <c r="G23" s="622"/>
      <c r="H23" s="579"/>
      <c r="I23"/>
      <c r="J23"/>
      <c r="K23" s="326"/>
      <c r="L23" s="326"/>
      <c r="M23" s="326"/>
      <c r="N23" s="326"/>
    </row>
    <row r="24" spans="1:14" ht="15.75">
      <c r="A24"/>
      <c r="B24" s="943"/>
      <c r="C24" s="624"/>
      <c r="D24" s="621" t="s">
        <v>1189</v>
      </c>
      <c r="E24" s="681">
        <f>Financing!D10</f>
        <v>0</v>
      </c>
      <c r="F24" s="640"/>
      <c r="G24" s="622"/>
      <c r="H24" s="579"/>
      <c r="I24"/>
      <c r="J24"/>
      <c r="K24" s="326"/>
      <c r="L24" s="326"/>
      <c r="M24" s="326"/>
      <c r="N24" s="326"/>
    </row>
    <row r="25" spans="1:14" ht="15.75">
      <c r="A25"/>
      <c r="B25" s="943"/>
      <c r="C25" s="621"/>
      <c r="D25" s="327" t="s">
        <v>1190</v>
      </c>
      <c r="E25" s="681">
        <f>Calculations!D124</f>
        <v>0</v>
      </c>
      <c r="F25" s="642"/>
      <c r="G25" s="622"/>
      <c r="H25"/>
      <c r="I25"/>
      <c r="J25"/>
      <c r="K25" s="326"/>
      <c r="L25" s="326"/>
      <c r="M25" s="326"/>
      <c r="N25" s="326"/>
    </row>
    <row r="26" spans="1:14" ht="15.75">
      <c r="A26"/>
      <c r="B26" s="943"/>
      <c r="C26" s="621"/>
      <c r="D26" s="621" t="s">
        <v>1191</v>
      </c>
      <c r="E26" s="623">
        <f>IF(E25=0,PMT(E23/12,12*1,E22,0,0)*12,PMT(E23/12,12*E25,E22,0,0)*12)</f>
        <v>0</v>
      </c>
      <c r="F26" s="640" t="e">
        <f>'Income+Expense'!J58/(-'Financing DOH'!E18+'Financing DOH'!E26)</f>
        <v>#DIV/0!</v>
      </c>
      <c r="G26" s="622" t="s">
        <v>1192</v>
      </c>
      <c r="H26"/>
      <c r="I26"/>
      <c r="J26"/>
      <c r="K26" s="326"/>
      <c r="L26" s="326"/>
      <c r="M26" s="326"/>
      <c r="N26" s="326"/>
    </row>
    <row r="27" spans="1:14" ht="15.75">
      <c r="A27"/>
      <c r="B27" s="943"/>
      <c r="C27" s="759" t="s">
        <v>1194</v>
      </c>
      <c r="D27" s="621"/>
      <c r="E27" s="621"/>
      <c r="F27" s="640"/>
      <c r="G27" s="622"/>
      <c r="H27"/>
      <c r="I27"/>
      <c r="J27"/>
      <c r="K27" s="326"/>
      <c r="L27" s="326"/>
      <c r="M27" s="326"/>
      <c r="N27" s="326"/>
    </row>
    <row r="28" spans="1:14" ht="15.75">
      <c r="A28"/>
      <c r="B28" s="943"/>
      <c r="C28" s="621" t="s">
        <v>461</v>
      </c>
      <c r="D28" s="621" t="s">
        <v>1182</v>
      </c>
      <c r="E28" s="677">
        <f>Calculations!A125</f>
        <v>0</v>
      </c>
      <c r="F28" s="640"/>
      <c r="G28" s="622"/>
      <c r="H28"/>
      <c r="I28"/>
      <c r="J28" s="579"/>
      <c r="K28" s="326"/>
      <c r="L28" s="326"/>
      <c r="M28" s="326"/>
      <c r="N28" s="326"/>
    </row>
    <row r="29" spans="1:14" ht="15.75">
      <c r="A29"/>
      <c r="B29" s="943"/>
      <c r="C29" s="621"/>
      <c r="D29" s="621" t="s">
        <v>1184</v>
      </c>
      <c r="E29" s="678" t="s">
        <v>1175</v>
      </c>
      <c r="F29" s="640"/>
      <c r="G29" s="622"/>
      <c r="H29"/>
      <c r="I29"/>
      <c r="J29" s="579"/>
      <c r="K29" s="326"/>
      <c r="L29" s="326"/>
      <c r="M29" s="326"/>
      <c r="N29" s="326"/>
    </row>
    <row r="30" spans="1:14" ht="15.75">
      <c r="A30"/>
      <c r="B30" s="943"/>
      <c r="C30" s="621"/>
      <c r="D30" s="621" t="s">
        <v>1186</v>
      </c>
      <c r="E30" s="679">
        <f>Calculations!B125</f>
        <v>0</v>
      </c>
      <c r="F30" s="640"/>
      <c r="G30" s="761"/>
      <c r="H30"/>
      <c r="I30"/>
      <c r="J30" s="579"/>
      <c r="K30" s="326"/>
      <c r="L30" s="326"/>
    </row>
    <row r="31" spans="1:14" ht="15.75">
      <c r="A31"/>
      <c r="B31" s="943"/>
      <c r="C31" s="621"/>
      <c r="D31" s="621" t="s">
        <v>372</v>
      </c>
      <c r="E31" s="680">
        <f>Calculations!C124</f>
        <v>0</v>
      </c>
      <c r="F31" s="640"/>
      <c r="G31" s="622"/>
      <c r="H31"/>
      <c r="I31"/>
      <c r="J31"/>
      <c r="K31" s="326"/>
      <c r="L31" s="326"/>
    </row>
    <row r="32" spans="1:14" ht="15.75">
      <c r="A32"/>
      <c r="B32" s="943"/>
      <c r="C32" s="621"/>
      <c r="D32" s="621" t="s">
        <v>1189</v>
      </c>
      <c r="E32" s="681">
        <f>Financing!D11</f>
        <v>0</v>
      </c>
      <c r="F32" s="640"/>
      <c r="G32" s="622"/>
      <c r="H32"/>
      <c r="I32"/>
      <c r="J32"/>
      <c r="K32" s="326"/>
      <c r="L32" s="326"/>
    </row>
    <row r="33" spans="1:12" ht="15.75">
      <c r="A33"/>
      <c r="B33" s="943"/>
      <c r="C33" s="621"/>
      <c r="D33" s="327" t="s">
        <v>1190</v>
      </c>
      <c r="E33" s="681">
        <f>Calculations!D125</f>
        <v>0</v>
      </c>
      <c r="F33" s="640"/>
      <c r="G33" s="622"/>
      <c r="H33"/>
      <c r="I33"/>
      <c r="J33"/>
      <c r="K33" s="326"/>
      <c r="L33" s="326"/>
    </row>
    <row r="34" spans="1:12" ht="15.75">
      <c r="A34"/>
      <c r="B34" s="943"/>
      <c r="C34" s="621"/>
      <c r="D34" s="621" t="s">
        <v>1191</v>
      </c>
      <c r="E34" s="623">
        <f>IF(E33=0,PMT(E31/12,12*1,E30,0,0)*12,PMT(E31/12,12*E33,E30,0,0)*12)</f>
        <v>0</v>
      </c>
      <c r="F34" s="642" t="e">
        <f>'Income+Expense'!J58/(-'Financing DOH'!E18-'Financing DOH'!E26-'Financing DOH'!E34)</f>
        <v>#DIV/0!</v>
      </c>
      <c r="G34" s="622" t="s">
        <v>1192</v>
      </c>
      <c r="H34"/>
      <c r="I34"/>
      <c r="J34"/>
      <c r="K34" s="326"/>
      <c r="L34" s="326"/>
    </row>
    <row r="35" spans="1:12" ht="15.6" customHeight="1">
      <c r="A35"/>
      <c r="B35" s="944"/>
      <c r="C35" s="621"/>
      <c r="D35" s="621"/>
      <c r="E35" s="623"/>
      <c r="F35" s="640"/>
      <c r="G35" s="622"/>
      <c r="H35"/>
      <c r="I35"/>
      <c r="J35"/>
      <c r="K35" s="326"/>
      <c r="L35" s="326"/>
    </row>
    <row r="36" spans="1:12" ht="15.75" customHeight="1">
      <c r="A36"/>
      <c r="B36" s="945" t="s">
        <v>1195</v>
      </c>
      <c r="C36" s="759" t="s">
        <v>1196</v>
      </c>
      <c r="D36" s="759"/>
      <c r="E36" s="621"/>
      <c r="F36" s="640"/>
      <c r="G36" s="622"/>
      <c r="H36"/>
      <c r="I36"/>
      <c r="J36"/>
      <c r="L36" s="326"/>
    </row>
    <row r="37" spans="1:12" ht="15.75">
      <c r="A37"/>
      <c r="B37" s="943"/>
      <c r="C37" s="621"/>
      <c r="D37" s="621" t="s">
        <v>1197</v>
      </c>
      <c r="E37" s="682">
        <f>IF(Calculations!B6,Calculations!B620,0)</f>
        <v>0</v>
      </c>
      <c r="F37" s="643">
        <f>IF(Calculations!B6,Calculations!B617,0)</f>
        <v>0</v>
      </c>
      <c r="G37" s="622"/>
      <c r="H37"/>
      <c r="I37"/>
      <c r="J37"/>
      <c r="L37" s="326"/>
    </row>
    <row r="38" spans="1:12" ht="15.75">
      <c r="A38"/>
      <c r="B38" s="943"/>
      <c r="C38" s="621"/>
      <c r="D38" s="621" t="s">
        <v>1198</v>
      </c>
      <c r="E38" s="682">
        <f>IF(Calculations!B5,Calculations!B620,0)</f>
        <v>0</v>
      </c>
      <c r="F38" s="643">
        <f>IF(Calculations!B5,Calculations!B617,0)</f>
        <v>0</v>
      </c>
      <c r="G38" s="622"/>
      <c r="H38"/>
      <c r="I38"/>
      <c r="J38"/>
    </row>
    <row r="39" spans="1:12" ht="15.75">
      <c r="A39"/>
      <c r="B39" s="943"/>
      <c r="C39" s="621"/>
      <c r="D39" s="621" t="s">
        <v>1199</v>
      </c>
      <c r="E39" s="682">
        <f>IF(Calculations!B10,Calculations!B630,0)</f>
        <v>0</v>
      </c>
      <c r="F39" s="643">
        <f>IF(Calculations!B10,Calculations!B628,0)</f>
        <v>0</v>
      </c>
      <c r="G39" s="622"/>
      <c r="H39" s="579"/>
      <c r="I39"/>
      <c r="J39"/>
    </row>
    <row r="40" spans="1:12" ht="15.6" customHeight="1">
      <c r="A40"/>
      <c r="B40" s="943"/>
      <c r="C40" s="621"/>
      <c r="D40" s="621" t="s">
        <v>1200</v>
      </c>
      <c r="E40" s="682">
        <f>Application!B85+Application!B87</f>
        <v>0</v>
      </c>
      <c r="F40" s="643">
        <v>0</v>
      </c>
      <c r="G40" s="622"/>
      <c r="H40"/>
      <c r="I40"/>
      <c r="J40" s="579"/>
    </row>
    <row r="41" spans="1:12" ht="15.75">
      <c r="A41"/>
      <c r="B41" s="943"/>
      <c r="C41" s="621"/>
      <c r="D41" s="625" t="s">
        <v>1201</v>
      </c>
      <c r="E41" s="682">
        <v>0</v>
      </c>
      <c r="F41" s="643">
        <v>0</v>
      </c>
      <c r="G41" s="622"/>
      <c r="H41" s="579"/>
      <c r="I41" s="579"/>
      <c r="J41" s="579"/>
    </row>
    <row r="42" spans="1:12" ht="15.75">
      <c r="A42"/>
      <c r="B42" s="944"/>
      <c r="C42" s="621"/>
      <c r="D42" s="621"/>
      <c r="E42" s="623"/>
      <c r="F42" s="640"/>
      <c r="G42" s="622"/>
      <c r="H42" s="579"/>
      <c r="I42"/>
      <c r="J42" s="579"/>
    </row>
    <row r="43" spans="1:12" ht="15.75">
      <c r="A43"/>
      <c r="B43" s="942" t="s">
        <v>1202</v>
      </c>
      <c r="C43" s="759" t="s">
        <v>1203</v>
      </c>
      <c r="D43" s="759"/>
      <c r="E43" s="621"/>
      <c r="F43" s="640"/>
      <c r="G43" s="622"/>
      <c r="H43" s="579"/>
      <c r="I43"/>
      <c r="J43" s="579"/>
    </row>
    <row r="44" spans="1:12" ht="15.75">
      <c r="A44"/>
      <c r="B44" s="943"/>
      <c r="C44" s="621" t="s">
        <v>1204</v>
      </c>
      <c r="D44" s="621" t="s">
        <v>1185</v>
      </c>
      <c r="E44" s="682">
        <v>0</v>
      </c>
      <c r="F44" s="644" t="e">
        <f>E44/'Income+Expense'!D43</f>
        <v>#DIV/0!</v>
      </c>
      <c r="G44" s="582" t="s">
        <v>1101</v>
      </c>
      <c r="H44" s="579"/>
      <c r="I44"/>
      <c r="J44" s="579"/>
    </row>
    <row r="45" spans="1:12" ht="15.75">
      <c r="A45"/>
      <c r="B45" s="943"/>
      <c r="C45" s="625" t="s">
        <v>1205</v>
      </c>
      <c r="D45" s="626" t="s">
        <v>1185</v>
      </c>
      <c r="E45" s="682">
        <v>0</v>
      </c>
      <c r="F45" s="644"/>
      <c r="G45" s="582"/>
      <c r="H45" s="579"/>
      <c r="I45"/>
      <c r="J45" s="579"/>
    </row>
    <row r="46" spans="1:12" ht="15.75">
      <c r="A46"/>
      <c r="B46" s="943"/>
      <c r="C46" s="626" t="s">
        <v>1205</v>
      </c>
      <c r="D46" s="626" t="s">
        <v>1185</v>
      </c>
      <c r="E46" s="682">
        <v>0</v>
      </c>
      <c r="F46" s="640"/>
      <c r="G46" s="622"/>
      <c r="H46" s="579"/>
      <c r="I46" s="587"/>
      <c r="J46" s="660"/>
    </row>
    <row r="47" spans="1:12" ht="15.75">
      <c r="A47"/>
      <c r="B47" s="943"/>
      <c r="C47" s="621"/>
      <c r="D47" s="621"/>
      <c r="E47" s="623"/>
      <c r="F47" s="640"/>
      <c r="G47" s="622"/>
      <c r="H47" s="579"/>
      <c r="I47" s="590"/>
      <c r="J47" s="660"/>
    </row>
    <row r="48" spans="1:12" ht="15.75">
      <c r="A48"/>
      <c r="B48" s="943"/>
      <c r="C48" s="759" t="s">
        <v>1206</v>
      </c>
      <c r="D48" s="759"/>
      <c r="E48" s="621" t="s">
        <v>563</v>
      </c>
      <c r="F48" s="640"/>
      <c r="G48" s="622"/>
      <c r="H48" s="579"/>
      <c r="I48" s="590"/>
      <c r="J48" s="660"/>
    </row>
    <row r="49" spans="1:10" ht="15.75">
      <c r="A49"/>
      <c r="B49" s="943"/>
      <c r="C49" s="621"/>
      <c r="D49" s="626" t="s">
        <v>1207</v>
      </c>
      <c r="E49" s="682">
        <v>0</v>
      </c>
      <c r="F49" s="645"/>
      <c r="G49" s="582"/>
      <c r="H49" s="579"/>
      <c r="I49"/>
      <c r="J49"/>
    </row>
    <row r="50" spans="1:10" ht="15.75">
      <c r="A50"/>
      <c r="B50" s="943"/>
      <c r="C50" s="621"/>
      <c r="D50" s="626" t="s">
        <v>1207</v>
      </c>
      <c r="E50" s="682">
        <v>0</v>
      </c>
      <c r="F50" s="644"/>
      <c r="G50" s="582"/>
      <c r="H50" s="579"/>
      <c r="I50"/>
      <c r="J50"/>
    </row>
    <row r="51" spans="1:10" ht="15.95" customHeight="1">
      <c r="A51"/>
      <c r="B51" s="943"/>
      <c r="C51" s="621"/>
      <c r="D51" s="626" t="s">
        <v>1207</v>
      </c>
      <c r="E51" s="682">
        <v>0</v>
      </c>
      <c r="F51" s="640"/>
      <c r="G51" s="622"/>
      <c r="H51"/>
      <c r="I51"/>
      <c r="J51"/>
    </row>
    <row r="52" spans="1:10" ht="15.75">
      <c r="A52"/>
      <c r="B52" s="943"/>
      <c r="C52" s="759"/>
      <c r="D52" s="759"/>
      <c r="E52" s="621"/>
      <c r="F52" s="640"/>
      <c r="G52" s="622"/>
      <c r="H52"/>
      <c r="I52"/>
      <c r="J52"/>
    </row>
    <row r="53" spans="1:10" ht="15.75" customHeight="1">
      <c r="A53"/>
      <c r="B53" s="946" t="s">
        <v>1208</v>
      </c>
      <c r="C53" s="759" t="s">
        <v>1209</v>
      </c>
      <c r="D53" s="759"/>
      <c r="E53" s="621"/>
      <c r="F53" s="640"/>
      <c r="G53" s="622"/>
      <c r="H53"/>
      <c r="I53"/>
      <c r="J53"/>
    </row>
    <row r="54" spans="1:10" ht="15" customHeight="1">
      <c r="A54"/>
      <c r="B54" s="943"/>
      <c r="C54" s="621"/>
      <c r="D54" s="621" t="s">
        <v>1210</v>
      </c>
      <c r="E54" s="682">
        <f>Calculations!B140</f>
        <v>0</v>
      </c>
      <c r="F54" s="646" t="e">
        <f>E54/Development_Budget!D87</f>
        <v>#DIV/0!</v>
      </c>
      <c r="G54" s="582"/>
      <c r="H54" s="580"/>
      <c r="I54" s="627"/>
      <c r="J54" s="580"/>
    </row>
    <row r="55" spans="1:10" ht="15.75">
      <c r="A55"/>
      <c r="B55" s="943"/>
      <c r="C55" s="621"/>
      <c r="D55" s="626" t="s">
        <v>1211</v>
      </c>
      <c r="E55" s="682">
        <f>Calculations!B141</f>
        <v>0</v>
      </c>
      <c r="F55"/>
      <c r="G55" s="622"/>
      <c r="H55" s="579"/>
      <c r="I55"/>
      <c r="J55" s="579"/>
    </row>
    <row r="56" spans="1:10" ht="15.75">
      <c r="A56"/>
      <c r="B56" s="944"/>
      <c r="C56" s="621"/>
      <c r="D56" s="626" t="s">
        <v>1211</v>
      </c>
      <c r="E56" s="682">
        <v>0</v>
      </c>
      <c r="F56" s="640"/>
      <c r="G56" s="622"/>
      <c r="H56" s="579"/>
      <c r="I56"/>
      <c r="J56" s="579"/>
    </row>
    <row r="57" spans="1:10" ht="15.75">
      <c r="A57"/>
      <c r="B57" s="628"/>
      <c r="C57" s="762" t="s">
        <v>1212</v>
      </c>
      <c r="D57" s="763"/>
      <c r="E57" s="764">
        <f>SUM(E37:E56)+E30+E22+E14</f>
        <v>0</v>
      </c>
      <c r="F57" s="640"/>
      <c r="G57" s="622"/>
      <c r="H57" s="579"/>
      <c r="I57"/>
      <c r="J57" s="579"/>
    </row>
    <row r="58" spans="1:10" ht="16.5" thickBot="1">
      <c r="A58"/>
      <c r="B58" s="629"/>
      <c r="C58" s="630" t="s">
        <v>1213</v>
      </c>
      <c r="D58" s="631"/>
      <c r="E58" s="632">
        <f>E9-E57</f>
        <v>0</v>
      </c>
      <c r="F58" s="765"/>
      <c r="G58" s="766"/>
      <c r="H58" s="579"/>
      <c r="I58"/>
      <c r="J58" s="579"/>
    </row>
    <row r="59" spans="1:10" ht="17.25" thickTop="1" thickBot="1">
      <c r="A59"/>
      <c r="B59"/>
      <c r="C59" s="579"/>
      <c r="D59" s="579"/>
      <c r="E59" s="579"/>
      <c r="F59" s="579"/>
      <c r="G59" s="579"/>
      <c r="H59" s="579"/>
      <c r="I59"/>
      <c r="J59" s="579"/>
    </row>
    <row r="60" spans="1:10" ht="16.5" thickTop="1">
      <c r="A60"/>
      <c r="B60"/>
      <c r="C60" s="767" t="s">
        <v>1156</v>
      </c>
      <c r="D60" s="768" t="e">
        <f>'Income+Expense'!D57</f>
        <v>#DIV/0!</v>
      </c>
      <c r="E60" s="769" t="s">
        <v>1214</v>
      </c>
      <c r="F60" s="770"/>
      <c r="G60" s="771">
        <f>'Income+Expense'!G57</f>
        <v>0</v>
      </c>
      <c r="H60" s="579"/>
      <c r="I60"/>
      <c r="J60" s="579"/>
    </row>
    <row r="61" spans="1:10" ht="16.5" thickBot="1">
      <c r="A61"/>
      <c r="B61"/>
      <c r="C61" s="772" t="s">
        <v>1215</v>
      </c>
      <c r="D61" s="773" t="e">
        <f>'Income+Expense'!G58</f>
        <v>#DIV/0!</v>
      </c>
      <c r="E61" s="683" t="s">
        <v>1216</v>
      </c>
      <c r="F61" s="947">
        <f>ABS(PV(E15,E17,G60))</f>
        <v>0</v>
      </c>
      <c r="G61" s="948"/>
      <c r="H61" s="579"/>
      <c r="I61"/>
      <c r="J61" s="579"/>
    </row>
    <row r="62" spans="1:10" ht="16.5" thickTop="1">
      <c r="A62"/>
      <c r="B62"/>
      <c r="C62"/>
      <c r="D62"/>
      <c r="E62"/>
      <c r="F62"/>
      <c r="G62"/>
      <c r="H62"/>
      <c r="I62"/>
      <c r="J62" s="579"/>
    </row>
    <row r="63" spans="1:10">
      <c r="C63" s="637"/>
      <c r="F63" s="647"/>
    </row>
    <row r="64" spans="1:10">
      <c r="C64" s="638"/>
      <c r="F64" s="638"/>
    </row>
  </sheetData>
  <mergeCells count="5">
    <mergeCell ref="B11:B35"/>
    <mergeCell ref="B36:B42"/>
    <mergeCell ref="B43:B52"/>
    <mergeCell ref="B53:B56"/>
    <mergeCell ref="F61:G61"/>
  </mergeCells>
  <conditionalFormatting sqref="C45:D45">
    <cfRule type="expression" dxfId="17" priority="1">
      <formula>$E$45&gt;0</formula>
    </cfRule>
  </conditionalFormatting>
  <conditionalFormatting sqref="C46:D46">
    <cfRule type="expression" dxfId="16" priority="2">
      <formula>$E$46&gt;0</formula>
    </cfRule>
  </conditionalFormatting>
  <conditionalFormatting sqref="D41">
    <cfRule type="expression" dxfId="15" priority="10">
      <formula>$E$41&gt;0</formula>
    </cfRule>
  </conditionalFormatting>
  <conditionalFormatting sqref="D49:D51 D55:D56">
    <cfRule type="expression" dxfId="14" priority="16">
      <formula>$E49&gt;0</formula>
    </cfRule>
  </conditionalFormatting>
  <conditionalFormatting sqref="E13:E17">
    <cfRule type="expression" dxfId="13" priority="5">
      <formula>$E$12&lt;&gt;"Name"</formula>
    </cfRule>
  </conditionalFormatting>
  <conditionalFormatting sqref="E21">
    <cfRule type="expression" dxfId="12" priority="4">
      <formula>$E$12&lt;&gt;"Name"</formula>
    </cfRule>
  </conditionalFormatting>
  <conditionalFormatting sqref="E22:E25">
    <cfRule type="expression" dxfId="11" priority="6">
      <formula>$E$20&lt;&gt;"Name"</formula>
    </cfRule>
  </conditionalFormatting>
  <conditionalFormatting sqref="E29">
    <cfRule type="expression" dxfId="10" priority="3">
      <formula>$E$12&lt;&gt;"Name"</formula>
    </cfRule>
  </conditionalFormatting>
  <conditionalFormatting sqref="E30:E33">
    <cfRule type="expression" dxfId="9" priority="7">
      <formula>$E$28&lt;&gt;"Name"</formula>
    </cfRule>
  </conditionalFormatting>
  <conditionalFormatting sqref="F37">
    <cfRule type="expression" dxfId="8" priority="8">
      <formula>$E$37&gt;0</formula>
    </cfRule>
  </conditionalFormatting>
  <conditionalFormatting sqref="F38">
    <cfRule type="expression" dxfId="7" priority="9">
      <formula>$E$38&gt;0</formula>
    </cfRule>
  </conditionalFormatting>
  <conditionalFormatting sqref="F39">
    <cfRule type="expression" dxfId="6" priority="11">
      <formula>$E$39&gt;0</formula>
    </cfRule>
  </conditionalFormatting>
  <conditionalFormatting sqref="F40">
    <cfRule type="expression" dxfId="5" priority="12">
      <formula>$E$40&gt;0</formula>
    </cfRule>
  </conditionalFormatting>
  <conditionalFormatting sqref="F41">
    <cfRule type="expression" dxfId="4" priority="13">
      <formula>$E$41&gt;0</formula>
    </cfRule>
  </conditionalFormatting>
  <dataValidations count="3">
    <dataValidation type="list" allowBlank="1" showErrorMessage="1" sqref="E21 E29" xr:uid="{3FACB815-7C45-4092-8226-75D01E6CA5BA}">
      <formula1>#REF!</formula1>
    </dataValidation>
    <dataValidation type="list" allowBlank="1" showErrorMessage="1" sqref="E13" xr:uid="{3439A933-D2A8-4774-9B66-1CB29B50DA13}">
      <formula1>$I$9:$I$12</formula1>
    </dataValidation>
    <dataValidation type="list" allowBlank="1" showInputMessage="1" showErrorMessage="1" sqref="D44 D45 D46" xr:uid="{238BF0F6-6220-4786-BF48-9C7CB6702558}">
      <formula1>$I$14:$I$15</formula1>
    </dataValidation>
  </dataValidations>
  <printOptions horizontalCentered="1"/>
  <pageMargins left="0.7" right="0.7" top="0.7" bottom="0.7" header="0.25" footer="0.25"/>
  <pageSetup scale="51" orientation="portrait" r:id="rId1"/>
  <headerFooter>
    <oddFooter>&amp;L&amp;"Times New Roman,Regular"&amp;8&amp;F&amp;C&amp;"Times New Roman,Regular"&amp;8Page &amp;P of &amp;N&amp;R&amp;"Times New Roman,Regular"&amp;8&amp;A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FF00"/>
  </sheetPr>
  <dimension ref="A1:S714"/>
  <sheetViews>
    <sheetView showGridLines="0" zoomScaleNormal="100" workbookViewId="0">
      <pane ySplit="8" topLeftCell="A9" activePane="bottomLeft" state="frozen"/>
      <selection activeCell="F21" sqref="F21"/>
      <selection pane="bottomLeft" sqref="A1:O1"/>
    </sheetView>
  </sheetViews>
  <sheetFormatPr defaultColWidth="9" defaultRowHeight="12.75"/>
  <cols>
    <col min="1" max="1" width="14" style="23" customWidth="1"/>
    <col min="2" max="2" width="9" style="23" bestFit="1" customWidth="1"/>
    <col min="3" max="7" width="9.5703125" style="23" bestFit="1" customWidth="1"/>
    <col min="8" max="15" width="11" style="23" customWidth="1"/>
    <col min="16" max="16384" width="9" style="23"/>
  </cols>
  <sheetData>
    <row r="1" spans="1:17">
      <c r="A1" s="949" t="s">
        <v>1217</v>
      </c>
      <c r="B1" s="949"/>
      <c r="C1" s="949"/>
      <c r="D1" s="949"/>
      <c r="E1" s="949"/>
      <c r="F1" s="949"/>
      <c r="G1" s="949"/>
      <c r="H1" s="949"/>
      <c r="I1" s="949"/>
      <c r="J1" s="949"/>
      <c r="K1" s="949"/>
      <c r="L1" s="949"/>
      <c r="M1" s="949"/>
      <c r="N1" s="949"/>
      <c r="O1" s="949"/>
      <c r="P1" s="242"/>
      <c r="Q1" s="242"/>
    </row>
    <row r="2" spans="1:17">
      <c r="A2" s="950" t="s">
        <v>1218</v>
      </c>
      <c r="B2" s="950"/>
      <c r="C2" s="950"/>
      <c r="D2" s="950"/>
      <c r="E2" s="950"/>
      <c r="F2" s="950"/>
      <c r="G2" s="950"/>
      <c r="H2" s="950"/>
      <c r="I2" s="950"/>
      <c r="J2" s="950"/>
      <c r="K2" s="950"/>
      <c r="L2" s="950"/>
      <c r="M2" s="950"/>
      <c r="N2" s="950"/>
      <c r="O2" s="950"/>
      <c r="P2" s="242"/>
      <c r="Q2" s="242"/>
    </row>
    <row r="3" spans="1:17">
      <c r="A3" s="950" t="s">
        <v>1219</v>
      </c>
      <c r="B3" s="950"/>
      <c r="C3" s="950"/>
      <c r="D3" s="950"/>
      <c r="E3" s="950"/>
      <c r="F3" s="950"/>
      <c r="G3" s="950"/>
      <c r="H3" s="950"/>
      <c r="I3" s="950"/>
      <c r="J3" s="950"/>
      <c r="K3" s="950"/>
      <c r="L3" s="950"/>
      <c r="M3" s="950"/>
      <c r="N3" s="950"/>
      <c r="O3" s="950"/>
      <c r="P3" s="242"/>
      <c r="Q3" s="242"/>
    </row>
    <row r="4" spans="1:17">
      <c r="A4" s="949"/>
      <c r="B4" s="949"/>
      <c r="C4" s="949"/>
      <c r="D4" s="949"/>
      <c r="E4" s="949"/>
      <c r="F4" s="949"/>
      <c r="G4" s="949"/>
      <c r="H4" s="949"/>
      <c r="I4" s="949"/>
      <c r="J4" s="949"/>
      <c r="K4" s="949"/>
      <c r="L4" s="949"/>
      <c r="M4" s="949"/>
      <c r="N4" s="949"/>
      <c r="O4" s="949"/>
      <c r="P4" s="242"/>
      <c r="Q4" s="242"/>
    </row>
    <row r="5" spans="1:17">
      <c r="A5" s="24"/>
      <c r="B5" s="24" t="s">
        <v>1220</v>
      </c>
      <c r="C5" s="25"/>
      <c r="D5" s="26"/>
      <c r="E5" s="26"/>
      <c r="F5" s="26"/>
      <c r="G5" s="26"/>
      <c r="H5" s="26"/>
      <c r="I5" s="26"/>
      <c r="J5" s="26"/>
      <c r="K5" s="27"/>
      <c r="L5" s="27"/>
      <c r="M5" s="27"/>
      <c r="N5" s="27"/>
      <c r="O5" s="24"/>
      <c r="P5" s="242"/>
      <c r="Q5" s="242"/>
    </row>
    <row r="6" spans="1:17">
      <c r="A6" s="24"/>
      <c r="B6" s="466"/>
      <c r="C6" s="28" t="s">
        <v>1221</v>
      </c>
      <c r="D6" s="25"/>
      <c r="E6" s="25"/>
      <c r="F6" s="25"/>
      <c r="G6" s="25"/>
      <c r="H6" s="25"/>
      <c r="I6" s="466"/>
      <c r="J6" s="29"/>
      <c r="K6" s="466"/>
      <c r="L6" s="30"/>
      <c r="M6" s="31" t="s">
        <v>1222</v>
      </c>
      <c r="N6" s="466"/>
      <c r="O6" s="24"/>
      <c r="P6" s="242"/>
      <c r="Q6" s="242"/>
    </row>
    <row r="7" spans="1:17">
      <c r="A7" s="24"/>
      <c r="B7" s="466"/>
      <c r="C7" s="28"/>
      <c r="D7" s="25"/>
      <c r="E7" s="25"/>
      <c r="F7" s="25"/>
      <c r="G7" s="25"/>
      <c r="H7" s="25"/>
      <c r="I7" s="466"/>
      <c r="J7" s="29"/>
      <c r="K7" s="466"/>
      <c r="L7" s="30"/>
      <c r="M7" s="31"/>
      <c r="N7" s="466"/>
      <c r="O7" s="24"/>
      <c r="P7" s="242"/>
      <c r="Q7" s="242"/>
    </row>
    <row r="8" spans="1:17" ht="13.5" thickBot="1">
      <c r="A8" s="32" t="s">
        <v>244</v>
      </c>
      <c r="B8" s="33"/>
      <c r="C8" s="34" t="s">
        <v>1223</v>
      </c>
      <c r="D8" s="34" t="s">
        <v>1224</v>
      </c>
      <c r="E8" s="34" t="s">
        <v>1225</v>
      </c>
      <c r="F8" s="34" t="s">
        <v>1226</v>
      </c>
      <c r="G8" s="35" t="s">
        <v>1227</v>
      </c>
      <c r="H8" s="34" t="s">
        <v>1228</v>
      </c>
      <c r="I8" s="34" t="s">
        <v>1229</v>
      </c>
      <c r="J8" s="34" t="s">
        <v>1230</v>
      </c>
      <c r="K8" s="34" t="s">
        <v>1231</v>
      </c>
      <c r="L8" s="34" t="s">
        <v>1232</v>
      </c>
      <c r="M8" s="34" t="s">
        <v>1233</v>
      </c>
      <c r="N8" s="34" t="s">
        <v>1234</v>
      </c>
      <c r="O8" s="34" t="s">
        <v>1235</v>
      </c>
      <c r="P8" s="242"/>
      <c r="Q8" s="242"/>
    </row>
    <row r="9" spans="1:17">
      <c r="A9" s="36"/>
      <c r="B9" s="334">
        <v>1.2</v>
      </c>
      <c r="C9" s="523">
        <v>2739</v>
      </c>
      <c r="D9" s="523">
        <v>2935</v>
      </c>
      <c r="E9" s="523">
        <v>3522</v>
      </c>
      <c r="F9" s="523">
        <v>4069</v>
      </c>
      <c r="G9" s="523">
        <v>4539</v>
      </c>
      <c r="H9" s="523">
        <v>109560</v>
      </c>
      <c r="I9" s="523">
        <v>125280</v>
      </c>
      <c r="J9" s="523">
        <v>140880</v>
      </c>
      <c r="K9" s="523">
        <v>156480</v>
      </c>
      <c r="L9" s="523">
        <v>169080</v>
      </c>
      <c r="M9" s="523">
        <v>181560</v>
      </c>
      <c r="N9" s="523">
        <v>194040</v>
      </c>
      <c r="O9" s="523">
        <v>206640</v>
      </c>
      <c r="P9" s="242"/>
      <c r="Q9" s="242"/>
    </row>
    <row r="10" spans="1:17">
      <c r="A10" s="38"/>
      <c r="B10" s="774">
        <v>1</v>
      </c>
      <c r="C10" s="775">
        <v>2282</v>
      </c>
      <c r="D10" s="775">
        <v>2446</v>
      </c>
      <c r="E10" s="775">
        <v>2935</v>
      </c>
      <c r="F10" s="775">
        <v>3391</v>
      </c>
      <c r="G10" s="775">
        <v>3782</v>
      </c>
      <c r="H10" s="775">
        <v>91300</v>
      </c>
      <c r="I10" s="775">
        <v>104400</v>
      </c>
      <c r="J10" s="775">
        <v>117400</v>
      </c>
      <c r="K10" s="775">
        <v>130400</v>
      </c>
      <c r="L10" s="775">
        <v>140900</v>
      </c>
      <c r="M10" s="775">
        <v>151300</v>
      </c>
      <c r="N10" s="775">
        <v>161700</v>
      </c>
      <c r="O10" s="775">
        <v>172200</v>
      </c>
      <c r="P10" s="242"/>
      <c r="Q10" s="242"/>
    </row>
    <row r="11" spans="1:17">
      <c r="A11" s="38" t="s">
        <v>1236</v>
      </c>
      <c r="B11" s="774">
        <v>0.8</v>
      </c>
      <c r="C11" s="775">
        <v>1826</v>
      </c>
      <c r="D11" s="775">
        <v>1957</v>
      </c>
      <c r="E11" s="775">
        <v>2348</v>
      </c>
      <c r="F11" s="775">
        <v>2713</v>
      </c>
      <c r="G11" s="775">
        <v>3026</v>
      </c>
      <c r="H11" s="776">
        <v>73040</v>
      </c>
      <c r="I11" s="776">
        <v>83520</v>
      </c>
      <c r="J11" s="776">
        <v>93920</v>
      </c>
      <c r="K11" s="776">
        <v>104320</v>
      </c>
      <c r="L11" s="776">
        <v>112720</v>
      </c>
      <c r="M11" s="776">
        <v>121040</v>
      </c>
      <c r="N11" s="776">
        <v>129360</v>
      </c>
      <c r="O11" s="776">
        <v>137760</v>
      </c>
      <c r="P11" s="242"/>
      <c r="Q11" s="242"/>
    </row>
    <row r="12" spans="1:17">
      <c r="A12" s="38"/>
      <c r="B12" s="774">
        <v>0.7</v>
      </c>
      <c r="C12" s="775">
        <v>1597</v>
      </c>
      <c r="D12" s="775">
        <v>1712</v>
      </c>
      <c r="E12" s="775">
        <v>2054</v>
      </c>
      <c r="F12" s="775">
        <v>2373</v>
      </c>
      <c r="G12" s="775">
        <v>2647</v>
      </c>
      <c r="H12" s="776">
        <v>63909.999999999993</v>
      </c>
      <c r="I12" s="776">
        <v>73080</v>
      </c>
      <c r="J12" s="776">
        <v>82180</v>
      </c>
      <c r="K12" s="776">
        <v>91280</v>
      </c>
      <c r="L12" s="776">
        <v>98630</v>
      </c>
      <c r="M12" s="776">
        <v>105910</v>
      </c>
      <c r="N12" s="776">
        <v>113190</v>
      </c>
      <c r="O12" s="776">
        <v>120539.99999999999</v>
      </c>
      <c r="P12" s="242"/>
      <c r="Q12" s="242"/>
    </row>
    <row r="13" spans="1:17">
      <c r="A13" s="38"/>
      <c r="B13" s="774">
        <v>0.6</v>
      </c>
      <c r="C13" s="775">
        <v>1369</v>
      </c>
      <c r="D13" s="775">
        <v>1467</v>
      </c>
      <c r="E13" s="775">
        <v>1761</v>
      </c>
      <c r="F13" s="775">
        <v>2034</v>
      </c>
      <c r="G13" s="775">
        <v>2269</v>
      </c>
      <c r="H13" s="775">
        <v>54780</v>
      </c>
      <c r="I13" s="775">
        <v>62640</v>
      </c>
      <c r="J13" s="775">
        <v>70440</v>
      </c>
      <c r="K13" s="775">
        <v>78240</v>
      </c>
      <c r="L13" s="775">
        <v>84540</v>
      </c>
      <c r="M13" s="777">
        <v>90780</v>
      </c>
      <c r="N13" s="777">
        <v>97020</v>
      </c>
      <c r="O13" s="777">
        <v>103320</v>
      </c>
      <c r="P13" s="242"/>
      <c r="Q13" s="242"/>
    </row>
    <row r="14" spans="1:17">
      <c r="A14" s="38"/>
      <c r="B14" s="774">
        <v>0.55000000000000004</v>
      </c>
      <c r="C14" s="775">
        <v>1255</v>
      </c>
      <c r="D14" s="775">
        <v>1345</v>
      </c>
      <c r="E14" s="775">
        <v>1614</v>
      </c>
      <c r="F14" s="775">
        <v>1865</v>
      </c>
      <c r="G14" s="775">
        <v>1937</v>
      </c>
      <c r="H14" s="775">
        <v>50215.000000000007</v>
      </c>
      <c r="I14" s="775">
        <v>57420.000000000007</v>
      </c>
      <c r="J14" s="775">
        <v>64570.000000000007</v>
      </c>
      <c r="K14" s="775">
        <v>71720</v>
      </c>
      <c r="L14" s="775">
        <v>77495</v>
      </c>
      <c r="M14" s="775">
        <v>83215</v>
      </c>
      <c r="N14" s="775">
        <v>88935</v>
      </c>
      <c r="O14" s="775">
        <v>94710.000000000015</v>
      </c>
      <c r="P14" s="242"/>
      <c r="Q14" s="242"/>
    </row>
    <row r="15" spans="1:17">
      <c r="A15" s="38"/>
      <c r="B15" s="774">
        <v>0.5</v>
      </c>
      <c r="C15" s="775">
        <v>1141</v>
      </c>
      <c r="D15" s="775">
        <v>1223</v>
      </c>
      <c r="E15" s="775">
        <v>1467</v>
      </c>
      <c r="F15" s="775">
        <v>1695</v>
      </c>
      <c r="G15" s="775">
        <v>1891</v>
      </c>
      <c r="H15" s="776">
        <v>45650</v>
      </c>
      <c r="I15" s="776">
        <v>52200</v>
      </c>
      <c r="J15" s="776">
        <v>58700</v>
      </c>
      <c r="K15" s="776">
        <v>65200</v>
      </c>
      <c r="L15" s="776">
        <v>70450</v>
      </c>
      <c r="M15" s="776">
        <v>75650</v>
      </c>
      <c r="N15" s="776">
        <v>80850</v>
      </c>
      <c r="O15" s="776">
        <v>86100</v>
      </c>
      <c r="P15" s="242"/>
      <c r="Q15" s="242"/>
    </row>
    <row r="16" spans="1:17">
      <c r="A16" s="38"/>
      <c r="B16" s="774">
        <v>0.45</v>
      </c>
      <c r="C16" s="775">
        <v>1027</v>
      </c>
      <c r="D16" s="775">
        <v>1100</v>
      </c>
      <c r="E16" s="775">
        <v>1320</v>
      </c>
      <c r="F16" s="775">
        <v>1526</v>
      </c>
      <c r="G16" s="775">
        <v>1702</v>
      </c>
      <c r="H16" s="775">
        <v>41085</v>
      </c>
      <c r="I16" s="775">
        <v>46980</v>
      </c>
      <c r="J16" s="775">
        <v>52830</v>
      </c>
      <c r="K16" s="775">
        <v>58680</v>
      </c>
      <c r="L16" s="775">
        <v>63405</v>
      </c>
      <c r="M16" s="777">
        <v>68085</v>
      </c>
      <c r="N16" s="777">
        <v>72765</v>
      </c>
      <c r="O16" s="777">
        <v>77490</v>
      </c>
      <c r="P16" s="39"/>
      <c r="Q16" s="39"/>
    </row>
    <row r="17" spans="1:17">
      <c r="A17" s="38"/>
      <c r="B17" s="774">
        <v>0.4</v>
      </c>
      <c r="C17" s="775">
        <v>913</v>
      </c>
      <c r="D17" s="775">
        <v>978</v>
      </c>
      <c r="E17" s="775">
        <v>1174</v>
      </c>
      <c r="F17" s="775">
        <v>1356</v>
      </c>
      <c r="G17" s="775">
        <v>1513</v>
      </c>
      <c r="H17" s="775">
        <v>36520</v>
      </c>
      <c r="I17" s="775">
        <v>41760</v>
      </c>
      <c r="J17" s="775">
        <v>46960</v>
      </c>
      <c r="K17" s="775">
        <v>52160</v>
      </c>
      <c r="L17" s="775">
        <v>56360</v>
      </c>
      <c r="M17" s="777">
        <v>60520</v>
      </c>
      <c r="N17" s="777">
        <v>64680</v>
      </c>
      <c r="O17" s="777">
        <v>68880</v>
      </c>
      <c r="P17" s="39"/>
      <c r="Q17" s="39"/>
    </row>
    <row r="18" spans="1:17">
      <c r="A18" s="38"/>
      <c r="B18" s="778">
        <v>0.3</v>
      </c>
      <c r="C18" s="775">
        <v>684</v>
      </c>
      <c r="D18" s="775">
        <v>733</v>
      </c>
      <c r="E18" s="775">
        <v>880</v>
      </c>
      <c r="F18" s="775">
        <v>1017</v>
      </c>
      <c r="G18" s="775">
        <v>1134</v>
      </c>
      <c r="H18" s="776">
        <v>27390</v>
      </c>
      <c r="I18" s="776">
        <v>31320</v>
      </c>
      <c r="J18" s="776">
        <v>35220</v>
      </c>
      <c r="K18" s="776">
        <v>39120</v>
      </c>
      <c r="L18" s="776">
        <v>42270</v>
      </c>
      <c r="M18" s="776">
        <v>45390</v>
      </c>
      <c r="N18" s="776">
        <v>48510</v>
      </c>
      <c r="O18" s="776">
        <v>51660</v>
      </c>
      <c r="P18" s="39"/>
      <c r="Q18" s="39"/>
    </row>
    <row r="19" spans="1:17" ht="13.5" thickBot="1">
      <c r="A19" s="779"/>
      <c r="B19" s="40">
        <v>0.2</v>
      </c>
      <c r="C19" s="521">
        <v>456</v>
      </c>
      <c r="D19" s="521">
        <v>489</v>
      </c>
      <c r="E19" s="521">
        <v>587</v>
      </c>
      <c r="F19" s="521">
        <v>678</v>
      </c>
      <c r="G19" s="521">
        <v>756</v>
      </c>
      <c r="H19" s="522">
        <v>18260</v>
      </c>
      <c r="I19" s="522">
        <v>20880</v>
      </c>
      <c r="J19" s="522">
        <v>23480</v>
      </c>
      <c r="K19" s="522">
        <v>26080</v>
      </c>
      <c r="L19" s="522">
        <v>28180</v>
      </c>
      <c r="M19" s="522">
        <v>30260</v>
      </c>
      <c r="N19" s="522">
        <v>32340</v>
      </c>
      <c r="O19" s="522">
        <v>34440</v>
      </c>
      <c r="P19" s="39"/>
      <c r="Q19" s="39"/>
    </row>
    <row r="20" spans="1:17">
      <c r="A20" s="38"/>
      <c r="B20" s="334">
        <v>1.2</v>
      </c>
      <c r="C20" s="523">
        <v>1980</v>
      </c>
      <c r="D20" s="523">
        <v>2121</v>
      </c>
      <c r="E20" s="523">
        <v>2544</v>
      </c>
      <c r="F20" s="523">
        <v>2940</v>
      </c>
      <c r="G20" s="523">
        <v>3279</v>
      </c>
      <c r="H20" s="523">
        <v>79200</v>
      </c>
      <c r="I20" s="523">
        <v>90480</v>
      </c>
      <c r="J20" s="523">
        <v>101760</v>
      </c>
      <c r="K20" s="523">
        <v>113040</v>
      </c>
      <c r="L20" s="523">
        <v>122160</v>
      </c>
      <c r="M20" s="523">
        <v>131160</v>
      </c>
      <c r="N20" s="523">
        <v>140280</v>
      </c>
      <c r="O20" s="523">
        <v>149280</v>
      </c>
      <c r="P20" s="39"/>
      <c r="Q20" s="39"/>
    </row>
    <row r="21" spans="1:17">
      <c r="A21" s="38"/>
      <c r="B21" s="774">
        <v>1</v>
      </c>
      <c r="C21" s="775">
        <v>1650</v>
      </c>
      <c r="D21" s="775">
        <v>1767</v>
      </c>
      <c r="E21" s="775">
        <v>2120</v>
      </c>
      <c r="F21" s="775">
        <v>2450</v>
      </c>
      <c r="G21" s="775">
        <v>2732</v>
      </c>
      <c r="H21" s="775">
        <v>66000</v>
      </c>
      <c r="I21" s="775">
        <v>75400</v>
      </c>
      <c r="J21" s="775">
        <v>84800</v>
      </c>
      <c r="K21" s="775">
        <v>94200</v>
      </c>
      <c r="L21" s="775">
        <v>101800</v>
      </c>
      <c r="M21" s="775">
        <v>109300</v>
      </c>
      <c r="N21" s="775">
        <v>116900</v>
      </c>
      <c r="O21" s="775">
        <v>124400</v>
      </c>
      <c r="P21" s="39"/>
      <c r="Q21" s="39"/>
    </row>
    <row r="22" spans="1:17">
      <c r="A22" s="38" t="s">
        <v>1237</v>
      </c>
      <c r="B22" s="774">
        <v>0.8</v>
      </c>
      <c r="C22" s="775">
        <v>1320</v>
      </c>
      <c r="D22" s="775">
        <v>1414</v>
      </c>
      <c r="E22" s="775">
        <v>1696</v>
      </c>
      <c r="F22" s="775">
        <v>1960</v>
      </c>
      <c r="G22" s="775">
        <v>2186</v>
      </c>
      <c r="H22" s="776">
        <v>52800</v>
      </c>
      <c r="I22" s="776">
        <v>60320</v>
      </c>
      <c r="J22" s="776">
        <v>67840</v>
      </c>
      <c r="K22" s="776">
        <v>75360</v>
      </c>
      <c r="L22" s="776">
        <v>81440</v>
      </c>
      <c r="M22" s="776">
        <v>87440</v>
      </c>
      <c r="N22" s="776">
        <v>93520</v>
      </c>
      <c r="O22" s="776">
        <v>99520</v>
      </c>
      <c r="P22" s="39"/>
      <c r="Q22" s="39"/>
    </row>
    <row r="23" spans="1:17">
      <c r="A23" s="38"/>
      <c r="B23" s="774">
        <v>0.7</v>
      </c>
      <c r="C23" s="775">
        <v>1155</v>
      </c>
      <c r="D23" s="775">
        <v>1237</v>
      </c>
      <c r="E23" s="775">
        <v>1484</v>
      </c>
      <c r="F23" s="775">
        <v>1715</v>
      </c>
      <c r="G23" s="775">
        <v>1912</v>
      </c>
      <c r="H23" s="776">
        <v>46200</v>
      </c>
      <c r="I23" s="776">
        <v>52780</v>
      </c>
      <c r="J23" s="776">
        <v>59359.999999999993</v>
      </c>
      <c r="K23" s="776">
        <v>65940</v>
      </c>
      <c r="L23" s="776">
        <v>71260</v>
      </c>
      <c r="M23" s="776">
        <v>76510</v>
      </c>
      <c r="N23" s="776">
        <v>81830</v>
      </c>
      <c r="O23" s="776">
        <v>87080</v>
      </c>
      <c r="P23" s="39"/>
      <c r="Q23" s="39"/>
    </row>
    <row r="24" spans="1:17">
      <c r="A24" s="38"/>
      <c r="B24" s="774">
        <v>0.6</v>
      </c>
      <c r="C24" s="775">
        <v>990</v>
      </c>
      <c r="D24" s="775">
        <v>1060</v>
      </c>
      <c r="E24" s="775">
        <v>1272</v>
      </c>
      <c r="F24" s="775">
        <v>1470</v>
      </c>
      <c r="G24" s="775">
        <v>1639</v>
      </c>
      <c r="H24" s="775">
        <v>39600</v>
      </c>
      <c r="I24" s="775">
        <v>45240</v>
      </c>
      <c r="J24" s="775">
        <v>50880</v>
      </c>
      <c r="K24" s="775">
        <v>56520</v>
      </c>
      <c r="L24" s="775">
        <v>61080</v>
      </c>
      <c r="M24" s="777">
        <v>65580</v>
      </c>
      <c r="N24" s="777">
        <v>70140</v>
      </c>
      <c r="O24" s="777">
        <v>74640</v>
      </c>
      <c r="P24" s="39"/>
      <c r="Q24" s="39"/>
    </row>
    <row r="25" spans="1:17">
      <c r="A25" s="38"/>
      <c r="B25" s="774">
        <v>0.55000000000000004</v>
      </c>
      <c r="C25" s="775">
        <v>907</v>
      </c>
      <c r="D25" s="775">
        <v>972</v>
      </c>
      <c r="E25" s="775">
        <v>1166</v>
      </c>
      <c r="F25" s="775">
        <v>1347</v>
      </c>
      <c r="G25" s="775">
        <v>1502</v>
      </c>
      <c r="H25" s="775">
        <v>36300</v>
      </c>
      <c r="I25" s="775">
        <v>41470</v>
      </c>
      <c r="J25" s="775">
        <v>46640.000000000007</v>
      </c>
      <c r="K25" s="775">
        <v>51810.000000000007</v>
      </c>
      <c r="L25" s="775">
        <v>55990.000000000007</v>
      </c>
      <c r="M25" s="775">
        <v>60115.000000000007</v>
      </c>
      <c r="N25" s="775">
        <v>64295.000000000007</v>
      </c>
      <c r="O25" s="775">
        <v>68420</v>
      </c>
      <c r="P25" s="39"/>
      <c r="Q25" s="39"/>
    </row>
    <row r="26" spans="1:17">
      <c r="A26" s="38"/>
      <c r="B26" s="774">
        <v>0.5</v>
      </c>
      <c r="C26" s="775">
        <v>825</v>
      </c>
      <c r="D26" s="775">
        <v>883</v>
      </c>
      <c r="E26" s="775">
        <v>1060</v>
      </c>
      <c r="F26" s="775">
        <v>1225</v>
      </c>
      <c r="G26" s="775">
        <v>1366</v>
      </c>
      <c r="H26" s="776">
        <v>33000</v>
      </c>
      <c r="I26" s="776">
        <v>37700</v>
      </c>
      <c r="J26" s="776">
        <v>42400</v>
      </c>
      <c r="K26" s="776">
        <v>47100</v>
      </c>
      <c r="L26" s="776">
        <v>50900</v>
      </c>
      <c r="M26" s="776">
        <v>54650</v>
      </c>
      <c r="N26" s="776">
        <v>58450</v>
      </c>
      <c r="O26" s="776">
        <v>62200</v>
      </c>
      <c r="P26" s="39"/>
      <c r="Q26" s="39"/>
    </row>
    <row r="27" spans="1:17">
      <c r="A27" s="38"/>
      <c r="B27" s="774">
        <v>0.45</v>
      </c>
      <c r="C27" s="775">
        <v>742</v>
      </c>
      <c r="D27" s="775">
        <v>795</v>
      </c>
      <c r="E27" s="775">
        <v>954</v>
      </c>
      <c r="F27" s="775">
        <v>1102</v>
      </c>
      <c r="G27" s="775">
        <v>1229</v>
      </c>
      <c r="H27" s="775">
        <v>29700</v>
      </c>
      <c r="I27" s="775">
        <v>33930</v>
      </c>
      <c r="J27" s="775">
        <v>38160</v>
      </c>
      <c r="K27" s="775">
        <v>42390</v>
      </c>
      <c r="L27" s="775">
        <v>45810</v>
      </c>
      <c r="M27" s="777">
        <v>49185</v>
      </c>
      <c r="N27" s="777">
        <v>52605</v>
      </c>
      <c r="O27" s="777">
        <v>55980</v>
      </c>
      <c r="P27" s="39"/>
      <c r="Q27" s="39"/>
    </row>
    <row r="28" spans="1:17">
      <c r="A28" s="38"/>
      <c r="B28" s="774">
        <v>0.4</v>
      </c>
      <c r="C28" s="775">
        <v>660</v>
      </c>
      <c r="D28" s="775">
        <v>707</v>
      </c>
      <c r="E28" s="775">
        <v>848</v>
      </c>
      <c r="F28" s="775">
        <v>980</v>
      </c>
      <c r="G28" s="775">
        <v>1093</v>
      </c>
      <c r="H28" s="775">
        <v>26400</v>
      </c>
      <c r="I28" s="775">
        <v>30160</v>
      </c>
      <c r="J28" s="775">
        <v>33920</v>
      </c>
      <c r="K28" s="775">
        <v>37680</v>
      </c>
      <c r="L28" s="775">
        <v>40720</v>
      </c>
      <c r="M28" s="777">
        <v>43720</v>
      </c>
      <c r="N28" s="777">
        <v>46760</v>
      </c>
      <c r="O28" s="777">
        <v>49760</v>
      </c>
      <c r="P28" s="39"/>
      <c r="Q28" s="39"/>
    </row>
    <row r="29" spans="1:17">
      <c r="A29" s="38"/>
      <c r="B29" s="778">
        <v>0.3</v>
      </c>
      <c r="C29" s="775">
        <v>495</v>
      </c>
      <c r="D29" s="775">
        <v>530</v>
      </c>
      <c r="E29" s="775">
        <v>636</v>
      </c>
      <c r="F29" s="775">
        <v>735</v>
      </c>
      <c r="G29" s="775">
        <v>819</v>
      </c>
      <c r="H29" s="776">
        <v>19800</v>
      </c>
      <c r="I29" s="776">
        <v>22620</v>
      </c>
      <c r="J29" s="776">
        <v>25440</v>
      </c>
      <c r="K29" s="776">
        <v>28260</v>
      </c>
      <c r="L29" s="776">
        <v>30540</v>
      </c>
      <c r="M29" s="776">
        <v>32790</v>
      </c>
      <c r="N29" s="776">
        <v>35070</v>
      </c>
      <c r="O29" s="776">
        <v>37320</v>
      </c>
      <c r="P29" s="39"/>
      <c r="Q29" s="39"/>
    </row>
    <row r="30" spans="1:17" ht="13.5" thickBot="1">
      <c r="A30" s="38"/>
      <c r="B30" s="519">
        <v>0.2</v>
      </c>
      <c r="C30" s="521">
        <v>330</v>
      </c>
      <c r="D30" s="521">
        <v>353</v>
      </c>
      <c r="E30" s="521">
        <v>424</v>
      </c>
      <c r="F30" s="521">
        <v>490</v>
      </c>
      <c r="G30" s="521">
        <v>546</v>
      </c>
      <c r="H30" s="522">
        <v>13200</v>
      </c>
      <c r="I30" s="522">
        <v>15080</v>
      </c>
      <c r="J30" s="522">
        <v>16960</v>
      </c>
      <c r="K30" s="522">
        <v>18840</v>
      </c>
      <c r="L30" s="522">
        <v>20360</v>
      </c>
      <c r="M30" s="522">
        <v>21860</v>
      </c>
      <c r="N30" s="522">
        <v>23380</v>
      </c>
      <c r="O30" s="522">
        <v>24880</v>
      </c>
      <c r="P30" s="39"/>
      <c r="Q30" s="39"/>
    </row>
    <row r="31" spans="1:17">
      <c r="A31" s="36"/>
      <c r="B31" s="334">
        <v>1.2</v>
      </c>
      <c r="C31" s="523">
        <v>2739</v>
      </c>
      <c r="D31" s="523">
        <v>2935</v>
      </c>
      <c r="E31" s="523">
        <v>3522</v>
      </c>
      <c r="F31" s="523">
        <v>4069</v>
      </c>
      <c r="G31" s="523">
        <v>4539</v>
      </c>
      <c r="H31" s="523">
        <v>109560</v>
      </c>
      <c r="I31" s="523">
        <v>125280</v>
      </c>
      <c r="J31" s="523">
        <v>140880</v>
      </c>
      <c r="K31" s="523">
        <v>156480</v>
      </c>
      <c r="L31" s="523">
        <v>169080</v>
      </c>
      <c r="M31" s="523">
        <v>181560</v>
      </c>
      <c r="N31" s="523">
        <v>194040</v>
      </c>
      <c r="O31" s="523">
        <v>206640</v>
      </c>
      <c r="P31" s="39"/>
      <c r="Q31" s="39"/>
    </row>
    <row r="32" spans="1:17">
      <c r="A32" s="38"/>
      <c r="B32" s="778">
        <v>1</v>
      </c>
      <c r="C32" s="775">
        <v>2282</v>
      </c>
      <c r="D32" s="775">
        <v>2446</v>
      </c>
      <c r="E32" s="775">
        <v>2935</v>
      </c>
      <c r="F32" s="775">
        <v>3391</v>
      </c>
      <c r="G32" s="775">
        <v>3782</v>
      </c>
      <c r="H32" s="775">
        <v>91300</v>
      </c>
      <c r="I32" s="775">
        <v>104400</v>
      </c>
      <c r="J32" s="775">
        <v>117400</v>
      </c>
      <c r="K32" s="775">
        <v>130400</v>
      </c>
      <c r="L32" s="775">
        <v>140900</v>
      </c>
      <c r="M32" s="775">
        <v>151300</v>
      </c>
      <c r="N32" s="775">
        <v>161700</v>
      </c>
      <c r="O32" s="775">
        <v>172200</v>
      </c>
      <c r="P32" s="39"/>
      <c r="Q32" s="39"/>
    </row>
    <row r="33" spans="1:17">
      <c r="A33" s="38" t="s">
        <v>1238</v>
      </c>
      <c r="B33" s="778">
        <v>0.8</v>
      </c>
      <c r="C33" s="775">
        <v>1826</v>
      </c>
      <c r="D33" s="775">
        <v>1957</v>
      </c>
      <c r="E33" s="775">
        <v>2348</v>
      </c>
      <c r="F33" s="775">
        <v>2713</v>
      </c>
      <c r="G33" s="775">
        <v>3026</v>
      </c>
      <c r="H33" s="776">
        <v>73040</v>
      </c>
      <c r="I33" s="776">
        <v>83520</v>
      </c>
      <c r="J33" s="776">
        <v>93920</v>
      </c>
      <c r="K33" s="776">
        <v>104320</v>
      </c>
      <c r="L33" s="776">
        <v>112720</v>
      </c>
      <c r="M33" s="776">
        <v>121040</v>
      </c>
      <c r="N33" s="776">
        <v>129360</v>
      </c>
      <c r="O33" s="776">
        <v>137760</v>
      </c>
      <c r="P33" s="39"/>
      <c r="Q33" s="39"/>
    </row>
    <row r="34" spans="1:17">
      <c r="A34" s="38"/>
      <c r="B34" s="778">
        <v>0.7</v>
      </c>
      <c r="C34" s="775">
        <v>1597</v>
      </c>
      <c r="D34" s="775">
        <v>1712</v>
      </c>
      <c r="E34" s="775">
        <v>2054</v>
      </c>
      <c r="F34" s="775">
        <v>2373</v>
      </c>
      <c r="G34" s="775">
        <v>2647</v>
      </c>
      <c r="H34" s="776">
        <v>63909.999999999993</v>
      </c>
      <c r="I34" s="776">
        <v>73080</v>
      </c>
      <c r="J34" s="776">
        <v>82180</v>
      </c>
      <c r="K34" s="776">
        <v>91280</v>
      </c>
      <c r="L34" s="776">
        <v>98630</v>
      </c>
      <c r="M34" s="776">
        <v>105910</v>
      </c>
      <c r="N34" s="776">
        <v>113190</v>
      </c>
      <c r="O34" s="776">
        <v>120539.99999999999</v>
      </c>
      <c r="P34" s="39"/>
      <c r="Q34" s="39"/>
    </row>
    <row r="35" spans="1:17">
      <c r="A35" s="38"/>
      <c r="B35" s="778">
        <v>0.6</v>
      </c>
      <c r="C35" s="775">
        <v>1369</v>
      </c>
      <c r="D35" s="775">
        <v>1467</v>
      </c>
      <c r="E35" s="775">
        <v>1761</v>
      </c>
      <c r="F35" s="775">
        <v>2034</v>
      </c>
      <c r="G35" s="775">
        <v>2269</v>
      </c>
      <c r="H35" s="775">
        <v>54780</v>
      </c>
      <c r="I35" s="775">
        <v>62640</v>
      </c>
      <c r="J35" s="775">
        <v>70440</v>
      </c>
      <c r="K35" s="775">
        <v>78240</v>
      </c>
      <c r="L35" s="775">
        <v>84540</v>
      </c>
      <c r="M35" s="777">
        <v>90780</v>
      </c>
      <c r="N35" s="777">
        <v>97020</v>
      </c>
      <c r="O35" s="777">
        <v>103320</v>
      </c>
      <c r="P35" s="39"/>
      <c r="Q35" s="39"/>
    </row>
    <row r="36" spans="1:17">
      <c r="A36" s="38"/>
      <c r="B36" s="778">
        <v>0.55000000000000004</v>
      </c>
      <c r="C36" s="775">
        <v>1255</v>
      </c>
      <c r="D36" s="775">
        <v>1345</v>
      </c>
      <c r="E36" s="775">
        <v>1614</v>
      </c>
      <c r="F36" s="775">
        <v>1865</v>
      </c>
      <c r="G36" s="775">
        <v>1937</v>
      </c>
      <c r="H36" s="775">
        <v>50215.000000000007</v>
      </c>
      <c r="I36" s="775">
        <v>57420.000000000007</v>
      </c>
      <c r="J36" s="775">
        <v>64570.000000000007</v>
      </c>
      <c r="K36" s="775">
        <v>71720</v>
      </c>
      <c r="L36" s="775">
        <v>77495</v>
      </c>
      <c r="M36" s="775">
        <v>83215</v>
      </c>
      <c r="N36" s="775">
        <v>88935</v>
      </c>
      <c r="O36" s="775">
        <v>94710.000000000015</v>
      </c>
      <c r="P36" s="39"/>
      <c r="Q36" s="39"/>
    </row>
    <row r="37" spans="1:17">
      <c r="A37" s="38"/>
      <c r="B37" s="778">
        <v>0.5</v>
      </c>
      <c r="C37" s="775">
        <v>1141</v>
      </c>
      <c r="D37" s="775">
        <v>1223</v>
      </c>
      <c r="E37" s="775">
        <v>1467</v>
      </c>
      <c r="F37" s="775">
        <v>1695</v>
      </c>
      <c r="G37" s="775">
        <v>1891</v>
      </c>
      <c r="H37" s="776">
        <v>45650</v>
      </c>
      <c r="I37" s="776">
        <v>52200</v>
      </c>
      <c r="J37" s="776">
        <v>58700</v>
      </c>
      <c r="K37" s="776">
        <v>65200</v>
      </c>
      <c r="L37" s="776">
        <v>70450</v>
      </c>
      <c r="M37" s="776">
        <v>75650</v>
      </c>
      <c r="N37" s="776">
        <v>80850</v>
      </c>
      <c r="O37" s="776">
        <v>86100</v>
      </c>
      <c r="P37" s="39"/>
      <c r="Q37" s="39"/>
    </row>
    <row r="38" spans="1:17">
      <c r="A38" s="38"/>
      <c r="B38" s="778">
        <v>0.45</v>
      </c>
      <c r="C38" s="775">
        <v>1027</v>
      </c>
      <c r="D38" s="775">
        <v>1100</v>
      </c>
      <c r="E38" s="775">
        <v>1320</v>
      </c>
      <c r="F38" s="775">
        <v>1526</v>
      </c>
      <c r="G38" s="775">
        <v>1702</v>
      </c>
      <c r="H38" s="775">
        <v>41085</v>
      </c>
      <c r="I38" s="775">
        <v>46980</v>
      </c>
      <c r="J38" s="775">
        <v>52830</v>
      </c>
      <c r="K38" s="775">
        <v>58680</v>
      </c>
      <c r="L38" s="775">
        <v>63405</v>
      </c>
      <c r="M38" s="777">
        <v>68085</v>
      </c>
      <c r="N38" s="777">
        <v>72765</v>
      </c>
      <c r="O38" s="777">
        <v>77490</v>
      </c>
      <c r="P38" s="39"/>
      <c r="Q38" s="39"/>
    </row>
    <row r="39" spans="1:17">
      <c r="A39" s="38"/>
      <c r="B39" s="778">
        <v>0.4</v>
      </c>
      <c r="C39" s="775">
        <v>913</v>
      </c>
      <c r="D39" s="775">
        <v>978</v>
      </c>
      <c r="E39" s="775">
        <v>1174</v>
      </c>
      <c r="F39" s="775">
        <v>1356</v>
      </c>
      <c r="G39" s="775">
        <v>1513</v>
      </c>
      <c r="H39" s="775">
        <v>36520</v>
      </c>
      <c r="I39" s="775">
        <v>41760</v>
      </c>
      <c r="J39" s="775">
        <v>46960</v>
      </c>
      <c r="K39" s="775">
        <v>52160</v>
      </c>
      <c r="L39" s="775">
        <v>56360</v>
      </c>
      <c r="M39" s="777">
        <v>60520</v>
      </c>
      <c r="N39" s="777">
        <v>64680</v>
      </c>
      <c r="O39" s="777">
        <v>68880</v>
      </c>
      <c r="P39" s="39"/>
      <c r="Q39" s="39"/>
    </row>
    <row r="40" spans="1:17">
      <c r="A40" s="38"/>
      <c r="B40" s="519">
        <v>0.3</v>
      </c>
      <c r="C40" s="775">
        <v>684</v>
      </c>
      <c r="D40" s="775">
        <v>733</v>
      </c>
      <c r="E40" s="775">
        <v>880</v>
      </c>
      <c r="F40" s="775">
        <v>1017</v>
      </c>
      <c r="G40" s="775">
        <v>1134</v>
      </c>
      <c r="H40" s="776">
        <v>27390</v>
      </c>
      <c r="I40" s="776">
        <v>31320</v>
      </c>
      <c r="J40" s="776">
        <v>35220</v>
      </c>
      <c r="K40" s="776">
        <v>39120</v>
      </c>
      <c r="L40" s="776">
        <v>42270</v>
      </c>
      <c r="M40" s="776">
        <v>45390</v>
      </c>
      <c r="N40" s="776">
        <v>48510</v>
      </c>
      <c r="O40" s="776">
        <v>51660</v>
      </c>
      <c r="P40" s="39"/>
      <c r="Q40" s="39"/>
    </row>
    <row r="41" spans="1:17" ht="13.5" thickBot="1">
      <c r="A41" s="779"/>
      <c r="B41" s="40">
        <v>0.2</v>
      </c>
      <c r="C41" s="521">
        <v>456</v>
      </c>
      <c r="D41" s="521">
        <v>489</v>
      </c>
      <c r="E41" s="521">
        <v>587</v>
      </c>
      <c r="F41" s="521">
        <v>678</v>
      </c>
      <c r="G41" s="521">
        <v>756</v>
      </c>
      <c r="H41" s="522">
        <v>18260</v>
      </c>
      <c r="I41" s="522">
        <v>20880</v>
      </c>
      <c r="J41" s="522">
        <v>23480</v>
      </c>
      <c r="K41" s="522">
        <v>26080</v>
      </c>
      <c r="L41" s="522">
        <v>28180</v>
      </c>
      <c r="M41" s="522">
        <v>30260</v>
      </c>
      <c r="N41" s="522">
        <v>32340</v>
      </c>
      <c r="O41" s="522">
        <v>34440</v>
      </c>
      <c r="P41" s="41"/>
      <c r="Q41" s="41"/>
    </row>
    <row r="42" spans="1:17" ht="13.5" thickTop="1">
      <c r="A42" s="38"/>
      <c r="B42" s="37">
        <v>1.2</v>
      </c>
      <c r="C42" s="523">
        <v>1980</v>
      </c>
      <c r="D42" s="523">
        <v>2121</v>
      </c>
      <c r="E42" s="523">
        <v>2544</v>
      </c>
      <c r="F42" s="523">
        <v>2940</v>
      </c>
      <c r="G42" s="523">
        <v>3279</v>
      </c>
      <c r="H42" s="523">
        <v>79200</v>
      </c>
      <c r="I42" s="523">
        <v>90480</v>
      </c>
      <c r="J42" s="523">
        <v>101760</v>
      </c>
      <c r="K42" s="523">
        <v>113040</v>
      </c>
      <c r="L42" s="523">
        <v>122160</v>
      </c>
      <c r="M42" s="523">
        <v>131160</v>
      </c>
      <c r="N42" s="523">
        <v>140280</v>
      </c>
      <c r="O42" s="523">
        <v>149280</v>
      </c>
      <c r="P42" s="41"/>
      <c r="Q42" s="41"/>
    </row>
    <row r="43" spans="1:17">
      <c r="A43" s="38"/>
      <c r="B43" s="778">
        <v>1</v>
      </c>
      <c r="C43" s="775">
        <v>1650</v>
      </c>
      <c r="D43" s="775">
        <v>1767</v>
      </c>
      <c r="E43" s="775">
        <v>2120</v>
      </c>
      <c r="F43" s="775">
        <v>2450</v>
      </c>
      <c r="G43" s="775">
        <v>2732</v>
      </c>
      <c r="H43" s="775">
        <v>66000</v>
      </c>
      <c r="I43" s="775">
        <v>75400</v>
      </c>
      <c r="J43" s="775">
        <v>84800</v>
      </c>
      <c r="K43" s="775">
        <v>94200</v>
      </c>
      <c r="L43" s="775">
        <v>101800</v>
      </c>
      <c r="M43" s="775">
        <v>109300</v>
      </c>
      <c r="N43" s="775">
        <v>116900</v>
      </c>
      <c r="O43" s="775">
        <v>124400</v>
      </c>
      <c r="P43" s="41"/>
      <c r="Q43" s="41"/>
    </row>
    <row r="44" spans="1:17">
      <c r="A44" s="38" t="s">
        <v>1239</v>
      </c>
      <c r="B44" s="778">
        <v>0.8</v>
      </c>
      <c r="C44" s="775">
        <v>1320</v>
      </c>
      <c r="D44" s="775">
        <v>1414</v>
      </c>
      <c r="E44" s="775">
        <v>1696</v>
      </c>
      <c r="F44" s="775">
        <v>1960</v>
      </c>
      <c r="G44" s="775">
        <v>2186</v>
      </c>
      <c r="H44" s="776">
        <v>52800</v>
      </c>
      <c r="I44" s="776">
        <v>60320</v>
      </c>
      <c r="J44" s="776">
        <v>67840</v>
      </c>
      <c r="K44" s="776">
        <v>75360</v>
      </c>
      <c r="L44" s="776">
        <v>81440</v>
      </c>
      <c r="M44" s="776">
        <v>87440</v>
      </c>
      <c r="N44" s="776">
        <v>93520</v>
      </c>
      <c r="O44" s="776">
        <v>99520</v>
      </c>
      <c r="P44" s="41"/>
      <c r="Q44" s="41"/>
    </row>
    <row r="45" spans="1:17">
      <c r="A45" s="38"/>
      <c r="B45" s="778">
        <v>0.7</v>
      </c>
      <c r="C45" s="775">
        <v>1155</v>
      </c>
      <c r="D45" s="775">
        <v>1237</v>
      </c>
      <c r="E45" s="775">
        <v>1484</v>
      </c>
      <c r="F45" s="775">
        <v>1715</v>
      </c>
      <c r="G45" s="775">
        <v>1912</v>
      </c>
      <c r="H45" s="776">
        <v>46200</v>
      </c>
      <c r="I45" s="776">
        <v>52780</v>
      </c>
      <c r="J45" s="776">
        <v>59359.999999999993</v>
      </c>
      <c r="K45" s="776">
        <v>65940</v>
      </c>
      <c r="L45" s="776">
        <v>71260</v>
      </c>
      <c r="M45" s="776">
        <v>76510</v>
      </c>
      <c r="N45" s="776">
        <v>81830</v>
      </c>
      <c r="O45" s="776">
        <v>87080</v>
      </c>
      <c r="P45" s="41"/>
      <c r="Q45" s="41"/>
    </row>
    <row r="46" spans="1:17">
      <c r="A46" s="38"/>
      <c r="B46" s="778">
        <v>0.6</v>
      </c>
      <c r="C46" s="775">
        <v>990</v>
      </c>
      <c r="D46" s="775">
        <v>1060</v>
      </c>
      <c r="E46" s="775">
        <v>1272</v>
      </c>
      <c r="F46" s="775">
        <v>1470</v>
      </c>
      <c r="G46" s="775">
        <v>1639</v>
      </c>
      <c r="H46" s="775">
        <v>39600</v>
      </c>
      <c r="I46" s="775">
        <v>45240</v>
      </c>
      <c r="J46" s="775">
        <v>50880</v>
      </c>
      <c r="K46" s="775">
        <v>56520</v>
      </c>
      <c r="L46" s="775">
        <v>61080</v>
      </c>
      <c r="M46" s="777">
        <v>65580</v>
      </c>
      <c r="N46" s="777">
        <v>70140</v>
      </c>
      <c r="O46" s="777">
        <v>74640</v>
      </c>
      <c r="P46" s="41"/>
      <c r="Q46" s="41"/>
    </row>
    <row r="47" spans="1:17">
      <c r="A47" s="38"/>
      <c r="B47" s="778">
        <v>0.55000000000000004</v>
      </c>
      <c r="C47" s="775">
        <v>907</v>
      </c>
      <c r="D47" s="775">
        <v>972</v>
      </c>
      <c r="E47" s="775">
        <v>1166</v>
      </c>
      <c r="F47" s="775">
        <v>1347</v>
      </c>
      <c r="G47" s="775">
        <v>1502</v>
      </c>
      <c r="H47" s="775">
        <v>36300</v>
      </c>
      <c r="I47" s="775">
        <v>41470</v>
      </c>
      <c r="J47" s="775">
        <v>46640.000000000007</v>
      </c>
      <c r="K47" s="775">
        <v>51810.000000000007</v>
      </c>
      <c r="L47" s="775">
        <v>55990.000000000007</v>
      </c>
      <c r="M47" s="775">
        <v>60115.000000000007</v>
      </c>
      <c r="N47" s="775">
        <v>64295.000000000007</v>
      </c>
      <c r="O47" s="775">
        <v>68420</v>
      </c>
      <c r="P47" s="41"/>
      <c r="Q47" s="41"/>
    </row>
    <row r="48" spans="1:17">
      <c r="A48" s="38"/>
      <c r="B48" s="778">
        <v>0.5</v>
      </c>
      <c r="C48" s="775">
        <v>825</v>
      </c>
      <c r="D48" s="775">
        <v>883</v>
      </c>
      <c r="E48" s="775">
        <v>1060</v>
      </c>
      <c r="F48" s="775">
        <v>1225</v>
      </c>
      <c r="G48" s="775">
        <v>1366</v>
      </c>
      <c r="H48" s="776">
        <v>33000</v>
      </c>
      <c r="I48" s="776">
        <v>37700</v>
      </c>
      <c r="J48" s="776">
        <v>42400</v>
      </c>
      <c r="K48" s="776">
        <v>47100</v>
      </c>
      <c r="L48" s="776">
        <v>50900</v>
      </c>
      <c r="M48" s="776">
        <v>54650</v>
      </c>
      <c r="N48" s="776">
        <v>58450</v>
      </c>
      <c r="O48" s="776">
        <v>62200</v>
      </c>
      <c r="P48" s="41"/>
      <c r="Q48" s="41"/>
    </row>
    <row r="49" spans="1:17">
      <c r="A49" s="38"/>
      <c r="B49" s="778">
        <v>0.45</v>
      </c>
      <c r="C49" s="775">
        <v>742</v>
      </c>
      <c r="D49" s="775">
        <v>795</v>
      </c>
      <c r="E49" s="775">
        <v>954</v>
      </c>
      <c r="F49" s="775">
        <v>1102</v>
      </c>
      <c r="G49" s="775">
        <v>1229</v>
      </c>
      <c r="H49" s="775">
        <v>29700</v>
      </c>
      <c r="I49" s="775">
        <v>33930</v>
      </c>
      <c r="J49" s="775">
        <v>38160</v>
      </c>
      <c r="K49" s="775">
        <v>42390</v>
      </c>
      <c r="L49" s="775">
        <v>45810</v>
      </c>
      <c r="M49" s="777">
        <v>49185</v>
      </c>
      <c r="N49" s="777">
        <v>52605</v>
      </c>
      <c r="O49" s="777">
        <v>55980</v>
      </c>
      <c r="P49" s="41"/>
      <c r="Q49" s="41"/>
    </row>
    <row r="50" spans="1:17">
      <c r="A50" s="38"/>
      <c r="B50" s="778">
        <v>0.4</v>
      </c>
      <c r="C50" s="775">
        <v>660</v>
      </c>
      <c r="D50" s="775">
        <v>707</v>
      </c>
      <c r="E50" s="775">
        <v>848</v>
      </c>
      <c r="F50" s="775">
        <v>980</v>
      </c>
      <c r="G50" s="775">
        <v>1093</v>
      </c>
      <c r="H50" s="775">
        <v>26400</v>
      </c>
      <c r="I50" s="775">
        <v>30160</v>
      </c>
      <c r="J50" s="775">
        <v>33920</v>
      </c>
      <c r="K50" s="775">
        <v>37680</v>
      </c>
      <c r="L50" s="775">
        <v>40720</v>
      </c>
      <c r="M50" s="777">
        <v>43720</v>
      </c>
      <c r="N50" s="777">
        <v>46760</v>
      </c>
      <c r="O50" s="777">
        <v>49760</v>
      </c>
      <c r="P50" s="41"/>
      <c r="Q50" s="41"/>
    </row>
    <row r="51" spans="1:17">
      <c r="A51" s="38"/>
      <c r="B51" s="519">
        <v>0.3</v>
      </c>
      <c r="C51" s="775">
        <v>495</v>
      </c>
      <c r="D51" s="775">
        <v>530</v>
      </c>
      <c r="E51" s="775">
        <v>636</v>
      </c>
      <c r="F51" s="775">
        <v>735</v>
      </c>
      <c r="G51" s="775">
        <v>819</v>
      </c>
      <c r="H51" s="776">
        <v>19800</v>
      </c>
      <c r="I51" s="776">
        <v>22620</v>
      </c>
      <c r="J51" s="776">
        <v>25440</v>
      </c>
      <c r="K51" s="776">
        <v>28260</v>
      </c>
      <c r="L51" s="776">
        <v>30540</v>
      </c>
      <c r="M51" s="776">
        <v>32790</v>
      </c>
      <c r="N51" s="776">
        <v>35070</v>
      </c>
      <c r="O51" s="776">
        <v>37320</v>
      </c>
      <c r="P51" s="41"/>
      <c r="Q51" s="41"/>
    </row>
    <row r="52" spans="1:17" ht="13.5" thickBot="1">
      <c r="A52" s="38"/>
      <c r="B52" s="40">
        <v>0.2</v>
      </c>
      <c r="C52" s="521">
        <v>330</v>
      </c>
      <c r="D52" s="521">
        <v>353</v>
      </c>
      <c r="E52" s="521">
        <v>424</v>
      </c>
      <c r="F52" s="521">
        <v>490</v>
      </c>
      <c r="G52" s="521">
        <v>546</v>
      </c>
      <c r="H52" s="522">
        <v>13200</v>
      </c>
      <c r="I52" s="522">
        <v>15080</v>
      </c>
      <c r="J52" s="522">
        <v>16960</v>
      </c>
      <c r="K52" s="522">
        <v>18840</v>
      </c>
      <c r="L52" s="522">
        <v>20360</v>
      </c>
      <c r="M52" s="522">
        <v>21860</v>
      </c>
      <c r="N52" s="522">
        <v>23380</v>
      </c>
      <c r="O52" s="522">
        <v>24880</v>
      </c>
      <c r="P52" s="41"/>
      <c r="Q52" s="41"/>
    </row>
    <row r="53" spans="1:17" ht="13.5" thickTop="1">
      <c r="A53" s="38"/>
      <c r="B53" s="37">
        <v>1.2</v>
      </c>
      <c r="C53" s="523">
        <v>1980</v>
      </c>
      <c r="D53" s="523">
        <v>2121</v>
      </c>
      <c r="E53" s="523">
        <v>2544</v>
      </c>
      <c r="F53" s="523">
        <v>2940</v>
      </c>
      <c r="G53" s="523">
        <v>3279</v>
      </c>
      <c r="H53" s="523">
        <v>79200</v>
      </c>
      <c r="I53" s="523">
        <v>90480</v>
      </c>
      <c r="J53" s="523">
        <v>101760</v>
      </c>
      <c r="K53" s="523">
        <v>113040</v>
      </c>
      <c r="L53" s="523">
        <v>122160</v>
      </c>
      <c r="M53" s="523">
        <v>131160</v>
      </c>
      <c r="N53" s="523">
        <v>140280</v>
      </c>
      <c r="O53" s="523">
        <v>149280</v>
      </c>
      <c r="P53" s="41"/>
      <c r="Q53" s="41"/>
    </row>
    <row r="54" spans="1:17">
      <c r="A54" s="38"/>
      <c r="B54" s="778">
        <v>1</v>
      </c>
      <c r="C54" s="775">
        <v>1650</v>
      </c>
      <c r="D54" s="775">
        <v>1767</v>
      </c>
      <c r="E54" s="775">
        <v>2120</v>
      </c>
      <c r="F54" s="775">
        <v>2450</v>
      </c>
      <c r="G54" s="775">
        <v>2732</v>
      </c>
      <c r="H54" s="775">
        <v>66000</v>
      </c>
      <c r="I54" s="775">
        <v>75400</v>
      </c>
      <c r="J54" s="775">
        <v>84800</v>
      </c>
      <c r="K54" s="775">
        <v>94200</v>
      </c>
      <c r="L54" s="775">
        <v>101800</v>
      </c>
      <c r="M54" s="775">
        <v>109300</v>
      </c>
      <c r="N54" s="775">
        <v>116900</v>
      </c>
      <c r="O54" s="775">
        <v>124400</v>
      </c>
      <c r="P54" s="41"/>
      <c r="Q54" s="41"/>
    </row>
    <row r="55" spans="1:17">
      <c r="A55" s="38" t="s">
        <v>1240</v>
      </c>
      <c r="B55" s="778">
        <v>0.8</v>
      </c>
      <c r="C55" s="775">
        <v>1320</v>
      </c>
      <c r="D55" s="775">
        <v>1414</v>
      </c>
      <c r="E55" s="775">
        <v>1696</v>
      </c>
      <c r="F55" s="775">
        <v>1960</v>
      </c>
      <c r="G55" s="775">
        <v>2186</v>
      </c>
      <c r="H55" s="776">
        <v>52800</v>
      </c>
      <c r="I55" s="776">
        <v>60320</v>
      </c>
      <c r="J55" s="776">
        <v>67840</v>
      </c>
      <c r="K55" s="776">
        <v>75360</v>
      </c>
      <c r="L55" s="776">
        <v>81440</v>
      </c>
      <c r="M55" s="776">
        <v>87440</v>
      </c>
      <c r="N55" s="776">
        <v>93520</v>
      </c>
      <c r="O55" s="776">
        <v>99520</v>
      </c>
      <c r="P55" s="41"/>
      <c r="Q55" s="41"/>
    </row>
    <row r="56" spans="1:17">
      <c r="A56" s="38"/>
      <c r="B56" s="778">
        <v>0.7</v>
      </c>
      <c r="C56" s="775">
        <v>1155</v>
      </c>
      <c r="D56" s="775">
        <v>1319</v>
      </c>
      <c r="E56" s="775">
        <v>1484</v>
      </c>
      <c r="F56" s="775">
        <v>1648</v>
      </c>
      <c r="G56" s="775">
        <v>1781</v>
      </c>
      <c r="H56" s="776">
        <v>46200</v>
      </c>
      <c r="I56" s="776">
        <v>52780</v>
      </c>
      <c r="J56" s="776">
        <v>59359.999999999993</v>
      </c>
      <c r="K56" s="776">
        <v>65940</v>
      </c>
      <c r="L56" s="776">
        <v>71260</v>
      </c>
      <c r="M56" s="776">
        <v>76510</v>
      </c>
      <c r="N56" s="776">
        <v>81830</v>
      </c>
      <c r="O56" s="776">
        <v>87080</v>
      </c>
      <c r="P56" s="41"/>
      <c r="Q56" s="41"/>
    </row>
    <row r="57" spans="1:17">
      <c r="A57" s="38"/>
      <c r="B57" s="778">
        <v>0.6</v>
      </c>
      <c r="C57" s="775">
        <v>990</v>
      </c>
      <c r="D57" s="775">
        <v>1060</v>
      </c>
      <c r="E57" s="775">
        <v>1272</v>
      </c>
      <c r="F57" s="775">
        <v>1470</v>
      </c>
      <c r="G57" s="775">
        <v>1639</v>
      </c>
      <c r="H57" s="775">
        <v>39600</v>
      </c>
      <c r="I57" s="775">
        <v>45240</v>
      </c>
      <c r="J57" s="775">
        <v>50880</v>
      </c>
      <c r="K57" s="775">
        <v>56520</v>
      </c>
      <c r="L57" s="775">
        <v>61080</v>
      </c>
      <c r="M57" s="777">
        <v>65580</v>
      </c>
      <c r="N57" s="777">
        <v>70140</v>
      </c>
      <c r="O57" s="777">
        <v>74640</v>
      </c>
      <c r="P57" s="41"/>
      <c r="Q57" s="41"/>
    </row>
    <row r="58" spans="1:17">
      <c r="A58" s="38"/>
      <c r="B58" s="778">
        <v>0.55000000000000004</v>
      </c>
      <c r="C58" s="775">
        <v>907</v>
      </c>
      <c r="D58" s="775">
        <v>972</v>
      </c>
      <c r="E58" s="775">
        <v>1166</v>
      </c>
      <c r="F58" s="775">
        <v>1347</v>
      </c>
      <c r="G58" s="775">
        <v>1502</v>
      </c>
      <c r="H58" s="775">
        <v>36300</v>
      </c>
      <c r="I58" s="775">
        <v>41470</v>
      </c>
      <c r="J58" s="775">
        <v>46640.000000000007</v>
      </c>
      <c r="K58" s="775">
        <v>51810.000000000007</v>
      </c>
      <c r="L58" s="775">
        <v>55990.000000000007</v>
      </c>
      <c r="M58" s="775">
        <v>60115.000000000007</v>
      </c>
      <c r="N58" s="775">
        <v>64295.000000000007</v>
      </c>
      <c r="O58" s="775">
        <v>68420</v>
      </c>
      <c r="P58" s="41"/>
      <c r="Q58" s="41"/>
    </row>
    <row r="59" spans="1:17">
      <c r="A59" s="38"/>
      <c r="B59" s="778">
        <v>0.5</v>
      </c>
      <c r="C59" s="775">
        <v>825</v>
      </c>
      <c r="D59" s="775">
        <v>883</v>
      </c>
      <c r="E59" s="775">
        <v>1060</v>
      </c>
      <c r="F59" s="775">
        <v>1225</v>
      </c>
      <c r="G59" s="775">
        <v>1366</v>
      </c>
      <c r="H59" s="776">
        <v>33000</v>
      </c>
      <c r="I59" s="776">
        <v>37700</v>
      </c>
      <c r="J59" s="776">
        <v>42400</v>
      </c>
      <c r="K59" s="776">
        <v>47100</v>
      </c>
      <c r="L59" s="776">
        <v>50900</v>
      </c>
      <c r="M59" s="776">
        <v>54650</v>
      </c>
      <c r="N59" s="776">
        <v>58450</v>
      </c>
      <c r="O59" s="776">
        <v>62200</v>
      </c>
      <c r="P59" s="41"/>
      <c r="Q59" s="41"/>
    </row>
    <row r="60" spans="1:17">
      <c r="A60" s="38"/>
      <c r="B60" s="778">
        <v>0.45</v>
      </c>
      <c r="C60" s="775">
        <v>742</v>
      </c>
      <c r="D60" s="775">
        <v>795</v>
      </c>
      <c r="E60" s="775">
        <v>954</v>
      </c>
      <c r="F60" s="775">
        <v>1102</v>
      </c>
      <c r="G60" s="775">
        <v>1229</v>
      </c>
      <c r="H60" s="775">
        <v>29700</v>
      </c>
      <c r="I60" s="775">
        <v>33930</v>
      </c>
      <c r="J60" s="775">
        <v>38160</v>
      </c>
      <c r="K60" s="775">
        <v>42390</v>
      </c>
      <c r="L60" s="775">
        <v>45810</v>
      </c>
      <c r="M60" s="777">
        <v>49185</v>
      </c>
      <c r="N60" s="777">
        <v>52605</v>
      </c>
      <c r="O60" s="777">
        <v>55980</v>
      </c>
      <c r="P60" s="41"/>
      <c r="Q60" s="41"/>
    </row>
    <row r="61" spans="1:17">
      <c r="A61" s="38"/>
      <c r="B61" s="778">
        <v>0.4</v>
      </c>
      <c r="C61" s="775">
        <v>660</v>
      </c>
      <c r="D61" s="775">
        <v>707</v>
      </c>
      <c r="E61" s="775">
        <v>848</v>
      </c>
      <c r="F61" s="775">
        <v>980</v>
      </c>
      <c r="G61" s="775">
        <v>1093</v>
      </c>
      <c r="H61" s="775">
        <v>26400</v>
      </c>
      <c r="I61" s="775">
        <v>30160</v>
      </c>
      <c r="J61" s="775">
        <v>33920</v>
      </c>
      <c r="K61" s="775">
        <v>37680</v>
      </c>
      <c r="L61" s="775">
        <v>40720</v>
      </c>
      <c r="M61" s="777">
        <v>43720</v>
      </c>
      <c r="N61" s="777">
        <v>46760</v>
      </c>
      <c r="O61" s="777">
        <v>49760</v>
      </c>
      <c r="P61" s="41"/>
      <c r="Q61" s="41"/>
    </row>
    <row r="62" spans="1:17">
      <c r="A62" s="38"/>
      <c r="B62" s="519">
        <v>0.3</v>
      </c>
      <c r="C62" s="775">
        <v>495</v>
      </c>
      <c r="D62" s="775">
        <v>530</v>
      </c>
      <c r="E62" s="775">
        <v>636</v>
      </c>
      <c r="F62" s="775">
        <v>735</v>
      </c>
      <c r="G62" s="775">
        <v>819</v>
      </c>
      <c r="H62" s="776">
        <v>19800</v>
      </c>
      <c r="I62" s="776">
        <v>22620</v>
      </c>
      <c r="J62" s="776">
        <v>25440</v>
      </c>
      <c r="K62" s="776">
        <v>28260</v>
      </c>
      <c r="L62" s="776">
        <v>30540</v>
      </c>
      <c r="M62" s="776">
        <v>32790</v>
      </c>
      <c r="N62" s="776">
        <v>35070</v>
      </c>
      <c r="O62" s="776">
        <v>37320</v>
      </c>
      <c r="P62" s="41"/>
      <c r="Q62" s="41"/>
    </row>
    <row r="63" spans="1:17" ht="13.5" thickBot="1">
      <c r="A63" s="38"/>
      <c r="B63" s="40">
        <v>0.2</v>
      </c>
      <c r="C63" s="521">
        <v>330</v>
      </c>
      <c r="D63" s="521">
        <v>353</v>
      </c>
      <c r="E63" s="521">
        <v>424</v>
      </c>
      <c r="F63" s="521">
        <v>490</v>
      </c>
      <c r="G63" s="521">
        <v>546</v>
      </c>
      <c r="H63" s="522">
        <v>13200</v>
      </c>
      <c r="I63" s="522">
        <v>15080</v>
      </c>
      <c r="J63" s="522">
        <v>16960</v>
      </c>
      <c r="K63" s="522">
        <v>18840</v>
      </c>
      <c r="L63" s="522">
        <v>20360</v>
      </c>
      <c r="M63" s="522">
        <v>21860</v>
      </c>
      <c r="N63" s="522">
        <v>23380</v>
      </c>
      <c r="O63" s="522">
        <v>24880</v>
      </c>
      <c r="P63" s="41"/>
      <c r="Q63" s="41"/>
    </row>
    <row r="64" spans="1:17" ht="13.5" thickTop="1">
      <c r="A64" s="38"/>
      <c r="B64" s="37">
        <v>1.2</v>
      </c>
      <c r="C64" s="523">
        <v>1980</v>
      </c>
      <c r="D64" s="523">
        <v>2121</v>
      </c>
      <c r="E64" s="523">
        <v>2544</v>
      </c>
      <c r="F64" s="523">
        <v>2940</v>
      </c>
      <c r="G64" s="523">
        <v>3279</v>
      </c>
      <c r="H64" s="523">
        <v>79200</v>
      </c>
      <c r="I64" s="523">
        <v>90480</v>
      </c>
      <c r="J64" s="523">
        <v>101760</v>
      </c>
      <c r="K64" s="523">
        <v>113040</v>
      </c>
      <c r="L64" s="523">
        <v>122160</v>
      </c>
      <c r="M64" s="523">
        <v>131160</v>
      </c>
      <c r="N64" s="523">
        <v>140280</v>
      </c>
      <c r="O64" s="523">
        <v>149280</v>
      </c>
      <c r="P64" s="41"/>
      <c r="Q64" s="41"/>
    </row>
    <row r="65" spans="1:17">
      <c r="A65" s="38"/>
      <c r="B65" s="778">
        <v>1</v>
      </c>
      <c r="C65" s="775">
        <v>1650</v>
      </c>
      <c r="D65" s="775">
        <v>1767</v>
      </c>
      <c r="E65" s="775">
        <v>2120</v>
      </c>
      <c r="F65" s="775">
        <v>2450</v>
      </c>
      <c r="G65" s="775">
        <v>2732</v>
      </c>
      <c r="H65" s="775">
        <v>66000</v>
      </c>
      <c r="I65" s="775">
        <v>75400</v>
      </c>
      <c r="J65" s="775">
        <v>84800</v>
      </c>
      <c r="K65" s="775">
        <v>94200</v>
      </c>
      <c r="L65" s="775">
        <v>101800</v>
      </c>
      <c r="M65" s="775">
        <v>109300</v>
      </c>
      <c r="N65" s="775">
        <v>116900</v>
      </c>
      <c r="O65" s="775">
        <v>124400</v>
      </c>
      <c r="P65" s="41"/>
      <c r="Q65" s="41"/>
    </row>
    <row r="66" spans="1:17">
      <c r="A66" s="38" t="s">
        <v>1241</v>
      </c>
      <c r="B66" s="778">
        <v>0.8</v>
      </c>
      <c r="C66" s="775">
        <v>1320</v>
      </c>
      <c r="D66" s="775">
        <v>1414</v>
      </c>
      <c r="E66" s="775">
        <v>1696</v>
      </c>
      <c r="F66" s="775">
        <v>1960</v>
      </c>
      <c r="G66" s="775">
        <v>2186</v>
      </c>
      <c r="H66" s="776">
        <v>52800</v>
      </c>
      <c r="I66" s="776">
        <v>60320</v>
      </c>
      <c r="J66" s="776">
        <v>67840</v>
      </c>
      <c r="K66" s="776">
        <v>75360</v>
      </c>
      <c r="L66" s="776">
        <v>81440</v>
      </c>
      <c r="M66" s="776">
        <v>87440</v>
      </c>
      <c r="N66" s="776">
        <v>93520</v>
      </c>
      <c r="O66" s="776">
        <v>99520</v>
      </c>
      <c r="P66" s="41"/>
      <c r="Q66" s="41"/>
    </row>
    <row r="67" spans="1:17">
      <c r="A67" s="38"/>
      <c r="B67" s="778">
        <v>0.7</v>
      </c>
      <c r="C67" s="775">
        <v>1155</v>
      </c>
      <c r="D67" s="775">
        <v>1319</v>
      </c>
      <c r="E67" s="775">
        <v>1484</v>
      </c>
      <c r="F67" s="775">
        <v>1648</v>
      </c>
      <c r="G67" s="775">
        <v>1781</v>
      </c>
      <c r="H67" s="776">
        <v>46200</v>
      </c>
      <c r="I67" s="776">
        <v>52780</v>
      </c>
      <c r="J67" s="776">
        <v>59359.999999999993</v>
      </c>
      <c r="K67" s="776">
        <v>65940</v>
      </c>
      <c r="L67" s="776">
        <v>71260</v>
      </c>
      <c r="M67" s="776">
        <v>76510</v>
      </c>
      <c r="N67" s="776">
        <v>81830</v>
      </c>
      <c r="O67" s="776">
        <v>87080</v>
      </c>
      <c r="P67" s="41"/>
      <c r="Q67" s="41"/>
    </row>
    <row r="68" spans="1:17">
      <c r="A68" s="38"/>
      <c r="B68" s="778">
        <v>0.6</v>
      </c>
      <c r="C68" s="775">
        <v>990</v>
      </c>
      <c r="D68" s="775">
        <v>1060</v>
      </c>
      <c r="E68" s="775">
        <v>1272</v>
      </c>
      <c r="F68" s="775">
        <v>1470</v>
      </c>
      <c r="G68" s="775">
        <v>1639</v>
      </c>
      <c r="H68" s="775">
        <v>39600</v>
      </c>
      <c r="I68" s="775">
        <v>45240</v>
      </c>
      <c r="J68" s="775">
        <v>50880</v>
      </c>
      <c r="K68" s="775">
        <v>56520</v>
      </c>
      <c r="L68" s="775">
        <v>61080</v>
      </c>
      <c r="M68" s="777">
        <v>65580</v>
      </c>
      <c r="N68" s="777">
        <v>70140</v>
      </c>
      <c r="O68" s="777">
        <v>74640</v>
      </c>
      <c r="P68" s="41"/>
      <c r="Q68" s="41"/>
    </row>
    <row r="69" spans="1:17">
      <c r="A69" s="38"/>
      <c r="B69" s="778">
        <v>0.55000000000000004</v>
      </c>
      <c r="C69" s="775">
        <v>907</v>
      </c>
      <c r="D69" s="775">
        <v>972</v>
      </c>
      <c r="E69" s="775">
        <v>1166</v>
      </c>
      <c r="F69" s="775">
        <v>1347</v>
      </c>
      <c r="G69" s="775">
        <v>1502</v>
      </c>
      <c r="H69" s="775">
        <v>36300</v>
      </c>
      <c r="I69" s="775">
        <v>41470</v>
      </c>
      <c r="J69" s="775">
        <v>46640.000000000007</v>
      </c>
      <c r="K69" s="775">
        <v>51810.000000000007</v>
      </c>
      <c r="L69" s="775">
        <v>55990.000000000007</v>
      </c>
      <c r="M69" s="775">
        <v>60115.000000000007</v>
      </c>
      <c r="N69" s="775">
        <v>64295.000000000007</v>
      </c>
      <c r="O69" s="775">
        <v>68420</v>
      </c>
      <c r="P69" s="41"/>
      <c r="Q69" s="41"/>
    </row>
    <row r="70" spans="1:17">
      <c r="A70" s="38"/>
      <c r="B70" s="778">
        <v>0.5</v>
      </c>
      <c r="C70" s="775">
        <v>825</v>
      </c>
      <c r="D70" s="775">
        <v>883</v>
      </c>
      <c r="E70" s="775">
        <v>1060</v>
      </c>
      <c r="F70" s="775">
        <v>1225</v>
      </c>
      <c r="G70" s="775">
        <v>1366</v>
      </c>
      <c r="H70" s="776">
        <v>33000</v>
      </c>
      <c r="I70" s="776">
        <v>37700</v>
      </c>
      <c r="J70" s="776">
        <v>42400</v>
      </c>
      <c r="K70" s="776">
        <v>47100</v>
      </c>
      <c r="L70" s="776">
        <v>50900</v>
      </c>
      <c r="M70" s="776">
        <v>54650</v>
      </c>
      <c r="N70" s="776">
        <v>58450</v>
      </c>
      <c r="O70" s="776">
        <v>62200</v>
      </c>
      <c r="P70" s="41"/>
      <c r="Q70" s="41"/>
    </row>
    <row r="71" spans="1:17">
      <c r="A71" s="38"/>
      <c r="B71" s="778">
        <v>0.45</v>
      </c>
      <c r="C71" s="775">
        <v>742</v>
      </c>
      <c r="D71" s="775">
        <v>795</v>
      </c>
      <c r="E71" s="775">
        <v>954</v>
      </c>
      <c r="F71" s="775">
        <v>1102</v>
      </c>
      <c r="G71" s="775">
        <v>1229</v>
      </c>
      <c r="H71" s="775">
        <v>29700</v>
      </c>
      <c r="I71" s="775">
        <v>33930</v>
      </c>
      <c r="J71" s="775">
        <v>38160</v>
      </c>
      <c r="K71" s="775">
        <v>42390</v>
      </c>
      <c r="L71" s="775">
        <v>45810</v>
      </c>
      <c r="M71" s="777">
        <v>49185</v>
      </c>
      <c r="N71" s="777">
        <v>52605</v>
      </c>
      <c r="O71" s="777">
        <v>55980</v>
      </c>
      <c r="P71" s="41"/>
      <c r="Q71" s="41"/>
    </row>
    <row r="72" spans="1:17">
      <c r="A72" s="38"/>
      <c r="B72" s="778">
        <v>0.4</v>
      </c>
      <c r="C72" s="775">
        <v>660</v>
      </c>
      <c r="D72" s="775">
        <v>707</v>
      </c>
      <c r="E72" s="775">
        <v>848</v>
      </c>
      <c r="F72" s="775">
        <v>980</v>
      </c>
      <c r="G72" s="775">
        <v>1093</v>
      </c>
      <c r="H72" s="775">
        <v>26400</v>
      </c>
      <c r="I72" s="775">
        <v>30160</v>
      </c>
      <c r="J72" s="775">
        <v>33920</v>
      </c>
      <c r="K72" s="775">
        <v>37680</v>
      </c>
      <c r="L72" s="775">
        <v>40720</v>
      </c>
      <c r="M72" s="777">
        <v>43720</v>
      </c>
      <c r="N72" s="777">
        <v>46760</v>
      </c>
      <c r="O72" s="777">
        <v>49760</v>
      </c>
      <c r="P72" s="41"/>
      <c r="Q72" s="41"/>
    </row>
    <row r="73" spans="1:17">
      <c r="A73" s="38"/>
      <c r="B73" s="519">
        <v>0.3</v>
      </c>
      <c r="C73" s="775">
        <v>495</v>
      </c>
      <c r="D73" s="775">
        <v>530</v>
      </c>
      <c r="E73" s="775">
        <v>636</v>
      </c>
      <c r="F73" s="775">
        <v>735</v>
      </c>
      <c r="G73" s="775">
        <v>819</v>
      </c>
      <c r="H73" s="776">
        <v>19800</v>
      </c>
      <c r="I73" s="776">
        <v>22620</v>
      </c>
      <c r="J73" s="776">
        <v>25440</v>
      </c>
      <c r="K73" s="776">
        <v>28260</v>
      </c>
      <c r="L73" s="776">
        <v>30540</v>
      </c>
      <c r="M73" s="776">
        <v>32790</v>
      </c>
      <c r="N73" s="776">
        <v>35070</v>
      </c>
      <c r="O73" s="776">
        <v>37320</v>
      </c>
      <c r="P73" s="41"/>
      <c r="Q73" s="41"/>
    </row>
    <row r="74" spans="1:17" ht="13.5" thickBot="1">
      <c r="A74" s="38"/>
      <c r="B74" s="40">
        <v>0.2</v>
      </c>
      <c r="C74" s="521">
        <v>330</v>
      </c>
      <c r="D74" s="521">
        <v>353</v>
      </c>
      <c r="E74" s="521">
        <v>424</v>
      </c>
      <c r="F74" s="521">
        <v>490</v>
      </c>
      <c r="G74" s="521">
        <v>546</v>
      </c>
      <c r="H74" s="522">
        <v>13200</v>
      </c>
      <c r="I74" s="522">
        <v>15080</v>
      </c>
      <c r="J74" s="522">
        <v>16960</v>
      </c>
      <c r="K74" s="522">
        <v>18840</v>
      </c>
      <c r="L74" s="522">
        <v>20360</v>
      </c>
      <c r="M74" s="522">
        <v>21860</v>
      </c>
      <c r="N74" s="522">
        <v>23380</v>
      </c>
      <c r="O74" s="522">
        <v>24880</v>
      </c>
      <c r="P74" s="41"/>
      <c r="Q74" s="41"/>
    </row>
    <row r="75" spans="1:17" ht="13.5" thickTop="1">
      <c r="A75" s="36"/>
      <c r="B75" s="37">
        <v>1.2</v>
      </c>
      <c r="C75" s="523">
        <v>3066</v>
      </c>
      <c r="D75" s="523">
        <v>3285</v>
      </c>
      <c r="E75" s="523">
        <v>3942</v>
      </c>
      <c r="F75" s="523">
        <v>4555</v>
      </c>
      <c r="G75" s="523">
        <v>5082</v>
      </c>
      <c r="H75" s="523">
        <v>122640</v>
      </c>
      <c r="I75" s="523">
        <v>140160</v>
      </c>
      <c r="J75" s="523">
        <v>157680</v>
      </c>
      <c r="K75" s="523">
        <v>175200</v>
      </c>
      <c r="L75" s="523">
        <v>189240</v>
      </c>
      <c r="M75" s="523">
        <v>203280</v>
      </c>
      <c r="N75" s="523">
        <v>217320</v>
      </c>
      <c r="O75" s="523">
        <v>231360</v>
      </c>
      <c r="P75" s="39"/>
      <c r="Q75" s="39"/>
    </row>
    <row r="76" spans="1:17">
      <c r="A76" s="38"/>
      <c r="B76" s="778">
        <v>1</v>
      </c>
      <c r="C76" s="775">
        <v>2555</v>
      </c>
      <c r="D76" s="775">
        <v>2737</v>
      </c>
      <c r="E76" s="775">
        <v>3285</v>
      </c>
      <c r="F76" s="775">
        <v>3796</v>
      </c>
      <c r="G76" s="775">
        <v>4235</v>
      </c>
      <c r="H76" s="775">
        <v>102200</v>
      </c>
      <c r="I76" s="775">
        <v>116800</v>
      </c>
      <c r="J76" s="775">
        <v>131400</v>
      </c>
      <c r="K76" s="775">
        <v>146000</v>
      </c>
      <c r="L76" s="775">
        <v>157700</v>
      </c>
      <c r="M76" s="775">
        <v>169400</v>
      </c>
      <c r="N76" s="775">
        <v>181100</v>
      </c>
      <c r="O76" s="775">
        <v>192800</v>
      </c>
      <c r="P76" s="39"/>
      <c r="Q76" s="39"/>
    </row>
    <row r="77" spans="1:17">
      <c r="A77" s="38" t="s">
        <v>1242</v>
      </c>
      <c r="B77" s="778">
        <v>0.8</v>
      </c>
      <c r="C77" s="775">
        <v>2044</v>
      </c>
      <c r="D77" s="775">
        <v>2190</v>
      </c>
      <c r="E77" s="775">
        <v>2628</v>
      </c>
      <c r="F77" s="775">
        <v>3037</v>
      </c>
      <c r="G77" s="775">
        <v>3388</v>
      </c>
      <c r="H77" s="776">
        <v>81760</v>
      </c>
      <c r="I77" s="776">
        <v>93440</v>
      </c>
      <c r="J77" s="776">
        <v>105120</v>
      </c>
      <c r="K77" s="776">
        <v>116800</v>
      </c>
      <c r="L77" s="776">
        <v>126160</v>
      </c>
      <c r="M77" s="776">
        <v>135520</v>
      </c>
      <c r="N77" s="776">
        <v>144880</v>
      </c>
      <c r="O77" s="776">
        <v>154240</v>
      </c>
      <c r="P77" s="39"/>
      <c r="Q77" s="39"/>
    </row>
    <row r="78" spans="1:17">
      <c r="A78" s="38"/>
      <c r="B78" s="778">
        <v>0.7</v>
      </c>
      <c r="C78" s="775">
        <v>1788</v>
      </c>
      <c r="D78" s="775">
        <v>1916</v>
      </c>
      <c r="E78" s="775">
        <v>2299</v>
      </c>
      <c r="F78" s="775">
        <v>2657</v>
      </c>
      <c r="G78" s="775">
        <v>2964</v>
      </c>
      <c r="H78" s="776">
        <v>71540</v>
      </c>
      <c r="I78" s="776">
        <v>81760</v>
      </c>
      <c r="J78" s="776">
        <v>91980</v>
      </c>
      <c r="K78" s="776">
        <v>102200</v>
      </c>
      <c r="L78" s="776">
        <v>110390</v>
      </c>
      <c r="M78" s="776">
        <v>118579.99999999999</v>
      </c>
      <c r="N78" s="776">
        <v>126769.99999999999</v>
      </c>
      <c r="O78" s="776">
        <v>134960</v>
      </c>
      <c r="P78" s="39"/>
      <c r="Q78" s="39"/>
    </row>
    <row r="79" spans="1:17">
      <c r="A79" s="38"/>
      <c r="B79" s="778">
        <v>0.6</v>
      </c>
      <c r="C79" s="775">
        <v>1533</v>
      </c>
      <c r="D79" s="775">
        <v>1642</v>
      </c>
      <c r="E79" s="775">
        <v>1971</v>
      </c>
      <c r="F79" s="775">
        <v>2277</v>
      </c>
      <c r="G79" s="775">
        <v>2541</v>
      </c>
      <c r="H79" s="775">
        <v>61320</v>
      </c>
      <c r="I79" s="775">
        <v>70080</v>
      </c>
      <c r="J79" s="775">
        <v>78840</v>
      </c>
      <c r="K79" s="775">
        <v>87600</v>
      </c>
      <c r="L79" s="775">
        <v>94620</v>
      </c>
      <c r="M79" s="777">
        <v>101640</v>
      </c>
      <c r="N79" s="777">
        <v>108660</v>
      </c>
      <c r="O79" s="777">
        <v>115680</v>
      </c>
      <c r="P79" s="39"/>
      <c r="Q79" s="39"/>
    </row>
    <row r="80" spans="1:17">
      <c r="A80" s="38"/>
      <c r="B80" s="778">
        <v>0.55000000000000004</v>
      </c>
      <c r="C80" s="775">
        <v>1405</v>
      </c>
      <c r="D80" s="775">
        <v>1505</v>
      </c>
      <c r="E80" s="775">
        <v>1806</v>
      </c>
      <c r="F80" s="775">
        <v>2087</v>
      </c>
      <c r="G80" s="775">
        <v>2329</v>
      </c>
      <c r="H80" s="775">
        <v>56210.000000000007</v>
      </c>
      <c r="I80" s="775">
        <v>64240.000000000007</v>
      </c>
      <c r="J80" s="775">
        <v>72270</v>
      </c>
      <c r="K80" s="775">
        <v>80300</v>
      </c>
      <c r="L80" s="775">
        <v>86735</v>
      </c>
      <c r="M80" s="775">
        <v>93170.000000000015</v>
      </c>
      <c r="N80" s="775">
        <v>99605.000000000015</v>
      </c>
      <c r="O80" s="775">
        <v>106040.00000000001</v>
      </c>
      <c r="P80" s="39"/>
      <c r="Q80" s="39"/>
    </row>
    <row r="81" spans="1:17">
      <c r="A81" s="38"/>
      <c r="B81" s="778">
        <v>0.5</v>
      </c>
      <c r="C81" s="775">
        <v>1277</v>
      </c>
      <c r="D81" s="775">
        <v>1368</v>
      </c>
      <c r="E81" s="775">
        <v>1642</v>
      </c>
      <c r="F81" s="775">
        <v>1898</v>
      </c>
      <c r="G81" s="775">
        <v>2117</v>
      </c>
      <c r="H81" s="776">
        <v>51100</v>
      </c>
      <c r="I81" s="776">
        <v>58400</v>
      </c>
      <c r="J81" s="776">
        <v>65700</v>
      </c>
      <c r="K81" s="776">
        <v>73000</v>
      </c>
      <c r="L81" s="776">
        <v>78850</v>
      </c>
      <c r="M81" s="776">
        <v>84700</v>
      </c>
      <c r="N81" s="776">
        <v>90550</v>
      </c>
      <c r="O81" s="776">
        <v>96400</v>
      </c>
      <c r="P81" s="39"/>
      <c r="Q81" s="39"/>
    </row>
    <row r="82" spans="1:17">
      <c r="A82" s="38"/>
      <c r="B82" s="778">
        <v>0.45</v>
      </c>
      <c r="C82" s="775">
        <v>1149</v>
      </c>
      <c r="D82" s="775">
        <v>1231</v>
      </c>
      <c r="E82" s="775">
        <v>1478</v>
      </c>
      <c r="F82" s="775">
        <v>1708</v>
      </c>
      <c r="G82" s="775">
        <v>1905</v>
      </c>
      <c r="H82" s="775">
        <v>45990</v>
      </c>
      <c r="I82" s="775">
        <v>52560</v>
      </c>
      <c r="J82" s="775">
        <v>59130</v>
      </c>
      <c r="K82" s="775">
        <v>65700</v>
      </c>
      <c r="L82" s="775">
        <v>70965</v>
      </c>
      <c r="M82" s="777">
        <v>76230</v>
      </c>
      <c r="N82" s="777">
        <v>81495</v>
      </c>
      <c r="O82" s="777">
        <v>86760</v>
      </c>
      <c r="P82" s="39"/>
      <c r="Q82" s="39"/>
    </row>
    <row r="83" spans="1:17">
      <c r="A83" s="38"/>
      <c r="B83" s="778">
        <v>0.4</v>
      </c>
      <c r="C83" s="775">
        <v>1022</v>
      </c>
      <c r="D83" s="775">
        <v>1095</v>
      </c>
      <c r="E83" s="775">
        <v>1314</v>
      </c>
      <c r="F83" s="775">
        <v>1518</v>
      </c>
      <c r="G83" s="775">
        <v>1694</v>
      </c>
      <c r="H83" s="775">
        <v>40880</v>
      </c>
      <c r="I83" s="775">
        <v>46720</v>
      </c>
      <c r="J83" s="775">
        <v>52560</v>
      </c>
      <c r="K83" s="775">
        <v>58400</v>
      </c>
      <c r="L83" s="775">
        <v>63080</v>
      </c>
      <c r="M83" s="777">
        <v>67760</v>
      </c>
      <c r="N83" s="777">
        <v>72440</v>
      </c>
      <c r="O83" s="777">
        <v>77120</v>
      </c>
      <c r="P83" s="39"/>
      <c r="Q83" s="39"/>
    </row>
    <row r="84" spans="1:17">
      <c r="A84" s="38"/>
      <c r="B84" s="519">
        <v>0.3</v>
      </c>
      <c r="C84" s="775">
        <v>766</v>
      </c>
      <c r="D84" s="775">
        <v>821</v>
      </c>
      <c r="E84" s="775">
        <v>985</v>
      </c>
      <c r="F84" s="775">
        <v>1138</v>
      </c>
      <c r="G84" s="775">
        <v>1270</v>
      </c>
      <c r="H84" s="776">
        <v>30660</v>
      </c>
      <c r="I84" s="776">
        <v>35040</v>
      </c>
      <c r="J84" s="776">
        <v>39420</v>
      </c>
      <c r="K84" s="776">
        <v>43800</v>
      </c>
      <c r="L84" s="776">
        <v>47310</v>
      </c>
      <c r="M84" s="776">
        <v>50820</v>
      </c>
      <c r="N84" s="776">
        <v>54330</v>
      </c>
      <c r="O84" s="776">
        <v>57840</v>
      </c>
      <c r="P84" s="39"/>
      <c r="Q84" s="39"/>
    </row>
    <row r="85" spans="1:17" ht="13.5" thickBot="1">
      <c r="A85" s="779"/>
      <c r="B85" s="40">
        <v>0.2</v>
      </c>
      <c r="C85" s="521">
        <v>511</v>
      </c>
      <c r="D85" s="521">
        <v>547</v>
      </c>
      <c r="E85" s="521">
        <v>657</v>
      </c>
      <c r="F85" s="521">
        <v>759</v>
      </c>
      <c r="G85" s="521">
        <v>847</v>
      </c>
      <c r="H85" s="522">
        <v>20440</v>
      </c>
      <c r="I85" s="522">
        <v>23360</v>
      </c>
      <c r="J85" s="522">
        <v>26280</v>
      </c>
      <c r="K85" s="522">
        <v>29200</v>
      </c>
      <c r="L85" s="522">
        <v>31540</v>
      </c>
      <c r="M85" s="522">
        <v>33880</v>
      </c>
      <c r="N85" s="522">
        <v>36220</v>
      </c>
      <c r="O85" s="522">
        <v>38560</v>
      </c>
      <c r="P85" s="41"/>
      <c r="Q85" s="41"/>
    </row>
    <row r="86" spans="1:17" ht="13.5" thickTop="1">
      <c r="A86" s="36"/>
      <c r="B86" s="37">
        <v>1.2</v>
      </c>
      <c r="C86" s="523">
        <v>2739</v>
      </c>
      <c r="D86" s="523">
        <v>2935</v>
      </c>
      <c r="E86" s="523">
        <v>3522</v>
      </c>
      <c r="F86" s="523">
        <v>4069</v>
      </c>
      <c r="G86" s="523">
        <v>4539</v>
      </c>
      <c r="H86" s="523">
        <v>109560</v>
      </c>
      <c r="I86" s="523">
        <v>125280</v>
      </c>
      <c r="J86" s="523">
        <v>140880</v>
      </c>
      <c r="K86" s="523">
        <v>156480</v>
      </c>
      <c r="L86" s="523">
        <v>169080</v>
      </c>
      <c r="M86" s="523">
        <v>181560</v>
      </c>
      <c r="N86" s="523">
        <v>194040</v>
      </c>
      <c r="O86" s="523">
        <v>206640</v>
      </c>
      <c r="P86" s="39"/>
      <c r="Q86" s="39"/>
    </row>
    <row r="87" spans="1:17">
      <c r="A87" s="38"/>
      <c r="B87" s="778">
        <v>1</v>
      </c>
      <c r="C87" s="775">
        <v>2282</v>
      </c>
      <c r="D87" s="775">
        <v>2446</v>
      </c>
      <c r="E87" s="775">
        <v>2935</v>
      </c>
      <c r="F87" s="775">
        <v>3391</v>
      </c>
      <c r="G87" s="775">
        <v>3782</v>
      </c>
      <c r="H87" s="775">
        <v>91300</v>
      </c>
      <c r="I87" s="775">
        <v>104400</v>
      </c>
      <c r="J87" s="775">
        <v>117400</v>
      </c>
      <c r="K87" s="775">
        <v>130400</v>
      </c>
      <c r="L87" s="775">
        <v>140900</v>
      </c>
      <c r="M87" s="775">
        <v>151300</v>
      </c>
      <c r="N87" s="775">
        <v>161700</v>
      </c>
      <c r="O87" s="775">
        <v>172200</v>
      </c>
      <c r="P87" s="39"/>
      <c r="Q87" s="39"/>
    </row>
    <row r="88" spans="1:17">
      <c r="A88" s="38" t="s">
        <v>1243</v>
      </c>
      <c r="B88" s="778">
        <v>0.8</v>
      </c>
      <c r="C88" s="775">
        <v>1826</v>
      </c>
      <c r="D88" s="775">
        <v>1957</v>
      </c>
      <c r="E88" s="775">
        <v>2348</v>
      </c>
      <c r="F88" s="775">
        <v>2713</v>
      </c>
      <c r="G88" s="775">
        <v>3026</v>
      </c>
      <c r="H88" s="776">
        <v>73040</v>
      </c>
      <c r="I88" s="776">
        <v>83520</v>
      </c>
      <c r="J88" s="776">
        <v>93920</v>
      </c>
      <c r="K88" s="776">
        <v>104320</v>
      </c>
      <c r="L88" s="776">
        <v>112720</v>
      </c>
      <c r="M88" s="776">
        <v>121040</v>
      </c>
      <c r="N88" s="776">
        <v>129360</v>
      </c>
      <c r="O88" s="776">
        <v>137760</v>
      </c>
      <c r="P88" s="39"/>
      <c r="Q88" s="39"/>
    </row>
    <row r="89" spans="1:17">
      <c r="A89" s="38"/>
      <c r="B89" s="778">
        <v>0.7</v>
      </c>
      <c r="C89" s="775">
        <v>1597</v>
      </c>
      <c r="D89" s="775">
        <v>1712</v>
      </c>
      <c r="E89" s="775">
        <v>2054</v>
      </c>
      <c r="F89" s="775">
        <v>2373</v>
      </c>
      <c r="G89" s="775">
        <v>2647</v>
      </c>
      <c r="H89" s="776">
        <v>63909.999999999993</v>
      </c>
      <c r="I89" s="776">
        <v>73080</v>
      </c>
      <c r="J89" s="776">
        <v>82180</v>
      </c>
      <c r="K89" s="776">
        <v>91280</v>
      </c>
      <c r="L89" s="776">
        <v>98630</v>
      </c>
      <c r="M89" s="776">
        <v>105910</v>
      </c>
      <c r="N89" s="776">
        <v>113190</v>
      </c>
      <c r="O89" s="776">
        <v>120539.99999999999</v>
      </c>
      <c r="P89" s="39"/>
      <c r="Q89" s="39"/>
    </row>
    <row r="90" spans="1:17">
      <c r="A90" s="38"/>
      <c r="B90" s="778">
        <v>0.6</v>
      </c>
      <c r="C90" s="775">
        <v>1369</v>
      </c>
      <c r="D90" s="775">
        <v>1467</v>
      </c>
      <c r="E90" s="775">
        <v>1761</v>
      </c>
      <c r="F90" s="775">
        <v>2034</v>
      </c>
      <c r="G90" s="775">
        <v>2269</v>
      </c>
      <c r="H90" s="775">
        <v>54780</v>
      </c>
      <c r="I90" s="775">
        <v>62640</v>
      </c>
      <c r="J90" s="775">
        <v>70440</v>
      </c>
      <c r="K90" s="775">
        <v>78240</v>
      </c>
      <c r="L90" s="775">
        <v>84540</v>
      </c>
      <c r="M90" s="777">
        <v>90780</v>
      </c>
      <c r="N90" s="777">
        <v>97020</v>
      </c>
      <c r="O90" s="777">
        <v>103320</v>
      </c>
      <c r="P90" s="39"/>
      <c r="Q90" s="39"/>
    </row>
    <row r="91" spans="1:17">
      <c r="A91" s="38"/>
      <c r="B91" s="778">
        <v>0.55000000000000004</v>
      </c>
      <c r="C91" s="775">
        <v>1255</v>
      </c>
      <c r="D91" s="775">
        <v>1345</v>
      </c>
      <c r="E91" s="775">
        <v>1614</v>
      </c>
      <c r="F91" s="775">
        <v>1865</v>
      </c>
      <c r="G91" s="775">
        <v>2080</v>
      </c>
      <c r="H91" s="775">
        <v>50215.000000000007</v>
      </c>
      <c r="I91" s="775">
        <v>57420.000000000007</v>
      </c>
      <c r="J91" s="775">
        <v>64570.000000000007</v>
      </c>
      <c r="K91" s="775">
        <v>71720</v>
      </c>
      <c r="L91" s="775">
        <v>77495</v>
      </c>
      <c r="M91" s="775">
        <v>83215</v>
      </c>
      <c r="N91" s="775">
        <v>88935</v>
      </c>
      <c r="O91" s="775">
        <v>94710.000000000015</v>
      </c>
      <c r="P91" s="39"/>
      <c r="Q91" s="39"/>
    </row>
    <row r="92" spans="1:17">
      <c r="A92" s="38"/>
      <c r="B92" s="778">
        <v>0.5</v>
      </c>
      <c r="C92" s="775">
        <v>1141</v>
      </c>
      <c r="D92" s="775">
        <v>1223</v>
      </c>
      <c r="E92" s="775">
        <v>1467</v>
      </c>
      <c r="F92" s="775">
        <v>1695</v>
      </c>
      <c r="G92" s="775">
        <v>1891</v>
      </c>
      <c r="H92" s="776">
        <v>45650</v>
      </c>
      <c r="I92" s="776">
        <v>52200</v>
      </c>
      <c r="J92" s="776">
        <v>58700</v>
      </c>
      <c r="K92" s="776">
        <v>65200</v>
      </c>
      <c r="L92" s="776">
        <v>70450</v>
      </c>
      <c r="M92" s="776">
        <v>75650</v>
      </c>
      <c r="N92" s="776">
        <v>80850</v>
      </c>
      <c r="O92" s="776">
        <v>86100</v>
      </c>
      <c r="P92" s="39"/>
      <c r="Q92" s="39"/>
    </row>
    <row r="93" spans="1:17">
      <c r="A93" s="38"/>
      <c r="B93" s="778">
        <v>0.45</v>
      </c>
      <c r="C93" s="775">
        <v>1027</v>
      </c>
      <c r="D93" s="775">
        <v>1100</v>
      </c>
      <c r="E93" s="775">
        <v>1320</v>
      </c>
      <c r="F93" s="775">
        <v>1526</v>
      </c>
      <c r="G93" s="775">
        <v>1702</v>
      </c>
      <c r="H93" s="775">
        <v>41085</v>
      </c>
      <c r="I93" s="775">
        <v>46980</v>
      </c>
      <c r="J93" s="775">
        <v>52830</v>
      </c>
      <c r="K93" s="775">
        <v>58680</v>
      </c>
      <c r="L93" s="775">
        <v>63405</v>
      </c>
      <c r="M93" s="777">
        <v>68085</v>
      </c>
      <c r="N93" s="777">
        <v>72765</v>
      </c>
      <c r="O93" s="777">
        <v>77490</v>
      </c>
      <c r="P93" s="39"/>
      <c r="Q93" s="39"/>
    </row>
    <row r="94" spans="1:17">
      <c r="A94" s="38"/>
      <c r="B94" s="778">
        <v>0.4</v>
      </c>
      <c r="C94" s="775">
        <v>913</v>
      </c>
      <c r="D94" s="775">
        <v>978</v>
      </c>
      <c r="E94" s="775">
        <v>1174</v>
      </c>
      <c r="F94" s="775">
        <v>1356</v>
      </c>
      <c r="G94" s="775">
        <v>1513</v>
      </c>
      <c r="H94" s="775">
        <v>36520</v>
      </c>
      <c r="I94" s="775">
        <v>41760</v>
      </c>
      <c r="J94" s="775">
        <v>46960</v>
      </c>
      <c r="K94" s="775">
        <v>52160</v>
      </c>
      <c r="L94" s="775">
        <v>56360</v>
      </c>
      <c r="M94" s="777">
        <v>60520</v>
      </c>
      <c r="N94" s="777">
        <v>64680</v>
      </c>
      <c r="O94" s="777">
        <v>68880</v>
      </c>
      <c r="P94" s="39"/>
      <c r="Q94" s="39"/>
    </row>
    <row r="95" spans="1:17">
      <c r="A95" s="38"/>
      <c r="B95" s="519">
        <v>0.3</v>
      </c>
      <c r="C95" s="775">
        <v>684</v>
      </c>
      <c r="D95" s="775">
        <v>733</v>
      </c>
      <c r="E95" s="775">
        <v>880</v>
      </c>
      <c r="F95" s="775">
        <v>1017</v>
      </c>
      <c r="G95" s="775">
        <v>1134</v>
      </c>
      <c r="H95" s="776">
        <v>27390</v>
      </c>
      <c r="I95" s="776">
        <v>31320</v>
      </c>
      <c r="J95" s="776">
        <v>35220</v>
      </c>
      <c r="K95" s="776">
        <v>39120</v>
      </c>
      <c r="L95" s="776">
        <v>42270</v>
      </c>
      <c r="M95" s="776">
        <v>45390</v>
      </c>
      <c r="N95" s="776">
        <v>48510</v>
      </c>
      <c r="O95" s="776">
        <v>51660</v>
      </c>
      <c r="P95" s="39"/>
      <c r="Q95" s="39"/>
    </row>
    <row r="96" spans="1:17" ht="13.5" thickBot="1">
      <c r="A96" s="779"/>
      <c r="B96" s="40">
        <v>0.2</v>
      </c>
      <c r="C96" s="521">
        <v>456</v>
      </c>
      <c r="D96" s="521">
        <v>489</v>
      </c>
      <c r="E96" s="521">
        <v>587</v>
      </c>
      <c r="F96" s="521">
        <v>678</v>
      </c>
      <c r="G96" s="521">
        <v>756</v>
      </c>
      <c r="H96" s="522">
        <v>18260</v>
      </c>
      <c r="I96" s="522">
        <v>20880</v>
      </c>
      <c r="J96" s="522">
        <v>23480</v>
      </c>
      <c r="K96" s="522">
        <v>26080</v>
      </c>
      <c r="L96" s="522">
        <v>28180</v>
      </c>
      <c r="M96" s="522">
        <v>30260</v>
      </c>
      <c r="N96" s="522">
        <v>32340</v>
      </c>
      <c r="O96" s="522">
        <v>34440</v>
      </c>
      <c r="P96" s="41"/>
      <c r="Q96" s="41"/>
    </row>
    <row r="97" spans="1:17" ht="13.5" thickTop="1">
      <c r="A97" s="38"/>
      <c r="B97" s="37">
        <v>1.2</v>
      </c>
      <c r="C97" s="523">
        <v>1980</v>
      </c>
      <c r="D97" s="523">
        <v>2121</v>
      </c>
      <c r="E97" s="523">
        <v>2544</v>
      </c>
      <c r="F97" s="523">
        <v>2940</v>
      </c>
      <c r="G97" s="523">
        <v>3279</v>
      </c>
      <c r="H97" s="523">
        <v>79200</v>
      </c>
      <c r="I97" s="523">
        <v>90480</v>
      </c>
      <c r="J97" s="523">
        <v>101760</v>
      </c>
      <c r="K97" s="523">
        <v>113040</v>
      </c>
      <c r="L97" s="523">
        <v>122160</v>
      </c>
      <c r="M97" s="523">
        <v>131160</v>
      </c>
      <c r="N97" s="523">
        <v>140280</v>
      </c>
      <c r="O97" s="523">
        <v>149280</v>
      </c>
      <c r="P97" s="41"/>
      <c r="Q97" s="41"/>
    </row>
    <row r="98" spans="1:17">
      <c r="A98" s="38"/>
      <c r="B98" s="778">
        <v>1</v>
      </c>
      <c r="C98" s="775">
        <v>1650</v>
      </c>
      <c r="D98" s="775">
        <v>1767</v>
      </c>
      <c r="E98" s="775">
        <v>2120</v>
      </c>
      <c r="F98" s="775">
        <v>2450</v>
      </c>
      <c r="G98" s="775">
        <v>2732</v>
      </c>
      <c r="H98" s="775">
        <v>66000</v>
      </c>
      <c r="I98" s="775">
        <v>75400</v>
      </c>
      <c r="J98" s="775">
        <v>84800</v>
      </c>
      <c r="K98" s="775">
        <v>94200</v>
      </c>
      <c r="L98" s="775">
        <v>101800</v>
      </c>
      <c r="M98" s="775">
        <v>109300</v>
      </c>
      <c r="N98" s="775">
        <v>116900</v>
      </c>
      <c r="O98" s="775">
        <v>124400</v>
      </c>
      <c r="P98" s="41"/>
      <c r="Q98" s="41"/>
    </row>
    <row r="99" spans="1:17">
      <c r="A99" s="38" t="s">
        <v>1244</v>
      </c>
      <c r="B99" s="778">
        <v>0.8</v>
      </c>
      <c r="C99" s="775">
        <v>1320</v>
      </c>
      <c r="D99" s="775">
        <v>1414</v>
      </c>
      <c r="E99" s="775">
        <v>1696</v>
      </c>
      <c r="F99" s="775">
        <v>1960</v>
      </c>
      <c r="G99" s="775">
        <v>2186</v>
      </c>
      <c r="H99" s="776">
        <v>52800</v>
      </c>
      <c r="I99" s="776">
        <v>60320</v>
      </c>
      <c r="J99" s="776">
        <v>67840</v>
      </c>
      <c r="K99" s="776">
        <v>75360</v>
      </c>
      <c r="L99" s="776">
        <v>81440</v>
      </c>
      <c r="M99" s="776">
        <v>87440</v>
      </c>
      <c r="N99" s="776">
        <v>93520</v>
      </c>
      <c r="O99" s="776">
        <v>99520</v>
      </c>
      <c r="P99" s="41"/>
      <c r="Q99" s="41"/>
    </row>
    <row r="100" spans="1:17">
      <c r="A100" s="38"/>
      <c r="B100" s="778">
        <v>0.7</v>
      </c>
      <c r="C100" s="775">
        <v>1155</v>
      </c>
      <c r="D100" s="775">
        <v>1237</v>
      </c>
      <c r="E100" s="775">
        <v>1484</v>
      </c>
      <c r="F100" s="775">
        <v>1715</v>
      </c>
      <c r="G100" s="775">
        <v>1912</v>
      </c>
      <c r="H100" s="776">
        <v>46200</v>
      </c>
      <c r="I100" s="776">
        <v>52780</v>
      </c>
      <c r="J100" s="776">
        <v>59359.999999999993</v>
      </c>
      <c r="K100" s="776">
        <v>65940</v>
      </c>
      <c r="L100" s="776">
        <v>71260</v>
      </c>
      <c r="M100" s="776">
        <v>76510</v>
      </c>
      <c r="N100" s="776">
        <v>81830</v>
      </c>
      <c r="O100" s="776">
        <v>87080</v>
      </c>
      <c r="P100" s="41"/>
      <c r="Q100" s="41"/>
    </row>
    <row r="101" spans="1:17">
      <c r="A101" s="38"/>
      <c r="B101" s="778">
        <v>0.6</v>
      </c>
      <c r="C101" s="775">
        <v>990</v>
      </c>
      <c r="D101" s="775">
        <v>1060</v>
      </c>
      <c r="E101" s="775">
        <v>1272</v>
      </c>
      <c r="F101" s="775">
        <v>1470</v>
      </c>
      <c r="G101" s="775">
        <v>1639</v>
      </c>
      <c r="H101" s="775">
        <v>39600</v>
      </c>
      <c r="I101" s="775">
        <v>45240</v>
      </c>
      <c r="J101" s="775">
        <v>50880</v>
      </c>
      <c r="K101" s="775">
        <v>56520</v>
      </c>
      <c r="L101" s="775">
        <v>61080</v>
      </c>
      <c r="M101" s="777">
        <v>65580</v>
      </c>
      <c r="N101" s="777">
        <v>70140</v>
      </c>
      <c r="O101" s="777">
        <v>74640</v>
      </c>
      <c r="P101" s="41"/>
      <c r="Q101" s="41"/>
    </row>
    <row r="102" spans="1:17">
      <c r="A102" s="38"/>
      <c r="B102" s="778">
        <v>0.55000000000000004</v>
      </c>
      <c r="C102" s="775">
        <v>907</v>
      </c>
      <c r="D102" s="775">
        <v>972</v>
      </c>
      <c r="E102" s="775">
        <v>1166</v>
      </c>
      <c r="F102" s="775">
        <v>1347</v>
      </c>
      <c r="G102" s="775">
        <v>1502</v>
      </c>
      <c r="H102" s="775">
        <v>36300</v>
      </c>
      <c r="I102" s="775">
        <v>41470</v>
      </c>
      <c r="J102" s="775">
        <v>46640.000000000007</v>
      </c>
      <c r="K102" s="775">
        <v>51810.000000000007</v>
      </c>
      <c r="L102" s="775">
        <v>55990.000000000007</v>
      </c>
      <c r="M102" s="775">
        <v>60115.000000000007</v>
      </c>
      <c r="N102" s="775">
        <v>64295.000000000007</v>
      </c>
      <c r="O102" s="775">
        <v>68420</v>
      </c>
      <c r="P102" s="41"/>
      <c r="Q102" s="41"/>
    </row>
    <row r="103" spans="1:17">
      <c r="A103" s="38"/>
      <c r="B103" s="778">
        <v>0.5</v>
      </c>
      <c r="C103" s="775">
        <v>825</v>
      </c>
      <c r="D103" s="775">
        <v>883</v>
      </c>
      <c r="E103" s="775">
        <v>1060</v>
      </c>
      <c r="F103" s="775">
        <v>1225</v>
      </c>
      <c r="G103" s="775">
        <v>1366</v>
      </c>
      <c r="H103" s="776">
        <v>33000</v>
      </c>
      <c r="I103" s="776">
        <v>37700</v>
      </c>
      <c r="J103" s="776">
        <v>42400</v>
      </c>
      <c r="K103" s="776">
        <v>47100</v>
      </c>
      <c r="L103" s="776">
        <v>50900</v>
      </c>
      <c r="M103" s="776">
        <v>54650</v>
      </c>
      <c r="N103" s="776">
        <v>58450</v>
      </c>
      <c r="O103" s="776">
        <v>62200</v>
      </c>
      <c r="P103" s="41"/>
      <c r="Q103" s="41"/>
    </row>
    <row r="104" spans="1:17">
      <c r="A104" s="38"/>
      <c r="B104" s="778">
        <v>0.45</v>
      </c>
      <c r="C104" s="775">
        <v>742</v>
      </c>
      <c r="D104" s="775">
        <v>795</v>
      </c>
      <c r="E104" s="775">
        <v>954</v>
      </c>
      <c r="F104" s="775">
        <v>1102</v>
      </c>
      <c r="G104" s="775">
        <v>1229</v>
      </c>
      <c r="H104" s="775">
        <v>29700</v>
      </c>
      <c r="I104" s="775">
        <v>33930</v>
      </c>
      <c r="J104" s="775">
        <v>38160</v>
      </c>
      <c r="K104" s="775">
        <v>42390</v>
      </c>
      <c r="L104" s="775">
        <v>45810</v>
      </c>
      <c r="M104" s="777">
        <v>49185</v>
      </c>
      <c r="N104" s="777">
        <v>52605</v>
      </c>
      <c r="O104" s="777">
        <v>55980</v>
      </c>
      <c r="P104" s="41"/>
      <c r="Q104" s="41"/>
    </row>
    <row r="105" spans="1:17">
      <c r="A105" s="38"/>
      <c r="B105" s="778">
        <v>0.4</v>
      </c>
      <c r="C105" s="775">
        <v>660</v>
      </c>
      <c r="D105" s="775">
        <v>707</v>
      </c>
      <c r="E105" s="775">
        <v>848</v>
      </c>
      <c r="F105" s="775">
        <v>980</v>
      </c>
      <c r="G105" s="775">
        <v>1093</v>
      </c>
      <c r="H105" s="775">
        <v>26400</v>
      </c>
      <c r="I105" s="775">
        <v>30160</v>
      </c>
      <c r="J105" s="775">
        <v>33920</v>
      </c>
      <c r="K105" s="775">
        <v>37680</v>
      </c>
      <c r="L105" s="775">
        <v>40720</v>
      </c>
      <c r="M105" s="777">
        <v>43720</v>
      </c>
      <c r="N105" s="777">
        <v>46760</v>
      </c>
      <c r="O105" s="777">
        <v>49760</v>
      </c>
      <c r="P105" s="41"/>
      <c r="Q105" s="41"/>
    </row>
    <row r="106" spans="1:17">
      <c r="A106" s="38"/>
      <c r="B106" s="519">
        <v>0.3</v>
      </c>
      <c r="C106" s="775">
        <v>495</v>
      </c>
      <c r="D106" s="775">
        <v>530</v>
      </c>
      <c r="E106" s="775">
        <v>636</v>
      </c>
      <c r="F106" s="775">
        <v>735</v>
      </c>
      <c r="G106" s="775">
        <v>819</v>
      </c>
      <c r="H106" s="776">
        <v>19800</v>
      </c>
      <c r="I106" s="776">
        <v>22620</v>
      </c>
      <c r="J106" s="776">
        <v>25440</v>
      </c>
      <c r="K106" s="776">
        <v>28260</v>
      </c>
      <c r="L106" s="776">
        <v>30540</v>
      </c>
      <c r="M106" s="776">
        <v>32790</v>
      </c>
      <c r="N106" s="776">
        <v>35070</v>
      </c>
      <c r="O106" s="776">
        <v>37320</v>
      </c>
      <c r="P106" s="41"/>
      <c r="Q106" s="41"/>
    </row>
    <row r="107" spans="1:17" ht="13.5" thickBot="1">
      <c r="A107" s="38"/>
      <c r="B107" s="40">
        <v>0.2</v>
      </c>
      <c r="C107" s="521">
        <v>330</v>
      </c>
      <c r="D107" s="521">
        <v>353</v>
      </c>
      <c r="E107" s="521">
        <v>424</v>
      </c>
      <c r="F107" s="521">
        <v>490</v>
      </c>
      <c r="G107" s="521">
        <v>546</v>
      </c>
      <c r="H107" s="522">
        <v>13200</v>
      </c>
      <c r="I107" s="522">
        <v>15080</v>
      </c>
      <c r="J107" s="522">
        <v>16960</v>
      </c>
      <c r="K107" s="522">
        <v>18840</v>
      </c>
      <c r="L107" s="522">
        <v>20360</v>
      </c>
      <c r="M107" s="522">
        <v>21860</v>
      </c>
      <c r="N107" s="522">
        <v>23380</v>
      </c>
      <c r="O107" s="522">
        <v>24880</v>
      </c>
      <c r="P107" s="41"/>
      <c r="Q107" s="41"/>
    </row>
    <row r="108" spans="1:17" ht="13.5" thickTop="1">
      <c r="A108" s="36"/>
      <c r="B108" s="37">
        <v>1.2</v>
      </c>
      <c r="C108" s="523">
        <v>1980</v>
      </c>
      <c r="D108" s="523">
        <v>2121</v>
      </c>
      <c r="E108" s="523">
        <v>2544</v>
      </c>
      <c r="F108" s="523">
        <v>2940</v>
      </c>
      <c r="G108" s="523">
        <v>3279</v>
      </c>
      <c r="H108" s="523">
        <v>79200</v>
      </c>
      <c r="I108" s="523">
        <v>90480</v>
      </c>
      <c r="J108" s="523">
        <v>101760</v>
      </c>
      <c r="K108" s="523">
        <v>113040</v>
      </c>
      <c r="L108" s="523">
        <v>122160</v>
      </c>
      <c r="M108" s="523">
        <v>131160</v>
      </c>
      <c r="N108" s="523">
        <v>140280</v>
      </c>
      <c r="O108" s="523">
        <v>149280</v>
      </c>
      <c r="P108" s="39"/>
      <c r="Q108" s="39"/>
    </row>
    <row r="109" spans="1:17">
      <c r="A109" s="38"/>
      <c r="B109" s="778">
        <v>1</v>
      </c>
      <c r="C109" s="775">
        <v>1650</v>
      </c>
      <c r="D109" s="775">
        <v>1767</v>
      </c>
      <c r="E109" s="775">
        <v>2120</v>
      </c>
      <c r="F109" s="775">
        <v>2450</v>
      </c>
      <c r="G109" s="775">
        <v>2732</v>
      </c>
      <c r="H109" s="775">
        <v>66000</v>
      </c>
      <c r="I109" s="775">
        <v>75400</v>
      </c>
      <c r="J109" s="775">
        <v>84800</v>
      </c>
      <c r="K109" s="775">
        <v>94200</v>
      </c>
      <c r="L109" s="775">
        <v>101800</v>
      </c>
      <c r="M109" s="775">
        <v>109300</v>
      </c>
      <c r="N109" s="775">
        <v>116900</v>
      </c>
      <c r="O109" s="775">
        <v>124400</v>
      </c>
      <c r="P109" s="39"/>
      <c r="Q109" s="39"/>
    </row>
    <row r="110" spans="1:17">
      <c r="A110" s="38" t="s">
        <v>1245</v>
      </c>
      <c r="B110" s="778">
        <v>0.8</v>
      </c>
      <c r="C110" s="775">
        <v>1320</v>
      </c>
      <c r="D110" s="775">
        <v>1414</v>
      </c>
      <c r="E110" s="775">
        <v>1696</v>
      </c>
      <c r="F110" s="775">
        <v>1960</v>
      </c>
      <c r="G110" s="775">
        <v>2186</v>
      </c>
      <c r="H110" s="776">
        <v>52800</v>
      </c>
      <c r="I110" s="776">
        <v>60320</v>
      </c>
      <c r="J110" s="776">
        <v>67840</v>
      </c>
      <c r="K110" s="776">
        <v>75360</v>
      </c>
      <c r="L110" s="776">
        <v>81440</v>
      </c>
      <c r="M110" s="776">
        <v>87440</v>
      </c>
      <c r="N110" s="776">
        <v>93520</v>
      </c>
      <c r="O110" s="776">
        <v>99520</v>
      </c>
      <c r="P110" s="39"/>
      <c r="Q110" s="39"/>
    </row>
    <row r="111" spans="1:17">
      <c r="A111" s="38"/>
      <c r="B111" s="778">
        <v>0.7</v>
      </c>
      <c r="C111" s="775">
        <v>1155</v>
      </c>
      <c r="D111" s="775">
        <v>1237</v>
      </c>
      <c r="E111" s="775">
        <v>1484</v>
      </c>
      <c r="F111" s="775">
        <v>1715</v>
      </c>
      <c r="G111" s="775">
        <v>1912</v>
      </c>
      <c r="H111" s="776">
        <v>46200</v>
      </c>
      <c r="I111" s="776">
        <v>52780</v>
      </c>
      <c r="J111" s="776">
        <v>59359.999999999993</v>
      </c>
      <c r="K111" s="776">
        <v>65940</v>
      </c>
      <c r="L111" s="776">
        <v>71260</v>
      </c>
      <c r="M111" s="776">
        <v>76510</v>
      </c>
      <c r="N111" s="776">
        <v>81830</v>
      </c>
      <c r="O111" s="776">
        <v>87080</v>
      </c>
      <c r="P111" s="39"/>
      <c r="Q111" s="39"/>
    </row>
    <row r="112" spans="1:17">
      <c r="A112" s="38"/>
      <c r="B112" s="778">
        <v>0.6</v>
      </c>
      <c r="C112" s="775">
        <v>990</v>
      </c>
      <c r="D112" s="775">
        <v>1060</v>
      </c>
      <c r="E112" s="775">
        <v>1272</v>
      </c>
      <c r="F112" s="775">
        <v>1470</v>
      </c>
      <c r="G112" s="775">
        <v>1639</v>
      </c>
      <c r="H112" s="775">
        <v>39600</v>
      </c>
      <c r="I112" s="775">
        <v>45240</v>
      </c>
      <c r="J112" s="775">
        <v>50880</v>
      </c>
      <c r="K112" s="775">
        <v>56520</v>
      </c>
      <c r="L112" s="775">
        <v>61080</v>
      </c>
      <c r="M112" s="777">
        <v>65580</v>
      </c>
      <c r="N112" s="777">
        <v>70140</v>
      </c>
      <c r="O112" s="777">
        <v>74640</v>
      </c>
      <c r="P112" s="39"/>
      <c r="Q112" s="39"/>
    </row>
    <row r="113" spans="1:17">
      <c r="A113" s="38"/>
      <c r="B113" s="778">
        <v>0.55000000000000004</v>
      </c>
      <c r="C113" s="775">
        <v>907</v>
      </c>
      <c r="D113" s="775">
        <v>972</v>
      </c>
      <c r="E113" s="775">
        <v>1166</v>
      </c>
      <c r="F113" s="775">
        <v>1347</v>
      </c>
      <c r="G113" s="775">
        <v>1502</v>
      </c>
      <c r="H113" s="775">
        <v>36300</v>
      </c>
      <c r="I113" s="775">
        <v>41470</v>
      </c>
      <c r="J113" s="775">
        <v>46640.000000000007</v>
      </c>
      <c r="K113" s="775">
        <v>51810.000000000007</v>
      </c>
      <c r="L113" s="775">
        <v>55990.000000000007</v>
      </c>
      <c r="M113" s="775">
        <v>60115.000000000007</v>
      </c>
      <c r="N113" s="775">
        <v>64295.000000000007</v>
      </c>
      <c r="O113" s="775">
        <v>68420</v>
      </c>
      <c r="P113" s="39"/>
      <c r="Q113" s="39"/>
    </row>
    <row r="114" spans="1:17">
      <c r="A114" s="38"/>
      <c r="B114" s="778">
        <v>0.5</v>
      </c>
      <c r="C114" s="775">
        <v>825</v>
      </c>
      <c r="D114" s="775">
        <v>883</v>
      </c>
      <c r="E114" s="775">
        <v>1060</v>
      </c>
      <c r="F114" s="775">
        <v>1225</v>
      </c>
      <c r="G114" s="775">
        <v>1366</v>
      </c>
      <c r="H114" s="776">
        <v>33000</v>
      </c>
      <c r="I114" s="776">
        <v>37700</v>
      </c>
      <c r="J114" s="776">
        <v>42400</v>
      </c>
      <c r="K114" s="776">
        <v>47100</v>
      </c>
      <c r="L114" s="776">
        <v>50900</v>
      </c>
      <c r="M114" s="776">
        <v>54650</v>
      </c>
      <c r="N114" s="776">
        <v>58450</v>
      </c>
      <c r="O114" s="776">
        <v>62200</v>
      </c>
      <c r="P114" s="39"/>
      <c r="Q114" s="39"/>
    </row>
    <row r="115" spans="1:17">
      <c r="A115" s="38"/>
      <c r="B115" s="778">
        <v>0.45</v>
      </c>
      <c r="C115" s="775">
        <v>742</v>
      </c>
      <c r="D115" s="775">
        <v>795</v>
      </c>
      <c r="E115" s="775">
        <v>954</v>
      </c>
      <c r="F115" s="775">
        <v>1102</v>
      </c>
      <c r="G115" s="775">
        <v>1229</v>
      </c>
      <c r="H115" s="775">
        <v>29700</v>
      </c>
      <c r="I115" s="775">
        <v>33930</v>
      </c>
      <c r="J115" s="775">
        <v>38160</v>
      </c>
      <c r="K115" s="775">
        <v>42390</v>
      </c>
      <c r="L115" s="775">
        <v>45810</v>
      </c>
      <c r="M115" s="777">
        <v>49185</v>
      </c>
      <c r="N115" s="777">
        <v>52605</v>
      </c>
      <c r="O115" s="777">
        <v>55980</v>
      </c>
      <c r="P115" s="39"/>
      <c r="Q115" s="39"/>
    </row>
    <row r="116" spans="1:17">
      <c r="A116" s="38"/>
      <c r="B116" s="778">
        <v>0.4</v>
      </c>
      <c r="C116" s="775">
        <v>660</v>
      </c>
      <c r="D116" s="775">
        <v>707</v>
      </c>
      <c r="E116" s="775">
        <v>848</v>
      </c>
      <c r="F116" s="775">
        <v>980</v>
      </c>
      <c r="G116" s="775">
        <v>1093</v>
      </c>
      <c r="H116" s="775">
        <v>26400</v>
      </c>
      <c r="I116" s="775">
        <v>30160</v>
      </c>
      <c r="J116" s="775">
        <v>33920</v>
      </c>
      <c r="K116" s="775">
        <v>37680</v>
      </c>
      <c r="L116" s="775">
        <v>40720</v>
      </c>
      <c r="M116" s="777">
        <v>43720</v>
      </c>
      <c r="N116" s="777">
        <v>46760</v>
      </c>
      <c r="O116" s="777">
        <v>49760</v>
      </c>
      <c r="P116" s="39"/>
      <c r="Q116" s="39"/>
    </row>
    <row r="117" spans="1:17">
      <c r="A117" s="38"/>
      <c r="B117" s="519">
        <v>0.3</v>
      </c>
      <c r="C117" s="775">
        <v>495</v>
      </c>
      <c r="D117" s="775">
        <v>530</v>
      </c>
      <c r="E117" s="775">
        <v>636</v>
      </c>
      <c r="F117" s="775">
        <v>735</v>
      </c>
      <c r="G117" s="775">
        <v>819</v>
      </c>
      <c r="H117" s="776">
        <v>19800</v>
      </c>
      <c r="I117" s="776">
        <v>22620</v>
      </c>
      <c r="J117" s="776">
        <v>25440</v>
      </c>
      <c r="K117" s="776">
        <v>28260</v>
      </c>
      <c r="L117" s="776">
        <v>30540</v>
      </c>
      <c r="M117" s="776">
        <v>32790</v>
      </c>
      <c r="N117" s="776">
        <v>35070</v>
      </c>
      <c r="O117" s="776">
        <v>37320</v>
      </c>
      <c r="P117" s="39"/>
      <c r="Q117" s="39"/>
    </row>
    <row r="118" spans="1:17" ht="13.5" thickBot="1">
      <c r="A118" s="779"/>
      <c r="B118" s="40">
        <v>0.2</v>
      </c>
      <c r="C118" s="521">
        <v>330</v>
      </c>
      <c r="D118" s="521">
        <v>353</v>
      </c>
      <c r="E118" s="521">
        <v>424</v>
      </c>
      <c r="F118" s="521">
        <v>490</v>
      </c>
      <c r="G118" s="521">
        <v>546</v>
      </c>
      <c r="H118" s="522">
        <v>13200</v>
      </c>
      <c r="I118" s="522">
        <v>15080</v>
      </c>
      <c r="J118" s="522">
        <v>16960</v>
      </c>
      <c r="K118" s="522">
        <v>18840</v>
      </c>
      <c r="L118" s="522">
        <v>20360</v>
      </c>
      <c r="M118" s="522">
        <v>21860</v>
      </c>
      <c r="N118" s="522">
        <v>23380</v>
      </c>
      <c r="O118" s="522">
        <v>24880</v>
      </c>
      <c r="P118" s="41"/>
      <c r="Q118" s="41"/>
    </row>
    <row r="119" spans="1:17" ht="13.5" thickTop="1">
      <c r="A119" s="36"/>
      <c r="B119" s="37">
        <v>1.2</v>
      </c>
      <c r="C119" s="523">
        <v>2739</v>
      </c>
      <c r="D119" s="523">
        <v>2935</v>
      </c>
      <c r="E119" s="523">
        <v>3522</v>
      </c>
      <c r="F119" s="523">
        <v>4069</v>
      </c>
      <c r="G119" s="523">
        <v>4539</v>
      </c>
      <c r="H119" s="523">
        <v>109560</v>
      </c>
      <c r="I119" s="523">
        <v>125280</v>
      </c>
      <c r="J119" s="523">
        <v>140880</v>
      </c>
      <c r="K119" s="523">
        <v>156480</v>
      </c>
      <c r="L119" s="523">
        <v>169080</v>
      </c>
      <c r="M119" s="523">
        <v>181560</v>
      </c>
      <c r="N119" s="523">
        <v>194040</v>
      </c>
      <c r="O119" s="523">
        <v>206640</v>
      </c>
      <c r="P119" s="39"/>
      <c r="Q119" s="39"/>
    </row>
    <row r="120" spans="1:17">
      <c r="A120" s="38"/>
      <c r="B120" s="778">
        <v>1</v>
      </c>
      <c r="C120" s="775">
        <v>2282</v>
      </c>
      <c r="D120" s="775">
        <v>2446</v>
      </c>
      <c r="E120" s="775">
        <v>2935</v>
      </c>
      <c r="F120" s="775">
        <v>3391</v>
      </c>
      <c r="G120" s="775">
        <v>3782</v>
      </c>
      <c r="H120" s="775">
        <v>91300</v>
      </c>
      <c r="I120" s="775">
        <v>104400</v>
      </c>
      <c r="J120" s="775">
        <v>117400</v>
      </c>
      <c r="K120" s="775">
        <v>130400</v>
      </c>
      <c r="L120" s="775">
        <v>140900</v>
      </c>
      <c r="M120" s="775">
        <v>151300</v>
      </c>
      <c r="N120" s="775">
        <v>161700</v>
      </c>
      <c r="O120" s="775">
        <v>172200</v>
      </c>
      <c r="P120" s="39"/>
      <c r="Q120" s="39"/>
    </row>
    <row r="121" spans="1:17">
      <c r="A121" s="38" t="s">
        <v>1246</v>
      </c>
      <c r="B121" s="778">
        <v>0.8</v>
      </c>
      <c r="C121" s="775">
        <v>1826</v>
      </c>
      <c r="D121" s="775">
        <v>1957</v>
      </c>
      <c r="E121" s="775">
        <v>2348</v>
      </c>
      <c r="F121" s="775">
        <v>2713</v>
      </c>
      <c r="G121" s="775">
        <v>3026</v>
      </c>
      <c r="H121" s="776">
        <v>73040</v>
      </c>
      <c r="I121" s="776">
        <v>83520</v>
      </c>
      <c r="J121" s="776">
        <v>93920</v>
      </c>
      <c r="K121" s="776">
        <v>104320</v>
      </c>
      <c r="L121" s="776">
        <v>112720</v>
      </c>
      <c r="M121" s="776">
        <v>121040</v>
      </c>
      <c r="N121" s="776">
        <v>129360</v>
      </c>
      <c r="O121" s="776">
        <v>137760</v>
      </c>
      <c r="P121" s="39"/>
      <c r="Q121" s="39"/>
    </row>
    <row r="122" spans="1:17">
      <c r="A122" s="38"/>
      <c r="B122" s="778">
        <v>0.7</v>
      </c>
      <c r="C122" s="775">
        <v>1597</v>
      </c>
      <c r="D122" s="775">
        <v>1712</v>
      </c>
      <c r="E122" s="775">
        <v>2054</v>
      </c>
      <c r="F122" s="775">
        <v>2373</v>
      </c>
      <c r="G122" s="775">
        <v>2647</v>
      </c>
      <c r="H122" s="776">
        <v>63909.999999999993</v>
      </c>
      <c r="I122" s="776">
        <v>73080</v>
      </c>
      <c r="J122" s="776">
        <v>82180</v>
      </c>
      <c r="K122" s="776">
        <v>91280</v>
      </c>
      <c r="L122" s="776">
        <v>98630</v>
      </c>
      <c r="M122" s="776">
        <v>105910</v>
      </c>
      <c r="N122" s="776">
        <v>113190</v>
      </c>
      <c r="O122" s="776">
        <v>120539.99999999999</v>
      </c>
      <c r="P122" s="39"/>
      <c r="Q122" s="39"/>
    </row>
    <row r="123" spans="1:17">
      <c r="A123" s="38"/>
      <c r="B123" s="778">
        <v>0.6</v>
      </c>
      <c r="C123" s="775">
        <v>1369</v>
      </c>
      <c r="D123" s="775">
        <v>1467</v>
      </c>
      <c r="E123" s="775">
        <v>1761</v>
      </c>
      <c r="F123" s="775">
        <v>2034</v>
      </c>
      <c r="G123" s="775">
        <v>2269</v>
      </c>
      <c r="H123" s="775">
        <v>54780</v>
      </c>
      <c r="I123" s="775">
        <v>62640</v>
      </c>
      <c r="J123" s="775">
        <v>70440</v>
      </c>
      <c r="K123" s="775">
        <v>78240</v>
      </c>
      <c r="L123" s="775">
        <v>84540</v>
      </c>
      <c r="M123" s="777">
        <v>90780</v>
      </c>
      <c r="N123" s="777">
        <v>97020</v>
      </c>
      <c r="O123" s="777">
        <v>103320</v>
      </c>
      <c r="P123" s="39"/>
      <c r="Q123" s="39"/>
    </row>
    <row r="124" spans="1:17">
      <c r="A124" s="38"/>
      <c r="B124" s="778">
        <v>0.55000000000000004</v>
      </c>
      <c r="C124" s="775">
        <v>1255</v>
      </c>
      <c r="D124" s="775">
        <v>1345</v>
      </c>
      <c r="E124" s="775">
        <v>1614</v>
      </c>
      <c r="F124" s="775">
        <v>1865</v>
      </c>
      <c r="G124" s="775">
        <v>2080</v>
      </c>
      <c r="H124" s="775">
        <v>50215.000000000007</v>
      </c>
      <c r="I124" s="775">
        <v>57420.000000000007</v>
      </c>
      <c r="J124" s="775">
        <v>64570.000000000007</v>
      </c>
      <c r="K124" s="775">
        <v>71720</v>
      </c>
      <c r="L124" s="775">
        <v>77495</v>
      </c>
      <c r="M124" s="775">
        <v>83215</v>
      </c>
      <c r="N124" s="775">
        <v>88935</v>
      </c>
      <c r="O124" s="775">
        <v>94710.000000000015</v>
      </c>
      <c r="P124" s="39"/>
      <c r="Q124" s="39"/>
    </row>
    <row r="125" spans="1:17">
      <c r="A125" s="38"/>
      <c r="B125" s="778">
        <v>0.5</v>
      </c>
      <c r="C125" s="775">
        <v>1141</v>
      </c>
      <c r="D125" s="775">
        <v>1223</v>
      </c>
      <c r="E125" s="775">
        <v>1467</v>
      </c>
      <c r="F125" s="775">
        <v>1695</v>
      </c>
      <c r="G125" s="775">
        <v>1891</v>
      </c>
      <c r="H125" s="776">
        <v>45650</v>
      </c>
      <c r="I125" s="776">
        <v>52200</v>
      </c>
      <c r="J125" s="776">
        <v>58700</v>
      </c>
      <c r="K125" s="776">
        <v>65200</v>
      </c>
      <c r="L125" s="776">
        <v>70450</v>
      </c>
      <c r="M125" s="776">
        <v>75650</v>
      </c>
      <c r="N125" s="776">
        <v>80850</v>
      </c>
      <c r="O125" s="776">
        <v>86100</v>
      </c>
      <c r="P125" s="39"/>
      <c r="Q125" s="39"/>
    </row>
    <row r="126" spans="1:17">
      <c r="A126" s="38"/>
      <c r="B126" s="778">
        <v>0.45</v>
      </c>
      <c r="C126" s="775">
        <v>1027</v>
      </c>
      <c r="D126" s="775">
        <v>1100</v>
      </c>
      <c r="E126" s="775">
        <v>1320</v>
      </c>
      <c r="F126" s="775">
        <v>1526</v>
      </c>
      <c r="G126" s="775">
        <v>1702</v>
      </c>
      <c r="H126" s="775">
        <v>41085</v>
      </c>
      <c r="I126" s="775">
        <v>46980</v>
      </c>
      <c r="J126" s="775">
        <v>52830</v>
      </c>
      <c r="K126" s="775">
        <v>58680</v>
      </c>
      <c r="L126" s="775">
        <v>63405</v>
      </c>
      <c r="M126" s="777">
        <v>68085</v>
      </c>
      <c r="N126" s="777">
        <v>72765</v>
      </c>
      <c r="O126" s="777">
        <v>77490</v>
      </c>
      <c r="P126" s="39"/>
      <c r="Q126" s="39"/>
    </row>
    <row r="127" spans="1:17">
      <c r="A127" s="38"/>
      <c r="B127" s="778">
        <v>0.4</v>
      </c>
      <c r="C127" s="775">
        <v>913</v>
      </c>
      <c r="D127" s="775">
        <v>978</v>
      </c>
      <c r="E127" s="775">
        <v>1174</v>
      </c>
      <c r="F127" s="775">
        <v>1356</v>
      </c>
      <c r="G127" s="775">
        <v>1513</v>
      </c>
      <c r="H127" s="775">
        <v>36520</v>
      </c>
      <c r="I127" s="775">
        <v>41760</v>
      </c>
      <c r="J127" s="775">
        <v>46960</v>
      </c>
      <c r="K127" s="775">
        <v>52160</v>
      </c>
      <c r="L127" s="775">
        <v>56360</v>
      </c>
      <c r="M127" s="777">
        <v>60520</v>
      </c>
      <c r="N127" s="777">
        <v>64680</v>
      </c>
      <c r="O127" s="777">
        <v>68880</v>
      </c>
      <c r="P127" s="39"/>
      <c r="Q127" s="39"/>
    </row>
    <row r="128" spans="1:17">
      <c r="A128" s="38"/>
      <c r="B128" s="519">
        <v>0.3</v>
      </c>
      <c r="C128" s="775">
        <v>684</v>
      </c>
      <c r="D128" s="775">
        <v>733</v>
      </c>
      <c r="E128" s="775">
        <v>880</v>
      </c>
      <c r="F128" s="775">
        <v>1017</v>
      </c>
      <c r="G128" s="775">
        <v>1134</v>
      </c>
      <c r="H128" s="776">
        <v>27390</v>
      </c>
      <c r="I128" s="776">
        <v>31320</v>
      </c>
      <c r="J128" s="776">
        <v>35220</v>
      </c>
      <c r="K128" s="776">
        <v>39120</v>
      </c>
      <c r="L128" s="776">
        <v>42270</v>
      </c>
      <c r="M128" s="776">
        <v>45390</v>
      </c>
      <c r="N128" s="776">
        <v>48510</v>
      </c>
      <c r="O128" s="776">
        <v>51660</v>
      </c>
      <c r="P128" s="39"/>
      <c r="Q128" s="39"/>
    </row>
    <row r="129" spans="1:17" ht="13.5" thickBot="1">
      <c r="A129" s="779"/>
      <c r="B129" s="40">
        <v>0.2</v>
      </c>
      <c r="C129" s="521">
        <v>456</v>
      </c>
      <c r="D129" s="521">
        <v>489</v>
      </c>
      <c r="E129" s="521">
        <v>587</v>
      </c>
      <c r="F129" s="521">
        <v>678</v>
      </c>
      <c r="G129" s="521">
        <v>756</v>
      </c>
      <c r="H129" s="522">
        <v>18260</v>
      </c>
      <c r="I129" s="522">
        <v>20880</v>
      </c>
      <c r="J129" s="522">
        <v>23480</v>
      </c>
      <c r="K129" s="522">
        <v>26080</v>
      </c>
      <c r="L129" s="522">
        <v>28180</v>
      </c>
      <c r="M129" s="522">
        <v>30260</v>
      </c>
      <c r="N129" s="522">
        <v>32340</v>
      </c>
      <c r="O129" s="522">
        <v>34440</v>
      </c>
      <c r="P129" s="41"/>
      <c r="Q129" s="41"/>
    </row>
    <row r="130" spans="1:17" ht="13.5" thickTop="1">
      <c r="A130" s="36"/>
      <c r="B130" s="37">
        <v>1.2</v>
      </c>
      <c r="C130" s="523">
        <v>1980</v>
      </c>
      <c r="D130" s="523">
        <v>2121</v>
      </c>
      <c r="E130" s="523">
        <v>2544</v>
      </c>
      <c r="F130" s="523">
        <v>2940</v>
      </c>
      <c r="G130" s="523">
        <v>3279</v>
      </c>
      <c r="H130" s="523">
        <v>79200</v>
      </c>
      <c r="I130" s="523">
        <v>90480</v>
      </c>
      <c r="J130" s="523">
        <v>101760</v>
      </c>
      <c r="K130" s="523">
        <v>113040</v>
      </c>
      <c r="L130" s="523">
        <v>122160</v>
      </c>
      <c r="M130" s="523">
        <v>131160</v>
      </c>
      <c r="N130" s="523">
        <v>140280</v>
      </c>
      <c r="O130" s="523">
        <v>149280</v>
      </c>
      <c r="P130" s="41"/>
      <c r="Q130" s="41"/>
    </row>
    <row r="131" spans="1:17">
      <c r="A131" s="38"/>
      <c r="B131" s="778">
        <v>1</v>
      </c>
      <c r="C131" s="775">
        <v>1650</v>
      </c>
      <c r="D131" s="775">
        <v>1767</v>
      </c>
      <c r="E131" s="775">
        <v>2120</v>
      </c>
      <c r="F131" s="775">
        <v>2450</v>
      </c>
      <c r="G131" s="775">
        <v>2732</v>
      </c>
      <c r="H131" s="775">
        <v>66000</v>
      </c>
      <c r="I131" s="775">
        <v>75400</v>
      </c>
      <c r="J131" s="775">
        <v>84800</v>
      </c>
      <c r="K131" s="775">
        <v>94200</v>
      </c>
      <c r="L131" s="775">
        <v>101800</v>
      </c>
      <c r="M131" s="775">
        <v>109300</v>
      </c>
      <c r="N131" s="775">
        <v>116900</v>
      </c>
      <c r="O131" s="775">
        <v>124400</v>
      </c>
      <c r="P131" s="41"/>
      <c r="Q131" s="41"/>
    </row>
    <row r="132" spans="1:17">
      <c r="A132" s="38" t="s">
        <v>1247</v>
      </c>
      <c r="B132" s="778">
        <v>0.8</v>
      </c>
      <c r="C132" s="775">
        <v>1320</v>
      </c>
      <c r="D132" s="775">
        <v>1414</v>
      </c>
      <c r="E132" s="775">
        <v>1696</v>
      </c>
      <c r="F132" s="775">
        <v>1960</v>
      </c>
      <c r="G132" s="775">
        <v>2186</v>
      </c>
      <c r="H132" s="776">
        <v>52800</v>
      </c>
      <c r="I132" s="776">
        <v>60320</v>
      </c>
      <c r="J132" s="776">
        <v>67840</v>
      </c>
      <c r="K132" s="776">
        <v>75360</v>
      </c>
      <c r="L132" s="776">
        <v>81440</v>
      </c>
      <c r="M132" s="776">
        <v>87440</v>
      </c>
      <c r="N132" s="776">
        <v>93520</v>
      </c>
      <c r="O132" s="776">
        <v>99520</v>
      </c>
      <c r="P132" s="41"/>
      <c r="Q132" s="41"/>
    </row>
    <row r="133" spans="1:17">
      <c r="A133" s="38"/>
      <c r="B133" s="778">
        <v>0.7</v>
      </c>
      <c r="C133" s="775">
        <v>1155</v>
      </c>
      <c r="D133" s="775">
        <v>1237</v>
      </c>
      <c r="E133" s="775">
        <v>1484</v>
      </c>
      <c r="F133" s="775">
        <v>1715</v>
      </c>
      <c r="G133" s="775">
        <v>1912</v>
      </c>
      <c r="H133" s="776">
        <v>46200</v>
      </c>
      <c r="I133" s="776">
        <v>52780</v>
      </c>
      <c r="J133" s="776">
        <v>59359.999999999993</v>
      </c>
      <c r="K133" s="776">
        <v>65940</v>
      </c>
      <c r="L133" s="776">
        <v>71260</v>
      </c>
      <c r="M133" s="776">
        <v>76510</v>
      </c>
      <c r="N133" s="776">
        <v>81830</v>
      </c>
      <c r="O133" s="776">
        <v>87080</v>
      </c>
      <c r="P133" s="41"/>
      <c r="Q133" s="41"/>
    </row>
    <row r="134" spans="1:17">
      <c r="A134" s="38"/>
      <c r="B134" s="778">
        <v>0.6</v>
      </c>
      <c r="C134" s="775">
        <v>990</v>
      </c>
      <c r="D134" s="775">
        <v>1060</v>
      </c>
      <c r="E134" s="775">
        <v>1272</v>
      </c>
      <c r="F134" s="775">
        <v>1470</v>
      </c>
      <c r="G134" s="775">
        <v>1639</v>
      </c>
      <c r="H134" s="775">
        <v>39600</v>
      </c>
      <c r="I134" s="775">
        <v>45240</v>
      </c>
      <c r="J134" s="775">
        <v>50880</v>
      </c>
      <c r="K134" s="775">
        <v>56520</v>
      </c>
      <c r="L134" s="775">
        <v>61080</v>
      </c>
      <c r="M134" s="777">
        <v>65580</v>
      </c>
      <c r="N134" s="777">
        <v>70140</v>
      </c>
      <c r="O134" s="777">
        <v>74640</v>
      </c>
      <c r="P134" s="41"/>
      <c r="Q134" s="41"/>
    </row>
    <row r="135" spans="1:17">
      <c r="A135" s="38"/>
      <c r="B135" s="778">
        <v>0.55000000000000004</v>
      </c>
      <c r="C135" s="775">
        <v>907</v>
      </c>
      <c r="D135" s="775">
        <v>972</v>
      </c>
      <c r="E135" s="775">
        <v>1166</v>
      </c>
      <c r="F135" s="775">
        <v>1347</v>
      </c>
      <c r="G135" s="775">
        <v>1502</v>
      </c>
      <c r="H135" s="775">
        <v>36300</v>
      </c>
      <c r="I135" s="775">
        <v>41470</v>
      </c>
      <c r="J135" s="775">
        <v>46640.000000000007</v>
      </c>
      <c r="K135" s="775">
        <v>51810.000000000007</v>
      </c>
      <c r="L135" s="775">
        <v>55990.000000000007</v>
      </c>
      <c r="M135" s="775">
        <v>60115.000000000007</v>
      </c>
      <c r="N135" s="775">
        <v>64295.000000000007</v>
      </c>
      <c r="O135" s="775">
        <v>68420</v>
      </c>
      <c r="P135" s="41"/>
      <c r="Q135" s="41"/>
    </row>
    <row r="136" spans="1:17">
      <c r="A136" s="38"/>
      <c r="B136" s="778">
        <v>0.5</v>
      </c>
      <c r="C136" s="775">
        <v>825</v>
      </c>
      <c r="D136" s="775">
        <v>883</v>
      </c>
      <c r="E136" s="775">
        <v>1060</v>
      </c>
      <c r="F136" s="775">
        <v>1225</v>
      </c>
      <c r="G136" s="775">
        <v>1366</v>
      </c>
      <c r="H136" s="776">
        <v>33000</v>
      </c>
      <c r="I136" s="776">
        <v>37700</v>
      </c>
      <c r="J136" s="776">
        <v>42400</v>
      </c>
      <c r="K136" s="776">
        <v>47100</v>
      </c>
      <c r="L136" s="776">
        <v>50900</v>
      </c>
      <c r="M136" s="776">
        <v>54650</v>
      </c>
      <c r="N136" s="776">
        <v>58450</v>
      </c>
      <c r="O136" s="776">
        <v>62200</v>
      </c>
      <c r="P136" s="41"/>
      <c r="Q136" s="41"/>
    </row>
    <row r="137" spans="1:17">
      <c r="A137" s="38"/>
      <c r="B137" s="778">
        <v>0.45</v>
      </c>
      <c r="C137" s="775">
        <v>742</v>
      </c>
      <c r="D137" s="775">
        <v>795</v>
      </c>
      <c r="E137" s="775">
        <v>954</v>
      </c>
      <c r="F137" s="775">
        <v>1102</v>
      </c>
      <c r="G137" s="775">
        <v>1229</v>
      </c>
      <c r="H137" s="775">
        <v>29700</v>
      </c>
      <c r="I137" s="775">
        <v>33930</v>
      </c>
      <c r="J137" s="775">
        <v>38160</v>
      </c>
      <c r="K137" s="775">
        <v>42390</v>
      </c>
      <c r="L137" s="775">
        <v>45810</v>
      </c>
      <c r="M137" s="777">
        <v>49185</v>
      </c>
      <c r="N137" s="777">
        <v>52605</v>
      </c>
      <c r="O137" s="777">
        <v>55980</v>
      </c>
      <c r="P137" s="41"/>
      <c r="Q137" s="41"/>
    </row>
    <row r="138" spans="1:17">
      <c r="A138" s="38"/>
      <c r="B138" s="778">
        <v>0.4</v>
      </c>
      <c r="C138" s="775">
        <v>660</v>
      </c>
      <c r="D138" s="775">
        <v>707</v>
      </c>
      <c r="E138" s="775">
        <v>848</v>
      </c>
      <c r="F138" s="775">
        <v>980</v>
      </c>
      <c r="G138" s="775">
        <v>1093</v>
      </c>
      <c r="H138" s="775">
        <v>26400</v>
      </c>
      <c r="I138" s="775">
        <v>30160</v>
      </c>
      <c r="J138" s="775">
        <v>33920</v>
      </c>
      <c r="K138" s="775">
        <v>37680</v>
      </c>
      <c r="L138" s="775">
        <v>40720</v>
      </c>
      <c r="M138" s="777">
        <v>43720</v>
      </c>
      <c r="N138" s="777">
        <v>46760</v>
      </c>
      <c r="O138" s="777">
        <v>49760</v>
      </c>
      <c r="P138" s="41"/>
      <c r="Q138" s="41"/>
    </row>
    <row r="139" spans="1:17">
      <c r="A139" s="38"/>
      <c r="B139" s="519">
        <v>0.3</v>
      </c>
      <c r="C139" s="775">
        <v>495</v>
      </c>
      <c r="D139" s="775">
        <v>530</v>
      </c>
      <c r="E139" s="775">
        <v>636</v>
      </c>
      <c r="F139" s="775">
        <v>735</v>
      </c>
      <c r="G139" s="775">
        <v>819</v>
      </c>
      <c r="H139" s="776">
        <v>19800</v>
      </c>
      <c r="I139" s="776">
        <v>22620</v>
      </c>
      <c r="J139" s="776">
        <v>25440</v>
      </c>
      <c r="K139" s="776">
        <v>28260</v>
      </c>
      <c r="L139" s="776">
        <v>30540</v>
      </c>
      <c r="M139" s="776">
        <v>32790</v>
      </c>
      <c r="N139" s="776">
        <v>35070</v>
      </c>
      <c r="O139" s="776">
        <v>37320</v>
      </c>
      <c r="P139" s="41"/>
      <c r="Q139" s="41"/>
    </row>
    <row r="140" spans="1:17" ht="13.5" thickBot="1">
      <c r="A140" s="779"/>
      <c r="B140" s="40">
        <v>0.2</v>
      </c>
      <c r="C140" s="521">
        <v>330</v>
      </c>
      <c r="D140" s="521">
        <v>353</v>
      </c>
      <c r="E140" s="521">
        <v>424</v>
      </c>
      <c r="F140" s="521">
        <v>490</v>
      </c>
      <c r="G140" s="521">
        <v>546</v>
      </c>
      <c r="H140" s="522">
        <v>13200</v>
      </c>
      <c r="I140" s="522">
        <v>15080</v>
      </c>
      <c r="J140" s="522">
        <v>16960</v>
      </c>
      <c r="K140" s="522">
        <v>18840</v>
      </c>
      <c r="L140" s="522">
        <v>20360</v>
      </c>
      <c r="M140" s="522">
        <v>21860</v>
      </c>
      <c r="N140" s="522">
        <v>23380</v>
      </c>
      <c r="O140" s="522">
        <v>24880</v>
      </c>
      <c r="P140" s="41"/>
      <c r="Q140" s="41"/>
    </row>
    <row r="141" spans="1:17" ht="13.5" thickTop="1">
      <c r="A141" s="36"/>
      <c r="B141" s="37">
        <v>1.2</v>
      </c>
      <c r="C141" s="523">
        <v>1980</v>
      </c>
      <c r="D141" s="523">
        <v>2121</v>
      </c>
      <c r="E141" s="523">
        <v>2544</v>
      </c>
      <c r="F141" s="523">
        <v>2940</v>
      </c>
      <c r="G141" s="523">
        <v>3279</v>
      </c>
      <c r="H141" s="523">
        <v>79200</v>
      </c>
      <c r="I141" s="523">
        <v>90480</v>
      </c>
      <c r="J141" s="523">
        <v>101760</v>
      </c>
      <c r="K141" s="523">
        <v>113040</v>
      </c>
      <c r="L141" s="523">
        <v>122160</v>
      </c>
      <c r="M141" s="523">
        <v>131160</v>
      </c>
      <c r="N141" s="523">
        <v>140280</v>
      </c>
      <c r="O141" s="523">
        <v>149280</v>
      </c>
      <c r="P141" s="41"/>
      <c r="Q141" s="41"/>
    </row>
    <row r="142" spans="1:17">
      <c r="A142" s="38"/>
      <c r="B142" s="778">
        <v>1</v>
      </c>
      <c r="C142" s="775">
        <v>1650</v>
      </c>
      <c r="D142" s="775">
        <v>1767</v>
      </c>
      <c r="E142" s="775">
        <v>2120</v>
      </c>
      <c r="F142" s="775">
        <v>2450</v>
      </c>
      <c r="G142" s="775">
        <v>2732</v>
      </c>
      <c r="H142" s="775">
        <v>66000</v>
      </c>
      <c r="I142" s="775">
        <v>75400</v>
      </c>
      <c r="J142" s="775">
        <v>84800</v>
      </c>
      <c r="K142" s="775">
        <v>94200</v>
      </c>
      <c r="L142" s="775">
        <v>101800</v>
      </c>
      <c r="M142" s="775">
        <v>109300</v>
      </c>
      <c r="N142" s="775">
        <v>116900</v>
      </c>
      <c r="O142" s="775">
        <v>124400</v>
      </c>
      <c r="P142" s="41"/>
      <c r="Q142" s="41"/>
    </row>
    <row r="143" spans="1:17">
      <c r="A143" s="38" t="s">
        <v>1248</v>
      </c>
      <c r="B143" s="778">
        <v>0.8</v>
      </c>
      <c r="C143" s="775">
        <v>1320</v>
      </c>
      <c r="D143" s="775">
        <v>1414</v>
      </c>
      <c r="E143" s="775">
        <v>1696</v>
      </c>
      <c r="F143" s="775">
        <v>1960</v>
      </c>
      <c r="G143" s="775">
        <v>2186</v>
      </c>
      <c r="H143" s="776">
        <v>52800</v>
      </c>
      <c r="I143" s="776">
        <v>60320</v>
      </c>
      <c r="J143" s="776">
        <v>67840</v>
      </c>
      <c r="K143" s="776">
        <v>75360</v>
      </c>
      <c r="L143" s="776">
        <v>81440</v>
      </c>
      <c r="M143" s="776">
        <v>87440</v>
      </c>
      <c r="N143" s="776">
        <v>93520</v>
      </c>
      <c r="O143" s="776">
        <v>99520</v>
      </c>
      <c r="P143" s="41"/>
      <c r="Q143" s="41"/>
    </row>
    <row r="144" spans="1:17">
      <c r="A144" s="38"/>
      <c r="B144" s="778">
        <v>0.7</v>
      </c>
      <c r="C144" s="775">
        <v>1155</v>
      </c>
      <c r="D144" s="775">
        <v>1237</v>
      </c>
      <c r="E144" s="775">
        <v>1484</v>
      </c>
      <c r="F144" s="775">
        <v>1715</v>
      </c>
      <c r="G144" s="775">
        <v>1912</v>
      </c>
      <c r="H144" s="776">
        <v>46200</v>
      </c>
      <c r="I144" s="776">
        <v>52780</v>
      </c>
      <c r="J144" s="776">
        <v>59359.999999999993</v>
      </c>
      <c r="K144" s="776">
        <v>65940</v>
      </c>
      <c r="L144" s="776">
        <v>71260</v>
      </c>
      <c r="M144" s="776">
        <v>76510</v>
      </c>
      <c r="N144" s="776">
        <v>81830</v>
      </c>
      <c r="O144" s="776">
        <v>87080</v>
      </c>
      <c r="P144" s="41"/>
      <c r="Q144" s="41"/>
    </row>
    <row r="145" spans="1:17">
      <c r="A145" s="38"/>
      <c r="B145" s="778">
        <v>0.6</v>
      </c>
      <c r="C145" s="775">
        <v>990</v>
      </c>
      <c r="D145" s="775">
        <v>1060</v>
      </c>
      <c r="E145" s="775">
        <v>1272</v>
      </c>
      <c r="F145" s="775">
        <v>1470</v>
      </c>
      <c r="G145" s="775">
        <v>1639</v>
      </c>
      <c r="H145" s="775">
        <v>39600</v>
      </c>
      <c r="I145" s="775">
        <v>45240</v>
      </c>
      <c r="J145" s="775">
        <v>50880</v>
      </c>
      <c r="K145" s="775">
        <v>56520</v>
      </c>
      <c r="L145" s="775">
        <v>61080</v>
      </c>
      <c r="M145" s="777">
        <v>65580</v>
      </c>
      <c r="N145" s="777">
        <v>70140</v>
      </c>
      <c r="O145" s="777">
        <v>74640</v>
      </c>
      <c r="P145" s="41"/>
      <c r="Q145" s="41"/>
    </row>
    <row r="146" spans="1:17">
      <c r="A146" s="38"/>
      <c r="B146" s="778">
        <v>0.55000000000000004</v>
      </c>
      <c r="C146" s="775">
        <v>907</v>
      </c>
      <c r="D146" s="775">
        <v>972</v>
      </c>
      <c r="E146" s="775">
        <v>1166</v>
      </c>
      <c r="F146" s="775">
        <v>1347</v>
      </c>
      <c r="G146" s="775">
        <v>1502</v>
      </c>
      <c r="H146" s="775">
        <v>36300</v>
      </c>
      <c r="I146" s="775">
        <v>41470</v>
      </c>
      <c r="J146" s="775">
        <v>46640.000000000007</v>
      </c>
      <c r="K146" s="775">
        <v>51810.000000000007</v>
      </c>
      <c r="L146" s="775">
        <v>55990.000000000007</v>
      </c>
      <c r="M146" s="775">
        <v>60115.000000000007</v>
      </c>
      <c r="N146" s="775">
        <v>64295.000000000007</v>
      </c>
      <c r="O146" s="775">
        <v>68420</v>
      </c>
      <c r="P146" s="41"/>
      <c r="Q146" s="41"/>
    </row>
    <row r="147" spans="1:17">
      <c r="A147" s="38"/>
      <c r="B147" s="778">
        <v>0.5</v>
      </c>
      <c r="C147" s="775">
        <v>825</v>
      </c>
      <c r="D147" s="775">
        <v>883</v>
      </c>
      <c r="E147" s="775">
        <v>1060</v>
      </c>
      <c r="F147" s="775">
        <v>1225</v>
      </c>
      <c r="G147" s="775">
        <v>1366</v>
      </c>
      <c r="H147" s="776">
        <v>33000</v>
      </c>
      <c r="I147" s="776">
        <v>37700</v>
      </c>
      <c r="J147" s="776">
        <v>42400</v>
      </c>
      <c r="K147" s="776">
        <v>47100</v>
      </c>
      <c r="L147" s="776">
        <v>50900</v>
      </c>
      <c r="M147" s="776">
        <v>54650</v>
      </c>
      <c r="N147" s="776">
        <v>58450</v>
      </c>
      <c r="O147" s="776">
        <v>62200</v>
      </c>
      <c r="P147" s="41"/>
      <c r="Q147" s="41"/>
    </row>
    <row r="148" spans="1:17">
      <c r="A148" s="38"/>
      <c r="B148" s="778">
        <v>0.45</v>
      </c>
      <c r="C148" s="775">
        <v>742</v>
      </c>
      <c r="D148" s="775">
        <v>795</v>
      </c>
      <c r="E148" s="775">
        <v>954</v>
      </c>
      <c r="F148" s="775">
        <v>1102</v>
      </c>
      <c r="G148" s="775">
        <v>1229</v>
      </c>
      <c r="H148" s="775">
        <v>29700</v>
      </c>
      <c r="I148" s="775">
        <v>33930</v>
      </c>
      <c r="J148" s="775">
        <v>38160</v>
      </c>
      <c r="K148" s="775">
        <v>42390</v>
      </c>
      <c r="L148" s="775">
        <v>45810</v>
      </c>
      <c r="M148" s="777">
        <v>49185</v>
      </c>
      <c r="N148" s="777">
        <v>52605</v>
      </c>
      <c r="O148" s="777">
        <v>55980</v>
      </c>
      <c r="P148" s="41"/>
      <c r="Q148" s="41"/>
    </row>
    <row r="149" spans="1:17">
      <c r="A149" s="38"/>
      <c r="B149" s="778">
        <v>0.4</v>
      </c>
      <c r="C149" s="775">
        <v>660</v>
      </c>
      <c r="D149" s="775">
        <v>707</v>
      </c>
      <c r="E149" s="775">
        <v>848</v>
      </c>
      <c r="F149" s="775">
        <v>980</v>
      </c>
      <c r="G149" s="775">
        <v>1093</v>
      </c>
      <c r="H149" s="775">
        <v>26400</v>
      </c>
      <c r="I149" s="775">
        <v>30160</v>
      </c>
      <c r="J149" s="775">
        <v>33920</v>
      </c>
      <c r="K149" s="775">
        <v>37680</v>
      </c>
      <c r="L149" s="775">
        <v>40720</v>
      </c>
      <c r="M149" s="777">
        <v>43720</v>
      </c>
      <c r="N149" s="777">
        <v>46760</v>
      </c>
      <c r="O149" s="777">
        <v>49760</v>
      </c>
      <c r="P149" s="41"/>
      <c r="Q149" s="41"/>
    </row>
    <row r="150" spans="1:17">
      <c r="A150" s="38"/>
      <c r="B150" s="519">
        <v>0.3</v>
      </c>
      <c r="C150" s="775">
        <v>495</v>
      </c>
      <c r="D150" s="775">
        <v>530</v>
      </c>
      <c r="E150" s="775">
        <v>636</v>
      </c>
      <c r="F150" s="775">
        <v>735</v>
      </c>
      <c r="G150" s="775">
        <v>819</v>
      </c>
      <c r="H150" s="776">
        <v>19800</v>
      </c>
      <c r="I150" s="776">
        <v>22620</v>
      </c>
      <c r="J150" s="776">
        <v>25440</v>
      </c>
      <c r="K150" s="776">
        <v>28260</v>
      </c>
      <c r="L150" s="776">
        <v>30540</v>
      </c>
      <c r="M150" s="776">
        <v>32790</v>
      </c>
      <c r="N150" s="776">
        <v>35070</v>
      </c>
      <c r="O150" s="776">
        <v>37320</v>
      </c>
      <c r="P150" s="41"/>
      <c r="Q150" s="41"/>
    </row>
    <row r="151" spans="1:17" ht="13.5" thickBot="1">
      <c r="A151" s="779"/>
      <c r="B151" s="40">
        <v>0.2</v>
      </c>
      <c r="C151" s="521">
        <v>330</v>
      </c>
      <c r="D151" s="521">
        <v>353</v>
      </c>
      <c r="E151" s="521">
        <v>424</v>
      </c>
      <c r="F151" s="521">
        <v>490</v>
      </c>
      <c r="G151" s="521">
        <v>546</v>
      </c>
      <c r="H151" s="522">
        <v>13200</v>
      </c>
      <c r="I151" s="522">
        <v>15080</v>
      </c>
      <c r="J151" s="522">
        <v>16960</v>
      </c>
      <c r="K151" s="522">
        <v>18840</v>
      </c>
      <c r="L151" s="522">
        <v>20360</v>
      </c>
      <c r="M151" s="522">
        <v>21860</v>
      </c>
      <c r="N151" s="522">
        <v>23380</v>
      </c>
      <c r="O151" s="522">
        <v>24880</v>
      </c>
      <c r="P151" s="41"/>
      <c r="Q151" s="41"/>
    </row>
    <row r="152" spans="1:17" ht="13.5" thickTop="1">
      <c r="A152" s="38"/>
      <c r="B152" s="37">
        <v>1.2</v>
      </c>
      <c r="C152" s="523">
        <v>1980</v>
      </c>
      <c r="D152" s="523">
        <v>2121</v>
      </c>
      <c r="E152" s="523">
        <v>2544</v>
      </c>
      <c r="F152" s="523">
        <v>2940</v>
      </c>
      <c r="G152" s="523">
        <v>3279</v>
      </c>
      <c r="H152" s="523">
        <v>79200</v>
      </c>
      <c r="I152" s="523">
        <v>90480</v>
      </c>
      <c r="J152" s="523">
        <v>101760</v>
      </c>
      <c r="K152" s="523">
        <v>113040</v>
      </c>
      <c r="L152" s="523">
        <v>122160</v>
      </c>
      <c r="M152" s="523">
        <v>131160</v>
      </c>
      <c r="N152" s="523">
        <v>140280</v>
      </c>
      <c r="O152" s="523">
        <v>149280</v>
      </c>
      <c r="P152" s="41"/>
      <c r="Q152" s="41"/>
    </row>
    <row r="153" spans="1:17">
      <c r="A153" s="38"/>
      <c r="B153" s="778">
        <v>1</v>
      </c>
      <c r="C153" s="775">
        <v>1650</v>
      </c>
      <c r="D153" s="775">
        <v>1767</v>
      </c>
      <c r="E153" s="775">
        <v>2120</v>
      </c>
      <c r="F153" s="775">
        <v>2450</v>
      </c>
      <c r="G153" s="775">
        <v>2732</v>
      </c>
      <c r="H153" s="775">
        <v>66000</v>
      </c>
      <c r="I153" s="775">
        <v>75400</v>
      </c>
      <c r="J153" s="775">
        <v>84800</v>
      </c>
      <c r="K153" s="775">
        <v>94200</v>
      </c>
      <c r="L153" s="775">
        <v>101800</v>
      </c>
      <c r="M153" s="775">
        <v>109300</v>
      </c>
      <c r="N153" s="775">
        <v>116900</v>
      </c>
      <c r="O153" s="775">
        <v>124400</v>
      </c>
      <c r="P153" s="41"/>
      <c r="Q153" s="41"/>
    </row>
    <row r="154" spans="1:17">
      <c r="A154" s="38" t="s">
        <v>1249</v>
      </c>
      <c r="B154" s="778">
        <v>0.8</v>
      </c>
      <c r="C154" s="775">
        <v>1320</v>
      </c>
      <c r="D154" s="775">
        <v>1414</v>
      </c>
      <c r="E154" s="775">
        <v>1696</v>
      </c>
      <c r="F154" s="775">
        <v>1960</v>
      </c>
      <c r="G154" s="775">
        <v>2186</v>
      </c>
      <c r="H154" s="776">
        <v>52800</v>
      </c>
      <c r="I154" s="776">
        <v>60320</v>
      </c>
      <c r="J154" s="776">
        <v>67840</v>
      </c>
      <c r="K154" s="776">
        <v>75360</v>
      </c>
      <c r="L154" s="776">
        <v>81440</v>
      </c>
      <c r="M154" s="776">
        <v>87440</v>
      </c>
      <c r="N154" s="776">
        <v>93520</v>
      </c>
      <c r="O154" s="776">
        <v>99520</v>
      </c>
      <c r="P154" s="41"/>
      <c r="Q154" s="41"/>
    </row>
    <row r="155" spans="1:17">
      <c r="A155" s="38"/>
      <c r="B155" s="778">
        <v>0.7</v>
      </c>
      <c r="C155" s="775">
        <v>1155</v>
      </c>
      <c r="D155" s="775">
        <v>1237</v>
      </c>
      <c r="E155" s="775">
        <v>1484</v>
      </c>
      <c r="F155" s="775">
        <v>1715</v>
      </c>
      <c r="G155" s="775">
        <v>1912</v>
      </c>
      <c r="H155" s="776">
        <v>46200</v>
      </c>
      <c r="I155" s="776">
        <v>52780</v>
      </c>
      <c r="J155" s="776">
        <v>59359.999999999993</v>
      </c>
      <c r="K155" s="776">
        <v>65940</v>
      </c>
      <c r="L155" s="776">
        <v>71260</v>
      </c>
      <c r="M155" s="776">
        <v>76510</v>
      </c>
      <c r="N155" s="776">
        <v>81830</v>
      </c>
      <c r="O155" s="776">
        <v>87080</v>
      </c>
      <c r="P155" s="41"/>
      <c r="Q155" s="41"/>
    </row>
    <row r="156" spans="1:17">
      <c r="A156" s="38"/>
      <c r="B156" s="778">
        <v>0.6</v>
      </c>
      <c r="C156" s="775">
        <v>990</v>
      </c>
      <c r="D156" s="775">
        <v>1060</v>
      </c>
      <c r="E156" s="775">
        <v>1272</v>
      </c>
      <c r="F156" s="775">
        <v>1470</v>
      </c>
      <c r="G156" s="775">
        <v>1639</v>
      </c>
      <c r="H156" s="775">
        <v>39600</v>
      </c>
      <c r="I156" s="775">
        <v>45240</v>
      </c>
      <c r="J156" s="775">
        <v>50880</v>
      </c>
      <c r="K156" s="775">
        <v>56520</v>
      </c>
      <c r="L156" s="775">
        <v>61080</v>
      </c>
      <c r="M156" s="777">
        <v>65580</v>
      </c>
      <c r="N156" s="777">
        <v>70140</v>
      </c>
      <c r="O156" s="777">
        <v>74640</v>
      </c>
      <c r="P156" s="41"/>
      <c r="Q156" s="41"/>
    </row>
    <row r="157" spans="1:17">
      <c r="A157" s="38"/>
      <c r="B157" s="778">
        <v>0.55000000000000004</v>
      </c>
      <c r="C157" s="775">
        <v>907</v>
      </c>
      <c r="D157" s="775">
        <v>972</v>
      </c>
      <c r="E157" s="775">
        <v>1166</v>
      </c>
      <c r="F157" s="775">
        <v>1347</v>
      </c>
      <c r="G157" s="775">
        <v>1502</v>
      </c>
      <c r="H157" s="775">
        <v>36300</v>
      </c>
      <c r="I157" s="775">
        <v>41470</v>
      </c>
      <c r="J157" s="775">
        <v>46640.000000000007</v>
      </c>
      <c r="K157" s="775">
        <v>51810.000000000007</v>
      </c>
      <c r="L157" s="775">
        <v>55990.000000000007</v>
      </c>
      <c r="M157" s="775">
        <v>60115.000000000007</v>
      </c>
      <c r="N157" s="775">
        <v>64295.000000000007</v>
      </c>
      <c r="O157" s="775">
        <v>68420</v>
      </c>
      <c r="P157" s="41"/>
      <c r="Q157" s="41"/>
    </row>
    <row r="158" spans="1:17">
      <c r="A158" s="38"/>
      <c r="B158" s="778">
        <v>0.5</v>
      </c>
      <c r="C158" s="775">
        <v>825</v>
      </c>
      <c r="D158" s="775">
        <v>883</v>
      </c>
      <c r="E158" s="775">
        <v>1060</v>
      </c>
      <c r="F158" s="775">
        <v>1225</v>
      </c>
      <c r="G158" s="775">
        <v>1366</v>
      </c>
      <c r="H158" s="776">
        <v>33000</v>
      </c>
      <c r="I158" s="776">
        <v>37700</v>
      </c>
      <c r="J158" s="776">
        <v>42400</v>
      </c>
      <c r="K158" s="776">
        <v>47100</v>
      </c>
      <c r="L158" s="776">
        <v>50900</v>
      </c>
      <c r="M158" s="776">
        <v>54650</v>
      </c>
      <c r="N158" s="776">
        <v>58450</v>
      </c>
      <c r="O158" s="776">
        <v>62200</v>
      </c>
      <c r="P158" s="41"/>
      <c r="Q158" s="41"/>
    </row>
    <row r="159" spans="1:17">
      <c r="A159" s="38"/>
      <c r="B159" s="778">
        <v>0.45</v>
      </c>
      <c r="C159" s="775">
        <v>742</v>
      </c>
      <c r="D159" s="775">
        <v>795</v>
      </c>
      <c r="E159" s="775">
        <v>954</v>
      </c>
      <c r="F159" s="775">
        <v>1102</v>
      </c>
      <c r="G159" s="775">
        <v>1229</v>
      </c>
      <c r="H159" s="775">
        <v>29700</v>
      </c>
      <c r="I159" s="775">
        <v>33930</v>
      </c>
      <c r="J159" s="775">
        <v>38160</v>
      </c>
      <c r="K159" s="775">
        <v>42390</v>
      </c>
      <c r="L159" s="775">
        <v>45810</v>
      </c>
      <c r="M159" s="777">
        <v>49185</v>
      </c>
      <c r="N159" s="777">
        <v>52605</v>
      </c>
      <c r="O159" s="777">
        <v>55980</v>
      </c>
      <c r="P159" s="41"/>
      <c r="Q159" s="41"/>
    </row>
    <row r="160" spans="1:17">
      <c r="A160" s="38"/>
      <c r="B160" s="778">
        <v>0.4</v>
      </c>
      <c r="C160" s="775">
        <v>660</v>
      </c>
      <c r="D160" s="775">
        <v>707</v>
      </c>
      <c r="E160" s="775">
        <v>848</v>
      </c>
      <c r="F160" s="775">
        <v>980</v>
      </c>
      <c r="G160" s="775">
        <v>1093</v>
      </c>
      <c r="H160" s="775">
        <v>26400</v>
      </c>
      <c r="I160" s="775">
        <v>30160</v>
      </c>
      <c r="J160" s="775">
        <v>33920</v>
      </c>
      <c r="K160" s="775">
        <v>37680</v>
      </c>
      <c r="L160" s="775">
        <v>40720</v>
      </c>
      <c r="M160" s="777">
        <v>43720</v>
      </c>
      <c r="N160" s="777">
        <v>46760</v>
      </c>
      <c r="O160" s="777">
        <v>49760</v>
      </c>
      <c r="P160" s="41"/>
      <c r="Q160" s="41"/>
    </row>
    <row r="161" spans="1:17">
      <c r="A161" s="38"/>
      <c r="B161" s="519">
        <v>0.3</v>
      </c>
      <c r="C161" s="775">
        <v>495</v>
      </c>
      <c r="D161" s="775">
        <v>530</v>
      </c>
      <c r="E161" s="775">
        <v>636</v>
      </c>
      <c r="F161" s="775">
        <v>735</v>
      </c>
      <c r="G161" s="775">
        <v>819</v>
      </c>
      <c r="H161" s="776">
        <v>19800</v>
      </c>
      <c r="I161" s="776">
        <v>22620</v>
      </c>
      <c r="J161" s="776">
        <v>25440</v>
      </c>
      <c r="K161" s="776">
        <v>28260</v>
      </c>
      <c r="L161" s="776">
        <v>30540</v>
      </c>
      <c r="M161" s="776">
        <v>32790</v>
      </c>
      <c r="N161" s="776">
        <v>35070</v>
      </c>
      <c r="O161" s="776">
        <v>37320</v>
      </c>
      <c r="P161" s="41"/>
      <c r="Q161" s="41"/>
    </row>
    <row r="162" spans="1:17" ht="13.5" thickBot="1">
      <c r="A162" s="38"/>
      <c r="B162" s="40">
        <v>0.2</v>
      </c>
      <c r="C162" s="521">
        <v>330</v>
      </c>
      <c r="D162" s="521">
        <v>353</v>
      </c>
      <c r="E162" s="521">
        <v>424</v>
      </c>
      <c r="F162" s="521">
        <v>490</v>
      </c>
      <c r="G162" s="521">
        <v>546</v>
      </c>
      <c r="H162" s="522">
        <v>13200</v>
      </c>
      <c r="I162" s="522">
        <v>15080</v>
      </c>
      <c r="J162" s="522">
        <v>16960</v>
      </c>
      <c r="K162" s="522">
        <v>18840</v>
      </c>
      <c r="L162" s="522">
        <v>20360</v>
      </c>
      <c r="M162" s="522">
        <v>21860</v>
      </c>
      <c r="N162" s="522">
        <v>23380</v>
      </c>
      <c r="O162" s="522">
        <v>24880</v>
      </c>
      <c r="P162" s="41"/>
      <c r="Q162" s="41"/>
    </row>
    <row r="163" spans="1:17" ht="13.5" thickTop="1">
      <c r="A163" s="36"/>
      <c r="B163" s="37">
        <v>1.2</v>
      </c>
      <c r="C163" s="523">
        <v>1980</v>
      </c>
      <c r="D163" s="523">
        <v>2121</v>
      </c>
      <c r="E163" s="523">
        <v>2544</v>
      </c>
      <c r="F163" s="523">
        <v>2940</v>
      </c>
      <c r="G163" s="523">
        <v>3279</v>
      </c>
      <c r="H163" s="523">
        <v>79200</v>
      </c>
      <c r="I163" s="523">
        <v>90480</v>
      </c>
      <c r="J163" s="523">
        <v>101760</v>
      </c>
      <c r="K163" s="523">
        <v>113040</v>
      </c>
      <c r="L163" s="523">
        <v>122160</v>
      </c>
      <c r="M163" s="523">
        <v>131160</v>
      </c>
      <c r="N163" s="523">
        <v>140280</v>
      </c>
      <c r="O163" s="523">
        <v>149280</v>
      </c>
      <c r="P163" s="41"/>
      <c r="Q163" s="41"/>
    </row>
    <row r="164" spans="1:17">
      <c r="A164" s="38"/>
      <c r="B164" s="778">
        <v>1</v>
      </c>
      <c r="C164" s="775">
        <v>1650</v>
      </c>
      <c r="D164" s="775">
        <v>1767</v>
      </c>
      <c r="E164" s="775">
        <v>2120</v>
      </c>
      <c r="F164" s="775">
        <v>2450</v>
      </c>
      <c r="G164" s="775">
        <v>2732</v>
      </c>
      <c r="H164" s="775">
        <v>66000</v>
      </c>
      <c r="I164" s="775">
        <v>75400</v>
      </c>
      <c r="J164" s="775">
        <v>84800</v>
      </c>
      <c r="K164" s="775">
        <v>94200</v>
      </c>
      <c r="L164" s="775">
        <v>101800</v>
      </c>
      <c r="M164" s="775">
        <v>109300</v>
      </c>
      <c r="N164" s="775">
        <v>116900</v>
      </c>
      <c r="O164" s="775">
        <v>124400</v>
      </c>
      <c r="P164" s="41"/>
      <c r="Q164" s="41"/>
    </row>
    <row r="165" spans="1:17">
      <c r="A165" s="43" t="s">
        <v>1250</v>
      </c>
      <c r="B165" s="778">
        <v>0.8</v>
      </c>
      <c r="C165" s="775">
        <v>1320</v>
      </c>
      <c r="D165" s="775">
        <v>1414</v>
      </c>
      <c r="E165" s="775">
        <v>1696</v>
      </c>
      <c r="F165" s="775">
        <v>1960</v>
      </c>
      <c r="G165" s="775">
        <v>2186</v>
      </c>
      <c r="H165" s="776">
        <v>52800</v>
      </c>
      <c r="I165" s="776">
        <v>60320</v>
      </c>
      <c r="J165" s="776">
        <v>67840</v>
      </c>
      <c r="K165" s="776">
        <v>75360</v>
      </c>
      <c r="L165" s="776">
        <v>81440</v>
      </c>
      <c r="M165" s="776">
        <v>87440</v>
      </c>
      <c r="N165" s="776">
        <v>93520</v>
      </c>
      <c r="O165" s="776">
        <v>99520</v>
      </c>
      <c r="P165" s="41"/>
      <c r="Q165" s="41"/>
    </row>
    <row r="166" spans="1:17">
      <c r="A166" s="43"/>
      <c r="B166" s="778">
        <v>0.7</v>
      </c>
      <c r="C166" s="775">
        <v>1155</v>
      </c>
      <c r="D166" s="775">
        <v>1237</v>
      </c>
      <c r="E166" s="775">
        <v>1484</v>
      </c>
      <c r="F166" s="775">
        <v>1715</v>
      </c>
      <c r="G166" s="775">
        <v>1912</v>
      </c>
      <c r="H166" s="776">
        <v>46200</v>
      </c>
      <c r="I166" s="776">
        <v>52780</v>
      </c>
      <c r="J166" s="776">
        <v>59359.999999999993</v>
      </c>
      <c r="K166" s="776">
        <v>65940</v>
      </c>
      <c r="L166" s="776">
        <v>71260</v>
      </c>
      <c r="M166" s="776">
        <v>76510</v>
      </c>
      <c r="N166" s="776">
        <v>81830</v>
      </c>
      <c r="O166" s="776">
        <v>87080</v>
      </c>
      <c r="P166" s="41"/>
      <c r="Q166" s="41"/>
    </row>
    <row r="167" spans="1:17">
      <c r="A167" s="38"/>
      <c r="B167" s="778">
        <v>0.6</v>
      </c>
      <c r="C167" s="775">
        <v>990</v>
      </c>
      <c r="D167" s="775">
        <v>1060</v>
      </c>
      <c r="E167" s="775">
        <v>1272</v>
      </c>
      <c r="F167" s="775">
        <v>1470</v>
      </c>
      <c r="G167" s="775">
        <v>1639</v>
      </c>
      <c r="H167" s="775">
        <v>39600</v>
      </c>
      <c r="I167" s="775">
        <v>45240</v>
      </c>
      <c r="J167" s="775">
        <v>50880</v>
      </c>
      <c r="K167" s="775">
        <v>56520</v>
      </c>
      <c r="L167" s="775">
        <v>61080</v>
      </c>
      <c r="M167" s="777">
        <v>65580</v>
      </c>
      <c r="N167" s="777">
        <v>70140</v>
      </c>
      <c r="O167" s="777">
        <v>74640</v>
      </c>
      <c r="P167" s="41"/>
      <c r="Q167" s="41"/>
    </row>
    <row r="168" spans="1:17">
      <c r="A168" s="38"/>
      <c r="B168" s="778">
        <v>0.55000000000000004</v>
      </c>
      <c r="C168" s="775">
        <v>907</v>
      </c>
      <c r="D168" s="775">
        <v>972</v>
      </c>
      <c r="E168" s="775">
        <v>1166</v>
      </c>
      <c r="F168" s="775">
        <v>1347</v>
      </c>
      <c r="G168" s="775">
        <v>1502</v>
      </c>
      <c r="H168" s="775">
        <v>36300</v>
      </c>
      <c r="I168" s="775">
        <v>41470</v>
      </c>
      <c r="J168" s="775">
        <v>46640.000000000007</v>
      </c>
      <c r="K168" s="775">
        <v>51810.000000000007</v>
      </c>
      <c r="L168" s="775">
        <v>55990.000000000007</v>
      </c>
      <c r="M168" s="775">
        <v>60115.000000000007</v>
      </c>
      <c r="N168" s="775">
        <v>64295.000000000007</v>
      </c>
      <c r="O168" s="775">
        <v>68420</v>
      </c>
      <c r="P168" s="41"/>
      <c r="Q168" s="41"/>
    </row>
    <row r="169" spans="1:17">
      <c r="A169" s="38"/>
      <c r="B169" s="778">
        <v>0.5</v>
      </c>
      <c r="C169" s="775">
        <v>825</v>
      </c>
      <c r="D169" s="775">
        <v>883</v>
      </c>
      <c r="E169" s="775">
        <v>1060</v>
      </c>
      <c r="F169" s="775">
        <v>1225</v>
      </c>
      <c r="G169" s="775">
        <v>1366</v>
      </c>
      <c r="H169" s="776">
        <v>33000</v>
      </c>
      <c r="I169" s="776">
        <v>37700</v>
      </c>
      <c r="J169" s="776">
        <v>42400</v>
      </c>
      <c r="K169" s="776">
        <v>47100</v>
      </c>
      <c r="L169" s="776">
        <v>50900</v>
      </c>
      <c r="M169" s="776">
        <v>54650</v>
      </c>
      <c r="N169" s="776">
        <v>58450</v>
      </c>
      <c r="O169" s="776">
        <v>62200</v>
      </c>
      <c r="P169" s="41"/>
      <c r="Q169" s="41"/>
    </row>
    <row r="170" spans="1:17">
      <c r="A170" s="38"/>
      <c r="B170" s="778">
        <v>0.45</v>
      </c>
      <c r="C170" s="775">
        <v>742</v>
      </c>
      <c r="D170" s="775">
        <v>795</v>
      </c>
      <c r="E170" s="775">
        <v>954</v>
      </c>
      <c r="F170" s="775">
        <v>1102</v>
      </c>
      <c r="G170" s="775">
        <v>1229</v>
      </c>
      <c r="H170" s="775">
        <v>29700</v>
      </c>
      <c r="I170" s="775">
        <v>33930</v>
      </c>
      <c r="J170" s="775">
        <v>38160</v>
      </c>
      <c r="K170" s="775">
        <v>42390</v>
      </c>
      <c r="L170" s="775">
        <v>45810</v>
      </c>
      <c r="M170" s="777">
        <v>49185</v>
      </c>
      <c r="N170" s="777">
        <v>52605</v>
      </c>
      <c r="O170" s="777">
        <v>55980</v>
      </c>
      <c r="P170" s="41"/>
      <c r="Q170" s="41"/>
    </row>
    <row r="171" spans="1:17">
      <c r="A171" s="38"/>
      <c r="B171" s="778">
        <v>0.4</v>
      </c>
      <c r="C171" s="775">
        <v>660</v>
      </c>
      <c r="D171" s="775">
        <v>707</v>
      </c>
      <c r="E171" s="775">
        <v>848</v>
      </c>
      <c r="F171" s="775">
        <v>980</v>
      </c>
      <c r="G171" s="775">
        <v>1093</v>
      </c>
      <c r="H171" s="775">
        <v>26400</v>
      </c>
      <c r="I171" s="775">
        <v>30160</v>
      </c>
      <c r="J171" s="775">
        <v>33920</v>
      </c>
      <c r="K171" s="775">
        <v>37680</v>
      </c>
      <c r="L171" s="775">
        <v>40720</v>
      </c>
      <c r="M171" s="777">
        <v>43720</v>
      </c>
      <c r="N171" s="777">
        <v>46760</v>
      </c>
      <c r="O171" s="777">
        <v>49760</v>
      </c>
      <c r="P171" s="41"/>
      <c r="Q171" s="41"/>
    </row>
    <row r="172" spans="1:17">
      <c r="A172" s="38"/>
      <c r="B172" s="519">
        <v>0.3</v>
      </c>
      <c r="C172" s="775">
        <v>495</v>
      </c>
      <c r="D172" s="775">
        <v>530</v>
      </c>
      <c r="E172" s="775">
        <v>636</v>
      </c>
      <c r="F172" s="775">
        <v>735</v>
      </c>
      <c r="G172" s="775">
        <v>819</v>
      </c>
      <c r="H172" s="776">
        <v>19800</v>
      </c>
      <c r="I172" s="776">
        <v>22620</v>
      </c>
      <c r="J172" s="776">
        <v>25440</v>
      </c>
      <c r="K172" s="776">
        <v>28260</v>
      </c>
      <c r="L172" s="776">
        <v>30540</v>
      </c>
      <c r="M172" s="776">
        <v>32790</v>
      </c>
      <c r="N172" s="776">
        <v>35070</v>
      </c>
      <c r="O172" s="776">
        <v>37320</v>
      </c>
      <c r="P172" s="41"/>
      <c r="Q172" s="41"/>
    </row>
    <row r="173" spans="1:17" ht="13.5" thickBot="1">
      <c r="A173" s="38"/>
      <c r="B173" s="40">
        <v>0.2</v>
      </c>
      <c r="C173" s="521">
        <v>330</v>
      </c>
      <c r="D173" s="521">
        <v>353</v>
      </c>
      <c r="E173" s="521">
        <v>424</v>
      </c>
      <c r="F173" s="521">
        <v>490</v>
      </c>
      <c r="G173" s="521">
        <v>546</v>
      </c>
      <c r="H173" s="522">
        <v>13200</v>
      </c>
      <c r="I173" s="522">
        <v>15080</v>
      </c>
      <c r="J173" s="522">
        <v>16960</v>
      </c>
      <c r="K173" s="522">
        <v>18840</v>
      </c>
      <c r="L173" s="522">
        <v>20360</v>
      </c>
      <c r="M173" s="522">
        <v>21860</v>
      </c>
      <c r="N173" s="522">
        <v>23380</v>
      </c>
      <c r="O173" s="522">
        <v>24880</v>
      </c>
      <c r="P173" s="41"/>
      <c r="Q173" s="41"/>
    </row>
    <row r="174" spans="1:17" ht="13.5" thickTop="1">
      <c r="A174" s="36"/>
      <c r="B174" s="37">
        <v>1.2</v>
      </c>
      <c r="C174" s="523">
        <v>1980</v>
      </c>
      <c r="D174" s="523">
        <v>2121</v>
      </c>
      <c r="E174" s="523">
        <v>2544</v>
      </c>
      <c r="F174" s="523">
        <v>2940</v>
      </c>
      <c r="G174" s="523">
        <v>3279</v>
      </c>
      <c r="H174" s="523">
        <v>79200</v>
      </c>
      <c r="I174" s="523">
        <v>90480</v>
      </c>
      <c r="J174" s="523">
        <v>101760</v>
      </c>
      <c r="K174" s="523">
        <v>113040</v>
      </c>
      <c r="L174" s="523">
        <v>122160</v>
      </c>
      <c r="M174" s="523">
        <v>131160</v>
      </c>
      <c r="N174" s="523">
        <v>140280</v>
      </c>
      <c r="O174" s="523">
        <v>149280</v>
      </c>
      <c r="P174" s="41"/>
      <c r="Q174" s="41"/>
    </row>
    <row r="175" spans="1:17">
      <c r="A175" s="38"/>
      <c r="B175" s="778">
        <v>1</v>
      </c>
      <c r="C175" s="775">
        <v>1650</v>
      </c>
      <c r="D175" s="775">
        <v>1767</v>
      </c>
      <c r="E175" s="775">
        <v>2120</v>
      </c>
      <c r="F175" s="775">
        <v>2450</v>
      </c>
      <c r="G175" s="775">
        <v>2732</v>
      </c>
      <c r="H175" s="775">
        <v>66000</v>
      </c>
      <c r="I175" s="775">
        <v>75400</v>
      </c>
      <c r="J175" s="775">
        <v>84800</v>
      </c>
      <c r="K175" s="775">
        <v>94200</v>
      </c>
      <c r="L175" s="775">
        <v>101800</v>
      </c>
      <c r="M175" s="775">
        <v>109300</v>
      </c>
      <c r="N175" s="775">
        <v>116900</v>
      </c>
      <c r="O175" s="775">
        <v>124400</v>
      </c>
      <c r="P175" s="41"/>
      <c r="Q175" s="41"/>
    </row>
    <row r="176" spans="1:17">
      <c r="A176" s="43" t="s">
        <v>1251</v>
      </c>
      <c r="B176" s="778">
        <v>0.8</v>
      </c>
      <c r="C176" s="775">
        <v>1320</v>
      </c>
      <c r="D176" s="775">
        <v>1414</v>
      </c>
      <c r="E176" s="775">
        <v>1696</v>
      </c>
      <c r="F176" s="775">
        <v>1960</v>
      </c>
      <c r="G176" s="775">
        <v>2186</v>
      </c>
      <c r="H176" s="776">
        <v>52800</v>
      </c>
      <c r="I176" s="776">
        <v>60320</v>
      </c>
      <c r="J176" s="776">
        <v>67840</v>
      </c>
      <c r="K176" s="776">
        <v>75360</v>
      </c>
      <c r="L176" s="776">
        <v>81440</v>
      </c>
      <c r="M176" s="776">
        <v>87440</v>
      </c>
      <c r="N176" s="776">
        <v>93520</v>
      </c>
      <c r="O176" s="776">
        <v>99520</v>
      </c>
      <c r="P176" s="41"/>
      <c r="Q176" s="41"/>
    </row>
    <row r="177" spans="1:17">
      <c r="A177" s="43"/>
      <c r="B177" s="778">
        <v>0.7</v>
      </c>
      <c r="C177" s="775">
        <v>1155</v>
      </c>
      <c r="D177" s="775">
        <v>1237</v>
      </c>
      <c r="E177" s="775">
        <v>1484</v>
      </c>
      <c r="F177" s="775">
        <v>1715</v>
      </c>
      <c r="G177" s="775">
        <v>1912</v>
      </c>
      <c r="H177" s="776">
        <v>46200</v>
      </c>
      <c r="I177" s="776">
        <v>52780</v>
      </c>
      <c r="J177" s="776">
        <v>59359.999999999993</v>
      </c>
      <c r="K177" s="776">
        <v>65940</v>
      </c>
      <c r="L177" s="776">
        <v>71260</v>
      </c>
      <c r="M177" s="776">
        <v>76510</v>
      </c>
      <c r="N177" s="776">
        <v>81830</v>
      </c>
      <c r="O177" s="776">
        <v>87080</v>
      </c>
      <c r="P177" s="41"/>
      <c r="Q177" s="41"/>
    </row>
    <row r="178" spans="1:17">
      <c r="A178" s="38"/>
      <c r="B178" s="778">
        <v>0.6</v>
      </c>
      <c r="C178" s="775">
        <v>990</v>
      </c>
      <c r="D178" s="775">
        <v>1060</v>
      </c>
      <c r="E178" s="775">
        <v>1272</v>
      </c>
      <c r="F178" s="775">
        <v>1470</v>
      </c>
      <c r="G178" s="775">
        <v>1639</v>
      </c>
      <c r="H178" s="775">
        <v>39600</v>
      </c>
      <c r="I178" s="775">
        <v>45240</v>
      </c>
      <c r="J178" s="775">
        <v>50880</v>
      </c>
      <c r="K178" s="775">
        <v>56520</v>
      </c>
      <c r="L178" s="775">
        <v>61080</v>
      </c>
      <c r="M178" s="777">
        <v>65580</v>
      </c>
      <c r="N178" s="777">
        <v>70140</v>
      </c>
      <c r="O178" s="777">
        <v>74640</v>
      </c>
      <c r="P178" s="41"/>
      <c r="Q178" s="41"/>
    </row>
    <row r="179" spans="1:17">
      <c r="A179" s="38"/>
      <c r="B179" s="778">
        <v>0.55000000000000004</v>
      </c>
      <c r="C179" s="775">
        <v>907</v>
      </c>
      <c r="D179" s="775">
        <v>972</v>
      </c>
      <c r="E179" s="775">
        <v>1166</v>
      </c>
      <c r="F179" s="775">
        <v>1347</v>
      </c>
      <c r="G179" s="775">
        <v>1502</v>
      </c>
      <c r="H179" s="775">
        <v>36300</v>
      </c>
      <c r="I179" s="775">
        <v>41470</v>
      </c>
      <c r="J179" s="775">
        <v>46640.000000000007</v>
      </c>
      <c r="K179" s="775">
        <v>51810.000000000007</v>
      </c>
      <c r="L179" s="775">
        <v>55990.000000000007</v>
      </c>
      <c r="M179" s="775">
        <v>60115.000000000007</v>
      </c>
      <c r="N179" s="775">
        <v>64295.000000000007</v>
      </c>
      <c r="O179" s="775">
        <v>68420</v>
      </c>
      <c r="P179" s="41"/>
      <c r="Q179" s="41"/>
    </row>
    <row r="180" spans="1:17">
      <c r="A180" s="38"/>
      <c r="B180" s="778">
        <v>0.5</v>
      </c>
      <c r="C180" s="775">
        <v>825</v>
      </c>
      <c r="D180" s="775">
        <v>883</v>
      </c>
      <c r="E180" s="775">
        <v>1060</v>
      </c>
      <c r="F180" s="775">
        <v>1225</v>
      </c>
      <c r="G180" s="775">
        <v>1366</v>
      </c>
      <c r="H180" s="776">
        <v>33000</v>
      </c>
      <c r="I180" s="776">
        <v>37700</v>
      </c>
      <c r="J180" s="776">
        <v>42400</v>
      </c>
      <c r="K180" s="776">
        <v>47100</v>
      </c>
      <c r="L180" s="776">
        <v>50900</v>
      </c>
      <c r="M180" s="776">
        <v>54650</v>
      </c>
      <c r="N180" s="776">
        <v>58450</v>
      </c>
      <c r="O180" s="776">
        <v>62200</v>
      </c>
      <c r="P180" s="41"/>
      <c r="Q180" s="41"/>
    </row>
    <row r="181" spans="1:17">
      <c r="A181" s="38"/>
      <c r="B181" s="778">
        <v>0.45</v>
      </c>
      <c r="C181" s="775">
        <v>742</v>
      </c>
      <c r="D181" s="775">
        <v>795</v>
      </c>
      <c r="E181" s="775">
        <v>954</v>
      </c>
      <c r="F181" s="775">
        <v>1102</v>
      </c>
      <c r="G181" s="775">
        <v>1229</v>
      </c>
      <c r="H181" s="775">
        <v>29700</v>
      </c>
      <c r="I181" s="775">
        <v>33930</v>
      </c>
      <c r="J181" s="775">
        <v>38160</v>
      </c>
      <c r="K181" s="775">
        <v>42390</v>
      </c>
      <c r="L181" s="775">
        <v>45810</v>
      </c>
      <c r="M181" s="777">
        <v>49185</v>
      </c>
      <c r="N181" s="777">
        <v>52605</v>
      </c>
      <c r="O181" s="777">
        <v>55980</v>
      </c>
      <c r="P181" s="41"/>
      <c r="Q181" s="41"/>
    </row>
    <row r="182" spans="1:17">
      <c r="A182" s="38"/>
      <c r="B182" s="778">
        <v>0.4</v>
      </c>
      <c r="C182" s="775">
        <v>660</v>
      </c>
      <c r="D182" s="775">
        <v>707</v>
      </c>
      <c r="E182" s="775">
        <v>848</v>
      </c>
      <c r="F182" s="775">
        <v>980</v>
      </c>
      <c r="G182" s="775">
        <v>1093</v>
      </c>
      <c r="H182" s="775">
        <v>26400</v>
      </c>
      <c r="I182" s="775">
        <v>30160</v>
      </c>
      <c r="J182" s="775">
        <v>33920</v>
      </c>
      <c r="K182" s="775">
        <v>37680</v>
      </c>
      <c r="L182" s="775">
        <v>40720</v>
      </c>
      <c r="M182" s="777">
        <v>43720</v>
      </c>
      <c r="N182" s="777">
        <v>46760</v>
      </c>
      <c r="O182" s="777">
        <v>49760</v>
      </c>
      <c r="P182" s="41"/>
      <c r="Q182" s="41"/>
    </row>
    <row r="183" spans="1:17">
      <c r="A183" s="38"/>
      <c r="B183" s="519">
        <v>0.3</v>
      </c>
      <c r="C183" s="775">
        <v>495</v>
      </c>
      <c r="D183" s="775">
        <v>530</v>
      </c>
      <c r="E183" s="775">
        <v>636</v>
      </c>
      <c r="F183" s="775">
        <v>735</v>
      </c>
      <c r="G183" s="775">
        <v>819</v>
      </c>
      <c r="H183" s="776">
        <v>19800</v>
      </c>
      <c r="I183" s="776">
        <v>22620</v>
      </c>
      <c r="J183" s="776">
        <v>25440</v>
      </c>
      <c r="K183" s="776">
        <v>28260</v>
      </c>
      <c r="L183" s="776">
        <v>30540</v>
      </c>
      <c r="M183" s="776">
        <v>32790</v>
      </c>
      <c r="N183" s="776">
        <v>35070</v>
      </c>
      <c r="O183" s="776">
        <v>37320</v>
      </c>
      <c r="P183" s="41"/>
      <c r="Q183" s="41"/>
    </row>
    <row r="184" spans="1:17" ht="13.5" thickBot="1">
      <c r="A184" s="38"/>
      <c r="B184" s="40">
        <v>0.2</v>
      </c>
      <c r="C184" s="521">
        <v>330</v>
      </c>
      <c r="D184" s="521">
        <v>353</v>
      </c>
      <c r="E184" s="521">
        <v>424</v>
      </c>
      <c r="F184" s="521">
        <v>490</v>
      </c>
      <c r="G184" s="521">
        <v>546</v>
      </c>
      <c r="H184" s="522">
        <v>13200</v>
      </c>
      <c r="I184" s="522">
        <v>15080</v>
      </c>
      <c r="J184" s="522">
        <v>16960</v>
      </c>
      <c r="K184" s="522">
        <v>18840</v>
      </c>
      <c r="L184" s="522">
        <v>20360</v>
      </c>
      <c r="M184" s="522">
        <v>21860</v>
      </c>
      <c r="N184" s="522">
        <v>23380</v>
      </c>
      <c r="O184" s="522">
        <v>24880</v>
      </c>
      <c r="P184" s="41"/>
      <c r="Q184" s="41"/>
    </row>
    <row r="185" spans="1:17" ht="13.5" thickTop="1">
      <c r="A185" s="36"/>
      <c r="B185" s="37">
        <v>1.2</v>
      </c>
      <c r="C185" s="523">
        <v>2739</v>
      </c>
      <c r="D185" s="523">
        <v>2935</v>
      </c>
      <c r="E185" s="523">
        <v>3522</v>
      </c>
      <c r="F185" s="523">
        <v>4069</v>
      </c>
      <c r="G185" s="523">
        <v>4539</v>
      </c>
      <c r="H185" s="523">
        <v>109560</v>
      </c>
      <c r="I185" s="523">
        <v>125280</v>
      </c>
      <c r="J185" s="523">
        <v>140880</v>
      </c>
      <c r="K185" s="523">
        <v>156480</v>
      </c>
      <c r="L185" s="523">
        <v>169080</v>
      </c>
      <c r="M185" s="523">
        <v>181560</v>
      </c>
      <c r="N185" s="523">
        <v>194040</v>
      </c>
      <c r="O185" s="523">
        <v>206640</v>
      </c>
      <c r="P185" s="42"/>
      <c r="Q185" s="42"/>
    </row>
    <row r="186" spans="1:17">
      <c r="A186" s="38"/>
      <c r="B186" s="778">
        <v>1</v>
      </c>
      <c r="C186" s="775">
        <v>2282</v>
      </c>
      <c r="D186" s="775">
        <v>2446</v>
      </c>
      <c r="E186" s="775">
        <v>2935</v>
      </c>
      <c r="F186" s="775">
        <v>3391</v>
      </c>
      <c r="G186" s="775">
        <v>3782</v>
      </c>
      <c r="H186" s="775">
        <v>91300</v>
      </c>
      <c r="I186" s="775">
        <v>104400</v>
      </c>
      <c r="J186" s="775">
        <v>117400</v>
      </c>
      <c r="K186" s="775">
        <v>130400</v>
      </c>
      <c r="L186" s="775">
        <v>140900</v>
      </c>
      <c r="M186" s="775">
        <v>151300</v>
      </c>
      <c r="N186" s="775">
        <v>161700</v>
      </c>
      <c r="O186" s="775">
        <v>172200</v>
      </c>
      <c r="P186" s="39"/>
      <c r="Q186" s="39"/>
    </row>
    <row r="187" spans="1:17">
      <c r="A187" s="43" t="s">
        <v>1252</v>
      </c>
      <c r="B187" s="778">
        <v>0.8</v>
      </c>
      <c r="C187" s="775">
        <v>1826</v>
      </c>
      <c r="D187" s="775">
        <v>1957</v>
      </c>
      <c r="E187" s="775">
        <v>2348</v>
      </c>
      <c r="F187" s="775">
        <v>2713</v>
      </c>
      <c r="G187" s="775">
        <v>3026</v>
      </c>
      <c r="H187" s="776">
        <v>73040</v>
      </c>
      <c r="I187" s="776">
        <v>83520</v>
      </c>
      <c r="J187" s="776">
        <v>93920</v>
      </c>
      <c r="K187" s="776">
        <v>104320</v>
      </c>
      <c r="L187" s="776">
        <v>112720</v>
      </c>
      <c r="M187" s="776">
        <v>121040</v>
      </c>
      <c r="N187" s="776">
        <v>129360</v>
      </c>
      <c r="O187" s="776">
        <v>137760</v>
      </c>
      <c r="P187" s="39"/>
      <c r="Q187" s="39"/>
    </row>
    <row r="188" spans="1:17">
      <c r="A188" s="43"/>
      <c r="B188" s="778">
        <v>0.7</v>
      </c>
      <c r="C188" s="775">
        <v>1597</v>
      </c>
      <c r="D188" s="775">
        <v>1712</v>
      </c>
      <c r="E188" s="775">
        <v>2054</v>
      </c>
      <c r="F188" s="775">
        <v>2373</v>
      </c>
      <c r="G188" s="775">
        <v>2647</v>
      </c>
      <c r="H188" s="776">
        <v>63909.999999999993</v>
      </c>
      <c r="I188" s="776">
        <v>73080</v>
      </c>
      <c r="J188" s="776">
        <v>82180</v>
      </c>
      <c r="K188" s="776">
        <v>91280</v>
      </c>
      <c r="L188" s="776">
        <v>98630</v>
      </c>
      <c r="M188" s="776">
        <v>105910</v>
      </c>
      <c r="N188" s="776">
        <v>113190</v>
      </c>
      <c r="O188" s="776">
        <v>120539.99999999999</v>
      </c>
      <c r="P188" s="39"/>
      <c r="Q188" s="39"/>
    </row>
    <row r="189" spans="1:17">
      <c r="A189" s="38"/>
      <c r="B189" s="778">
        <v>0.6</v>
      </c>
      <c r="C189" s="775">
        <v>1369</v>
      </c>
      <c r="D189" s="775">
        <v>1467</v>
      </c>
      <c r="E189" s="775">
        <v>1761</v>
      </c>
      <c r="F189" s="775">
        <v>2034</v>
      </c>
      <c r="G189" s="775">
        <v>2269</v>
      </c>
      <c r="H189" s="775">
        <v>54780</v>
      </c>
      <c r="I189" s="775">
        <v>62640</v>
      </c>
      <c r="J189" s="775">
        <v>70440</v>
      </c>
      <c r="K189" s="775">
        <v>78240</v>
      </c>
      <c r="L189" s="775">
        <v>84540</v>
      </c>
      <c r="M189" s="777">
        <v>90780</v>
      </c>
      <c r="N189" s="777">
        <v>97020</v>
      </c>
      <c r="O189" s="777">
        <v>103320</v>
      </c>
      <c r="P189" s="39"/>
      <c r="Q189" s="39"/>
    </row>
    <row r="190" spans="1:17">
      <c r="A190" s="38"/>
      <c r="B190" s="778">
        <v>0.55000000000000004</v>
      </c>
      <c r="C190" s="775">
        <v>1255</v>
      </c>
      <c r="D190" s="775">
        <v>1345</v>
      </c>
      <c r="E190" s="775">
        <v>1614</v>
      </c>
      <c r="F190" s="775">
        <v>1865</v>
      </c>
      <c r="G190" s="775">
        <v>2080</v>
      </c>
      <c r="H190" s="775">
        <v>50215.000000000007</v>
      </c>
      <c r="I190" s="775">
        <v>57420.000000000007</v>
      </c>
      <c r="J190" s="775">
        <v>64570.000000000007</v>
      </c>
      <c r="K190" s="775">
        <v>71720</v>
      </c>
      <c r="L190" s="775">
        <v>77495</v>
      </c>
      <c r="M190" s="775">
        <v>83215</v>
      </c>
      <c r="N190" s="775">
        <v>88935</v>
      </c>
      <c r="O190" s="775">
        <v>94710.000000000015</v>
      </c>
      <c r="P190" s="39"/>
      <c r="Q190" s="39"/>
    </row>
    <row r="191" spans="1:17">
      <c r="A191" s="38"/>
      <c r="B191" s="778">
        <v>0.5</v>
      </c>
      <c r="C191" s="775">
        <v>1141</v>
      </c>
      <c r="D191" s="775">
        <v>1223</v>
      </c>
      <c r="E191" s="775">
        <v>1467</v>
      </c>
      <c r="F191" s="775">
        <v>1695</v>
      </c>
      <c r="G191" s="775">
        <v>1891</v>
      </c>
      <c r="H191" s="776">
        <v>45650</v>
      </c>
      <c r="I191" s="776">
        <v>52200</v>
      </c>
      <c r="J191" s="776">
        <v>58700</v>
      </c>
      <c r="K191" s="776">
        <v>65200</v>
      </c>
      <c r="L191" s="776">
        <v>70450</v>
      </c>
      <c r="M191" s="776">
        <v>75650</v>
      </c>
      <c r="N191" s="776">
        <v>80850</v>
      </c>
      <c r="O191" s="776">
        <v>86100</v>
      </c>
      <c r="P191" s="39"/>
      <c r="Q191" s="39"/>
    </row>
    <row r="192" spans="1:17">
      <c r="A192" s="38"/>
      <c r="B192" s="778">
        <v>0.45</v>
      </c>
      <c r="C192" s="775">
        <v>1027</v>
      </c>
      <c r="D192" s="775">
        <v>1100</v>
      </c>
      <c r="E192" s="775">
        <v>1320</v>
      </c>
      <c r="F192" s="775">
        <v>1526</v>
      </c>
      <c r="G192" s="775">
        <v>1702</v>
      </c>
      <c r="H192" s="775">
        <v>41085</v>
      </c>
      <c r="I192" s="775">
        <v>46980</v>
      </c>
      <c r="J192" s="775">
        <v>52830</v>
      </c>
      <c r="K192" s="775">
        <v>58680</v>
      </c>
      <c r="L192" s="775">
        <v>63405</v>
      </c>
      <c r="M192" s="777">
        <v>68085</v>
      </c>
      <c r="N192" s="777">
        <v>72765</v>
      </c>
      <c r="O192" s="777">
        <v>77490</v>
      </c>
      <c r="P192" s="39"/>
      <c r="Q192" s="39"/>
    </row>
    <row r="193" spans="1:17">
      <c r="A193" s="38"/>
      <c r="B193" s="778">
        <v>0.4</v>
      </c>
      <c r="C193" s="775">
        <v>913</v>
      </c>
      <c r="D193" s="775">
        <v>978</v>
      </c>
      <c r="E193" s="775">
        <v>1174</v>
      </c>
      <c r="F193" s="775">
        <v>1356</v>
      </c>
      <c r="G193" s="775">
        <v>1513</v>
      </c>
      <c r="H193" s="775">
        <v>36520</v>
      </c>
      <c r="I193" s="775">
        <v>41760</v>
      </c>
      <c r="J193" s="775">
        <v>46960</v>
      </c>
      <c r="K193" s="775">
        <v>52160</v>
      </c>
      <c r="L193" s="775">
        <v>56360</v>
      </c>
      <c r="M193" s="777">
        <v>60520</v>
      </c>
      <c r="N193" s="777">
        <v>64680</v>
      </c>
      <c r="O193" s="777">
        <v>68880</v>
      </c>
      <c r="P193" s="39"/>
      <c r="Q193" s="39"/>
    </row>
    <row r="194" spans="1:17">
      <c r="A194" s="38"/>
      <c r="B194" s="519">
        <v>0.3</v>
      </c>
      <c r="C194" s="775">
        <v>684</v>
      </c>
      <c r="D194" s="775">
        <v>733</v>
      </c>
      <c r="E194" s="775">
        <v>880</v>
      </c>
      <c r="F194" s="775">
        <v>1017</v>
      </c>
      <c r="G194" s="775">
        <v>1134</v>
      </c>
      <c r="H194" s="776">
        <v>27390</v>
      </c>
      <c r="I194" s="776">
        <v>31320</v>
      </c>
      <c r="J194" s="776">
        <v>35220</v>
      </c>
      <c r="K194" s="776">
        <v>39120</v>
      </c>
      <c r="L194" s="776">
        <v>42270</v>
      </c>
      <c r="M194" s="776">
        <v>45390</v>
      </c>
      <c r="N194" s="776">
        <v>48510</v>
      </c>
      <c r="O194" s="776">
        <v>51660</v>
      </c>
      <c r="P194" s="39"/>
      <c r="Q194" s="39"/>
    </row>
    <row r="195" spans="1:17" ht="13.5" thickBot="1">
      <c r="A195" s="803"/>
      <c r="B195" s="40">
        <v>0.2</v>
      </c>
      <c r="C195" s="521">
        <v>456</v>
      </c>
      <c r="D195" s="521">
        <v>489</v>
      </c>
      <c r="E195" s="521">
        <v>587</v>
      </c>
      <c r="F195" s="521">
        <v>678</v>
      </c>
      <c r="G195" s="521">
        <v>756</v>
      </c>
      <c r="H195" s="522">
        <v>18260</v>
      </c>
      <c r="I195" s="522">
        <v>20880</v>
      </c>
      <c r="J195" s="522">
        <v>23480</v>
      </c>
      <c r="K195" s="522">
        <v>26080</v>
      </c>
      <c r="L195" s="522">
        <v>28180</v>
      </c>
      <c r="M195" s="522">
        <v>30260</v>
      </c>
      <c r="N195" s="522">
        <v>32340</v>
      </c>
      <c r="O195" s="522">
        <v>34440</v>
      </c>
      <c r="P195" s="41"/>
      <c r="Q195" s="41"/>
    </row>
    <row r="196" spans="1:17" ht="13.5" thickTop="1">
      <c r="A196" s="38"/>
      <c r="B196" s="37">
        <v>1.2</v>
      </c>
      <c r="C196" s="523">
        <v>2007</v>
      </c>
      <c r="D196" s="523">
        <v>2151</v>
      </c>
      <c r="E196" s="523">
        <v>2583</v>
      </c>
      <c r="F196" s="523">
        <v>2986</v>
      </c>
      <c r="G196" s="523">
        <v>3333</v>
      </c>
      <c r="H196" s="523">
        <v>80280</v>
      </c>
      <c r="I196" s="523">
        <v>91800</v>
      </c>
      <c r="J196" s="523">
        <v>103320</v>
      </c>
      <c r="K196" s="523">
        <v>114840</v>
      </c>
      <c r="L196" s="523">
        <v>124080</v>
      </c>
      <c r="M196" s="523">
        <v>133320</v>
      </c>
      <c r="N196" s="523">
        <v>142320</v>
      </c>
      <c r="O196" s="523">
        <v>151560</v>
      </c>
      <c r="P196" s="41"/>
      <c r="Q196" s="41"/>
    </row>
    <row r="197" spans="1:17">
      <c r="A197" s="38"/>
      <c r="B197" s="778">
        <v>1</v>
      </c>
      <c r="C197" s="775">
        <v>1672</v>
      </c>
      <c r="D197" s="775">
        <v>1792</v>
      </c>
      <c r="E197" s="775">
        <v>2152</v>
      </c>
      <c r="F197" s="775">
        <v>2488</v>
      </c>
      <c r="G197" s="775">
        <v>2777</v>
      </c>
      <c r="H197" s="775">
        <v>66900</v>
      </c>
      <c r="I197" s="775">
        <v>76500</v>
      </c>
      <c r="J197" s="775">
        <v>86100</v>
      </c>
      <c r="K197" s="775">
        <v>95700</v>
      </c>
      <c r="L197" s="775">
        <v>103400</v>
      </c>
      <c r="M197" s="775">
        <v>111100</v>
      </c>
      <c r="N197" s="775">
        <v>118600</v>
      </c>
      <c r="O197" s="775">
        <v>126300</v>
      </c>
      <c r="P197" s="41"/>
      <c r="Q197" s="41"/>
    </row>
    <row r="198" spans="1:17">
      <c r="A198" s="38" t="s">
        <v>1253</v>
      </c>
      <c r="B198" s="778">
        <v>0.8</v>
      </c>
      <c r="C198" s="775">
        <v>1338</v>
      </c>
      <c r="D198" s="775">
        <v>1434</v>
      </c>
      <c r="E198" s="775">
        <v>1722</v>
      </c>
      <c r="F198" s="775">
        <v>1991</v>
      </c>
      <c r="G198" s="775">
        <v>2222</v>
      </c>
      <c r="H198" s="776">
        <v>53520</v>
      </c>
      <c r="I198" s="776">
        <v>61200</v>
      </c>
      <c r="J198" s="776">
        <v>68880</v>
      </c>
      <c r="K198" s="776">
        <v>76560</v>
      </c>
      <c r="L198" s="776">
        <v>82720</v>
      </c>
      <c r="M198" s="776">
        <v>88880</v>
      </c>
      <c r="N198" s="776">
        <v>94880</v>
      </c>
      <c r="O198" s="776">
        <v>101040</v>
      </c>
      <c r="P198" s="41"/>
      <c r="Q198" s="41"/>
    </row>
    <row r="199" spans="1:17">
      <c r="A199" s="38"/>
      <c r="B199" s="778">
        <v>0.7</v>
      </c>
      <c r="C199" s="775">
        <v>1170</v>
      </c>
      <c r="D199" s="775">
        <v>1254</v>
      </c>
      <c r="E199" s="775">
        <v>1506</v>
      </c>
      <c r="F199" s="775">
        <v>1742</v>
      </c>
      <c r="G199" s="775">
        <v>1944</v>
      </c>
      <c r="H199" s="776">
        <v>46830</v>
      </c>
      <c r="I199" s="776">
        <v>53550</v>
      </c>
      <c r="J199" s="776">
        <v>60269.999999999993</v>
      </c>
      <c r="K199" s="776">
        <v>66990</v>
      </c>
      <c r="L199" s="776">
        <v>72380</v>
      </c>
      <c r="M199" s="776">
        <v>77770</v>
      </c>
      <c r="N199" s="776">
        <v>83020</v>
      </c>
      <c r="O199" s="776">
        <v>88410</v>
      </c>
      <c r="P199" s="41"/>
      <c r="Q199" s="41"/>
    </row>
    <row r="200" spans="1:17">
      <c r="A200" s="38"/>
      <c r="B200" s="778">
        <v>0.6</v>
      </c>
      <c r="C200" s="775">
        <v>1003</v>
      </c>
      <c r="D200" s="775">
        <v>1075</v>
      </c>
      <c r="E200" s="775">
        <v>1291</v>
      </c>
      <c r="F200" s="775">
        <v>1493</v>
      </c>
      <c r="G200" s="775">
        <v>1666</v>
      </c>
      <c r="H200" s="775">
        <v>40140</v>
      </c>
      <c r="I200" s="775">
        <v>45900</v>
      </c>
      <c r="J200" s="775">
        <v>51660</v>
      </c>
      <c r="K200" s="775">
        <v>57420</v>
      </c>
      <c r="L200" s="775">
        <v>62040</v>
      </c>
      <c r="M200" s="777">
        <v>66660</v>
      </c>
      <c r="N200" s="777">
        <v>71160</v>
      </c>
      <c r="O200" s="777">
        <v>75780</v>
      </c>
      <c r="P200" s="41"/>
      <c r="Q200" s="41"/>
    </row>
    <row r="201" spans="1:17">
      <c r="A201" s="38"/>
      <c r="B201" s="778">
        <v>0.55000000000000004</v>
      </c>
      <c r="C201" s="775">
        <v>919</v>
      </c>
      <c r="D201" s="775">
        <v>985</v>
      </c>
      <c r="E201" s="775">
        <v>1183</v>
      </c>
      <c r="F201" s="775">
        <v>1368</v>
      </c>
      <c r="G201" s="775">
        <v>1527</v>
      </c>
      <c r="H201" s="775">
        <v>36795</v>
      </c>
      <c r="I201" s="775">
        <v>42075</v>
      </c>
      <c r="J201" s="775">
        <v>47355.000000000007</v>
      </c>
      <c r="K201" s="775">
        <v>52635.000000000007</v>
      </c>
      <c r="L201" s="775">
        <v>56870.000000000007</v>
      </c>
      <c r="M201" s="775">
        <v>61105.000000000007</v>
      </c>
      <c r="N201" s="775">
        <v>65230.000000000007</v>
      </c>
      <c r="O201" s="775">
        <v>69465</v>
      </c>
      <c r="P201" s="41"/>
      <c r="Q201" s="41"/>
    </row>
    <row r="202" spans="1:17">
      <c r="A202" s="38"/>
      <c r="B202" s="778">
        <v>0.5</v>
      </c>
      <c r="C202" s="775">
        <v>836</v>
      </c>
      <c r="D202" s="775">
        <v>896</v>
      </c>
      <c r="E202" s="775">
        <v>1076</v>
      </c>
      <c r="F202" s="775">
        <v>1244</v>
      </c>
      <c r="G202" s="775">
        <v>1388</v>
      </c>
      <c r="H202" s="776">
        <v>33450</v>
      </c>
      <c r="I202" s="776">
        <v>38250</v>
      </c>
      <c r="J202" s="776">
        <v>43050</v>
      </c>
      <c r="K202" s="776">
        <v>47850</v>
      </c>
      <c r="L202" s="776">
        <v>51700</v>
      </c>
      <c r="M202" s="776">
        <v>55550</v>
      </c>
      <c r="N202" s="776">
        <v>59300</v>
      </c>
      <c r="O202" s="776">
        <v>63150</v>
      </c>
      <c r="P202" s="41"/>
      <c r="Q202" s="41"/>
    </row>
    <row r="203" spans="1:17">
      <c r="A203" s="38"/>
      <c r="B203" s="778">
        <v>0.45</v>
      </c>
      <c r="C203" s="775">
        <v>752</v>
      </c>
      <c r="D203" s="775">
        <v>806</v>
      </c>
      <c r="E203" s="775">
        <v>968</v>
      </c>
      <c r="F203" s="775">
        <v>1119</v>
      </c>
      <c r="G203" s="775">
        <v>1249</v>
      </c>
      <c r="H203" s="775">
        <v>30105</v>
      </c>
      <c r="I203" s="775">
        <v>34425</v>
      </c>
      <c r="J203" s="775">
        <v>38745</v>
      </c>
      <c r="K203" s="775">
        <v>43065</v>
      </c>
      <c r="L203" s="775">
        <v>46530</v>
      </c>
      <c r="M203" s="777">
        <v>49995</v>
      </c>
      <c r="N203" s="777">
        <v>53370</v>
      </c>
      <c r="O203" s="777">
        <v>56835</v>
      </c>
      <c r="P203" s="41"/>
      <c r="Q203" s="41"/>
    </row>
    <row r="204" spans="1:17">
      <c r="A204" s="38"/>
      <c r="B204" s="778">
        <v>0.4</v>
      </c>
      <c r="C204" s="775">
        <v>669</v>
      </c>
      <c r="D204" s="775">
        <v>717</v>
      </c>
      <c r="E204" s="775">
        <v>861</v>
      </c>
      <c r="F204" s="775">
        <v>995</v>
      </c>
      <c r="G204" s="775">
        <v>1111</v>
      </c>
      <c r="H204" s="775">
        <v>26760</v>
      </c>
      <c r="I204" s="775">
        <v>30600</v>
      </c>
      <c r="J204" s="775">
        <v>34440</v>
      </c>
      <c r="K204" s="775">
        <v>38280</v>
      </c>
      <c r="L204" s="775">
        <v>41360</v>
      </c>
      <c r="M204" s="777">
        <v>44440</v>
      </c>
      <c r="N204" s="777">
        <v>47440</v>
      </c>
      <c r="O204" s="777">
        <v>50520</v>
      </c>
      <c r="P204" s="41"/>
      <c r="Q204" s="41"/>
    </row>
    <row r="205" spans="1:17">
      <c r="A205" s="38"/>
      <c r="B205" s="519">
        <v>0.3</v>
      </c>
      <c r="C205" s="775">
        <v>501</v>
      </c>
      <c r="D205" s="775">
        <v>537</v>
      </c>
      <c r="E205" s="775">
        <v>645</v>
      </c>
      <c r="F205" s="775">
        <v>746</v>
      </c>
      <c r="G205" s="775">
        <v>833</v>
      </c>
      <c r="H205" s="776">
        <v>20070</v>
      </c>
      <c r="I205" s="776">
        <v>22950</v>
      </c>
      <c r="J205" s="776">
        <v>25830</v>
      </c>
      <c r="K205" s="776">
        <v>28710</v>
      </c>
      <c r="L205" s="776">
        <v>31020</v>
      </c>
      <c r="M205" s="776">
        <v>33330</v>
      </c>
      <c r="N205" s="776">
        <v>35580</v>
      </c>
      <c r="O205" s="776">
        <v>37890</v>
      </c>
      <c r="P205" s="41"/>
      <c r="Q205" s="41"/>
    </row>
    <row r="206" spans="1:17" ht="13.5" thickBot="1">
      <c r="A206" s="38"/>
      <c r="B206" s="40">
        <v>0.2</v>
      </c>
      <c r="C206" s="521">
        <v>334</v>
      </c>
      <c r="D206" s="521">
        <v>358</v>
      </c>
      <c r="E206" s="521">
        <v>430</v>
      </c>
      <c r="F206" s="521">
        <v>497</v>
      </c>
      <c r="G206" s="521">
        <v>555</v>
      </c>
      <c r="H206" s="522">
        <v>13380</v>
      </c>
      <c r="I206" s="522">
        <v>15300</v>
      </c>
      <c r="J206" s="522">
        <v>17220</v>
      </c>
      <c r="K206" s="522">
        <v>19140</v>
      </c>
      <c r="L206" s="522">
        <v>20680</v>
      </c>
      <c r="M206" s="522">
        <v>22220</v>
      </c>
      <c r="N206" s="522">
        <v>23720</v>
      </c>
      <c r="O206" s="522">
        <v>25260</v>
      </c>
      <c r="P206" s="41"/>
      <c r="Q206" s="41"/>
    </row>
    <row r="207" spans="1:17" ht="13.5" thickTop="1">
      <c r="A207" s="36"/>
      <c r="B207" s="37">
        <v>1.2</v>
      </c>
      <c r="C207" s="523">
        <v>2739</v>
      </c>
      <c r="D207" s="523">
        <v>2935</v>
      </c>
      <c r="E207" s="523">
        <v>3522</v>
      </c>
      <c r="F207" s="523">
        <v>4069</v>
      </c>
      <c r="G207" s="523">
        <v>4539</v>
      </c>
      <c r="H207" s="523">
        <v>109560</v>
      </c>
      <c r="I207" s="523">
        <v>125280</v>
      </c>
      <c r="J207" s="523">
        <v>140880</v>
      </c>
      <c r="K207" s="523">
        <v>156480</v>
      </c>
      <c r="L207" s="523">
        <v>169080</v>
      </c>
      <c r="M207" s="523">
        <v>181560</v>
      </c>
      <c r="N207" s="523">
        <v>194040</v>
      </c>
      <c r="O207" s="523">
        <v>206640</v>
      </c>
      <c r="P207" s="39"/>
      <c r="Q207" s="39"/>
    </row>
    <row r="208" spans="1:17">
      <c r="A208" s="38"/>
      <c r="B208" s="778">
        <v>1</v>
      </c>
      <c r="C208" s="775">
        <v>2282</v>
      </c>
      <c r="D208" s="775">
        <v>2446</v>
      </c>
      <c r="E208" s="775">
        <v>2935</v>
      </c>
      <c r="F208" s="775">
        <v>3391</v>
      </c>
      <c r="G208" s="775">
        <v>3782</v>
      </c>
      <c r="H208" s="775">
        <v>91300</v>
      </c>
      <c r="I208" s="775">
        <v>104400</v>
      </c>
      <c r="J208" s="775">
        <v>117400</v>
      </c>
      <c r="K208" s="775">
        <v>130400</v>
      </c>
      <c r="L208" s="775">
        <v>140900</v>
      </c>
      <c r="M208" s="775">
        <v>151300</v>
      </c>
      <c r="N208" s="775">
        <v>161700</v>
      </c>
      <c r="O208" s="775">
        <v>172200</v>
      </c>
      <c r="P208" s="39"/>
      <c r="Q208" s="39"/>
    </row>
    <row r="209" spans="1:17">
      <c r="A209" s="38" t="s">
        <v>1254</v>
      </c>
      <c r="B209" s="778">
        <v>0.8</v>
      </c>
      <c r="C209" s="775">
        <v>1826</v>
      </c>
      <c r="D209" s="775">
        <v>1957</v>
      </c>
      <c r="E209" s="775">
        <v>2348</v>
      </c>
      <c r="F209" s="775">
        <v>2713</v>
      </c>
      <c r="G209" s="775">
        <v>3026</v>
      </c>
      <c r="H209" s="776">
        <v>73040</v>
      </c>
      <c r="I209" s="776">
        <v>83520</v>
      </c>
      <c r="J209" s="776">
        <v>93920</v>
      </c>
      <c r="K209" s="776">
        <v>104320</v>
      </c>
      <c r="L209" s="776">
        <v>112720</v>
      </c>
      <c r="M209" s="776">
        <v>121040</v>
      </c>
      <c r="N209" s="776">
        <v>129360</v>
      </c>
      <c r="O209" s="776">
        <v>137760</v>
      </c>
      <c r="P209" s="39"/>
      <c r="Q209" s="39"/>
    </row>
    <row r="210" spans="1:17">
      <c r="A210" s="38"/>
      <c r="B210" s="778">
        <v>0.7</v>
      </c>
      <c r="C210" s="775">
        <v>1597</v>
      </c>
      <c r="D210" s="775">
        <v>1712</v>
      </c>
      <c r="E210" s="775">
        <v>2054</v>
      </c>
      <c r="F210" s="775">
        <v>2373</v>
      </c>
      <c r="G210" s="775">
        <v>2647</v>
      </c>
      <c r="H210" s="776">
        <v>63909.999999999993</v>
      </c>
      <c r="I210" s="776">
        <v>73080</v>
      </c>
      <c r="J210" s="776">
        <v>82180</v>
      </c>
      <c r="K210" s="776">
        <v>91280</v>
      </c>
      <c r="L210" s="776">
        <v>98630</v>
      </c>
      <c r="M210" s="776">
        <v>105910</v>
      </c>
      <c r="N210" s="776">
        <v>113190</v>
      </c>
      <c r="O210" s="776">
        <v>120539.99999999999</v>
      </c>
      <c r="P210" s="39"/>
      <c r="Q210" s="39"/>
    </row>
    <row r="211" spans="1:17">
      <c r="A211" s="38"/>
      <c r="B211" s="778">
        <v>0.6</v>
      </c>
      <c r="C211" s="775">
        <v>1369</v>
      </c>
      <c r="D211" s="775">
        <v>1467</v>
      </c>
      <c r="E211" s="775">
        <v>1761</v>
      </c>
      <c r="F211" s="775">
        <v>2034</v>
      </c>
      <c r="G211" s="775">
        <v>2269</v>
      </c>
      <c r="H211" s="775">
        <v>54780</v>
      </c>
      <c r="I211" s="775">
        <v>62640</v>
      </c>
      <c r="J211" s="775">
        <v>70440</v>
      </c>
      <c r="K211" s="775">
        <v>78240</v>
      </c>
      <c r="L211" s="775">
        <v>84540</v>
      </c>
      <c r="M211" s="777">
        <v>90780</v>
      </c>
      <c r="N211" s="777">
        <v>97020</v>
      </c>
      <c r="O211" s="777">
        <v>103320</v>
      </c>
      <c r="P211" s="39"/>
      <c r="Q211" s="39"/>
    </row>
    <row r="212" spans="1:17">
      <c r="A212" s="38"/>
      <c r="B212" s="778">
        <v>0.55000000000000004</v>
      </c>
      <c r="C212" s="775">
        <v>1255</v>
      </c>
      <c r="D212" s="775">
        <v>1345</v>
      </c>
      <c r="E212" s="775">
        <v>1614</v>
      </c>
      <c r="F212" s="775">
        <v>1865</v>
      </c>
      <c r="G212" s="775">
        <v>2080</v>
      </c>
      <c r="H212" s="775">
        <v>50215.000000000007</v>
      </c>
      <c r="I212" s="775">
        <v>57420.000000000007</v>
      </c>
      <c r="J212" s="775">
        <v>64570.000000000007</v>
      </c>
      <c r="K212" s="775">
        <v>71720</v>
      </c>
      <c r="L212" s="775">
        <v>77495</v>
      </c>
      <c r="M212" s="775">
        <v>83215</v>
      </c>
      <c r="N212" s="775">
        <v>88935</v>
      </c>
      <c r="O212" s="775">
        <v>94710.000000000015</v>
      </c>
      <c r="P212" s="39"/>
      <c r="Q212" s="39"/>
    </row>
    <row r="213" spans="1:17">
      <c r="A213" s="38"/>
      <c r="B213" s="778">
        <v>0.5</v>
      </c>
      <c r="C213" s="775">
        <v>1141</v>
      </c>
      <c r="D213" s="775">
        <v>1223</v>
      </c>
      <c r="E213" s="775">
        <v>1467</v>
      </c>
      <c r="F213" s="775">
        <v>1695</v>
      </c>
      <c r="G213" s="775">
        <v>1891</v>
      </c>
      <c r="H213" s="776">
        <v>45650</v>
      </c>
      <c r="I213" s="776">
        <v>52200</v>
      </c>
      <c r="J213" s="776">
        <v>58700</v>
      </c>
      <c r="K213" s="776">
        <v>65200</v>
      </c>
      <c r="L213" s="776">
        <v>70450</v>
      </c>
      <c r="M213" s="776">
        <v>75650</v>
      </c>
      <c r="N213" s="776">
        <v>80850</v>
      </c>
      <c r="O213" s="776">
        <v>86100</v>
      </c>
      <c r="P213" s="39"/>
      <c r="Q213" s="39"/>
    </row>
    <row r="214" spans="1:17">
      <c r="A214" s="38"/>
      <c r="B214" s="778">
        <v>0.45</v>
      </c>
      <c r="C214" s="775">
        <v>1027</v>
      </c>
      <c r="D214" s="775">
        <v>1100</v>
      </c>
      <c r="E214" s="775">
        <v>1320</v>
      </c>
      <c r="F214" s="775">
        <v>1526</v>
      </c>
      <c r="G214" s="775">
        <v>1702</v>
      </c>
      <c r="H214" s="775">
        <v>41085</v>
      </c>
      <c r="I214" s="775">
        <v>46980</v>
      </c>
      <c r="J214" s="775">
        <v>52830</v>
      </c>
      <c r="K214" s="775">
        <v>58680</v>
      </c>
      <c r="L214" s="775">
        <v>63405</v>
      </c>
      <c r="M214" s="777">
        <v>68085</v>
      </c>
      <c r="N214" s="777">
        <v>72765</v>
      </c>
      <c r="O214" s="777">
        <v>77490</v>
      </c>
      <c r="P214" s="39"/>
      <c r="Q214" s="39"/>
    </row>
    <row r="215" spans="1:17">
      <c r="A215" s="38"/>
      <c r="B215" s="778">
        <v>0.4</v>
      </c>
      <c r="C215" s="775">
        <v>913</v>
      </c>
      <c r="D215" s="775">
        <v>978</v>
      </c>
      <c r="E215" s="775">
        <v>1174</v>
      </c>
      <c r="F215" s="775">
        <v>1356</v>
      </c>
      <c r="G215" s="775">
        <v>1513</v>
      </c>
      <c r="H215" s="775">
        <v>36520</v>
      </c>
      <c r="I215" s="775">
        <v>41760</v>
      </c>
      <c r="J215" s="775">
        <v>46960</v>
      </c>
      <c r="K215" s="775">
        <v>52160</v>
      </c>
      <c r="L215" s="775">
        <v>56360</v>
      </c>
      <c r="M215" s="777">
        <v>60520</v>
      </c>
      <c r="N215" s="777">
        <v>64680</v>
      </c>
      <c r="O215" s="777">
        <v>68880</v>
      </c>
      <c r="P215" s="39"/>
      <c r="Q215" s="39"/>
    </row>
    <row r="216" spans="1:17">
      <c r="A216" s="38"/>
      <c r="B216" s="519">
        <v>0.3</v>
      </c>
      <c r="C216" s="775">
        <v>684</v>
      </c>
      <c r="D216" s="775">
        <v>733</v>
      </c>
      <c r="E216" s="775">
        <v>880</v>
      </c>
      <c r="F216" s="775">
        <v>1017</v>
      </c>
      <c r="G216" s="775">
        <v>1134</v>
      </c>
      <c r="H216" s="776">
        <v>27390</v>
      </c>
      <c r="I216" s="776">
        <v>31320</v>
      </c>
      <c r="J216" s="776">
        <v>35220</v>
      </c>
      <c r="K216" s="776">
        <v>39120</v>
      </c>
      <c r="L216" s="776">
        <v>42270</v>
      </c>
      <c r="M216" s="776">
        <v>45390</v>
      </c>
      <c r="N216" s="776">
        <v>48510</v>
      </c>
      <c r="O216" s="776">
        <v>51660</v>
      </c>
      <c r="P216" s="39"/>
      <c r="Q216" s="39"/>
    </row>
    <row r="217" spans="1:17" ht="13.5" thickBot="1">
      <c r="A217" s="779"/>
      <c r="B217" s="40">
        <v>0.2</v>
      </c>
      <c r="C217" s="521">
        <v>456</v>
      </c>
      <c r="D217" s="521">
        <v>489</v>
      </c>
      <c r="E217" s="521">
        <v>587</v>
      </c>
      <c r="F217" s="521">
        <v>678</v>
      </c>
      <c r="G217" s="521">
        <v>756</v>
      </c>
      <c r="H217" s="522">
        <v>18260</v>
      </c>
      <c r="I217" s="522">
        <v>20880</v>
      </c>
      <c r="J217" s="522">
        <v>23480</v>
      </c>
      <c r="K217" s="522">
        <v>26080</v>
      </c>
      <c r="L217" s="522">
        <v>28180</v>
      </c>
      <c r="M217" s="522">
        <v>30260</v>
      </c>
      <c r="N217" s="522">
        <v>32340</v>
      </c>
      <c r="O217" s="522">
        <v>34440</v>
      </c>
      <c r="P217" s="41"/>
      <c r="Q217" s="41"/>
    </row>
    <row r="218" spans="1:17" ht="13.5" thickTop="1">
      <c r="A218" s="44"/>
      <c r="B218" s="37">
        <v>1.2</v>
      </c>
      <c r="C218" s="523">
        <v>2733</v>
      </c>
      <c r="D218" s="523">
        <v>2928</v>
      </c>
      <c r="E218" s="523">
        <v>3513</v>
      </c>
      <c r="F218" s="523">
        <v>4059</v>
      </c>
      <c r="G218" s="523">
        <v>4530</v>
      </c>
      <c r="H218" s="523">
        <v>109320</v>
      </c>
      <c r="I218" s="523">
        <v>124920</v>
      </c>
      <c r="J218" s="523">
        <v>140520</v>
      </c>
      <c r="K218" s="523">
        <v>156120</v>
      </c>
      <c r="L218" s="523">
        <v>168600</v>
      </c>
      <c r="M218" s="523">
        <v>181200</v>
      </c>
      <c r="N218" s="523">
        <v>193560</v>
      </c>
      <c r="O218" s="523">
        <v>206160</v>
      </c>
      <c r="P218" s="39"/>
      <c r="Q218" s="39"/>
    </row>
    <row r="219" spans="1:17">
      <c r="A219" s="38"/>
      <c r="B219" s="778">
        <v>1</v>
      </c>
      <c r="C219" s="775">
        <v>2277</v>
      </c>
      <c r="D219" s="775">
        <v>2440</v>
      </c>
      <c r="E219" s="775">
        <v>2927</v>
      </c>
      <c r="F219" s="775">
        <v>3382</v>
      </c>
      <c r="G219" s="775">
        <v>3775</v>
      </c>
      <c r="H219" s="775">
        <v>91100</v>
      </c>
      <c r="I219" s="775">
        <v>104100</v>
      </c>
      <c r="J219" s="775">
        <v>117100</v>
      </c>
      <c r="K219" s="775">
        <v>130100</v>
      </c>
      <c r="L219" s="775">
        <v>140500</v>
      </c>
      <c r="M219" s="775">
        <v>151000</v>
      </c>
      <c r="N219" s="775">
        <v>161300</v>
      </c>
      <c r="O219" s="775">
        <v>171800</v>
      </c>
      <c r="P219" s="39"/>
      <c r="Q219" s="39"/>
    </row>
    <row r="220" spans="1:17">
      <c r="A220" s="38" t="s">
        <v>1255</v>
      </c>
      <c r="B220" s="778">
        <v>0.8</v>
      </c>
      <c r="C220" s="775">
        <v>1822</v>
      </c>
      <c r="D220" s="775">
        <v>1952</v>
      </c>
      <c r="E220" s="775">
        <v>2342</v>
      </c>
      <c r="F220" s="775">
        <v>2706</v>
      </c>
      <c r="G220" s="775">
        <v>3020</v>
      </c>
      <c r="H220" s="776">
        <v>72880</v>
      </c>
      <c r="I220" s="776">
        <v>83280</v>
      </c>
      <c r="J220" s="776">
        <v>93680</v>
      </c>
      <c r="K220" s="776">
        <v>104080</v>
      </c>
      <c r="L220" s="776">
        <v>112400</v>
      </c>
      <c r="M220" s="776">
        <v>120800</v>
      </c>
      <c r="N220" s="776">
        <v>129040</v>
      </c>
      <c r="O220" s="776">
        <v>137440</v>
      </c>
      <c r="P220" s="39"/>
      <c r="Q220" s="39"/>
    </row>
    <row r="221" spans="1:17">
      <c r="A221" s="38"/>
      <c r="B221" s="778">
        <v>0.7</v>
      </c>
      <c r="C221" s="775">
        <v>1594</v>
      </c>
      <c r="D221" s="775">
        <v>1708</v>
      </c>
      <c r="E221" s="775">
        <v>2049</v>
      </c>
      <c r="F221" s="775">
        <v>2367</v>
      </c>
      <c r="G221" s="775">
        <v>2642</v>
      </c>
      <c r="H221" s="776">
        <v>63769.999999999993</v>
      </c>
      <c r="I221" s="776">
        <v>72870</v>
      </c>
      <c r="J221" s="776">
        <v>81970</v>
      </c>
      <c r="K221" s="776">
        <v>91070</v>
      </c>
      <c r="L221" s="776">
        <v>98350</v>
      </c>
      <c r="M221" s="776">
        <v>105700</v>
      </c>
      <c r="N221" s="776">
        <v>112910</v>
      </c>
      <c r="O221" s="776">
        <v>120259.99999999999</v>
      </c>
      <c r="P221" s="39"/>
      <c r="Q221" s="39"/>
    </row>
    <row r="222" spans="1:17">
      <c r="A222" s="38"/>
      <c r="B222" s="778">
        <v>0.6</v>
      </c>
      <c r="C222" s="775">
        <v>1366</v>
      </c>
      <c r="D222" s="775">
        <v>1464</v>
      </c>
      <c r="E222" s="775">
        <v>1756</v>
      </c>
      <c r="F222" s="775">
        <v>2029</v>
      </c>
      <c r="G222" s="775">
        <v>2265</v>
      </c>
      <c r="H222" s="775">
        <v>54660</v>
      </c>
      <c r="I222" s="775">
        <v>62460</v>
      </c>
      <c r="J222" s="775">
        <v>70260</v>
      </c>
      <c r="K222" s="775">
        <v>78060</v>
      </c>
      <c r="L222" s="775">
        <v>84300</v>
      </c>
      <c r="M222" s="777">
        <v>90600</v>
      </c>
      <c r="N222" s="777">
        <v>96780</v>
      </c>
      <c r="O222" s="777">
        <v>103080</v>
      </c>
      <c r="P222" s="39"/>
      <c r="Q222" s="39"/>
    </row>
    <row r="223" spans="1:17">
      <c r="A223" s="38"/>
      <c r="B223" s="778">
        <v>0.55000000000000004</v>
      </c>
      <c r="C223" s="775">
        <v>1252</v>
      </c>
      <c r="D223" s="775">
        <v>1342</v>
      </c>
      <c r="E223" s="775">
        <v>1610</v>
      </c>
      <c r="F223" s="775">
        <v>1860</v>
      </c>
      <c r="G223" s="775">
        <v>2076</v>
      </c>
      <c r="H223" s="775">
        <v>50105.000000000007</v>
      </c>
      <c r="I223" s="775">
        <v>57255.000000000007</v>
      </c>
      <c r="J223" s="775">
        <v>64405.000000000007</v>
      </c>
      <c r="K223" s="775">
        <v>71555</v>
      </c>
      <c r="L223" s="775">
        <v>77275</v>
      </c>
      <c r="M223" s="775">
        <v>83050</v>
      </c>
      <c r="N223" s="775">
        <v>88715</v>
      </c>
      <c r="O223" s="775">
        <v>94490.000000000015</v>
      </c>
      <c r="P223" s="39"/>
      <c r="Q223" s="39"/>
    </row>
    <row r="224" spans="1:17">
      <c r="A224" s="38"/>
      <c r="B224" s="778">
        <v>0.5</v>
      </c>
      <c r="C224" s="775">
        <v>1138</v>
      </c>
      <c r="D224" s="775">
        <v>1220</v>
      </c>
      <c r="E224" s="775">
        <v>1463</v>
      </c>
      <c r="F224" s="775">
        <v>1691</v>
      </c>
      <c r="G224" s="775">
        <v>1887</v>
      </c>
      <c r="H224" s="776">
        <v>45550</v>
      </c>
      <c r="I224" s="776">
        <v>52050</v>
      </c>
      <c r="J224" s="776">
        <v>58550</v>
      </c>
      <c r="K224" s="776">
        <v>65050</v>
      </c>
      <c r="L224" s="776">
        <v>70250</v>
      </c>
      <c r="M224" s="776">
        <v>75500</v>
      </c>
      <c r="N224" s="776">
        <v>80650</v>
      </c>
      <c r="O224" s="776">
        <v>85900</v>
      </c>
      <c r="P224" s="39"/>
      <c r="Q224" s="39"/>
    </row>
    <row r="225" spans="1:17">
      <c r="A225" s="38"/>
      <c r="B225" s="778">
        <v>0.45</v>
      </c>
      <c r="C225" s="775">
        <v>1024</v>
      </c>
      <c r="D225" s="775">
        <v>1098</v>
      </c>
      <c r="E225" s="775">
        <v>1317</v>
      </c>
      <c r="F225" s="775">
        <v>1522</v>
      </c>
      <c r="G225" s="775">
        <v>1698</v>
      </c>
      <c r="H225" s="775">
        <v>40995</v>
      </c>
      <c r="I225" s="775">
        <v>46845</v>
      </c>
      <c r="J225" s="775">
        <v>52695</v>
      </c>
      <c r="K225" s="775">
        <v>58545</v>
      </c>
      <c r="L225" s="775">
        <v>63225</v>
      </c>
      <c r="M225" s="777">
        <v>67950</v>
      </c>
      <c r="N225" s="777">
        <v>72585</v>
      </c>
      <c r="O225" s="777">
        <v>77310</v>
      </c>
      <c r="P225" s="39"/>
      <c r="Q225" s="39"/>
    </row>
    <row r="226" spans="1:17">
      <c r="A226" s="38"/>
      <c r="B226" s="778">
        <v>0.4</v>
      </c>
      <c r="C226" s="775">
        <v>911</v>
      </c>
      <c r="D226" s="775">
        <v>976</v>
      </c>
      <c r="E226" s="775">
        <v>1171</v>
      </c>
      <c r="F226" s="775">
        <v>1353</v>
      </c>
      <c r="G226" s="775">
        <v>1510</v>
      </c>
      <c r="H226" s="775">
        <v>36440</v>
      </c>
      <c r="I226" s="775">
        <v>41640</v>
      </c>
      <c r="J226" s="775">
        <v>46840</v>
      </c>
      <c r="K226" s="775">
        <v>52040</v>
      </c>
      <c r="L226" s="775">
        <v>56200</v>
      </c>
      <c r="M226" s="777">
        <v>60400</v>
      </c>
      <c r="N226" s="777">
        <v>64520</v>
      </c>
      <c r="O226" s="777">
        <v>68720</v>
      </c>
      <c r="P226" s="39"/>
      <c r="Q226" s="39"/>
    </row>
    <row r="227" spans="1:17">
      <c r="A227" s="38"/>
      <c r="B227" s="519">
        <v>0.3</v>
      </c>
      <c r="C227" s="775">
        <v>683</v>
      </c>
      <c r="D227" s="775">
        <v>732</v>
      </c>
      <c r="E227" s="775">
        <v>878</v>
      </c>
      <c r="F227" s="775">
        <v>1014</v>
      </c>
      <c r="G227" s="775">
        <v>1132</v>
      </c>
      <c r="H227" s="776">
        <v>27330</v>
      </c>
      <c r="I227" s="776">
        <v>31230</v>
      </c>
      <c r="J227" s="776">
        <v>35130</v>
      </c>
      <c r="K227" s="776">
        <v>39030</v>
      </c>
      <c r="L227" s="776">
        <v>42150</v>
      </c>
      <c r="M227" s="776">
        <v>45300</v>
      </c>
      <c r="N227" s="776">
        <v>48390</v>
      </c>
      <c r="O227" s="776">
        <v>51540</v>
      </c>
      <c r="P227" s="39"/>
      <c r="Q227" s="39"/>
    </row>
    <row r="228" spans="1:17" ht="13.5" thickBot="1">
      <c r="A228" s="779"/>
      <c r="B228" s="40">
        <v>0.2</v>
      </c>
      <c r="C228" s="521">
        <v>455</v>
      </c>
      <c r="D228" s="521">
        <v>488</v>
      </c>
      <c r="E228" s="521">
        <v>585</v>
      </c>
      <c r="F228" s="521">
        <v>676</v>
      </c>
      <c r="G228" s="521">
        <v>755</v>
      </c>
      <c r="H228" s="522">
        <v>18220</v>
      </c>
      <c r="I228" s="522">
        <v>20820</v>
      </c>
      <c r="J228" s="522">
        <v>23420</v>
      </c>
      <c r="K228" s="522">
        <v>26020</v>
      </c>
      <c r="L228" s="522">
        <v>28100</v>
      </c>
      <c r="M228" s="522">
        <v>30200</v>
      </c>
      <c r="N228" s="522">
        <v>32260</v>
      </c>
      <c r="O228" s="522">
        <v>34360</v>
      </c>
      <c r="P228" s="45"/>
      <c r="Q228" s="45"/>
    </row>
    <row r="229" spans="1:17" ht="13.5" thickTop="1">
      <c r="A229" s="36"/>
      <c r="B229" s="37">
        <v>1.2</v>
      </c>
      <c r="C229" s="523">
        <v>2184</v>
      </c>
      <c r="D229" s="523">
        <v>2340</v>
      </c>
      <c r="E229" s="523">
        <v>2808</v>
      </c>
      <c r="F229" s="523">
        <v>3246</v>
      </c>
      <c r="G229" s="523">
        <v>3621</v>
      </c>
      <c r="H229" s="523">
        <v>87360</v>
      </c>
      <c r="I229" s="523">
        <v>99840</v>
      </c>
      <c r="J229" s="523">
        <v>112320</v>
      </c>
      <c r="K229" s="523">
        <v>124800</v>
      </c>
      <c r="L229" s="523">
        <v>134880</v>
      </c>
      <c r="M229" s="523">
        <v>144840</v>
      </c>
      <c r="N229" s="523">
        <v>154800</v>
      </c>
      <c r="O229" s="523">
        <v>164760</v>
      </c>
      <c r="P229" s="39"/>
      <c r="Q229" s="39"/>
    </row>
    <row r="230" spans="1:17">
      <c r="A230" s="38"/>
      <c r="B230" s="778">
        <v>1</v>
      </c>
      <c r="C230" s="775">
        <v>1820</v>
      </c>
      <c r="D230" s="775">
        <v>1950</v>
      </c>
      <c r="E230" s="775">
        <v>2340</v>
      </c>
      <c r="F230" s="775">
        <v>2705</v>
      </c>
      <c r="G230" s="775">
        <v>3017</v>
      </c>
      <c r="H230" s="775">
        <v>72800</v>
      </c>
      <c r="I230" s="775">
        <v>83200</v>
      </c>
      <c r="J230" s="775">
        <v>93600</v>
      </c>
      <c r="K230" s="775">
        <v>104000</v>
      </c>
      <c r="L230" s="775">
        <v>112400</v>
      </c>
      <c r="M230" s="775">
        <v>120700</v>
      </c>
      <c r="N230" s="775">
        <v>129000</v>
      </c>
      <c r="O230" s="775">
        <v>137300</v>
      </c>
      <c r="P230" s="39"/>
      <c r="Q230" s="39"/>
    </row>
    <row r="231" spans="1:17">
      <c r="A231" s="38" t="s">
        <v>1256</v>
      </c>
      <c r="B231" s="778">
        <v>0.8</v>
      </c>
      <c r="C231" s="775">
        <v>1456</v>
      </c>
      <c r="D231" s="775">
        <v>1560</v>
      </c>
      <c r="E231" s="775">
        <v>1872</v>
      </c>
      <c r="F231" s="775">
        <v>2164</v>
      </c>
      <c r="G231" s="775">
        <v>2414</v>
      </c>
      <c r="H231" s="776">
        <v>58240</v>
      </c>
      <c r="I231" s="776">
        <v>66560</v>
      </c>
      <c r="J231" s="776">
        <v>74880</v>
      </c>
      <c r="K231" s="776">
        <v>83200</v>
      </c>
      <c r="L231" s="776">
        <v>89920</v>
      </c>
      <c r="M231" s="776">
        <v>96560</v>
      </c>
      <c r="N231" s="776">
        <v>103200</v>
      </c>
      <c r="O231" s="776">
        <v>109840</v>
      </c>
      <c r="P231" s="39"/>
      <c r="Q231" s="39"/>
    </row>
    <row r="232" spans="1:17">
      <c r="A232" s="38"/>
      <c r="B232" s="778">
        <v>0.7</v>
      </c>
      <c r="C232" s="775">
        <v>1274</v>
      </c>
      <c r="D232" s="775">
        <v>1365</v>
      </c>
      <c r="E232" s="775">
        <v>1638</v>
      </c>
      <c r="F232" s="775">
        <v>1893</v>
      </c>
      <c r="G232" s="775">
        <v>2112</v>
      </c>
      <c r="H232" s="776">
        <v>50960</v>
      </c>
      <c r="I232" s="776">
        <v>58239.999999999993</v>
      </c>
      <c r="J232" s="776">
        <v>65519.999999999993</v>
      </c>
      <c r="K232" s="776">
        <v>72800</v>
      </c>
      <c r="L232" s="776">
        <v>78680</v>
      </c>
      <c r="M232" s="776">
        <v>84490</v>
      </c>
      <c r="N232" s="776">
        <v>90300</v>
      </c>
      <c r="O232" s="776">
        <v>96110</v>
      </c>
      <c r="P232" s="39"/>
      <c r="Q232" s="39"/>
    </row>
    <row r="233" spans="1:17">
      <c r="A233" s="38"/>
      <c r="B233" s="778">
        <v>0.6</v>
      </c>
      <c r="C233" s="775">
        <v>1092</v>
      </c>
      <c r="D233" s="775">
        <v>1170</v>
      </c>
      <c r="E233" s="775">
        <v>1404</v>
      </c>
      <c r="F233" s="775">
        <v>1623</v>
      </c>
      <c r="G233" s="775">
        <v>1810</v>
      </c>
      <c r="H233" s="775">
        <v>43680</v>
      </c>
      <c r="I233" s="775">
        <v>49920</v>
      </c>
      <c r="J233" s="775">
        <v>56160</v>
      </c>
      <c r="K233" s="775">
        <v>62400</v>
      </c>
      <c r="L233" s="775">
        <v>67440</v>
      </c>
      <c r="M233" s="777">
        <v>72420</v>
      </c>
      <c r="N233" s="777">
        <v>77400</v>
      </c>
      <c r="O233" s="777">
        <v>82380</v>
      </c>
      <c r="P233" s="39"/>
      <c r="Q233" s="39"/>
    </row>
    <row r="234" spans="1:17">
      <c r="A234" s="38"/>
      <c r="B234" s="778">
        <v>0.55000000000000004</v>
      </c>
      <c r="C234" s="775">
        <v>1001</v>
      </c>
      <c r="D234" s="775">
        <v>1072</v>
      </c>
      <c r="E234" s="775">
        <v>1287</v>
      </c>
      <c r="F234" s="775">
        <v>1487</v>
      </c>
      <c r="G234" s="775">
        <v>1659</v>
      </c>
      <c r="H234" s="775">
        <v>40040</v>
      </c>
      <c r="I234" s="775">
        <v>45760.000000000007</v>
      </c>
      <c r="J234" s="775">
        <v>51480.000000000007</v>
      </c>
      <c r="K234" s="775">
        <v>57200.000000000007</v>
      </c>
      <c r="L234" s="775">
        <v>61820.000000000007</v>
      </c>
      <c r="M234" s="775">
        <v>66385</v>
      </c>
      <c r="N234" s="775">
        <v>70950</v>
      </c>
      <c r="O234" s="775">
        <v>75515</v>
      </c>
      <c r="P234" s="39"/>
      <c r="Q234" s="39"/>
    </row>
    <row r="235" spans="1:17">
      <c r="A235" s="38"/>
      <c r="B235" s="778">
        <v>0.5</v>
      </c>
      <c r="C235" s="775">
        <v>910</v>
      </c>
      <c r="D235" s="775">
        <v>975</v>
      </c>
      <c r="E235" s="775">
        <v>1170</v>
      </c>
      <c r="F235" s="775">
        <v>1352</v>
      </c>
      <c r="G235" s="775">
        <v>1508</v>
      </c>
      <c r="H235" s="776">
        <v>36400</v>
      </c>
      <c r="I235" s="776">
        <v>41600</v>
      </c>
      <c r="J235" s="776">
        <v>46800</v>
      </c>
      <c r="K235" s="776">
        <v>52000</v>
      </c>
      <c r="L235" s="776">
        <v>56200</v>
      </c>
      <c r="M235" s="776">
        <v>60350</v>
      </c>
      <c r="N235" s="776">
        <v>64500</v>
      </c>
      <c r="O235" s="776">
        <v>68650</v>
      </c>
      <c r="P235" s="39"/>
      <c r="Q235" s="39"/>
    </row>
    <row r="236" spans="1:17">
      <c r="A236" s="38"/>
      <c r="B236" s="778">
        <v>0.45</v>
      </c>
      <c r="C236" s="775">
        <v>819</v>
      </c>
      <c r="D236" s="775">
        <v>877</v>
      </c>
      <c r="E236" s="775">
        <v>1053</v>
      </c>
      <c r="F236" s="775">
        <v>1217</v>
      </c>
      <c r="G236" s="775">
        <v>1357</v>
      </c>
      <c r="H236" s="775">
        <v>32760</v>
      </c>
      <c r="I236" s="775">
        <v>37440</v>
      </c>
      <c r="J236" s="775">
        <v>42120</v>
      </c>
      <c r="K236" s="775">
        <v>46800</v>
      </c>
      <c r="L236" s="775">
        <v>50580</v>
      </c>
      <c r="M236" s="777">
        <v>54315</v>
      </c>
      <c r="N236" s="777">
        <v>58050</v>
      </c>
      <c r="O236" s="777">
        <v>61785</v>
      </c>
      <c r="P236" s="39"/>
      <c r="Q236" s="39"/>
    </row>
    <row r="237" spans="1:17">
      <c r="A237" s="38"/>
      <c r="B237" s="778">
        <v>0.4</v>
      </c>
      <c r="C237" s="775">
        <v>728</v>
      </c>
      <c r="D237" s="775">
        <v>780</v>
      </c>
      <c r="E237" s="775">
        <v>936</v>
      </c>
      <c r="F237" s="775">
        <v>1082</v>
      </c>
      <c r="G237" s="775">
        <v>1207</v>
      </c>
      <c r="H237" s="775">
        <v>29120</v>
      </c>
      <c r="I237" s="775">
        <v>33280</v>
      </c>
      <c r="J237" s="775">
        <v>37440</v>
      </c>
      <c r="K237" s="775">
        <v>41600</v>
      </c>
      <c r="L237" s="775">
        <v>44960</v>
      </c>
      <c r="M237" s="777">
        <v>48280</v>
      </c>
      <c r="N237" s="777">
        <v>51600</v>
      </c>
      <c r="O237" s="777">
        <v>54920</v>
      </c>
      <c r="P237" s="39"/>
      <c r="Q237" s="39"/>
    </row>
    <row r="238" spans="1:17">
      <c r="A238" s="38"/>
      <c r="B238" s="519">
        <v>0.3</v>
      </c>
      <c r="C238" s="775">
        <v>546</v>
      </c>
      <c r="D238" s="775">
        <v>585</v>
      </c>
      <c r="E238" s="775">
        <v>702</v>
      </c>
      <c r="F238" s="775">
        <v>811</v>
      </c>
      <c r="G238" s="775">
        <v>905</v>
      </c>
      <c r="H238" s="776">
        <v>21840</v>
      </c>
      <c r="I238" s="776">
        <v>24960</v>
      </c>
      <c r="J238" s="776">
        <v>28080</v>
      </c>
      <c r="K238" s="776">
        <v>31200</v>
      </c>
      <c r="L238" s="776">
        <v>33720</v>
      </c>
      <c r="M238" s="776">
        <v>36210</v>
      </c>
      <c r="N238" s="776">
        <v>38700</v>
      </c>
      <c r="O238" s="776">
        <v>41190</v>
      </c>
      <c r="P238" s="39"/>
      <c r="Q238" s="39"/>
    </row>
    <row r="239" spans="1:17" ht="13.5" thickBot="1">
      <c r="A239" s="38"/>
      <c r="B239" s="40">
        <v>0.2</v>
      </c>
      <c r="C239" s="521">
        <v>364</v>
      </c>
      <c r="D239" s="521">
        <v>390</v>
      </c>
      <c r="E239" s="521">
        <v>468</v>
      </c>
      <c r="F239" s="521">
        <v>541</v>
      </c>
      <c r="G239" s="521">
        <v>603</v>
      </c>
      <c r="H239" s="522">
        <v>14560</v>
      </c>
      <c r="I239" s="522">
        <v>16640</v>
      </c>
      <c r="J239" s="522">
        <v>18720</v>
      </c>
      <c r="K239" s="522">
        <v>20800</v>
      </c>
      <c r="L239" s="522">
        <v>22480</v>
      </c>
      <c r="M239" s="522">
        <v>24140</v>
      </c>
      <c r="N239" s="522">
        <v>25800</v>
      </c>
      <c r="O239" s="522">
        <v>27460</v>
      </c>
      <c r="P239" s="41"/>
      <c r="Q239" s="41"/>
    </row>
    <row r="240" spans="1:17" ht="13.5" thickTop="1">
      <c r="A240" s="36"/>
      <c r="B240" s="37">
        <v>1.2</v>
      </c>
      <c r="C240" s="523">
        <v>2739</v>
      </c>
      <c r="D240" s="523">
        <v>2935</v>
      </c>
      <c r="E240" s="523">
        <v>3522</v>
      </c>
      <c r="F240" s="523">
        <v>4069</v>
      </c>
      <c r="G240" s="523">
        <v>4539</v>
      </c>
      <c r="H240" s="523">
        <v>109560</v>
      </c>
      <c r="I240" s="523">
        <v>125280</v>
      </c>
      <c r="J240" s="523">
        <v>140880</v>
      </c>
      <c r="K240" s="523">
        <v>156480</v>
      </c>
      <c r="L240" s="523">
        <v>169080</v>
      </c>
      <c r="M240" s="523">
        <v>181560</v>
      </c>
      <c r="N240" s="523">
        <v>194040</v>
      </c>
      <c r="O240" s="523">
        <v>206640</v>
      </c>
      <c r="P240" s="39"/>
      <c r="Q240" s="39"/>
    </row>
    <row r="241" spans="1:17">
      <c r="A241" s="38"/>
      <c r="B241" s="778">
        <v>1</v>
      </c>
      <c r="C241" s="775">
        <v>2282</v>
      </c>
      <c r="D241" s="775">
        <v>2446</v>
      </c>
      <c r="E241" s="775">
        <v>2935</v>
      </c>
      <c r="F241" s="775">
        <v>3391</v>
      </c>
      <c r="G241" s="775">
        <v>3782</v>
      </c>
      <c r="H241" s="775">
        <v>91300</v>
      </c>
      <c r="I241" s="775">
        <v>104400</v>
      </c>
      <c r="J241" s="775">
        <v>117400</v>
      </c>
      <c r="K241" s="775">
        <v>130400</v>
      </c>
      <c r="L241" s="775">
        <v>140900</v>
      </c>
      <c r="M241" s="775">
        <v>151300</v>
      </c>
      <c r="N241" s="775">
        <v>161700</v>
      </c>
      <c r="O241" s="775">
        <v>172200</v>
      </c>
      <c r="P241" s="39"/>
      <c r="Q241" s="39"/>
    </row>
    <row r="242" spans="1:17">
      <c r="A242" s="38" t="s">
        <v>1257</v>
      </c>
      <c r="B242" s="778">
        <v>0.8</v>
      </c>
      <c r="C242" s="775">
        <v>1826</v>
      </c>
      <c r="D242" s="775">
        <v>1957</v>
      </c>
      <c r="E242" s="775">
        <v>2348</v>
      </c>
      <c r="F242" s="775">
        <v>2713</v>
      </c>
      <c r="G242" s="775">
        <v>3026</v>
      </c>
      <c r="H242" s="776">
        <v>73040</v>
      </c>
      <c r="I242" s="776">
        <v>83520</v>
      </c>
      <c r="J242" s="776">
        <v>93920</v>
      </c>
      <c r="K242" s="776">
        <v>104320</v>
      </c>
      <c r="L242" s="776">
        <v>112720</v>
      </c>
      <c r="M242" s="776">
        <v>121040</v>
      </c>
      <c r="N242" s="776">
        <v>129360</v>
      </c>
      <c r="O242" s="776">
        <v>137760</v>
      </c>
      <c r="P242" s="39"/>
      <c r="Q242" s="39"/>
    </row>
    <row r="243" spans="1:17">
      <c r="A243" s="38"/>
      <c r="B243" s="778">
        <v>0.7</v>
      </c>
      <c r="C243" s="775">
        <v>1597</v>
      </c>
      <c r="D243" s="775">
        <v>1712</v>
      </c>
      <c r="E243" s="775">
        <v>2054</v>
      </c>
      <c r="F243" s="775">
        <v>2373</v>
      </c>
      <c r="G243" s="775">
        <v>2647</v>
      </c>
      <c r="H243" s="776">
        <v>63909.999999999993</v>
      </c>
      <c r="I243" s="776">
        <v>73080</v>
      </c>
      <c r="J243" s="776">
        <v>82180</v>
      </c>
      <c r="K243" s="776">
        <v>91280</v>
      </c>
      <c r="L243" s="776">
        <v>98630</v>
      </c>
      <c r="M243" s="776">
        <v>105910</v>
      </c>
      <c r="N243" s="776">
        <v>113190</v>
      </c>
      <c r="O243" s="776">
        <v>120539.99999999999</v>
      </c>
      <c r="P243" s="39"/>
      <c r="Q243" s="39"/>
    </row>
    <row r="244" spans="1:17">
      <c r="A244" s="38"/>
      <c r="B244" s="778">
        <v>0.6</v>
      </c>
      <c r="C244" s="775">
        <v>1369</v>
      </c>
      <c r="D244" s="775">
        <v>1467</v>
      </c>
      <c r="E244" s="775">
        <v>1761</v>
      </c>
      <c r="F244" s="775">
        <v>2034</v>
      </c>
      <c r="G244" s="775">
        <v>2269</v>
      </c>
      <c r="H244" s="775">
        <v>54780</v>
      </c>
      <c r="I244" s="775">
        <v>62640</v>
      </c>
      <c r="J244" s="775">
        <v>70440</v>
      </c>
      <c r="K244" s="775">
        <v>78240</v>
      </c>
      <c r="L244" s="775">
        <v>84540</v>
      </c>
      <c r="M244" s="777">
        <v>90780</v>
      </c>
      <c r="N244" s="777">
        <v>97020</v>
      </c>
      <c r="O244" s="777">
        <v>103320</v>
      </c>
      <c r="P244" s="39"/>
      <c r="Q244" s="39"/>
    </row>
    <row r="245" spans="1:17">
      <c r="A245" s="38"/>
      <c r="B245" s="778">
        <v>0.55000000000000004</v>
      </c>
      <c r="C245" s="775">
        <v>1255</v>
      </c>
      <c r="D245" s="775">
        <v>1345</v>
      </c>
      <c r="E245" s="775">
        <v>1614</v>
      </c>
      <c r="F245" s="775">
        <v>1865</v>
      </c>
      <c r="G245" s="775">
        <v>2080</v>
      </c>
      <c r="H245" s="775">
        <v>50215.000000000007</v>
      </c>
      <c r="I245" s="775">
        <v>57420.000000000007</v>
      </c>
      <c r="J245" s="775">
        <v>64570.000000000007</v>
      </c>
      <c r="K245" s="775">
        <v>71720</v>
      </c>
      <c r="L245" s="775">
        <v>77495</v>
      </c>
      <c r="M245" s="775">
        <v>83215</v>
      </c>
      <c r="N245" s="775">
        <v>88935</v>
      </c>
      <c r="O245" s="775">
        <v>94710.000000000015</v>
      </c>
      <c r="P245" s="39"/>
      <c r="Q245" s="39"/>
    </row>
    <row r="246" spans="1:17">
      <c r="A246" s="38"/>
      <c r="B246" s="778">
        <v>0.5</v>
      </c>
      <c r="C246" s="775">
        <v>1141</v>
      </c>
      <c r="D246" s="775">
        <v>1223</v>
      </c>
      <c r="E246" s="775">
        <v>1467</v>
      </c>
      <c r="F246" s="775">
        <v>1695</v>
      </c>
      <c r="G246" s="775">
        <v>1891</v>
      </c>
      <c r="H246" s="776">
        <v>45650</v>
      </c>
      <c r="I246" s="776">
        <v>52200</v>
      </c>
      <c r="J246" s="776">
        <v>58700</v>
      </c>
      <c r="K246" s="776">
        <v>65200</v>
      </c>
      <c r="L246" s="776">
        <v>70450</v>
      </c>
      <c r="M246" s="776">
        <v>75650</v>
      </c>
      <c r="N246" s="776">
        <v>80850</v>
      </c>
      <c r="O246" s="776">
        <v>86100</v>
      </c>
      <c r="P246" s="39"/>
      <c r="Q246" s="39"/>
    </row>
    <row r="247" spans="1:17">
      <c r="A247" s="38"/>
      <c r="B247" s="778">
        <v>0.45</v>
      </c>
      <c r="C247" s="775">
        <v>1027</v>
      </c>
      <c r="D247" s="775">
        <v>1100</v>
      </c>
      <c r="E247" s="775">
        <v>1320</v>
      </c>
      <c r="F247" s="775">
        <v>1526</v>
      </c>
      <c r="G247" s="775">
        <v>1702</v>
      </c>
      <c r="H247" s="775">
        <v>41085</v>
      </c>
      <c r="I247" s="775">
        <v>46980</v>
      </c>
      <c r="J247" s="775">
        <v>52830</v>
      </c>
      <c r="K247" s="775">
        <v>58680</v>
      </c>
      <c r="L247" s="775">
        <v>63405</v>
      </c>
      <c r="M247" s="777">
        <v>68085</v>
      </c>
      <c r="N247" s="777">
        <v>72765</v>
      </c>
      <c r="O247" s="777">
        <v>77490</v>
      </c>
      <c r="P247" s="39"/>
      <c r="Q247" s="39"/>
    </row>
    <row r="248" spans="1:17">
      <c r="A248" s="38"/>
      <c r="B248" s="778">
        <v>0.4</v>
      </c>
      <c r="C248" s="775">
        <v>913</v>
      </c>
      <c r="D248" s="775">
        <v>978</v>
      </c>
      <c r="E248" s="775">
        <v>1174</v>
      </c>
      <c r="F248" s="775">
        <v>1356</v>
      </c>
      <c r="G248" s="775">
        <v>1513</v>
      </c>
      <c r="H248" s="775">
        <v>36520</v>
      </c>
      <c r="I248" s="775">
        <v>41760</v>
      </c>
      <c r="J248" s="775">
        <v>46960</v>
      </c>
      <c r="K248" s="775">
        <v>52160</v>
      </c>
      <c r="L248" s="775">
        <v>56360</v>
      </c>
      <c r="M248" s="777">
        <v>60520</v>
      </c>
      <c r="N248" s="777">
        <v>64680</v>
      </c>
      <c r="O248" s="777">
        <v>68880</v>
      </c>
      <c r="P248" s="39"/>
      <c r="Q248" s="39"/>
    </row>
    <row r="249" spans="1:17">
      <c r="A249" s="38"/>
      <c r="B249" s="519">
        <v>0.3</v>
      </c>
      <c r="C249" s="775">
        <v>684</v>
      </c>
      <c r="D249" s="775">
        <v>733</v>
      </c>
      <c r="E249" s="775">
        <v>880</v>
      </c>
      <c r="F249" s="775">
        <v>1017</v>
      </c>
      <c r="G249" s="775">
        <v>1134</v>
      </c>
      <c r="H249" s="776">
        <v>27390</v>
      </c>
      <c r="I249" s="776">
        <v>31320</v>
      </c>
      <c r="J249" s="776">
        <v>35220</v>
      </c>
      <c r="K249" s="776">
        <v>39120</v>
      </c>
      <c r="L249" s="776">
        <v>42270</v>
      </c>
      <c r="M249" s="776">
        <v>45390</v>
      </c>
      <c r="N249" s="776">
        <v>48510</v>
      </c>
      <c r="O249" s="776">
        <v>51660</v>
      </c>
      <c r="P249" s="39"/>
      <c r="Q249" s="39"/>
    </row>
    <row r="250" spans="1:17" ht="13.5" thickBot="1">
      <c r="A250" s="779"/>
      <c r="B250" s="40">
        <v>0.2</v>
      </c>
      <c r="C250" s="521">
        <v>456</v>
      </c>
      <c r="D250" s="521">
        <v>489</v>
      </c>
      <c r="E250" s="521">
        <v>587</v>
      </c>
      <c r="F250" s="521">
        <v>678</v>
      </c>
      <c r="G250" s="521">
        <v>756</v>
      </c>
      <c r="H250" s="522">
        <v>18260</v>
      </c>
      <c r="I250" s="522">
        <v>20880</v>
      </c>
      <c r="J250" s="522">
        <v>23480</v>
      </c>
      <c r="K250" s="522">
        <v>26080</v>
      </c>
      <c r="L250" s="522">
        <v>28180</v>
      </c>
      <c r="M250" s="522">
        <v>30260</v>
      </c>
      <c r="N250" s="522">
        <v>32340</v>
      </c>
      <c r="O250" s="522">
        <v>34440</v>
      </c>
      <c r="P250" s="41"/>
      <c r="Q250" s="41"/>
    </row>
    <row r="251" spans="1:17" ht="13.5" thickTop="1">
      <c r="A251" s="36"/>
      <c r="B251" s="37">
        <v>1.2</v>
      </c>
      <c r="C251" s="523">
        <v>1980</v>
      </c>
      <c r="D251" s="523">
        <v>2121</v>
      </c>
      <c r="E251" s="523">
        <v>2544</v>
      </c>
      <c r="F251" s="523">
        <v>2940</v>
      </c>
      <c r="G251" s="523">
        <v>3279</v>
      </c>
      <c r="H251" s="523">
        <v>79200</v>
      </c>
      <c r="I251" s="523">
        <v>90480</v>
      </c>
      <c r="J251" s="523">
        <v>101760</v>
      </c>
      <c r="K251" s="523">
        <v>113040</v>
      </c>
      <c r="L251" s="523">
        <v>122160</v>
      </c>
      <c r="M251" s="523">
        <v>131160</v>
      </c>
      <c r="N251" s="523">
        <v>140280</v>
      </c>
      <c r="O251" s="523">
        <v>149280</v>
      </c>
      <c r="P251" s="41"/>
      <c r="Q251" s="41"/>
    </row>
    <row r="252" spans="1:17">
      <c r="A252" s="38"/>
      <c r="B252" s="778">
        <v>1</v>
      </c>
      <c r="C252" s="775">
        <v>1650</v>
      </c>
      <c r="D252" s="775">
        <v>1767</v>
      </c>
      <c r="E252" s="775">
        <v>2120</v>
      </c>
      <c r="F252" s="775">
        <v>2450</v>
      </c>
      <c r="G252" s="775">
        <v>2732</v>
      </c>
      <c r="H252" s="775">
        <v>66000</v>
      </c>
      <c r="I252" s="775">
        <v>75400</v>
      </c>
      <c r="J252" s="775">
        <v>84800</v>
      </c>
      <c r="K252" s="775">
        <v>94200</v>
      </c>
      <c r="L252" s="775">
        <v>101800</v>
      </c>
      <c r="M252" s="775">
        <v>109300</v>
      </c>
      <c r="N252" s="775">
        <v>116900</v>
      </c>
      <c r="O252" s="775">
        <v>124400</v>
      </c>
      <c r="P252" s="41"/>
      <c r="Q252" s="41"/>
    </row>
    <row r="253" spans="1:17">
      <c r="A253" s="38" t="s">
        <v>1258</v>
      </c>
      <c r="B253" s="778">
        <v>0.8</v>
      </c>
      <c r="C253" s="775">
        <v>1320</v>
      </c>
      <c r="D253" s="775">
        <v>1414</v>
      </c>
      <c r="E253" s="775">
        <v>1696</v>
      </c>
      <c r="F253" s="775">
        <v>1960</v>
      </c>
      <c r="G253" s="775">
        <v>2186</v>
      </c>
      <c r="H253" s="776">
        <v>52800</v>
      </c>
      <c r="I253" s="776">
        <v>60320</v>
      </c>
      <c r="J253" s="776">
        <v>67840</v>
      </c>
      <c r="K253" s="776">
        <v>75360</v>
      </c>
      <c r="L253" s="776">
        <v>81440</v>
      </c>
      <c r="M253" s="776">
        <v>87440</v>
      </c>
      <c r="N253" s="776">
        <v>93520</v>
      </c>
      <c r="O253" s="776">
        <v>99520</v>
      </c>
      <c r="P253" s="41"/>
      <c r="Q253" s="41"/>
    </row>
    <row r="254" spans="1:17">
      <c r="A254" s="38"/>
      <c r="B254" s="778">
        <v>0.7</v>
      </c>
      <c r="C254" s="775">
        <v>1155</v>
      </c>
      <c r="D254" s="775">
        <v>1237</v>
      </c>
      <c r="E254" s="775">
        <v>1484</v>
      </c>
      <c r="F254" s="775">
        <v>1715</v>
      </c>
      <c r="G254" s="775">
        <v>1912</v>
      </c>
      <c r="H254" s="776">
        <v>46200</v>
      </c>
      <c r="I254" s="776">
        <v>52780</v>
      </c>
      <c r="J254" s="776">
        <v>59359.999999999993</v>
      </c>
      <c r="K254" s="776">
        <v>65940</v>
      </c>
      <c r="L254" s="776">
        <v>71260</v>
      </c>
      <c r="M254" s="776">
        <v>76510</v>
      </c>
      <c r="N254" s="776">
        <v>81830</v>
      </c>
      <c r="O254" s="776">
        <v>87080</v>
      </c>
      <c r="P254" s="41"/>
      <c r="Q254" s="41"/>
    </row>
    <row r="255" spans="1:17">
      <c r="A255" s="38"/>
      <c r="B255" s="778">
        <v>0.6</v>
      </c>
      <c r="C255" s="775">
        <v>990</v>
      </c>
      <c r="D255" s="775">
        <v>1060</v>
      </c>
      <c r="E255" s="775">
        <v>1272</v>
      </c>
      <c r="F255" s="775">
        <v>1470</v>
      </c>
      <c r="G255" s="775">
        <v>1639</v>
      </c>
      <c r="H255" s="775">
        <v>39600</v>
      </c>
      <c r="I255" s="775">
        <v>45240</v>
      </c>
      <c r="J255" s="775">
        <v>50880</v>
      </c>
      <c r="K255" s="775">
        <v>56520</v>
      </c>
      <c r="L255" s="775">
        <v>61080</v>
      </c>
      <c r="M255" s="777">
        <v>65580</v>
      </c>
      <c r="N255" s="777">
        <v>70140</v>
      </c>
      <c r="O255" s="777">
        <v>74640</v>
      </c>
      <c r="P255" s="41"/>
      <c r="Q255" s="41"/>
    </row>
    <row r="256" spans="1:17">
      <c r="A256" s="38"/>
      <c r="B256" s="778">
        <v>0.55000000000000004</v>
      </c>
      <c r="C256" s="775">
        <v>907</v>
      </c>
      <c r="D256" s="775">
        <v>972</v>
      </c>
      <c r="E256" s="775">
        <v>1166</v>
      </c>
      <c r="F256" s="775">
        <v>1347</v>
      </c>
      <c r="G256" s="775">
        <v>1502</v>
      </c>
      <c r="H256" s="775">
        <v>36300</v>
      </c>
      <c r="I256" s="775">
        <v>41470</v>
      </c>
      <c r="J256" s="775">
        <v>46640.000000000007</v>
      </c>
      <c r="K256" s="775">
        <v>51810.000000000007</v>
      </c>
      <c r="L256" s="775">
        <v>55990.000000000007</v>
      </c>
      <c r="M256" s="775">
        <v>60115.000000000007</v>
      </c>
      <c r="N256" s="775">
        <v>64295.000000000007</v>
      </c>
      <c r="O256" s="775">
        <v>68420</v>
      </c>
      <c r="P256" s="41"/>
      <c r="Q256" s="41"/>
    </row>
    <row r="257" spans="1:17">
      <c r="A257" s="38"/>
      <c r="B257" s="778">
        <v>0.5</v>
      </c>
      <c r="C257" s="775">
        <v>825</v>
      </c>
      <c r="D257" s="775">
        <v>883</v>
      </c>
      <c r="E257" s="775">
        <v>1060</v>
      </c>
      <c r="F257" s="775">
        <v>1225</v>
      </c>
      <c r="G257" s="775">
        <v>1366</v>
      </c>
      <c r="H257" s="776">
        <v>33000</v>
      </c>
      <c r="I257" s="776">
        <v>37700</v>
      </c>
      <c r="J257" s="776">
        <v>42400</v>
      </c>
      <c r="K257" s="776">
        <v>47100</v>
      </c>
      <c r="L257" s="776">
        <v>50900</v>
      </c>
      <c r="M257" s="776">
        <v>54650</v>
      </c>
      <c r="N257" s="776">
        <v>58450</v>
      </c>
      <c r="O257" s="776">
        <v>62200</v>
      </c>
      <c r="P257" s="41"/>
      <c r="Q257" s="41"/>
    </row>
    <row r="258" spans="1:17">
      <c r="A258" s="38"/>
      <c r="B258" s="778">
        <v>0.45</v>
      </c>
      <c r="C258" s="775">
        <v>742</v>
      </c>
      <c r="D258" s="775">
        <v>795</v>
      </c>
      <c r="E258" s="775">
        <v>954</v>
      </c>
      <c r="F258" s="775">
        <v>1102</v>
      </c>
      <c r="G258" s="775">
        <v>1229</v>
      </c>
      <c r="H258" s="775">
        <v>29700</v>
      </c>
      <c r="I258" s="775">
        <v>33930</v>
      </c>
      <c r="J258" s="775">
        <v>38160</v>
      </c>
      <c r="K258" s="775">
        <v>42390</v>
      </c>
      <c r="L258" s="775">
        <v>45810</v>
      </c>
      <c r="M258" s="777">
        <v>49185</v>
      </c>
      <c r="N258" s="777">
        <v>52605</v>
      </c>
      <c r="O258" s="777">
        <v>55980</v>
      </c>
      <c r="P258" s="41"/>
      <c r="Q258" s="41"/>
    </row>
    <row r="259" spans="1:17">
      <c r="A259" s="38"/>
      <c r="B259" s="778">
        <v>0.4</v>
      </c>
      <c r="C259" s="775">
        <v>660</v>
      </c>
      <c r="D259" s="775">
        <v>707</v>
      </c>
      <c r="E259" s="775">
        <v>848</v>
      </c>
      <c r="F259" s="775">
        <v>980</v>
      </c>
      <c r="G259" s="775">
        <v>1093</v>
      </c>
      <c r="H259" s="775">
        <v>26400</v>
      </c>
      <c r="I259" s="775">
        <v>30160</v>
      </c>
      <c r="J259" s="775">
        <v>33920</v>
      </c>
      <c r="K259" s="775">
        <v>37680</v>
      </c>
      <c r="L259" s="775">
        <v>40720</v>
      </c>
      <c r="M259" s="777">
        <v>43720</v>
      </c>
      <c r="N259" s="777">
        <v>46760</v>
      </c>
      <c r="O259" s="777">
        <v>49760</v>
      </c>
      <c r="P259" s="41"/>
      <c r="Q259" s="41"/>
    </row>
    <row r="260" spans="1:17">
      <c r="A260" s="38"/>
      <c r="B260" s="519">
        <v>0.3</v>
      </c>
      <c r="C260" s="775">
        <v>495</v>
      </c>
      <c r="D260" s="775">
        <v>530</v>
      </c>
      <c r="E260" s="775">
        <v>636</v>
      </c>
      <c r="F260" s="775">
        <v>735</v>
      </c>
      <c r="G260" s="775">
        <v>819</v>
      </c>
      <c r="H260" s="776">
        <v>19800</v>
      </c>
      <c r="I260" s="776">
        <v>22620</v>
      </c>
      <c r="J260" s="776">
        <v>25440</v>
      </c>
      <c r="K260" s="776">
        <v>28260</v>
      </c>
      <c r="L260" s="776">
        <v>30540</v>
      </c>
      <c r="M260" s="776">
        <v>32790</v>
      </c>
      <c r="N260" s="776">
        <v>35070</v>
      </c>
      <c r="O260" s="776">
        <v>37320</v>
      </c>
      <c r="P260" s="41"/>
      <c r="Q260" s="41"/>
    </row>
    <row r="261" spans="1:17" ht="13.5" thickBot="1">
      <c r="A261" s="779"/>
      <c r="B261" s="40">
        <v>0.2</v>
      </c>
      <c r="C261" s="521">
        <v>330</v>
      </c>
      <c r="D261" s="521">
        <v>353</v>
      </c>
      <c r="E261" s="521">
        <v>424</v>
      </c>
      <c r="F261" s="521">
        <v>490</v>
      </c>
      <c r="G261" s="521">
        <v>546</v>
      </c>
      <c r="H261" s="522">
        <v>13200</v>
      </c>
      <c r="I261" s="522">
        <v>15080</v>
      </c>
      <c r="J261" s="522">
        <v>16960</v>
      </c>
      <c r="K261" s="522">
        <v>18840</v>
      </c>
      <c r="L261" s="522">
        <v>20360</v>
      </c>
      <c r="M261" s="522">
        <v>21860</v>
      </c>
      <c r="N261" s="522">
        <v>23380</v>
      </c>
      <c r="O261" s="522">
        <v>24880</v>
      </c>
      <c r="P261" s="41"/>
      <c r="Q261" s="41"/>
    </row>
    <row r="262" spans="1:17" ht="13.5" thickTop="1">
      <c r="A262" s="38"/>
      <c r="B262" s="37">
        <v>1.2</v>
      </c>
      <c r="C262" s="523">
        <v>2151</v>
      </c>
      <c r="D262" s="523">
        <v>2305</v>
      </c>
      <c r="E262" s="523">
        <v>2766</v>
      </c>
      <c r="F262" s="523">
        <v>3195</v>
      </c>
      <c r="G262" s="523">
        <v>3564</v>
      </c>
      <c r="H262" s="523">
        <v>86040</v>
      </c>
      <c r="I262" s="523">
        <v>98400</v>
      </c>
      <c r="J262" s="523">
        <v>110640</v>
      </c>
      <c r="K262" s="523">
        <v>122880</v>
      </c>
      <c r="L262" s="523">
        <v>132720</v>
      </c>
      <c r="M262" s="523">
        <v>142560</v>
      </c>
      <c r="N262" s="523">
        <v>152400</v>
      </c>
      <c r="O262" s="523">
        <v>162240</v>
      </c>
      <c r="P262" s="39"/>
      <c r="Q262" s="39"/>
    </row>
    <row r="263" spans="1:17">
      <c r="A263" s="38"/>
      <c r="B263" s="778">
        <v>1</v>
      </c>
      <c r="C263" s="775">
        <v>1792</v>
      </c>
      <c r="D263" s="775">
        <v>1921</v>
      </c>
      <c r="E263" s="775">
        <v>2305</v>
      </c>
      <c r="F263" s="775">
        <v>2662</v>
      </c>
      <c r="G263" s="775">
        <v>2970</v>
      </c>
      <c r="H263" s="775">
        <v>71700</v>
      </c>
      <c r="I263" s="775">
        <v>82000</v>
      </c>
      <c r="J263" s="775">
        <v>92200</v>
      </c>
      <c r="K263" s="775">
        <v>102400</v>
      </c>
      <c r="L263" s="775">
        <v>110600</v>
      </c>
      <c r="M263" s="775">
        <v>118800</v>
      </c>
      <c r="N263" s="775">
        <v>127000</v>
      </c>
      <c r="O263" s="775">
        <v>135200</v>
      </c>
      <c r="P263" s="39"/>
      <c r="Q263" s="39"/>
    </row>
    <row r="264" spans="1:17">
      <c r="A264" s="38" t="s">
        <v>1259</v>
      </c>
      <c r="B264" s="778">
        <v>0.8</v>
      </c>
      <c r="C264" s="775">
        <v>1434</v>
      </c>
      <c r="D264" s="775">
        <v>1537</v>
      </c>
      <c r="E264" s="775">
        <v>1844</v>
      </c>
      <c r="F264" s="775">
        <v>2130</v>
      </c>
      <c r="G264" s="775">
        <v>2376</v>
      </c>
      <c r="H264" s="776">
        <v>57360</v>
      </c>
      <c r="I264" s="776">
        <v>65600</v>
      </c>
      <c r="J264" s="776">
        <v>73760</v>
      </c>
      <c r="K264" s="776">
        <v>81920</v>
      </c>
      <c r="L264" s="776">
        <v>88480</v>
      </c>
      <c r="M264" s="776">
        <v>95040</v>
      </c>
      <c r="N264" s="776">
        <v>101600</v>
      </c>
      <c r="O264" s="776">
        <v>108160</v>
      </c>
      <c r="P264" s="39"/>
      <c r="Q264" s="39"/>
    </row>
    <row r="265" spans="1:17">
      <c r="A265" s="38"/>
      <c r="B265" s="778">
        <v>0.7</v>
      </c>
      <c r="C265" s="775">
        <v>1254</v>
      </c>
      <c r="D265" s="775">
        <v>1344</v>
      </c>
      <c r="E265" s="775">
        <v>1613</v>
      </c>
      <c r="F265" s="775">
        <v>1863</v>
      </c>
      <c r="G265" s="775">
        <v>2079</v>
      </c>
      <c r="H265" s="776">
        <v>50190</v>
      </c>
      <c r="I265" s="776">
        <v>57399.999999999993</v>
      </c>
      <c r="J265" s="776">
        <v>64539.999999999993</v>
      </c>
      <c r="K265" s="776">
        <v>71680</v>
      </c>
      <c r="L265" s="776">
        <v>77420</v>
      </c>
      <c r="M265" s="776">
        <v>83160</v>
      </c>
      <c r="N265" s="776">
        <v>88900</v>
      </c>
      <c r="O265" s="776">
        <v>94640</v>
      </c>
      <c r="P265" s="39"/>
      <c r="Q265" s="39"/>
    </row>
    <row r="266" spans="1:17">
      <c r="A266" s="38"/>
      <c r="B266" s="778">
        <v>0.6</v>
      </c>
      <c r="C266" s="775">
        <v>1075</v>
      </c>
      <c r="D266" s="775">
        <v>1152</v>
      </c>
      <c r="E266" s="775">
        <v>1383</v>
      </c>
      <c r="F266" s="775">
        <v>1597</v>
      </c>
      <c r="G266" s="775">
        <v>1782</v>
      </c>
      <c r="H266" s="775">
        <v>43020</v>
      </c>
      <c r="I266" s="775">
        <v>49200</v>
      </c>
      <c r="J266" s="775">
        <v>55320</v>
      </c>
      <c r="K266" s="775">
        <v>61440</v>
      </c>
      <c r="L266" s="775">
        <v>66360</v>
      </c>
      <c r="M266" s="777">
        <v>71280</v>
      </c>
      <c r="N266" s="777">
        <v>76200</v>
      </c>
      <c r="O266" s="777">
        <v>81120</v>
      </c>
      <c r="P266" s="39"/>
      <c r="Q266" s="39"/>
    </row>
    <row r="267" spans="1:17">
      <c r="A267" s="38"/>
      <c r="B267" s="778">
        <v>0.55000000000000004</v>
      </c>
      <c r="C267" s="775">
        <v>985</v>
      </c>
      <c r="D267" s="775">
        <v>1056</v>
      </c>
      <c r="E267" s="775">
        <v>1267</v>
      </c>
      <c r="F267" s="775">
        <v>1464</v>
      </c>
      <c r="G267" s="775">
        <v>1633</v>
      </c>
      <c r="H267" s="775">
        <v>39435</v>
      </c>
      <c r="I267" s="775">
        <v>45100.000000000007</v>
      </c>
      <c r="J267" s="775">
        <v>50710.000000000007</v>
      </c>
      <c r="K267" s="775">
        <v>56320.000000000007</v>
      </c>
      <c r="L267" s="775">
        <v>60830.000000000007</v>
      </c>
      <c r="M267" s="775">
        <v>65340.000000000007</v>
      </c>
      <c r="N267" s="775">
        <v>69850</v>
      </c>
      <c r="O267" s="775">
        <v>74360</v>
      </c>
      <c r="P267" s="39"/>
      <c r="Q267" s="39"/>
    </row>
    <row r="268" spans="1:17">
      <c r="A268" s="38"/>
      <c r="B268" s="778">
        <v>0.5</v>
      </c>
      <c r="C268" s="775">
        <v>896</v>
      </c>
      <c r="D268" s="775">
        <v>960</v>
      </c>
      <c r="E268" s="775">
        <v>1152</v>
      </c>
      <c r="F268" s="775">
        <v>1331</v>
      </c>
      <c r="G268" s="775">
        <v>1485</v>
      </c>
      <c r="H268" s="776">
        <v>35850</v>
      </c>
      <c r="I268" s="776">
        <v>41000</v>
      </c>
      <c r="J268" s="776">
        <v>46100</v>
      </c>
      <c r="K268" s="776">
        <v>51200</v>
      </c>
      <c r="L268" s="776">
        <v>55300</v>
      </c>
      <c r="M268" s="776">
        <v>59400</v>
      </c>
      <c r="N268" s="776">
        <v>63500</v>
      </c>
      <c r="O268" s="776">
        <v>67600</v>
      </c>
      <c r="P268" s="39"/>
      <c r="Q268" s="39"/>
    </row>
    <row r="269" spans="1:17">
      <c r="A269" s="38"/>
      <c r="B269" s="778">
        <v>0.45</v>
      </c>
      <c r="C269" s="775">
        <v>806</v>
      </c>
      <c r="D269" s="775">
        <v>864</v>
      </c>
      <c r="E269" s="775">
        <v>1037</v>
      </c>
      <c r="F269" s="775">
        <v>1198</v>
      </c>
      <c r="G269" s="775">
        <v>1336</v>
      </c>
      <c r="H269" s="775">
        <v>32265</v>
      </c>
      <c r="I269" s="775">
        <v>36900</v>
      </c>
      <c r="J269" s="775">
        <v>41490</v>
      </c>
      <c r="K269" s="775">
        <v>46080</v>
      </c>
      <c r="L269" s="775">
        <v>49770</v>
      </c>
      <c r="M269" s="777">
        <v>53460</v>
      </c>
      <c r="N269" s="777">
        <v>57150</v>
      </c>
      <c r="O269" s="777">
        <v>60840</v>
      </c>
      <c r="P269" s="39"/>
      <c r="Q269" s="39"/>
    </row>
    <row r="270" spans="1:17">
      <c r="A270" s="38"/>
      <c r="B270" s="778">
        <v>0.4</v>
      </c>
      <c r="C270" s="775">
        <v>717</v>
      </c>
      <c r="D270" s="775">
        <v>768</v>
      </c>
      <c r="E270" s="775">
        <v>922</v>
      </c>
      <c r="F270" s="775">
        <v>1065</v>
      </c>
      <c r="G270" s="775">
        <v>1188</v>
      </c>
      <c r="H270" s="775">
        <v>28680</v>
      </c>
      <c r="I270" s="775">
        <v>32800</v>
      </c>
      <c r="J270" s="775">
        <v>36880</v>
      </c>
      <c r="K270" s="775">
        <v>40960</v>
      </c>
      <c r="L270" s="775">
        <v>44240</v>
      </c>
      <c r="M270" s="777">
        <v>47520</v>
      </c>
      <c r="N270" s="777">
        <v>50800</v>
      </c>
      <c r="O270" s="777">
        <v>54080</v>
      </c>
      <c r="P270" s="39"/>
      <c r="Q270" s="39"/>
    </row>
    <row r="271" spans="1:17">
      <c r="A271" s="38"/>
      <c r="B271" s="519">
        <v>0.3</v>
      </c>
      <c r="C271" s="775">
        <v>537</v>
      </c>
      <c r="D271" s="775">
        <v>576</v>
      </c>
      <c r="E271" s="775">
        <v>691</v>
      </c>
      <c r="F271" s="775">
        <v>798</v>
      </c>
      <c r="G271" s="775">
        <v>891</v>
      </c>
      <c r="H271" s="776">
        <v>21510</v>
      </c>
      <c r="I271" s="776">
        <v>24600</v>
      </c>
      <c r="J271" s="776">
        <v>27660</v>
      </c>
      <c r="K271" s="776">
        <v>30720</v>
      </c>
      <c r="L271" s="776">
        <v>33180</v>
      </c>
      <c r="M271" s="776">
        <v>35640</v>
      </c>
      <c r="N271" s="776">
        <v>38100</v>
      </c>
      <c r="O271" s="776">
        <v>40560</v>
      </c>
      <c r="P271" s="39"/>
      <c r="Q271" s="39"/>
    </row>
    <row r="272" spans="1:17" ht="13.5" thickBot="1">
      <c r="A272" s="779"/>
      <c r="B272" s="40">
        <v>0.2</v>
      </c>
      <c r="C272" s="521">
        <v>358</v>
      </c>
      <c r="D272" s="521">
        <v>384</v>
      </c>
      <c r="E272" s="521">
        <v>461</v>
      </c>
      <c r="F272" s="521">
        <v>532</v>
      </c>
      <c r="G272" s="521">
        <v>594</v>
      </c>
      <c r="H272" s="522">
        <v>14340</v>
      </c>
      <c r="I272" s="522">
        <v>16400</v>
      </c>
      <c r="J272" s="522">
        <v>18440</v>
      </c>
      <c r="K272" s="522">
        <v>20480</v>
      </c>
      <c r="L272" s="522">
        <v>22120</v>
      </c>
      <c r="M272" s="522">
        <v>23760</v>
      </c>
      <c r="N272" s="522">
        <v>25400</v>
      </c>
      <c r="O272" s="522">
        <v>27040</v>
      </c>
      <c r="P272" s="45"/>
      <c r="Q272" s="45"/>
    </row>
    <row r="273" spans="1:17" ht="13.5" thickTop="1">
      <c r="A273" s="38"/>
      <c r="B273" s="37">
        <v>1.2</v>
      </c>
      <c r="C273" s="523">
        <v>2739</v>
      </c>
      <c r="D273" s="523">
        <v>2935</v>
      </c>
      <c r="E273" s="523">
        <v>3522</v>
      </c>
      <c r="F273" s="523">
        <v>4069</v>
      </c>
      <c r="G273" s="523">
        <v>4539</v>
      </c>
      <c r="H273" s="523">
        <v>109560</v>
      </c>
      <c r="I273" s="523">
        <v>125280</v>
      </c>
      <c r="J273" s="523">
        <v>140880</v>
      </c>
      <c r="K273" s="523">
        <v>156480</v>
      </c>
      <c r="L273" s="523">
        <v>169080</v>
      </c>
      <c r="M273" s="523">
        <v>181560</v>
      </c>
      <c r="N273" s="523">
        <v>194040</v>
      </c>
      <c r="O273" s="523">
        <v>206640</v>
      </c>
      <c r="P273" s="39"/>
      <c r="Q273" s="39"/>
    </row>
    <row r="274" spans="1:17">
      <c r="A274" s="38"/>
      <c r="B274" s="778">
        <v>1</v>
      </c>
      <c r="C274" s="775">
        <v>2282</v>
      </c>
      <c r="D274" s="775">
        <v>2446</v>
      </c>
      <c r="E274" s="775">
        <v>2935</v>
      </c>
      <c r="F274" s="775">
        <v>3391</v>
      </c>
      <c r="G274" s="775">
        <v>3782</v>
      </c>
      <c r="H274" s="775">
        <v>91300</v>
      </c>
      <c r="I274" s="775">
        <v>104400</v>
      </c>
      <c r="J274" s="775">
        <v>117400</v>
      </c>
      <c r="K274" s="775">
        <v>130400</v>
      </c>
      <c r="L274" s="775">
        <v>140900</v>
      </c>
      <c r="M274" s="775">
        <v>151300</v>
      </c>
      <c r="N274" s="775">
        <v>161700</v>
      </c>
      <c r="O274" s="775">
        <v>172200</v>
      </c>
      <c r="P274" s="39"/>
      <c r="Q274" s="39"/>
    </row>
    <row r="275" spans="1:17">
      <c r="A275" s="38" t="s">
        <v>1260</v>
      </c>
      <c r="B275" s="778">
        <v>0.8</v>
      </c>
      <c r="C275" s="775">
        <v>1826</v>
      </c>
      <c r="D275" s="775">
        <v>1957</v>
      </c>
      <c r="E275" s="775">
        <v>2348</v>
      </c>
      <c r="F275" s="775">
        <v>2713</v>
      </c>
      <c r="G275" s="775">
        <v>3026</v>
      </c>
      <c r="H275" s="776">
        <v>73040</v>
      </c>
      <c r="I275" s="776">
        <v>83520</v>
      </c>
      <c r="J275" s="776">
        <v>93920</v>
      </c>
      <c r="K275" s="776">
        <v>104320</v>
      </c>
      <c r="L275" s="776">
        <v>112720</v>
      </c>
      <c r="M275" s="776">
        <v>121040</v>
      </c>
      <c r="N275" s="776">
        <v>129360</v>
      </c>
      <c r="O275" s="776">
        <v>137760</v>
      </c>
      <c r="P275" s="39"/>
      <c r="Q275" s="39"/>
    </row>
    <row r="276" spans="1:17">
      <c r="A276" s="38"/>
      <c r="B276" s="778">
        <v>0.7</v>
      </c>
      <c r="C276" s="775">
        <v>1597</v>
      </c>
      <c r="D276" s="775">
        <v>1712</v>
      </c>
      <c r="E276" s="775">
        <v>2054</v>
      </c>
      <c r="F276" s="775">
        <v>2373</v>
      </c>
      <c r="G276" s="775">
        <v>2647</v>
      </c>
      <c r="H276" s="776">
        <v>63909.999999999993</v>
      </c>
      <c r="I276" s="776">
        <v>73080</v>
      </c>
      <c r="J276" s="776">
        <v>82180</v>
      </c>
      <c r="K276" s="776">
        <v>91280</v>
      </c>
      <c r="L276" s="776">
        <v>98630</v>
      </c>
      <c r="M276" s="776">
        <v>105910</v>
      </c>
      <c r="N276" s="776">
        <v>113190</v>
      </c>
      <c r="O276" s="776">
        <v>120539.99999999999</v>
      </c>
      <c r="P276" s="39"/>
      <c r="Q276" s="39"/>
    </row>
    <row r="277" spans="1:17">
      <c r="A277" s="38"/>
      <c r="B277" s="778">
        <v>0.6</v>
      </c>
      <c r="C277" s="775">
        <v>1369</v>
      </c>
      <c r="D277" s="775">
        <v>1467</v>
      </c>
      <c r="E277" s="775">
        <v>1761</v>
      </c>
      <c r="F277" s="775">
        <v>2034</v>
      </c>
      <c r="G277" s="775">
        <v>2269</v>
      </c>
      <c r="H277" s="775">
        <v>54780</v>
      </c>
      <c r="I277" s="775">
        <v>62640</v>
      </c>
      <c r="J277" s="775">
        <v>70440</v>
      </c>
      <c r="K277" s="775">
        <v>78240</v>
      </c>
      <c r="L277" s="775">
        <v>84540</v>
      </c>
      <c r="M277" s="777">
        <v>90780</v>
      </c>
      <c r="N277" s="777">
        <v>97020</v>
      </c>
      <c r="O277" s="777">
        <v>103320</v>
      </c>
      <c r="P277" s="39"/>
      <c r="Q277" s="39"/>
    </row>
    <row r="278" spans="1:17">
      <c r="A278" s="38"/>
      <c r="B278" s="778">
        <v>0.55000000000000004</v>
      </c>
      <c r="C278" s="775">
        <v>1255</v>
      </c>
      <c r="D278" s="775">
        <v>1345</v>
      </c>
      <c r="E278" s="775">
        <v>1614</v>
      </c>
      <c r="F278" s="775">
        <v>1865</v>
      </c>
      <c r="G278" s="775">
        <v>2080</v>
      </c>
      <c r="H278" s="775">
        <v>50215.000000000007</v>
      </c>
      <c r="I278" s="775">
        <v>57420.000000000007</v>
      </c>
      <c r="J278" s="775">
        <v>64570.000000000007</v>
      </c>
      <c r="K278" s="775">
        <v>71720</v>
      </c>
      <c r="L278" s="775">
        <v>77495</v>
      </c>
      <c r="M278" s="775">
        <v>83215</v>
      </c>
      <c r="N278" s="775">
        <v>88935</v>
      </c>
      <c r="O278" s="775">
        <v>94710.000000000015</v>
      </c>
      <c r="P278" s="39"/>
      <c r="Q278" s="39"/>
    </row>
    <row r="279" spans="1:17">
      <c r="A279" s="38"/>
      <c r="B279" s="778">
        <v>0.5</v>
      </c>
      <c r="C279" s="775">
        <v>1141</v>
      </c>
      <c r="D279" s="775">
        <v>1223</v>
      </c>
      <c r="E279" s="775">
        <v>1467</v>
      </c>
      <c r="F279" s="775">
        <v>1695</v>
      </c>
      <c r="G279" s="775">
        <v>1891</v>
      </c>
      <c r="H279" s="776">
        <v>45650</v>
      </c>
      <c r="I279" s="776">
        <v>52200</v>
      </c>
      <c r="J279" s="776">
        <v>58700</v>
      </c>
      <c r="K279" s="776">
        <v>65200</v>
      </c>
      <c r="L279" s="776">
        <v>70450</v>
      </c>
      <c r="M279" s="776">
        <v>75650</v>
      </c>
      <c r="N279" s="776">
        <v>80850</v>
      </c>
      <c r="O279" s="776">
        <v>86100</v>
      </c>
      <c r="P279" s="39"/>
      <c r="Q279" s="39"/>
    </row>
    <row r="280" spans="1:17">
      <c r="A280" s="38"/>
      <c r="B280" s="778">
        <v>0.45</v>
      </c>
      <c r="C280" s="775">
        <v>1027</v>
      </c>
      <c r="D280" s="775">
        <v>1100</v>
      </c>
      <c r="E280" s="775">
        <v>1320</v>
      </c>
      <c r="F280" s="775">
        <v>1526</v>
      </c>
      <c r="G280" s="775">
        <v>1702</v>
      </c>
      <c r="H280" s="775">
        <v>41085</v>
      </c>
      <c r="I280" s="775">
        <v>46980</v>
      </c>
      <c r="J280" s="775">
        <v>52830</v>
      </c>
      <c r="K280" s="775">
        <v>58680</v>
      </c>
      <c r="L280" s="775">
        <v>63405</v>
      </c>
      <c r="M280" s="777">
        <v>68085</v>
      </c>
      <c r="N280" s="777">
        <v>72765</v>
      </c>
      <c r="O280" s="777">
        <v>77490</v>
      </c>
      <c r="P280" s="39"/>
      <c r="Q280" s="39"/>
    </row>
    <row r="281" spans="1:17">
      <c r="A281" s="38"/>
      <c r="B281" s="778">
        <v>0.4</v>
      </c>
      <c r="C281" s="775">
        <v>913</v>
      </c>
      <c r="D281" s="775">
        <v>978</v>
      </c>
      <c r="E281" s="775">
        <v>1174</v>
      </c>
      <c r="F281" s="775">
        <v>1356</v>
      </c>
      <c r="G281" s="775">
        <v>1513</v>
      </c>
      <c r="H281" s="775">
        <v>36520</v>
      </c>
      <c r="I281" s="775">
        <v>41760</v>
      </c>
      <c r="J281" s="775">
        <v>46960</v>
      </c>
      <c r="K281" s="775">
        <v>52160</v>
      </c>
      <c r="L281" s="775">
        <v>56360</v>
      </c>
      <c r="M281" s="777">
        <v>60520</v>
      </c>
      <c r="N281" s="777">
        <v>64680</v>
      </c>
      <c r="O281" s="777">
        <v>68880</v>
      </c>
      <c r="P281" s="39"/>
      <c r="Q281" s="39"/>
    </row>
    <row r="282" spans="1:17">
      <c r="A282" s="38"/>
      <c r="B282" s="519">
        <v>0.3</v>
      </c>
      <c r="C282" s="775">
        <v>684</v>
      </c>
      <c r="D282" s="775">
        <v>733</v>
      </c>
      <c r="E282" s="775">
        <v>880</v>
      </c>
      <c r="F282" s="775">
        <v>1017</v>
      </c>
      <c r="G282" s="775">
        <v>1134</v>
      </c>
      <c r="H282" s="776">
        <v>27390</v>
      </c>
      <c r="I282" s="776">
        <v>31320</v>
      </c>
      <c r="J282" s="776">
        <v>35220</v>
      </c>
      <c r="K282" s="776">
        <v>39120</v>
      </c>
      <c r="L282" s="776">
        <v>42270</v>
      </c>
      <c r="M282" s="776">
        <v>45390</v>
      </c>
      <c r="N282" s="776">
        <v>48510</v>
      </c>
      <c r="O282" s="776">
        <v>51660</v>
      </c>
      <c r="P282" s="39"/>
      <c r="Q282" s="39"/>
    </row>
    <row r="283" spans="1:17" ht="13.5" thickBot="1">
      <c r="A283" s="779"/>
      <c r="B283" s="40">
        <v>0.2</v>
      </c>
      <c r="C283" s="521">
        <v>456</v>
      </c>
      <c r="D283" s="521">
        <v>489</v>
      </c>
      <c r="E283" s="521">
        <v>587</v>
      </c>
      <c r="F283" s="521">
        <v>678</v>
      </c>
      <c r="G283" s="521">
        <v>756</v>
      </c>
      <c r="H283" s="522">
        <v>18260</v>
      </c>
      <c r="I283" s="522">
        <v>20880</v>
      </c>
      <c r="J283" s="522">
        <v>23480</v>
      </c>
      <c r="K283" s="522">
        <v>26080</v>
      </c>
      <c r="L283" s="522">
        <v>28180</v>
      </c>
      <c r="M283" s="522">
        <v>30260</v>
      </c>
      <c r="N283" s="522">
        <v>32340</v>
      </c>
      <c r="O283" s="522">
        <v>34440</v>
      </c>
      <c r="P283" s="45"/>
      <c r="Q283" s="45"/>
    </row>
    <row r="284" spans="1:17" ht="13.5" thickTop="1">
      <c r="A284" s="38"/>
      <c r="B284" s="37">
        <v>1.2</v>
      </c>
      <c r="C284" s="523">
        <v>2157</v>
      </c>
      <c r="D284" s="523">
        <v>2310</v>
      </c>
      <c r="E284" s="523">
        <v>2772</v>
      </c>
      <c r="F284" s="523">
        <v>3201</v>
      </c>
      <c r="G284" s="523">
        <v>3573</v>
      </c>
      <c r="H284" s="523">
        <v>86280</v>
      </c>
      <c r="I284" s="523">
        <v>98520</v>
      </c>
      <c r="J284" s="523">
        <v>110880</v>
      </c>
      <c r="K284" s="523">
        <v>123120</v>
      </c>
      <c r="L284" s="523">
        <v>132960</v>
      </c>
      <c r="M284" s="523">
        <v>142920</v>
      </c>
      <c r="N284" s="523">
        <v>152640</v>
      </c>
      <c r="O284" s="523">
        <v>162600</v>
      </c>
      <c r="P284" s="39"/>
      <c r="Q284" s="39"/>
    </row>
    <row r="285" spans="1:17">
      <c r="A285" s="38"/>
      <c r="B285" s="778">
        <v>1</v>
      </c>
      <c r="C285" s="775">
        <v>1797</v>
      </c>
      <c r="D285" s="775">
        <v>1925</v>
      </c>
      <c r="E285" s="775">
        <v>2310</v>
      </c>
      <c r="F285" s="775">
        <v>2667</v>
      </c>
      <c r="G285" s="775">
        <v>2977</v>
      </c>
      <c r="H285" s="775">
        <v>71900</v>
      </c>
      <c r="I285" s="775">
        <v>82100</v>
      </c>
      <c r="J285" s="775">
        <v>92400</v>
      </c>
      <c r="K285" s="775">
        <v>102600</v>
      </c>
      <c r="L285" s="775">
        <v>110800</v>
      </c>
      <c r="M285" s="775">
        <v>119100</v>
      </c>
      <c r="N285" s="775">
        <v>127200</v>
      </c>
      <c r="O285" s="775">
        <v>135500</v>
      </c>
      <c r="P285" s="39"/>
      <c r="Q285" s="39"/>
    </row>
    <row r="286" spans="1:17">
      <c r="A286" s="38" t="s">
        <v>1261</v>
      </c>
      <c r="B286" s="778">
        <v>0.8</v>
      </c>
      <c r="C286" s="775">
        <v>1438</v>
      </c>
      <c r="D286" s="775">
        <v>1540</v>
      </c>
      <c r="E286" s="775">
        <v>1848</v>
      </c>
      <c r="F286" s="775">
        <v>2134</v>
      </c>
      <c r="G286" s="775">
        <v>2382</v>
      </c>
      <c r="H286" s="776">
        <v>57520</v>
      </c>
      <c r="I286" s="776">
        <v>65680</v>
      </c>
      <c r="J286" s="776">
        <v>73920</v>
      </c>
      <c r="K286" s="776">
        <v>82080</v>
      </c>
      <c r="L286" s="776">
        <v>88640</v>
      </c>
      <c r="M286" s="776">
        <v>95280</v>
      </c>
      <c r="N286" s="776">
        <v>101760</v>
      </c>
      <c r="O286" s="776">
        <v>108400</v>
      </c>
      <c r="P286" s="39"/>
      <c r="Q286" s="39"/>
    </row>
    <row r="287" spans="1:17">
      <c r="A287" s="38"/>
      <c r="B287" s="778">
        <v>0.7</v>
      </c>
      <c r="C287" s="775">
        <v>1258</v>
      </c>
      <c r="D287" s="775">
        <v>1347</v>
      </c>
      <c r="E287" s="775">
        <v>1617</v>
      </c>
      <c r="F287" s="775">
        <v>1867</v>
      </c>
      <c r="G287" s="775">
        <v>2084</v>
      </c>
      <c r="H287" s="776">
        <v>50330</v>
      </c>
      <c r="I287" s="776">
        <v>57469.999999999993</v>
      </c>
      <c r="J287" s="776">
        <v>64679.999999999993</v>
      </c>
      <c r="K287" s="776">
        <v>71820</v>
      </c>
      <c r="L287" s="776">
        <v>77560</v>
      </c>
      <c r="M287" s="776">
        <v>83370</v>
      </c>
      <c r="N287" s="776">
        <v>89040</v>
      </c>
      <c r="O287" s="776">
        <v>94850</v>
      </c>
      <c r="P287" s="39"/>
      <c r="Q287" s="39"/>
    </row>
    <row r="288" spans="1:17">
      <c r="A288" s="38"/>
      <c r="B288" s="778">
        <v>0.6</v>
      </c>
      <c r="C288" s="775">
        <v>1078</v>
      </c>
      <c r="D288" s="775">
        <v>1155</v>
      </c>
      <c r="E288" s="775">
        <v>1386</v>
      </c>
      <c r="F288" s="775">
        <v>1600</v>
      </c>
      <c r="G288" s="775">
        <v>1786</v>
      </c>
      <c r="H288" s="775">
        <v>43140</v>
      </c>
      <c r="I288" s="775">
        <v>49260</v>
      </c>
      <c r="J288" s="775">
        <v>55440</v>
      </c>
      <c r="K288" s="775">
        <v>61560</v>
      </c>
      <c r="L288" s="775">
        <v>66480</v>
      </c>
      <c r="M288" s="777">
        <v>71460</v>
      </c>
      <c r="N288" s="777">
        <v>76320</v>
      </c>
      <c r="O288" s="777">
        <v>81300</v>
      </c>
      <c r="P288" s="39"/>
      <c r="Q288" s="39"/>
    </row>
    <row r="289" spans="1:17">
      <c r="A289" s="38"/>
      <c r="B289" s="778">
        <v>0.55000000000000004</v>
      </c>
      <c r="C289" s="775">
        <v>988</v>
      </c>
      <c r="D289" s="775">
        <v>1058</v>
      </c>
      <c r="E289" s="775">
        <v>1270</v>
      </c>
      <c r="F289" s="775">
        <v>1467</v>
      </c>
      <c r="G289" s="775">
        <v>1637</v>
      </c>
      <c r="H289" s="775">
        <v>39545</v>
      </c>
      <c r="I289" s="775">
        <v>45155.000000000007</v>
      </c>
      <c r="J289" s="775">
        <v>50820.000000000007</v>
      </c>
      <c r="K289" s="775">
        <v>56430.000000000007</v>
      </c>
      <c r="L289" s="775">
        <v>60940.000000000007</v>
      </c>
      <c r="M289" s="775">
        <v>65505.000000000007</v>
      </c>
      <c r="N289" s="775">
        <v>69960</v>
      </c>
      <c r="O289" s="775">
        <v>74525</v>
      </c>
      <c r="P289" s="39"/>
      <c r="Q289" s="39"/>
    </row>
    <row r="290" spans="1:17">
      <c r="A290" s="38"/>
      <c r="B290" s="778">
        <v>0.5</v>
      </c>
      <c r="C290" s="775">
        <v>898</v>
      </c>
      <c r="D290" s="775">
        <v>962</v>
      </c>
      <c r="E290" s="775">
        <v>1155</v>
      </c>
      <c r="F290" s="775">
        <v>1333</v>
      </c>
      <c r="G290" s="775">
        <v>1488</v>
      </c>
      <c r="H290" s="776">
        <v>35950</v>
      </c>
      <c r="I290" s="776">
        <v>41050</v>
      </c>
      <c r="J290" s="776">
        <v>46200</v>
      </c>
      <c r="K290" s="776">
        <v>51300</v>
      </c>
      <c r="L290" s="776">
        <v>55400</v>
      </c>
      <c r="M290" s="776">
        <v>59550</v>
      </c>
      <c r="N290" s="776">
        <v>63600</v>
      </c>
      <c r="O290" s="776">
        <v>67750</v>
      </c>
      <c r="P290" s="39"/>
      <c r="Q290" s="39"/>
    </row>
    <row r="291" spans="1:17">
      <c r="A291" s="38"/>
      <c r="B291" s="778">
        <v>0.45</v>
      </c>
      <c r="C291" s="775">
        <v>808</v>
      </c>
      <c r="D291" s="775">
        <v>866</v>
      </c>
      <c r="E291" s="775">
        <v>1039</v>
      </c>
      <c r="F291" s="775">
        <v>1200</v>
      </c>
      <c r="G291" s="775">
        <v>1339</v>
      </c>
      <c r="H291" s="775">
        <v>32355</v>
      </c>
      <c r="I291" s="775">
        <v>36945</v>
      </c>
      <c r="J291" s="775">
        <v>41580</v>
      </c>
      <c r="K291" s="775">
        <v>46170</v>
      </c>
      <c r="L291" s="775">
        <v>49860</v>
      </c>
      <c r="M291" s="777">
        <v>53595</v>
      </c>
      <c r="N291" s="777">
        <v>57240</v>
      </c>
      <c r="O291" s="777">
        <v>60975</v>
      </c>
      <c r="P291" s="39"/>
      <c r="Q291" s="39"/>
    </row>
    <row r="292" spans="1:17">
      <c r="A292" s="38"/>
      <c r="B292" s="778">
        <v>0.4</v>
      </c>
      <c r="C292" s="775">
        <v>719</v>
      </c>
      <c r="D292" s="775">
        <v>770</v>
      </c>
      <c r="E292" s="775">
        <v>924</v>
      </c>
      <c r="F292" s="775">
        <v>1067</v>
      </c>
      <c r="G292" s="775">
        <v>1191</v>
      </c>
      <c r="H292" s="775">
        <v>28760</v>
      </c>
      <c r="I292" s="775">
        <v>32840</v>
      </c>
      <c r="J292" s="775">
        <v>36960</v>
      </c>
      <c r="K292" s="775">
        <v>41040</v>
      </c>
      <c r="L292" s="775">
        <v>44320</v>
      </c>
      <c r="M292" s="777">
        <v>47640</v>
      </c>
      <c r="N292" s="777">
        <v>50880</v>
      </c>
      <c r="O292" s="777">
        <v>54200</v>
      </c>
      <c r="P292" s="39"/>
      <c r="Q292" s="39"/>
    </row>
    <row r="293" spans="1:17">
      <c r="A293" s="38"/>
      <c r="B293" s="519">
        <v>0.3</v>
      </c>
      <c r="C293" s="775">
        <v>539</v>
      </c>
      <c r="D293" s="775">
        <v>577</v>
      </c>
      <c r="E293" s="775">
        <v>693</v>
      </c>
      <c r="F293" s="775">
        <v>800</v>
      </c>
      <c r="G293" s="775">
        <v>893</v>
      </c>
      <c r="H293" s="776">
        <v>21570</v>
      </c>
      <c r="I293" s="776">
        <v>24630</v>
      </c>
      <c r="J293" s="776">
        <v>27720</v>
      </c>
      <c r="K293" s="776">
        <v>30780</v>
      </c>
      <c r="L293" s="776">
        <v>33240</v>
      </c>
      <c r="M293" s="776">
        <v>35730</v>
      </c>
      <c r="N293" s="776">
        <v>38160</v>
      </c>
      <c r="O293" s="776">
        <v>40650</v>
      </c>
      <c r="P293" s="39"/>
      <c r="Q293" s="39"/>
    </row>
    <row r="294" spans="1:17" ht="13.5" thickBot="1">
      <c r="A294" s="779"/>
      <c r="B294" s="40">
        <v>0.2</v>
      </c>
      <c r="C294" s="521">
        <v>359</v>
      </c>
      <c r="D294" s="521">
        <v>385</v>
      </c>
      <c r="E294" s="521">
        <v>462</v>
      </c>
      <c r="F294" s="521">
        <v>533</v>
      </c>
      <c r="G294" s="521">
        <v>595</v>
      </c>
      <c r="H294" s="522">
        <v>14380</v>
      </c>
      <c r="I294" s="522">
        <v>16420</v>
      </c>
      <c r="J294" s="522">
        <v>18480</v>
      </c>
      <c r="K294" s="522">
        <v>20520</v>
      </c>
      <c r="L294" s="522">
        <v>22160</v>
      </c>
      <c r="M294" s="522">
        <v>23820</v>
      </c>
      <c r="N294" s="522">
        <v>25440</v>
      </c>
      <c r="O294" s="522">
        <v>27100</v>
      </c>
      <c r="P294" s="45"/>
      <c r="Q294" s="45"/>
    </row>
    <row r="295" spans="1:17" ht="13.5" thickTop="1">
      <c r="A295" s="38"/>
      <c r="B295" s="37">
        <v>1.2</v>
      </c>
      <c r="C295" s="523">
        <v>2163</v>
      </c>
      <c r="D295" s="523">
        <v>2317</v>
      </c>
      <c r="E295" s="523">
        <v>2781</v>
      </c>
      <c r="F295" s="523">
        <v>3214</v>
      </c>
      <c r="G295" s="523">
        <v>3585</v>
      </c>
      <c r="H295" s="523">
        <v>86520</v>
      </c>
      <c r="I295" s="523">
        <v>98880</v>
      </c>
      <c r="J295" s="523">
        <v>111240</v>
      </c>
      <c r="K295" s="523">
        <v>123600</v>
      </c>
      <c r="L295" s="523">
        <v>133560</v>
      </c>
      <c r="M295" s="523">
        <v>143400</v>
      </c>
      <c r="N295" s="523">
        <v>153360</v>
      </c>
      <c r="O295" s="523">
        <v>163200</v>
      </c>
      <c r="P295" s="39"/>
      <c r="Q295" s="39"/>
    </row>
    <row r="296" spans="1:17">
      <c r="A296" s="38"/>
      <c r="B296" s="778">
        <v>1</v>
      </c>
      <c r="C296" s="775">
        <v>1802</v>
      </c>
      <c r="D296" s="775">
        <v>1931</v>
      </c>
      <c r="E296" s="775">
        <v>2317</v>
      </c>
      <c r="F296" s="775">
        <v>2678</v>
      </c>
      <c r="G296" s="775">
        <v>2987</v>
      </c>
      <c r="H296" s="775">
        <v>72100</v>
      </c>
      <c r="I296" s="775">
        <v>82400</v>
      </c>
      <c r="J296" s="775">
        <v>92700</v>
      </c>
      <c r="K296" s="775">
        <v>103000</v>
      </c>
      <c r="L296" s="775">
        <v>111300</v>
      </c>
      <c r="M296" s="775">
        <v>119500</v>
      </c>
      <c r="N296" s="775">
        <v>127800</v>
      </c>
      <c r="O296" s="775">
        <v>136000</v>
      </c>
      <c r="P296" s="39"/>
      <c r="Q296" s="39"/>
    </row>
    <row r="297" spans="1:17">
      <c r="A297" s="38" t="s">
        <v>1262</v>
      </c>
      <c r="B297" s="778">
        <v>0.8</v>
      </c>
      <c r="C297" s="775">
        <v>1442</v>
      </c>
      <c r="D297" s="775">
        <v>1545</v>
      </c>
      <c r="E297" s="775">
        <v>1854</v>
      </c>
      <c r="F297" s="775">
        <v>2143</v>
      </c>
      <c r="G297" s="775">
        <v>2390</v>
      </c>
      <c r="H297" s="776">
        <v>57680</v>
      </c>
      <c r="I297" s="776">
        <v>65920</v>
      </c>
      <c r="J297" s="776">
        <v>74160</v>
      </c>
      <c r="K297" s="776">
        <v>82400</v>
      </c>
      <c r="L297" s="776">
        <v>89040</v>
      </c>
      <c r="M297" s="776">
        <v>95600</v>
      </c>
      <c r="N297" s="776">
        <v>102240</v>
      </c>
      <c r="O297" s="776">
        <v>108800</v>
      </c>
      <c r="P297" s="39"/>
      <c r="Q297" s="39"/>
    </row>
    <row r="298" spans="1:17">
      <c r="A298" s="38"/>
      <c r="B298" s="778">
        <v>0.7</v>
      </c>
      <c r="C298" s="775">
        <v>1261</v>
      </c>
      <c r="D298" s="775">
        <v>1351</v>
      </c>
      <c r="E298" s="775">
        <v>1622</v>
      </c>
      <c r="F298" s="775">
        <v>1875</v>
      </c>
      <c r="G298" s="775">
        <v>2091</v>
      </c>
      <c r="H298" s="776">
        <v>50470</v>
      </c>
      <c r="I298" s="776">
        <v>57679.999999999993</v>
      </c>
      <c r="J298" s="776">
        <v>64889.999999999993</v>
      </c>
      <c r="K298" s="776">
        <v>72100</v>
      </c>
      <c r="L298" s="776">
        <v>77910</v>
      </c>
      <c r="M298" s="776">
        <v>83650</v>
      </c>
      <c r="N298" s="776">
        <v>89460</v>
      </c>
      <c r="O298" s="776">
        <v>95200</v>
      </c>
      <c r="P298" s="39"/>
      <c r="Q298" s="39"/>
    </row>
    <row r="299" spans="1:17">
      <c r="A299" s="38"/>
      <c r="B299" s="778">
        <v>0.6</v>
      </c>
      <c r="C299" s="775">
        <v>1081</v>
      </c>
      <c r="D299" s="775">
        <v>1158</v>
      </c>
      <c r="E299" s="775">
        <v>1390</v>
      </c>
      <c r="F299" s="775">
        <v>1607</v>
      </c>
      <c r="G299" s="775">
        <v>1792</v>
      </c>
      <c r="H299" s="775">
        <v>43260</v>
      </c>
      <c r="I299" s="775">
        <v>49440</v>
      </c>
      <c r="J299" s="775">
        <v>55620</v>
      </c>
      <c r="K299" s="775">
        <v>61800</v>
      </c>
      <c r="L299" s="775">
        <v>66780</v>
      </c>
      <c r="M299" s="777">
        <v>71700</v>
      </c>
      <c r="N299" s="777">
        <v>76680</v>
      </c>
      <c r="O299" s="777">
        <v>81600</v>
      </c>
      <c r="P299" s="39"/>
      <c r="Q299" s="39"/>
    </row>
    <row r="300" spans="1:17">
      <c r="A300" s="38"/>
      <c r="B300" s="778">
        <v>0.55000000000000004</v>
      </c>
      <c r="C300" s="775">
        <v>991</v>
      </c>
      <c r="D300" s="775">
        <v>1062</v>
      </c>
      <c r="E300" s="775">
        <v>1274</v>
      </c>
      <c r="F300" s="775">
        <v>1473</v>
      </c>
      <c r="G300" s="775">
        <v>1643</v>
      </c>
      <c r="H300" s="775">
        <v>39655</v>
      </c>
      <c r="I300" s="775">
        <v>45320.000000000007</v>
      </c>
      <c r="J300" s="775">
        <v>50985.000000000007</v>
      </c>
      <c r="K300" s="775">
        <v>56650.000000000007</v>
      </c>
      <c r="L300" s="775">
        <v>61215.000000000007</v>
      </c>
      <c r="M300" s="775">
        <v>65725</v>
      </c>
      <c r="N300" s="775">
        <v>70290</v>
      </c>
      <c r="O300" s="775">
        <v>74800</v>
      </c>
      <c r="P300" s="39"/>
      <c r="Q300" s="39"/>
    </row>
    <row r="301" spans="1:17">
      <c r="A301" s="38"/>
      <c r="B301" s="778">
        <v>0.5</v>
      </c>
      <c r="C301" s="775">
        <v>901</v>
      </c>
      <c r="D301" s="775">
        <v>965</v>
      </c>
      <c r="E301" s="775">
        <v>1158</v>
      </c>
      <c r="F301" s="775">
        <v>1339</v>
      </c>
      <c r="G301" s="775">
        <v>1493</v>
      </c>
      <c r="H301" s="776">
        <v>36050</v>
      </c>
      <c r="I301" s="776">
        <v>41200</v>
      </c>
      <c r="J301" s="776">
        <v>46350</v>
      </c>
      <c r="K301" s="776">
        <v>51500</v>
      </c>
      <c r="L301" s="776">
        <v>55650</v>
      </c>
      <c r="M301" s="776">
        <v>59750</v>
      </c>
      <c r="N301" s="776">
        <v>63900</v>
      </c>
      <c r="O301" s="776">
        <v>68000</v>
      </c>
      <c r="P301" s="39"/>
      <c r="Q301" s="39"/>
    </row>
    <row r="302" spans="1:17">
      <c r="A302" s="38"/>
      <c r="B302" s="778">
        <v>0.45</v>
      </c>
      <c r="C302" s="775">
        <v>811</v>
      </c>
      <c r="D302" s="775">
        <v>869</v>
      </c>
      <c r="E302" s="775">
        <v>1042</v>
      </c>
      <c r="F302" s="775">
        <v>1205</v>
      </c>
      <c r="G302" s="775">
        <v>1344</v>
      </c>
      <c r="H302" s="775">
        <v>32445</v>
      </c>
      <c r="I302" s="775">
        <v>37080</v>
      </c>
      <c r="J302" s="775">
        <v>41715</v>
      </c>
      <c r="K302" s="775">
        <v>46350</v>
      </c>
      <c r="L302" s="775">
        <v>50085</v>
      </c>
      <c r="M302" s="777">
        <v>53775</v>
      </c>
      <c r="N302" s="777">
        <v>57510</v>
      </c>
      <c r="O302" s="777">
        <v>61200</v>
      </c>
      <c r="P302" s="39"/>
      <c r="Q302" s="39"/>
    </row>
    <row r="303" spans="1:17">
      <c r="A303" s="38"/>
      <c r="B303" s="778">
        <v>0.4</v>
      </c>
      <c r="C303" s="775">
        <v>721</v>
      </c>
      <c r="D303" s="775">
        <v>772</v>
      </c>
      <c r="E303" s="775">
        <v>927</v>
      </c>
      <c r="F303" s="775">
        <v>1071</v>
      </c>
      <c r="G303" s="775">
        <v>1195</v>
      </c>
      <c r="H303" s="775">
        <v>28840</v>
      </c>
      <c r="I303" s="775">
        <v>32960</v>
      </c>
      <c r="J303" s="775">
        <v>37080</v>
      </c>
      <c r="K303" s="775">
        <v>41200</v>
      </c>
      <c r="L303" s="775">
        <v>44520</v>
      </c>
      <c r="M303" s="777">
        <v>47800</v>
      </c>
      <c r="N303" s="777">
        <v>51120</v>
      </c>
      <c r="O303" s="777">
        <v>54400</v>
      </c>
      <c r="P303" s="39"/>
      <c r="Q303" s="39"/>
    </row>
    <row r="304" spans="1:17">
      <c r="A304" s="38"/>
      <c r="B304" s="519">
        <v>0.3</v>
      </c>
      <c r="C304" s="775">
        <v>540</v>
      </c>
      <c r="D304" s="775">
        <v>579</v>
      </c>
      <c r="E304" s="775">
        <v>695</v>
      </c>
      <c r="F304" s="775">
        <v>803</v>
      </c>
      <c r="G304" s="775">
        <v>896</v>
      </c>
      <c r="H304" s="776">
        <v>21630</v>
      </c>
      <c r="I304" s="776">
        <v>24720</v>
      </c>
      <c r="J304" s="776">
        <v>27810</v>
      </c>
      <c r="K304" s="776">
        <v>30900</v>
      </c>
      <c r="L304" s="776">
        <v>33390</v>
      </c>
      <c r="M304" s="776">
        <v>35850</v>
      </c>
      <c r="N304" s="776">
        <v>38340</v>
      </c>
      <c r="O304" s="776">
        <v>40800</v>
      </c>
      <c r="P304" s="39"/>
      <c r="Q304" s="39"/>
    </row>
    <row r="305" spans="1:17" ht="13.5" thickBot="1">
      <c r="A305" s="779"/>
      <c r="B305" s="40">
        <v>0.2</v>
      </c>
      <c r="C305" s="521">
        <v>360</v>
      </c>
      <c r="D305" s="521">
        <v>386</v>
      </c>
      <c r="E305" s="521">
        <v>463</v>
      </c>
      <c r="F305" s="521">
        <v>535</v>
      </c>
      <c r="G305" s="521">
        <v>597</v>
      </c>
      <c r="H305" s="522">
        <v>14420</v>
      </c>
      <c r="I305" s="522">
        <v>16480</v>
      </c>
      <c r="J305" s="522">
        <v>18540</v>
      </c>
      <c r="K305" s="522">
        <v>20600</v>
      </c>
      <c r="L305" s="522">
        <v>22260</v>
      </c>
      <c r="M305" s="522">
        <v>23900</v>
      </c>
      <c r="N305" s="522">
        <v>25560</v>
      </c>
      <c r="O305" s="522">
        <v>27200</v>
      </c>
      <c r="P305" s="45"/>
      <c r="Q305" s="45"/>
    </row>
    <row r="306" spans="1:17" ht="13.5" thickTop="1">
      <c r="A306" s="46"/>
      <c r="B306" s="37">
        <v>1.2</v>
      </c>
      <c r="C306" s="523">
        <v>1980</v>
      </c>
      <c r="D306" s="523">
        <v>2121</v>
      </c>
      <c r="E306" s="523">
        <v>2544</v>
      </c>
      <c r="F306" s="523">
        <v>2940</v>
      </c>
      <c r="G306" s="523">
        <v>3279</v>
      </c>
      <c r="H306" s="523">
        <v>79200</v>
      </c>
      <c r="I306" s="523">
        <v>90480</v>
      </c>
      <c r="J306" s="523">
        <v>101760</v>
      </c>
      <c r="K306" s="523">
        <v>113040</v>
      </c>
      <c r="L306" s="523">
        <v>122160</v>
      </c>
      <c r="M306" s="523">
        <v>131160</v>
      </c>
      <c r="N306" s="523">
        <v>140280</v>
      </c>
      <c r="O306" s="523">
        <v>149280</v>
      </c>
      <c r="P306" s="39"/>
      <c r="Q306" s="39"/>
    </row>
    <row r="307" spans="1:17">
      <c r="A307" s="38"/>
      <c r="B307" s="778">
        <v>1</v>
      </c>
      <c r="C307" s="775">
        <v>1650</v>
      </c>
      <c r="D307" s="775">
        <v>1767</v>
      </c>
      <c r="E307" s="775">
        <v>2120</v>
      </c>
      <c r="F307" s="775">
        <v>2450</v>
      </c>
      <c r="G307" s="775">
        <v>2732</v>
      </c>
      <c r="H307" s="775">
        <v>66000</v>
      </c>
      <c r="I307" s="775">
        <v>75400</v>
      </c>
      <c r="J307" s="775">
        <v>84800</v>
      </c>
      <c r="K307" s="775">
        <v>94200</v>
      </c>
      <c r="L307" s="775">
        <v>101800</v>
      </c>
      <c r="M307" s="775">
        <v>109300</v>
      </c>
      <c r="N307" s="775">
        <v>116900</v>
      </c>
      <c r="O307" s="775">
        <v>124400</v>
      </c>
      <c r="P307" s="39"/>
      <c r="Q307" s="39"/>
    </row>
    <row r="308" spans="1:17">
      <c r="A308" s="38" t="s">
        <v>1263</v>
      </c>
      <c r="B308" s="778">
        <v>0.8</v>
      </c>
      <c r="C308" s="775">
        <v>1320</v>
      </c>
      <c r="D308" s="775">
        <v>1414</v>
      </c>
      <c r="E308" s="775">
        <v>1696</v>
      </c>
      <c r="F308" s="775">
        <v>1960</v>
      </c>
      <c r="G308" s="775">
        <v>2186</v>
      </c>
      <c r="H308" s="776">
        <v>52800</v>
      </c>
      <c r="I308" s="776">
        <v>60320</v>
      </c>
      <c r="J308" s="776">
        <v>67840</v>
      </c>
      <c r="K308" s="776">
        <v>75360</v>
      </c>
      <c r="L308" s="776">
        <v>81440</v>
      </c>
      <c r="M308" s="776">
        <v>87440</v>
      </c>
      <c r="N308" s="776">
        <v>93520</v>
      </c>
      <c r="O308" s="776">
        <v>99520</v>
      </c>
      <c r="P308" s="39"/>
      <c r="Q308" s="39"/>
    </row>
    <row r="309" spans="1:17">
      <c r="A309" s="38"/>
      <c r="B309" s="778">
        <v>0.7</v>
      </c>
      <c r="C309" s="775">
        <v>1155</v>
      </c>
      <c r="D309" s="775">
        <v>1237</v>
      </c>
      <c r="E309" s="775">
        <v>1484</v>
      </c>
      <c r="F309" s="775">
        <v>1715</v>
      </c>
      <c r="G309" s="775">
        <v>1912</v>
      </c>
      <c r="H309" s="776">
        <v>46200</v>
      </c>
      <c r="I309" s="776">
        <v>52780</v>
      </c>
      <c r="J309" s="776">
        <v>59359.999999999993</v>
      </c>
      <c r="K309" s="776">
        <v>65940</v>
      </c>
      <c r="L309" s="776">
        <v>71260</v>
      </c>
      <c r="M309" s="776">
        <v>76510</v>
      </c>
      <c r="N309" s="776">
        <v>81830</v>
      </c>
      <c r="O309" s="776">
        <v>87080</v>
      </c>
      <c r="P309" s="39"/>
      <c r="Q309" s="39"/>
    </row>
    <row r="310" spans="1:17">
      <c r="A310" s="38"/>
      <c r="B310" s="778">
        <v>0.6</v>
      </c>
      <c r="C310" s="775">
        <v>990</v>
      </c>
      <c r="D310" s="775">
        <v>1060</v>
      </c>
      <c r="E310" s="775">
        <v>1272</v>
      </c>
      <c r="F310" s="775">
        <v>1470</v>
      </c>
      <c r="G310" s="775">
        <v>1639</v>
      </c>
      <c r="H310" s="775">
        <v>39600</v>
      </c>
      <c r="I310" s="775">
        <v>45240</v>
      </c>
      <c r="J310" s="775">
        <v>50880</v>
      </c>
      <c r="K310" s="775">
        <v>56520</v>
      </c>
      <c r="L310" s="775">
        <v>61080</v>
      </c>
      <c r="M310" s="777">
        <v>65580</v>
      </c>
      <c r="N310" s="777">
        <v>70140</v>
      </c>
      <c r="O310" s="777">
        <v>74640</v>
      </c>
      <c r="P310" s="39"/>
      <c r="Q310" s="39"/>
    </row>
    <row r="311" spans="1:17">
      <c r="A311" s="38"/>
      <c r="B311" s="778">
        <v>0.55000000000000004</v>
      </c>
      <c r="C311" s="775">
        <v>907</v>
      </c>
      <c r="D311" s="775">
        <v>972</v>
      </c>
      <c r="E311" s="775">
        <v>1166</v>
      </c>
      <c r="F311" s="775">
        <v>1347</v>
      </c>
      <c r="G311" s="775">
        <v>1502</v>
      </c>
      <c r="H311" s="775">
        <v>36300</v>
      </c>
      <c r="I311" s="775">
        <v>41470</v>
      </c>
      <c r="J311" s="775">
        <v>46640.000000000007</v>
      </c>
      <c r="K311" s="775">
        <v>51810.000000000007</v>
      </c>
      <c r="L311" s="775">
        <v>55990.000000000007</v>
      </c>
      <c r="M311" s="775">
        <v>60115.000000000007</v>
      </c>
      <c r="N311" s="775">
        <v>64295.000000000007</v>
      </c>
      <c r="O311" s="775">
        <v>68420</v>
      </c>
      <c r="P311" s="39"/>
      <c r="Q311" s="39"/>
    </row>
    <row r="312" spans="1:17">
      <c r="A312" s="38"/>
      <c r="B312" s="778">
        <v>0.5</v>
      </c>
      <c r="C312" s="775">
        <v>825</v>
      </c>
      <c r="D312" s="775">
        <v>883</v>
      </c>
      <c r="E312" s="775">
        <v>1060</v>
      </c>
      <c r="F312" s="775">
        <v>1225</v>
      </c>
      <c r="G312" s="775">
        <v>1366</v>
      </c>
      <c r="H312" s="776">
        <v>33000</v>
      </c>
      <c r="I312" s="776">
        <v>37700</v>
      </c>
      <c r="J312" s="776">
        <v>42400</v>
      </c>
      <c r="K312" s="776">
        <v>47100</v>
      </c>
      <c r="L312" s="776">
        <v>50900</v>
      </c>
      <c r="M312" s="776">
        <v>54650</v>
      </c>
      <c r="N312" s="776">
        <v>58450</v>
      </c>
      <c r="O312" s="776">
        <v>62200</v>
      </c>
      <c r="P312" s="39"/>
      <c r="Q312" s="39"/>
    </row>
    <row r="313" spans="1:17">
      <c r="A313" s="38"/>
      <c r="B313" s="778">
        <v>0.45</v>
      </c>
      <c r="C313" s="775">
        <v>742</v>
      </c>
      <c r="D313" s="775">
        <v>795</v>
      </c>
      <c r="E313" s="775">
        <v>954</v>
      </c>
      <c r="F313" s="775">
        <v>1102</v>
      </c>
      <c r="G313" s="775">
        <v>1229</v>
      </c>
      <c r="H313" s="775">
        <v>29700</v>
      </c>
      <c r="I313" s="775">
        <v>33930</v>
      </c>
      <c r="J313" s="775">
        <v>38160</v>
      </c>
      <c r="K313" s="775">
        <v>42390</v>
      </c>
      <c r="L313" s="775">
        <v>45810</v>
      </c>
      <c r="M313" s="777">
        <v>49185</v>
      </c>
      <c r="N313" s="777">
        <v>52605</v>
      </c>
      <c r="O313" s="777">
        <v>55980</v>
      </c>
      <c r="P313" s="39"/>
      <c r="Q313" s="39"/>
    </row>
    <row r="314" spans="1:17">
      <c r="A314" s="38"/>
      <c r="B314" s="778">
        <v>0.4</v>
      </c>
      <c r="C314" s="775">
        <v>660</v>
      </c>
      <c r="D314" s="775">
        <v>707</v>
      </c>
      <c r="E314" s="775">
        <v>848</v>
      </c>
      <c r="F314" s="775">
        <v>980</v>
      </c>
      <c r="G314" s="775">
        <v>1093</v>
      </c>
      <c r="H314" s="775">
        <v>26400</v>
      </c>
      <c r="I314" s="775">
        <v>30160</v>
      </c>
      <c r="J314" s="775">
        <v>33920</v>
      </c>
      <c r="K314" s="775">
        <v>37680</v>
      </c>
      <c r="L314" s="775">
        <v>40720</v>
      </c>
      <c r="M314" s="777">
        <v>43720</v>
      </c>
      <c r="N314" s="777">
        <v>46760</v>
      </c>
      <c r="O314" s="777">
        <v>49760</v>
      </c>
      <c r="P314" s="39"/>
      <c r="Q314" s="39"/>
    </row>
    <row r="315" spans="1:17">
      <c r="A315" s="38"/>
      <c r="B315" s="519">
        <v>0.3</v>
      </c>
      <c r="C315" s="775">
        <v>495</v>
      </c>
      <c r="D315" s="775">
        <v>530</v>
      </c>
      <c r="E315" s="775">
        <v>636</v>
      </c>
      <c r="F315" s="775">
        <v>735</v>
      </c>
      <c r="G315" s="775">
        <v>819</v>
      </c>
      <c r="H315" s="776">
        <v>19800</v>
      </c>
      <c r="I315" s="776">
        <v>22620</v>
      </c>
      <c r="J315" s="776">
        <v>25440</v>
      </c>
      <c r="K315" s="776">
        <v>28260</v>
      </c>
      <c r="L315" s="776">
        <v>30540</v>
      </c>
      <c r="M315" s="776">
        <v>32790</v>
      </c>
      <c r="N315" s="776">
        <v>35070</v>
      </c>
      <c r="O315" s="776">
        <v>37320</v>
      </c>
      <c r="P315" s="39"/>
      <c r="Q315" s="39"/>
    </row>
    <row r="316" spans="1:17" ht="13.5" thickBot="1">
      <c r="A316" s="779"/>
      <c r="B316" s="40">
        <v>0.2</v>
      </c>
      <c r="C316" s="521">
        <v>330</v>
      </c>
      <c r="D316" s="521">
        <v>353</v>
      </c>
      <c r="E316" s="521">
        <v>424</v>
      </c>
      <c r="F316" s="521">
        <v>490</v>
      </c>
      <c r="G316" s="521">
        <v>546</v>
      </c>
      <c r="H316" s="522">
        <v>13200</v>
      </c>
      <c r="I316" s="522">
        <v>15080</v>
      </c>
      <c r="J316" s="522">
        <v>16960</v>
      </c>
      <c r="K316" s="522">
        <v>18840</v>
      </c>
      <c r="L316" s="522">
        <v>20360</v>
      </c>
      <c r="M316" s="522">
        <v>21860</v>
      </c>
      <c r="N316" s="522">
        <v>23380</v>
      </c>
      <c r="O316" s="522">
        <v>24880</v>
      </c>
      <c r="P316" s="41"/>
      <c r="Q316" s="41"/>
    </row>
    <row r="317" spans="1:17" ht="13.5" thickTop="1">
      <c r="A317" s="46"/>
      <c r="B317" s="37">
        <v>1.2</v>
      </c>
      <c r="C317" s="523">
        <v>1980</v>
      </c>
      <c r="D317" s="523">
        <v>2121</v>
      </c>
      <c r="E317" s="523">
        <v>2544</v>
      </c>
      <c r="F317" s="523">
        <v>2940</v>
      </c>
      <c r="G317" s="523">
        <v>3279</v>
      </c>
      <c r="H317" s="523">
        <v>79200</v>
      </c>
      <c r="I317" s="523">
        <v>90480</v>
      </c>
      <c r="J317" s="523">
        <v>101760</v>
      </c>
      <c r="K317" s="523">
        <v>113040</v>
      </c>
      <c r="L317" s="523">
        <v>122160</v>
      </c>
      <c r="M317" s="523">
        <v>131160</v>
      </c>
      <c r="N317" s="523">
        <v>140280</v>
      </c>
      <c r="O317" s="523">
        <v>149280</v>
      </c>
      <c r="P317" s="41"/>
      <c r="Q317" s="41"/>
    </row>
    <row r="318" spans="1:17">
      <c r="A318" s="38"/>
      <c r="B318" s="778">
        <v>1</v>
      </c>
      <c r="C318" s="775">
        <v>1650</v>
      </c>
      <c r="D318" s="775">
        <v>1767</v>
      </c>
      <c r="E318" s="775">
        <v>2120</v>
      </c>
      <c r="F318" s="775">
        <v>2450</v>
      </c>
      <c r="G318" s="775">
        <v>2732</v>
      </c>
      <c r="H318" s="775">
        <v>66000</v>
      </c>
      <c r="I318" s="775">
        <v>75400</v>
      </c>
      <c r="J318" s="775">
        <v>84800</v>
      </c>
      <c r="K318" s="775">
        <v>94200</v>
      </c>
      <c r="L318" s="775">
        <v>101800</v>
      </c>
      <c r="M318" s="775">
        <v>109300</v>
      </c>
      <c r="N318" s="775">
        <v>116900</v>
      </c>
      <c r="O318" s="775">
        <v>124400</v>
      </c>
      <c r="P318" s="41"/>
      <c r="Q318" s="41"/>
    </row>
    <row r="319" spans="1:17">
      <c r="A319" s="38" t="s">
        <v>1264</v>
      </c>
      <c r="B319" s="778">
        <v>0.8</v>
      </c>
      <c r="C319" s="775">
        <v>1320</v>
      </c>
      <c r="D319" s="775">
        <v>1414</v>
      </c>
      <c r="E319" s="775">
        <v>1696</v>
      </c>
      <c r="F319" s="775">
        <v>1960</v>
      </c>
      <c r="G319" s="775">
        <v>2186</v>
      </c>
      <c r="H319" s="776">
        <v>52800</v>
      </c>
      <c r="I319" s="776">
        <v>60320</v>
      </c>
      <c r="J319" s="776">
        <v>67840</v>
      </c>
      <c r="K319" s="776">
        <v>75360</v>
      </c>
      <c r="L319" s="776">
        <v>81440</v>
      </c>
      <c r="M319" s="776">
        <v>87440</v>
      </c>
      <c r="N319" s="776">
        <v>93520</v>
      </c>
      <c r="O319" s="776">
        <v>99520</v>
      </c>
      <c r="P319" s="41"/>
      <c r="Q319" s="41"/>
    </row>
    <row r="320" spans="1:17">
      <c r="A320" s="38"/>
      <c r="B320" s="778">
        <v>0.7</v>
      </c>
      <c r="C320" s="775">
        <v>1155</v>
      </c>
      <c r="D320" s="775">
        <v>1237</v>
      </c>
      <c r="E320" s="775">
        <v>1484</v>
      </c>
      <c r="F320" s="775">
        <v>1715</v>
      </c>
      <c r="G320" s="775">
        <v>1912</v>
      </c>
      <c r="H320" s="776">
        <v>46200</v>
      </c>
      <c r="I320" s="776">
        <v>52780</v>
      </c>
      <c r="J320" s="776">
        <v>59359.999999999993</v>
      </c>
      <c r="K320" s="776">
        <v>65940</v>
      </c>
      <c r="L320" s="776">
        <v>71260</v>
      </c>
      <c r="M320" s="776">
        <v>76510</v>
      </c>
      <c r="N320" s="776">
        <v>81830</v>
      </c>
      <c r="O320" s="776">
        <v>87080</v>
      </c>
      <c r="P320" s="41"/>
      <c r="Q320" s="41"/>
    </row>
    <row r="321" spans="1:17">
      <c r="A321" s="38"/>
      <c r="B321" s="778">
        <v>0.6</v>
      </c>
      <c r="C321" s="775">
        <v>990</v>
      </c>
      <c r="D321" s="775">
        <v>1060</v>
      </c>
      <c r="E321" s="775">
        <v>1272</v>
      </c>
      <c r="F321" s="775">
        <v>1470</v>
      </c>
      <c r="G321" s="775">
        <v>1639</v>
      </c>
      <c r="H321" s="775">
        <v>39600</v>
      </c>
      <c r="I321" s="775">
        <v>45240</v>
      </c>
      <c r="J321" s="775">
        <v>50880</v>
      </c>
      <c r="K321" s="775">
        <v>56520</v>
      </c>
      <c r="L321" s="775">
        <v>61080</v>
      </c>
      <c r="M321" s="777">
        <v>65580</v>
      </c>
      <c r="N321" s="777">
        <v>70140</v>
      </c>
      <c r="O321" s="777">
        <v>74640</v>
      </c>
      <c r="P321" s="41"/>
      <c r="Q321" s="41"/>
    </row>
    <row r="322" spans="1:17">
      <c r="A322" s="38"/>
      <c r="B322" s="778">
        <v>0.55000000000000004</v>
      </c>
      <c r="C322" s="775">
        <v>907</v>
      </c>
      <c r="D322" s="775">
        <v>972</v>
      </c>
      <c r="E322" s="775">
        <v>1166</v>
      </c>
      <c r="F322" s="775">
        <v>1347</v>
      </c>
      <c r="G322" s="775">
        <v>1502</v>
      </c>
      <c r="H322" s="775">
        <v>36300</v>
      </c>
      <c r="I322" s="775">
        <v>41470</v>
      </c>
      <c r="J322" s="775">
        <v>46640.000000000007</v>
      </c>
      <c r="K322" s="775">
        <v>51810.000000000007</v>
      </c>
      <c r="L322" s="775">
        <v>55990.000000000007</v>
      </c>
      <c r="M322" s="775">
        <v>60115.000000000007</v>
      </c>
      <c r="N322" s="775">
        <v>64295.000000000007</v>
      </c>
      <c r="O322" s="775">
        <v>68420</v>
      </c>
      <c r="P322" s="41"/>
      <c r="Q322" s="41"/>
    </row>
    <row r="323" spans="1:17">
      <c r="A323" s="38"/>
      <c r="B323" s="778">
        <v>0.5</v>
      </c>
      <c r="C323" s="775">
        <v>825</v>
      </c>
      <c r="D323" s="775">
        <v>883</v>
      </c>
      <c r="E323" s="775">
        <v>1060</v>
      </c>
      <c r="F323" s="775">
        <v>1225</v>
      </c>
      <c r="G323" s="775">
        <v>1366</v>
      </c>
      <c r="H323" s="776">
        <v>33000</v>
      </c>
      <c r="I323" s="776">
        <v>37700</v>
      </c>
      <c r="J323" s="776">
        <v>42400</v>
      </c>
      <c r="K323" s="776">
        <v>47100</v>
      </c>
      <c r="L323" s="776">
        <v>50900</v>
      </c>
      <c r="M323" s="776">
        <v>54650</v>
      </c>
      <c r="N323" s="776">
        <v>58450</v>
      </c>
      <c r="O323" s="776">
        <v>62200</v>
      </c>
      <c r="P323" s="41"/>
      <c r="Q323" s="41"/>
    </row>
    <row r="324" spans="1:17">
      <c r="A324" s="38"/>
      <c r="B324" s="778">
        <v>0.45</v>
      </c>
      <c r="C324" s="775">
        <v>742</v>
      </c>
      <c r="D324" s="775">
        <v>795</v>
      </c>
      <c r="E324" s="775">
        <v>954</v>
      </c>
      <c r="F324" s="775">
        <v>1102</v>
      </c>
      <c r="G324" s="775">
        <v>1229</v>
      </c>
      <c r="H324" s="775">
        <v>29700</v>
      </c>
      <c r="I324" s="775">
        <v>33930</v>
      </c>
      <c r="J324" s="775">
        <v>38160</v>
      </c>
      <c r="K324" s="775">
        <v>42390</v>
      </c>
      <c r="L324" s="775">
        <v>45810</v>
      </c>
      <c r="M324" s="777">
        <v>49185</v>
      </c>
      <c r="N324" s="777">
        <v>52605</v>
      </c>
      <c r="O324" s="777">
        <v>55980</v>
      </c>
      <c r="P324" s="41"/>
      <c r="Q324" s="41"/>
    </row>
    <row r="325" spans="1:17">
      <c r="A325" s="38"/>
      <c r="B325" s="778">
        <v>0.4</v>
      </c>
      <c r="C325" s="775">
        <v>660</v>
      </c>
      <c r="D325" s="775">
        <v>707</v>
      </c>
      <c r="E325" s="775">
        <v>848</v>
      </c>
      <c r="F325" s="775">
        <v>980</v>
      </c>
      <c r="G325" s="775">
        <v>1093</v>
      </c>
      <c r="H325" s="775">
        <v>26400</v>
      </c>
      <c r="I325" s="775">
        <v>30160</v>
      </c>
      <c r="J325" s="775">
        <v>33920</v>
      </c>
      <c r="K325" s="775">
        <v>37680</v>
      </c>
      <c r="L325" s="775">
        <v>40720</v>
      </c>
      <c r="M325" s="777">
        <v>43720</v>
      </c>
      <c r="N325" s="777">
        <v>46760</v>
      </c>
      <c r="O325" s="777">
        <v>49760</v>
      </c>
      <c r="P325" s="41"/>
      <c r="Q325" s="41"/>
    </row>
    <row r="326" spans="1:17">
      <c r="A326" s="38"/>
      <c r="B326" s="519">
        <v>0.3</v>
      </c>
      <c r="C326" s="775">
        <v>495</v>
      </c>
      <c r="D326" s="775">
        <v>530</v>
      </c>
      <c r="E326" s="775">
        <v>636</v>
      </c>
      <c r="F326" s="775">
        <v>735</v>
      </c>
      <c r="G326" s="775">
        <v>819</v>
      </c>
      <c r="H326" s="776">
        <v>19800</v>
      </c>
      <c r="I326" s="776">
        <v>22620</v>
      </c>
      <c r="J326" s="776">
        <v>25440</v>
      </c>
      <c r="K326" s="776">
        <v>28260</v>
      </c>
      <c r="L326" s="776">
        <v>30540</v>
      </c>
      <c r="M326" s="776">
        <v>32790</v>
      </c>
      <c r="N326" s="776">
        <v>35070</v>
      </c>
      <c r="O326" s="776">
        <v>37320</v>
      </c>
      <c r="P326" s="41"/>
      <c r="Q326" s="41"/>
    </row>
    <row r="327" spans="1:17" ht="13.5" thickBot="1">
      <c r="A327" s="779"/>
      <c r="B327" s="40">
        <v>0.2</v>
      </c>
      <c r="C327" s="521">
        <v>330</v>
      </c>
      <c r="D327" s="521">
        <v>353</v>
      </c>
      <c r="E327" s="521">
        <v>424</v>
      </c>
      <c r="F327" s="521">
        <v>490</v>
      </c>
      <c r="G327" s="521">
        <v>546</v>
      </c>
      <c r="H327" s="522">
        <v>13200</v>
      </c>
      <c r="I327" s="522">
        <v>15080</v>
      </c>
      <c r="J327" s="522">
        <v>16960</v>
      </c>
      <c r="K327" s="522">
        <v>18840</v>
      </c>
      <c r="L327" s="522">
        <v>20360</v>
      </c>
      <c r="M327" s="522">
        <v>21860</v>
      </c>
      <c r="N327" s="522">
        <v>23380</v>
      </c>
      <c r="O327" s="522">
        <v>24880</v>
      </c>
      <c r="P327" s="41"/>
      <c r="Q327" s="41"/>
    </row>
    <row r="328" spans="1:17" ht="13.5" thickTop="1">
      <c r="A328" s="46"/>
      <c r="B328" s="37">
        <v>1.2</v>
      </c>
      <c r="C328" s="523">
        <v>1980</v>
      </c>
      <c r="D328" s="523">
        <v>2121</v>
      </c>
      <c r="E328" s="523">
        <v>2544</v>
      </c>
      <c r="F328" s="523">
        <v>2940</v>
      </c>
      <c r="G328" s="523">
        <v>3279</v>
      </c>
      <c r="H328" s="523">
        <v>79200</v>
      </c>
      <c r="I328" s="523">
        <v>90480</v>
      </c>
      <c r="J328" s="523">
        <v>101760</v>
      </c>
      <c r="K328" s="523">
        <v>113040</v>
      </c>
      <c r="L328" s="523">
        <v>122160</v>
      </c>
      <c r="M328" s="523">
        <v>131160</v>
      </c>
      <c r="N328" s="523">
        <v>140280</v>
      </c>
      <c r="O328" s="523">
        <v>149280</v>
      </c>
      <c r="P328" s="41"/>
      <c r="Q328" s="41"/>
    </row>
    <row r="329" spans="1:17">
      <c r="A329" s="38"/>
      <c r="B329" s="778">
        <v>1</v>
      </c>
      <c r="C329" s="775">
        <v>1650</v>
      </c>
      <c r="D329" s="775">
        <v>1767</v>
      </c>
      <c r="E329" s="775">
        <v>2120</v>
      </c>
      <c r="F329" s="775">
        <v>2450</v>
      </c>
      <c r="G329" s="775">
        <v>2732</v>
      </c>
      <c r="H329" s="775">
        <v>66000</v>
      </c>
      <c r="I329" s="775">
        <v>75400</v>
      </c>
      <c r="J329" s="775">
        <v>84800</v>
      </c>
      <c r="K329" s="775">
        <v>94200</v>
      </c>
      <c r="L329" s="775">
        <v>101800</v>
      </c>
      <c r="M329" s="775">
        <v>109300</v>
      </c>
      <c r="N329" s="775">
        <v>116900</v>
      </c>
      <c r="O329" s="775">
        <v>124400</v>
      </c>
      <c r="P329" s="41"/>
      <c r="Q329" s="41"/>
    </row>
    <row r="330" spans="1:17">
      <c r="A330" s="38" t="s">
        <v>1265</v>
      </c>
      <c r="B330" s="778">
        <v>0.8</v>
      </c>
      <c r="C330" s="775">
        <v>1320</v>
      </c>
      <c r="D330" s="775">
        <v>1414</v>
      </c>
      <c r="E330" s="775">
        <v>1696</v>
      </c>
      <c r="F330" s="775">
        <v>1960</v>
      </c>
      <c r="G330" s="775">
        <v>2186</v>
      </c>
      <c r="H330" s="776">
        <v>52800</v>
      </c>
      <c r="I330" s="776">
        <v>60320</v>
      </c>
      <c r="J330" s="776">
        <v>67840</v>
      </c>
      <c r="K330" s="776">
        <v>75360</v>
      </c>
      <c r="L330" s="776">
        <v>81440</v>
      </c>
      <c r="M330" s="776">
        <v>87440</v>
      </c>
      <c r="N330" s="776">
        <v>93520</v>
      </c>
      <c r="O330" s="776">
        <v>99520</v>
      </c>
      <c r="P330" s="41"/>
      <c r="Q330" s="41"/>
    </row>
    <row r="331" spans="1:17">
      <c r="A331" s="38"/>
      <c r="B331" s="778">
        <v>0.7</v>
      </c>
      <c r="C331" s="775">
        <v>1155</v>
      </c>
      <c r="D331" s="775">
        <v>1237</v>
      </c>
      <c r="E331" s="775">
        <v>1484</v>
      </c>
      <c r="F331" s="775">
        <v>1715</v>
      </c>
      <c r="G331" s="775">
        <v>1912</v>
      </c>
      <c r="H331" s="776">
        <v>46200</v>
      </c>
      <c r="I331" s="776">
        <v>52780</v>
      </c>
      <c r="J331" s="776">
        <v>59359.999999999993</v>
      </c>
      <c r="K331" s="776">
        <v>65940</v>
      </c>
      <c r="L331" s="776">
        <v>71260</v>
      </c>
      <c r="M331" s="776">
        <v>76510</v>
      </c>
      <c r="N331" s="776">
        <v>81830</v>
      </c>
      <c r="O331" s="776">
        <v>87080</v>
      </c>
      <c r="P331" s="41"/>
      <c r="Q331" s="41"/>
    </row>
    <row r="332" spans="1:17">
      <c r="A332" s="38"/>
      <c r="B332" s="778">
        <v>0.6</v>
      </c>
      <c r="C332" s="775">
        <v>990</v>
      </c>
      <c r="D332" s="775">
        <v>1060</v>
      </c>
      <c r="E332" s="775">
        <v>1272</v>
      </c>
      <c r="F332" s="775">
        <v>1470</v>
      </c>
      <c r="G332" s="775">
        <v>1639</v>
      </c>
      <c r="H332" s="775">
        <v>39600</v>
      </c>
      <c r="I332" s="775">
        <v>45240</v>
      </c>
      <c r="J332" s="775">
        <v>50880</v>
      </c>
      <c r="K332" s="775">
        <v>56520</v>
      </c>
      <c r="L332" s="775">
        <v>61080</v>
      </c>
      <c r="M332" s="777">
        <v>65580</v>
      </c>
      <c r="N332" s="777">
        <v>70140</v>
      </c>
      <c r="O332" s="777">
        <v>74640</v>
      </c>
      <c r="P332" s="41"/>
      <c r="Q332" s="41"/>
    </row>
    <row r="333" spans="1:17">
      <c r="A333" s="38"/>
      <c r="B333" s="778">
        <v>0.55000000000000004</v>
      </c>
      <c r="C333" s="775">
        <v>907</v>
      </c>
      <c r="D333" s="775">
        <v>972</v>
      </c>
      <c r="E333" s="775">
        <v>1166</v>
      </c>
      <c r="F333" s="775">
        <v>1347</v>
      </c>
      <c r="G333" s="775">
        <v>1502</v>
      </c>
      <c r="H333" s="775">
        <v>36300</v>
      </c>
      <c r="I333" s="775">
        <v>41470</v>
      </c>
      <c r="J333" s="775">
        <v>46640.000000000007</v>
      </c>
      <c r="K333" s="775">
        <v>51810.000000000007</v>
      </c>
      <c r="L333" s="775">
        <v>55990.000000000007</v>
      </c>
      <c r="M333" s="775">
        <v>60115.000000000007</v>
      </c>
      <c r="N333" s="775">
        <v>64295.000000000007</v>
      </c>
      <c r="O333" s="775">
        <v>68420</v>
      </c>
      <c r="P333" s="41"/>
      <c r="Q333" s="41"/>
    </row>
    <row r="334" spans="1:17">
      <c r="A334" s="38"/>
      <c r="B334" s="778">
        <v>0.5</v>
      </c>
      <c r="C334" s="775">
        <v>825</v>
      </c>
      <c r="D334" s="775">
        <v>883</v>
      </c>
      <c r="E334" s="775">
        <v>1060</v>
      </c>
      <c r="F334" s="775">
        <v>1225</v>
      </c>
      <c r="G334" s="775">
        <v>1366</v>
      </c>
      <c r="H334" s="776">
        <v>33000</v>
      </c>
      <c r="I334" s="776">
        <v>37700</v>
      </c>
      <c r="J334" s="776">
        <v>42400</v>
      </c>
      <c r="K334" s="776">
        <v>47100</v>
      </c>
      <c r="L334" s="776">
        <v>50900</v>
      </c>
      <c r="M334" s="776">
        <v>54650</v>
      </c>
      <c r="N334" s="776">
        <v>58450</v>
      </c>
      <c r="O334" s="776">
        <v>62200</v>
      </c>
      <c r="P334" s="41"/>
      <c r="Q334" s="41"/>
    </row>
    <row r="335" spans="1:17">
      <c r="A335" s="38"/>
      <c r="B335" s="778">
        <v>0.45</v>
      </c>
      <c r="C335" s="775">
        <v>742</v>
      </c>
      <c r="D335" s="775">
        <v>795</v>
      </c>
      <c r="E335" s="775">
        <v>954</v>
      </c>
      <c r="F335" s="775">
        <v>1102</v>
      </c>
      <c r="G335" s="775">
        <v>1229</v>
      </c>
      <c r="H335" s="775">
        <v>29700</v>
      </c>
      <c r="I335" s="775">
        <v>33930</v>
      </c>
      <c r="J335" s="775">
        <v>38160</v>
      </c>
      <c r="K335" s="775">
        <v>42390</v>
      </c>
      <c r="L335" s="775">
        <v>45810</v>
      </c>
      <c r="M335" s="777">
        <v>49185</v>
      </c>
      <c r="N335" s="777">
        <v>52605</v>
      </c>
      <c r="O335" s="777">
        <v>55980</v>
      </c>
      <c r="P335" s="41"/>
      <c r="Q335" s="41"/>
    </row>
    <row r="336" spans="1:17">
      <c r="A336" s="38"/>
      <c r="B336" s="778">
        <v>0.4</v>
      </c>
      <c r="C336" s="775">
        <v>660</v>
      </c>
      <c r="D336" s="775">
        <v>707</v>
      </c>
      <c r="E336" s="775">
        <v>848</v>
      </c>
      <c r="F336" s="775">
        <v>980</v>
      </c>
      <c r="G336" s="775">
        <v>1093</v>
      </c>
      <c r="H336" s="775">
        <v>26400</v>
      </c>
      <c r="I336" s="775">
        <v>30160</v>
      </c>
      <c r="J336" s="775">
        <v>33920</v>
      </c>
      <c r="K336" s="775">
        <v>37680</v>
      </c>
      <c r="L336" s="775">
        <v>40720</v>
      </c>
      <c r="M336" s="777">
        <v>43720</v>
      </c>
      <c r="N336" s="777">
        <v>46760</v>
      </c>
      <c r="O336" s="777">
        <v>49760</v>
      </c>
      <c r="P336" s="41"/>
      <c r="Q336" s="41"/>
    </row>
    <row r="337" spans="1:17">
      <c r="A337" s="38"/>
      <c r="B337" s="519">
        <v>0.3</v>
      </c>
      <c r="C337" s="775">
        <v>495</v>
      </c>
      <c r="D337" s="775">
        <v>530</v>
      </c>
      <c r="E337" s="775">
        <v>636</v>
      </c>
      <c r="F337" s="775">
        <v>735</v>
      </c>
      <c r="G337" s="775">
        <v>819</v>
      </c>
      <c r="H337" s="776">
        <v>19800</v>
      </c>
      <c r="I337" s="776">
        <v>22620</v>
      </c>
      <c r="J337" s="776">
        <v>25440</v>
      </c>
      <c r="K337" s="776">
        <v>28260</v>
      </c>
      <c r="L337" s="776">
        <v>30540</v>
      </c>
      <c r="M337" s="776">
        <v>32790</v>
      </c>
      <c r="N337" s="776">
        <v>35070</v>
      </c>
      <c r="O337" s="776">
        <v>37320</v>
      </c>
      <c r="P337" s="41"/>
      <c r="Q337" s="41"/>
    </row>
    <row r="338" spans="1:17" ht="13.5" thickBot="1">
      <c r="A338" s="779"/>
      <c r="B338" s="40">
        <v>0.2</v>
      </c>
      <c r="C338" s="521">
        <v>330</v>
      </c>
      <c r="D338" s="521">
        <v>353</v>
      </c>
      <c r="E338" s="521">
        <v>424</v>
      </c>
      <c r="F338" s="521">
        <v>490</v>
      </c>
      <c r="G338" s="521">
        <v>546</v>
      </c>
      <c r="H338" s="522">
        <v>13200</v>
      </c>
      <c r="I338" s="522">
        <v>15080</v>
      </c>
      <c r="J338" s="522">
        <v>16960</v>
      </c>
      <c r="K338" s="522">
        <v>18840</v>
      </c>
      <c r="L338" s="522">
        <v>20360</v>
      </c>
      <c r="M338" s="522">
        <v>21860</v>
      </c>
      <c r="N338" s="522">
        <v>23380</v>
      </c>
      <c r="O338" s="522">
        <v>24880</v>
      </c>
      <c r="P338" s="41"/>
      <c r="Q338" s="41"/>
    </row>
    <row r="339" spans="1:17" ht="13.5" thickTop="1">
      <c r="A339" s="46"/>
      <c r="B339" s="37">
        <v>1.2</v>
      </c>
      <c r="C339" s="523">
        <v>2739</v>
      </c>
      <c r="D339" s="523">
        <v>2935</v>
      </c>
      <c r="E339" s="523">
        <v>3522</v>
      </c>
      <c r="F339" s="523">
        <v>4069</v>
      </c>
      <c r="G339" s="523">
        <v>4539</v>
      </c>
      <c r="H339" s="523">
        <v>109560</v>
      </c>
      <c r="I339" s="523">
        <v>125280</v>
      </c>
      <c r="J339" s="523">
        <v>140880</v>
      </c>
      <c r="K339" s="523">
        <v>156480</v>
      </c>
      <c r="L339" s="523">
        <v>169080</v>
      </c>
      <c r="M339" s="523">
        <v>181560</v>
      </c>
      <c r="N339" s="523">
        <v>194040</v>
      </c>
      <c r="O339" s="523">
        <v>206640</v>
      </c>
      <c r="P339" s="39"/>
      <c r="Q339" s="39"/>
    </row>
    <row r="340" spans="1:17">
      <c r="A340" s="38"/>
      <c r="B340" s="778">
        <v>1</v>
      </c>
      <c r="C340" s="775">
        <v>2282</v>
      </c>
      <c r="D340" s="775">
        <v>2446</v>
      </c>
      <c r="E340" s="775">
        <v>2935</v>
      </c>
      <c r="F340" s="775">
        <v>3391</v>
      </c>
      <c r="G340" s="775">
        <v>3782</v>
      </c>
      <c r="H340" s="775">
        <v>91300</v>
      </c>
      <c r="I340" s="775">
        <v>104400</v>
      </c>
      <c r="J340" s="775">
        <v>117400</v>
      </c>
      <c r="K340" s="775">
        <v>130400</v>
      </c>
      <c r="L340" s="775">
        <v>140900</v>
      </c>
      <c r="M340" s="775">
        <v>151300</v>
      </c>
      <c r="N340" s="775">
        <v>161700</v>
      </c>
      <c r="O340" s="775">
        <v>172200</v>
      </c>
      <c r="P340" s="39"/>
      <c r="Q340" s="39"/>
    </row>
    <row r="341" spans="1:17">
      <c r="A341" s="38" t="s">
        <v>1266</v>
      </c>
      <c r="B341" s="778">
        <v>0.8</v>
      </c>
      <c r="C341" s="775">
        <v>1826</v>
      </c>
      <c r="D341" s="775">
        <v>1957</v>
      </c>
      <c r="E341" s="775">
        <v>2348</v>
      </c>
      <c r="F341" s="775">
        <v>2713</v>
      </c>
      <c r="G341" s="775">
        <v>3026</v>
      </c>
      <c r="H341" s="776">
        <v>73040</v>
      </c>
      <c r="I341" s="776">
        <v>83520</v>
      </c>
      <c r="J341" s="776">
        <v>93920</v>
      </c>
      <c r="K341" s="776">
        <v>104320</v>
      </c>
      <c r="L341" s="776">
        <v>112720</v>
      </c>
      <c r="M341" s="776">
        <v>121040</v>
      </c>
      <c r="N341" s="776">
        <v>129360</v>
      </c>
      <c r="O341" s="776">
        <v>137760</v>
      </c>
      <c r="P341" s="39"/>
      <c r="Q341" s="39"/>
    </row>
    <row r="342" spans="1:17">
      <c r="A342" s="38"/>
      <c r="B342" s="778">
        <v>0.7</v>
      </c>
      <c r="C342" s="775">
        <v>1597</v>
      </c>
      <c r="D342" s="775">
        <v>1712</v>
      </c>
      <c r="E342" s="775">
        <v>2054</v>
      </c>
      <c r="F342" s="775">
        <v>2373</v>
      </c>
      <c r="G342" s="775">
        <v>2647</v>
      </c>
      <c r="H342" s="776">
        <v>63909.999999999993</v>
      </c>
      <c r="I342" s="776">
        <v>73080</v>
      </c>
      <c r="J342" s="776">
        <v>82180</v>
      </c>
      <c r="K342" s="776">
        <v>91280</v>
      </c>
      <c r="L342" s="776">
        <v>98630</v>
      </c>
      <c r="M342" s="776">
        <v>105910</v>
      </c>
      <c r="N342" s="776">
        <v>113190</v>
      </c>
      <c r="O342" s="776">
        <v>120539.99999999999</v>
      </c>
      <c r="P342" s="39"/>
      <c r="Q342" s="39"/>
    </row>
    <row r="343" spans="1:17">
      <c r="A343" s="38"/>
      <c r="B343" s="778">
        <v>0.6</v>
      </c>
      <c r="C343" s="775">
        <v>1369</v>
      </c>
      <c r="D343" s="775">
        <v>1467</v>
      </c>
      <c r="E343" s="775">
        <v>1761</v>
      </c>
      <c r="F343" s="775">
        <v>2034</v>
      </c>
      <c r="G343" s="775">
        <v>2269</v>
      </c>
      <c r="H343" s="775">
        <v>54780</v>
      </c>
      <c r="I343" s="775">
        <v>62640</v>
      </c>
      <c r="J343" s="775">
        <v>70440</v>
      </c>
      <c r="K343" s="775">
        <v>78240</v>
      </c>
      <c r="L343" s="775">
        <v>84540</v>
      </c>
      <c r="M343" s="777">
        <v>90780</v>
      </c>
      <c r="N343" s="777">
        <v>97020</v>
      </c>
      <c r="O343" s="777">
        <v>103320</v>
      </c>
      <c r="P343" s="39"/>
      <c r="Q343" s="39"/>
    </row>
    <row r="344" spans="1:17">
      <c r="A344" s="38"/>
      <c r="B344" s="778">
        <v>0.55000000000000004</v>
      </c>
      <c r="C344" s="775">
        <v>1255</v>
      </c>
      <c r="D344" s="775">
        <v>1345</v>
      </c>
      <c r="E344" s="775">
        <v>1614</v>
      </c>
      <c r="F344" s="775">
        <v>1865</v>
      </c>
      <c r="G344" s="775">
        <v>2080</v>
      </c>
      <c r="H344" s="775">
        <v>50215.000000000007</v>
      </c>
      <c r="I344" s="775">
        <v>57420.000000000007</v>
      </c>
      <c r="J344" s="775">
        <v>64570.000000000007</v>
      </c>
      <c r="K344" s="775">
        <v>71720</v>
      </c>
      <c r="L344" s="775">
        <v>77495</v>
      </c>
      <c r="M344" s="775">
        <v>83215</v>
      </c>
      <c r="N344" s="775">
        <v>88935</v>
      </c>
      <c r="O344" s="775">
        <v>94710.000000000015</v>
      </c>
      <c r="P344" s="39"/>
      <c r="Q344" s="39"/>
    </row>
    <row r="345" spans="1:17">
      <c r="A345" s="38"/>
      <c r="B345" s="778">
        <v>0.5</v>
      </c>
      <c r="C345" s="775">
        <v>1141</v>
      </c>
      <c r="D345" s="775">
        <v>1223</v>
      </c>
      <c r="E345" s="775">
        <v>1467</v>
      </c>
      <c r="F345" s="775">
        <v>1695</v>
      </c>
      <c r="G345" s="775">
        <v>1891</v>
      </c>
      <c r="H345" s="776">
        <v>45650</v>
      </c>
      <c r="I345" s="776">
        <v>52200</v>
      </c>
      <c r="J345" s="776">
        <v>58700</v>
      </c>
      <c r="K345" s="776">
        <v>65200</v>
      </c>
      <c r="L345" s="776">
        <v>70450</v>
      </c>
      <c r="M345" s="776">
        <v>75650</v>
      </c>
      <c r="N345" s="776">
        <v>80850</v>
      </c>
      <c r="O345" s="776">
        <v>86100</v>
      </c>
      <c r="P345" s="39"/>
      <c r="Q345" s="39"/>
    </row>
    <row r="346" spans="1:17">
      <c r="A346" s="38"/>
      <c r="B346" s="778">
        <v>0.45</v>
      </c>
      <c r="C346" s="775">
        <v>1027</v>
      </c>
      <c r="D346" s="775">
        <v>1100</v>
      </c>
      <c r="E346" s="775">
        <v>1320</v>
      </c>
      <c r="F346" s="775">
        <v>1526</v>
      </c>
      <c r="G346" s="775">
        <v>1702</v>
      </c>
      <c r="H346" s="775">
        <v>41085</v>
      </c>
      <c r="I346" s="775">
        <v>46980</v>
      </c>
      <c r="J346" s="775">
        <v>52830</v>
      </c>
      <c r="K346" s="775">
        <v>58680</v>
      </c>
      <c r="L346" s="775">
        <v>63405</v>
      </c>
      <c r="M346" s="777">
        <v>68085</v>
      </c>
      <c r="N346" s="777">
        <v>72765</v>
      </c>
      <c r="O346" s="777">
        <v>77490</v>
      </c>
      <c r="P346" s="39"/>
      <c r="Q346" s="39"/>
    </row>
    <row r="347" spans="1:17">
      <c r="A347" s="38"/>
      <c r="B347" s="778">
        <v>0.4</v>
      </c>
      <c r="C347" s="775">
        <v>913</v>
      </c>
      <c r="D347" s="775">
        <v>978</v>
      </c>
      <c r="E347" s="775">
        <v>1174</v>
      </c>
      <c r="F347" s="775">
        <v>1356</v>
      </c>
      <c r="G347" s="775">
        <v>1513</v>
      </c>
      <c r="H347" s="775">
        <v>36520</v>
      </c>
      <c r="I347" s="775">
        <v>41760</v>
      </c>
      <c r="J347" s="775">
        <v>46960</v>
      </c>
      <c r="K347" s="775">
        <v>52160</v>
      </c>
      <c r="L347" s="775">
        <v>56360</v>
      </c>
      <c r="M347" s="777">
        <v>60520</v>
      </c>
      <c r="N347" s="777">
        <v>64680</v>
      </c>
      <c r="O347" s="777">
        <v>68880</v>
      </c>
      <c r="P347" s="39"/>
      <c r="Q347" s="39"/>
    </row>
    <row r="348" spans="1:17">
      <c r="A348" s="38"/>
      <c r="B348" s="519">
        <v>0.3</v>
      </c>
      <c r="C348" s="775">
        <v>684</v>
      </c>
      <c r="D348" s="775">
        <v>733</v>
      </c>
      <c r="E348" s="775">
        <v>880</v>
      </c>
      <c r="F348" s="775">
        <v>1017</v>
      </c>
      <c r="G348" s="775">
        <v>1134</v>
      </c>
      <c r="H348" s="776">
        <v>27390</v>
      </c>
      <c r="I348" s="776">
        <v>31320</v>
      </c>
      <c r="J348" s="776">
        <v>35220</v>
      </c>
      <c r="K348" s="776">
        <v>39120</v>
      </c>
      <c r="L348" s="776">
        <v>42270</v>
      </c>
      <c r="M348" s="776">
        <v>45390</v>
      </c>
      <c r="N348" s="776">
        <v>48510</v>
      </c>
      <c r="O348" s="776">
        <v>51660</v>
      </c>
      <c r="P348" s="39"/>
      <c r="Q348" s="39"/>
    </row>
    <row r="349" spans="1:17" ht="13.5" thickBot="1">
      <c r="A349" s="779"/>
      <c r="B349" s="40">
        <v>0.2</v>
      </c>
      <c r="C349" s="521">
        <v>456</v>
      </c>
      <c r="D349" s="521">
        <v>489</v>
      </c>
      <c r="E349" s="521">
        <v>587</v>
      </c>
      <c r="F349" s="521">
        <v>678</v>
      </c>
      <c r="G349" s="521">
        <v>756</v>
      </c>
      <c r="H349" s="522">
        <v>18260</v>
      </c>
      <c r="I349" s="522">
        <v>20880</v>
      </c>
      <c r="J349" s="522">
        <v>23480</v>
      </c>
      <c r="K349" s="522">
        <v>26080</v>
      </c>
      <c r="L349" s="522">
        <v>28180</v>
      </c>
      <c r="M349" s="522">
        <v>30260</v>
      </c>
      <c r="N349" s="522">
        <v>32340</v>
      </c>
      <c r="O349" s="522">
        <v>34440</v>
      </c>
      <c r="P349" s="41"/>
      <c r="Q349" s="41"/>
    </row>
    <row r="350" spans="1:17" ht="13.5" thickTop="1">
      <c r="A350" s="46"/>
      <c r="B350" s="37">
        <v>1.2</v>
      </c>
      <c r="C350" s="523">
        <v>1980</v>
      </c>
      <c r="D350" s="523">
        <v>2121</v>
      </c>
      <c r="E350" s="523">
        <v>2544</v>
      </c>
      <c r="F350" s="523">
        <v>2940</v>
      </c>
      <c r="G350" s="523">
        <v>3279</v>
      </c>
      <c r="H350" s="523">
        <v>79200</v>
      </c>
      <c r="I350" s="523">
        <v>90480</v>
      </c>
      <c r="J350" s="523">
        <v>101760</v>
      </c>
      <c r="K350" s="523">
        <v>113040</v>
      </c>
      <c r="L350" s="523">
        <v>122160</v>
      </c>
      <c r="M350" s="523">
        <v>131160</v>
      </c>
      <c r="N350" s="523">
        <v>140280</v>
      </c>
      <c r="O350" s="523">
        <v>149280</v>
      </c>
      <c r="P350" s="39"/>
      <c r="Q350" s="39"/>
    </row>
    <row r="351" spans="1:17">
      <c r="A351" s="38"/>
      <c r="B351" s="778">
        <v>1</v>
      </c>
      <c r="C351" s="775">
        <v>1650</v>
      </c>
      <c r="D351" s="775">
        <v>1767</v>
      </c>
      <c r="E351" s="775">
        <v>2120</v>
      </c>
      <c r="F351" s="775">
        <v>2450</v>
      </c>
      <c r="G351" s="775">
        <v>2732</v>
      </c>
      <c r="H351" s="775">
        <v>66000</v>
      </c>
      <c r="I351" s="775">
        <v>75400</v>
      </c>
      <c r="J351" s="775">
        <v>84800</v>
      </c>
      <c r="K351" s="775">
        <v>94200</v>
      </c>
      <c r="L351" s="775">
        <v>101800</v>
      </c>
      <c r="M351" s="775">
        <v>109300</v>
      </c>
      <c r="N351" s="775">
        <v>116900</v>
      </c>
      <c r="O351" s="775">
        <v>124400</v>
      </c>
      <c r="P351" s="39"/>
      <c r="Q351" s="39"/>
    </row>
    <row r="352" spans="1:17">
      <c r="A352" s="38" t="s">
        <v>1267</v>
      </c>
      <c r="B352" s="778">
        <v>0.8</v>
      </c>
      <c r="C352" s="775">
        <v>1320</v>
      </c>
      <c r="D352" s="775">
        <v>1414</v>
      </c>
      <c r="E352" s="775">
        <v>1696</v>
      </c>
      <c r="F352" s="775">
        <v>1960</v>
      </c>
      <c r="G352" s="775">
        <v>2186</v>
      </c>
      <c r="H352" s="776">
        <v>52800</v>
      </c>
      <c r="I352" s="776">
        <v>60320</v>
      </c>
      <c r="J352" s="776">
        <v>67840</v>
      </c>
      <c r="K352" s="776">
        <v>75360</v>
      </c>
      <c r="L352" s="776">
        <v>81440</v>
      </c>
      <c r="M352" s="776">
        <v>87440</v>
      </c>
      <c r="N352" s="776">
        <v>93520</v>
      </c>
      <c r="O352" s="776">
        <v>99520</v>
      </c>
      <c r="P352" s="39"/>
      <c r="Q352" s="39"/>
    </row>
    <row r="353" spans="1:17">
      <c r="A353" s="38"/>
      <c r="B353" s="778">
        <v>0.7</v>
      </c>
      <c r="C353" s="775">
        <v>1155</v>
      </c>
      <c r="D353" s="775">
        <v>1237</v>
      </c>
      <c r="E353" s="775">
        <v>1484</v>
      </c>
      <c r="F353" s="775">
        <v>1715</v>
      </c>
      <c r="G353" s="775">
        <v>1912</v>
      </c>
      <c r="H353" s="776">
        <v>46200</v>
      </c>
      <c r="I353" s="776">
        <v>52780</v>
      </c>
      <c r="J353" s="776">
        <v>59359.999999999993</v>
      </c>
      <c r="K353" s="776">
        <v>65940</v>
      </c>
      <c r="L353" s="776">
        <v>71260</v>
      </c>
      <c r="M353" s="776">
        <v>76510</v>
      </c>
      <c r="N353" s="776">
        <v>81830</v>
      </c>
      <c r="O353" s="776">
        <v>87080</v>
      </c>
      <c r="P353" s="39"/>
      <c r="Q353" s="39"/>
    </row>
    <row r="354" spans="1:17">
      <c r="A354" s="38"/>
      <c r="B354" s="778">
        <v>0.6</v>
      </c>
      <c r="C354" s="775">
        <v>990</v>
      </c>
      <c r="D354" s="775">
        <v>1060</v>
      </c>
      <c r="E354" s="775">
        <v>1272</v>
      </c>
      <c r="F354" s="775">
        <v>1470</v>
      </c>
      <c r="G354" s="775">
        <v>1639</v>
      </c>
      <c r="H354" s="775">
        <v>39600</v>
      </c>
      <c r="I354" s="775">
        <v>45240</v>
      </c>
      <c r="J354" s="775">
        <v>50880</v>
      </c>
      <c r="K354" s="775">
        <v>56520</v>
      </c>
      <c r="L354" s="775">
        <v>61080</v>
      </c>
      <c r="M354" s="777">
        <v>65580</v>
      </c>
      <c r="N354" s="777">
        <v>70140</v>
      </c>
      <c r="O354" s="777">
        <v>74640</v>
      </c>
      <c r="P354" s="39"/>
      <c r="Q354" s="39"/>
    </row>
    <row r="355" spans="1:17">
      <c r="A355" s="38"/>
      <c r="B355" s="778">
        <v>0.55000000000000004</v>
      </c>
      <c r="C355" s="775">
        <v>907</v>
      </c>
      <c r="D355" s="775">
        <v>972</v>
      </c>
      <c r="E355" s="775">
        <v>1166</v>
      </c>
      <c r="F355" s="775">
        <v>1347</v>
      </c>
      <c r="G355" s="775">
        <v>1502</v>
      </c>
      <c r="H355" s="775">
        <v>36300</v>
      </c>
      <c r="I355" s="775">
        <v>41470</v>
      </c>
      <c r="J355" s="775">
        <v>46640.000000000007</v>
      </c>
      <c r="K355" s="775">
        <v>51810.000000000007</v>
      </c>
      <c r="L355" s="775">
        <v>55990.000000000007</v>
      </c>
      <c r="M355" s="775">
        <v>60115.000000000007</v>
      </c>
      <c r="N355" s="775">
        <v>64295.000000000007</v>
      </c>
      <c r="O355" s="775">
        <v>68420</v>
      </c>
      <c r="P355" s="39"/>
      <c r="Q355" s="39"/>
    </row>
    <row r="356" spans="1:17">
      <c r="A356" s="38"/>
      <c r="B356" s="778">
        <v>0.5</v>
      </c>
      <c r="C356" s="775">
        <v>825</v>
      </c>
      <c r="D356" s="775">
        <v>883</v>
      </c>
      <c r="E356" s="775">
        <v>1060</v>
      </c>
      <c r="F356" s="775">
        <v>1225</v>
      </c>
      <c r="G356" s="775">
        <v>1366</v>
      </c>
      <c r="H356" s="776">
        <v>33000</v>
      </c>
      <c r="I356" s="776">
        <v>37700</v>
      </c>
      <c r="J356" s="776">
        <v>42400</v>
      </c>
      <c r="K356" s="776">
        <v>47100</v>
      </c>
      <c r="L356" s="776">
        <v>50900</v>
      </c>
      <c r="M356" s="776">
        <v>54650</v>
      </c>
      <c r="N356" s="776">
        <v>58450</v>
      </c>
      <c r="O356" s="776">
        <v>62200</v>
      </c>
      <c r="P356" s="39"/>
      <c r="Q356" s="39"/>
    </row>
    <row r="357" spans="1:17">
      <c r="A357" s="38"/>
      <c r="B357" s="778">
        <v>0.45</v>
      </c>
      <c r="C357" s="775">
        <v>742</v>
      </c>
      <c r="D357" s="775">
        <v>795</v>
      </c>
      <c r="E357" s="775">
        <v>954</v>
      </c>
      <c r="F357" s="775">
        <v>1102</v>
      </c>
      <c r="G357" s="775">
        <v>1229</v>
      </c>
      <c r="H357" s="775">
        <v>29700</v>
      </c>
      <c r="I357" s="775">
        <v>33930</v>
      </c>
      <c r="J357" s="775">
        <v>38160</v>
      </c>
      <c r="K357" s="775">
        <v>42390</v>
      </c>
      <c r="L357" s="775">
        <v>45810</v>
      </c>
      <c r="M357" s="777">
        <v>49185</v>
      </c>
      <c r="N357" s="777">
        <v>52605</v>
      </c>
      <c r="O357" s="777">
        <v>55980</v>
      </c>
      <c r="P357" s="39"/>
      <c r="Q357" s="39"/>
    </row>
    <row r="358" spans="1:17">
      <c r="A358" s="38"/>
      <c r="B358" s="778">
        <v>0.4</v>
      </c>
      <c r="C358" s="775">
        <v>660</v>
      </c>
      <c r="D358" s="775">
        <v>707</v>
      </c>
      <c r="E358" s="775">
        <v>848</v>
      </c>
      <c r="F358" s="775">
        <v>980</v>
      </c>
      <c r="G358" s="775">
        <v>1093</v>
      </c>
      <c r="H358" s="775">
        <v>26400</v>
      </c>
      <c r="I358" s="775">
        <v>30160</v>
      </c>
      <c r="J358" s="775">
        <v>33920</v>
      </c>
      <c r="K358" s="775">
        <v>37680</v>
      </c>
      <c r="L358" s="775">
        <v>40720</v>
      </c>
      <c r="M358" s="777">
        <v>43720</v>
      </c>
      <c r="N358" s="777">
        <v>46760</v>
      </c>
      <c r="O358" s="777">
        <v>49760</v>
      </c>
      <c r="P358" s="39"/>
      <c r="Q358" s="39"/>
    </row>
    <row r="359" spans="1:17">
      <c r="A359" s="38"/>
      <c r="B359" s="519">
        <v>0.3</v>
      </c>
      <c r="C359" s="775">
        <v>495</v>
      </c>
      <c r="D359" s="775">
        <v>530</v>
      </c>
      <c r="E359" s="775">
        <v>636</v>
      </c>
      <c r="F359" s="775">
        <v>735</v>
      </c>
      <c r="G359" s="775">
        <v>819</v>
      </c>
      <c r="H359" s="776">
        <v>19800</v>
      </c>
      <c r="I359" s="776">
        <v>22620</v>
      </c>
      <c r="J359" s="776">
        <v>25440</v>
      </c>
      <c r="K359" s="776">
        <v>28260</v>
      </c>
      <c r="L359" s="776">
        <v>30540</v>
      </c>
      <c r="M359" s="776">
        <v>32790</v>
      </c>
      <c r="N359" s="776">
        <v>35070</v>
      </c>
      <c r="O359" s="776">
        <v>37320</v>
      </c>
      <c r="P359" s="39"/>
      <c r="Q359" s="39"/>
    </row>
    <row r="360" spans="1:17" ht="13.5" thickBot="1">
      <c r="A360" s="779"/>
      <c r="B360" s="40">
        <v>0.2</v>
      </c>
      <c r="C360" s="521">
        <v>330</v>
      </c>
      <c r="D360" s="521">
        <v>353</v>
      </c>
      <c r="E360" s="521">
        <v>424</v>
      </c>
      <c r="F360" s="521">
        <v>490</v>
      </c>
      <c r="G360" s="521">
        <v>546</v>
      </c>
      <c r="H360" s="522">
        <v>13200</v>
      </c>
      <c r="I360" s="522">
        <v>15080</v>
      </c>
      <c r="J360" s="522">
        <v>16960</v>
      </c>
      <c r="K360" s="522">
        <v>18840</v>
      </c>
      <c r="L360" s="522">
        <v>20360</v>
      </c>
      <c r="M360" s="522">
        <v>21860</v>
      </c>
      <c r="N360" s="522">
        <v>23380</v>
      </c>
      <c r="O360" s="522">
        <v>24880</v>
      </c>
      <c r="P360" s="45"/>
      <c r="Q360" s="45"/>
    </row>
    <row r="361" spans="1:17" ht="13.5" thickTop="1">
      <c r="A361" s="38"/>
      <c r="B361" s="37">
        <v>1.2</v>
      </c>
      <c r="C361" s="523">
        <v>1980</v>
      </c>
      <c r="D361" s="523">
        <v>2121</v>
      </c>
      <c r="E361" s="523">
        <v>2544</v>
      </c>
      <c r="F361" s="523">
        <v>2940</v>
      </c>
      <c r="G361" s="523">
        <v>3279</v>
      </c>
      <c r="H361" s="523">
        <v>79200</v>
      </c>
      <c r="I361" s="523">
        <v>90480</v>
      </c>
      <c r="J361" s="523">
        <v>101760</v>
      </c>
      <c r="K361" s="523">
        <v>113040</v>
      </c>
      <c r="L361" s="523">
        <v>122160</v>
      </c>
      <c r="M361" s="523">
        <v>131160</v>
      </c>
      <c r="N361" s="523">
        <v>140280</v>
      </c>
      <c r="O361" s="523">
        <v>149280</v>
      </c>
      <c r="P361" s="41"/>
      <c r="Q361" s="41"/>
    </row>
    <row r="362" spans="1:17">
      <c r="A362" s="38"/>
      <c r="B362" s="778">
        <v>1</v>
      </c>
      <c r="C362" s="775">
        <v>1650</v>
      </c>
      <c r="D362" s="775">
        <v>1767</v>
      </c>
      <c r="E362" s="775">
        <v>2120</v>
      </c>
      <c r="F362" s="775">
        <v>2450</v>
      </c>
      <c r="G362" s="775">
        <v>2732</v>
      </c>
      <c r="H362" s="775">
        <v>66000</v>
      </c>
      <c r="I362" s="775">
        <v>75400</v>
      </c>
      <c r="J362" s="775">
        <v>84800</v>
      </c>
      <c r="K362" s="775">
        <v>94200</v>
      </c>
      <c r="L362" s="775">
        <v>101800</v>
      </c>
      <c r="M362" s="775">
        <v>109300</v>
      </c>
      <c r="N362" s="775">
        <v>116900</v>
      </c>
      <c r="O362" s="775">
        <v>124400</v>
      </c>
      <c r="P362" s="41"/>
      <c r="Q362" s="41"/>
    </row>
    <row r="363" spans="1:17">
      <c r="A363" s="38" t="s">
        <v>1268</v>
      </c>
      <c r="B363" s="778">
        <v>0.8</v>
      </c>
      <c r="C363" s="775">
        <v>1320</v>
      </c>
      <c r="D363" s="775">
        <v>1414</v>
      </c>
      <c r="E363" s="775">
        <v>1696</v>
      </c>
      <c r="F363" s="775">
        <v>1960</v>
      </c>
      <c r="G363" s="775">
        <v>2186</v>
      </c>
      <c r="H363" s="776">
        <v>52800</v>
      </c>
      <c r="I363" s="776">
        <v>60320</v>
      </c>
      <c r="J363" s="776">
        <v>67840</v>
      </c>
      <c r="K363" s="776">
        <v>75360</v>
      </c>
      <c r="L363" s="776">
        <v>81440</v>
      </c>
      <c r="M363" s="776">
        <v>87440</v>
      </c>
      <c r="N363" s="776">
        <v>93520</v>
      </c>
      <c r="O363" s="776">
        <v>99520</v>
      </c>
      <c r="P363" s="41"/>
      <c r="Q363" s="41"/>
    </row>
    <row r="364" spans="1:17">
      <c r="A364" s="38"/>
      <c r="B364" s="778">
        <v>0.7</v>
      </c>
      <c r="C364" s="775">
        <v>1155</v>
      </c>
      <c r="D364" s="775">
        <v>1237</v>
      </c>
      <c r="E364" s="775">
        <v>1484</v>
      </c>
      <c r="F364" s="775">
        <v>1715</v>
      </c>
      <c r="G364" s="775">
        <v>1912</v>
      </c>
      <c r="H364" s="776">
        <v>46200</v>
      </c>
      <c r="I364" s="776">
        <v>52780</v>
      </c>
      <c r="J364" s="776">
        <v>59359.999999999993</v>
      </c>
      <c r="K364" s="776">
        <v>65940</v>
      </c>
      <c r="L364" s="776">
        <v>71260</v>
      </c>
      <c r="M364" s="776">
        <v>76510</v>
      </c>
      <c r="N364" s="776">
        <v>81830</v>
      </c>
      <c r="O364" s="776">
        <v>87080</v>
      </c>
      <c r="P364" s="41"/>
      <c r="Q364" s="41"/>
    </row>
    <row r="365" spans="1:17">
      <c r="A365" s="38"/>
      <c r="B365" s="778">
        <v>0.6</v>
      </c>
      <c r="C365" s="775">
        <v>990</v>
      </c>
      <c r="D365" s="775">
        <v>1060</v>
      </c>
      <c r="E365" s="775">
        <v>1272</v>
      </c>
      <c r="F365" s="775">
        <v>1470</v>
      </c>
      <c r="G365" s="775">
        <v>1639</v>
      </c>
      <c r="H365" s="775">
        <v>39600</v>
      </c>
      <c r="I365" s="775">
        <v>45240</v>
      </c>
      <c r="J365" s="775">
        <v>50880</v>
      </c>
      <c r="K365" s="775">
        <v>56520</v>
      </c>
      <c r="L365" s="775">
        <v>61080</v>
      </c>
      <c r="M365" s="777">
        <v>65580</v>
      </c>
      <c r="N365" s="777">
        <v>70140</v>
      </c>
      <c r="O365" s="777">
        <v>74640</v>
      </c>
      <c r="P365" s="41"/>
      <c r="Q365" s="41"/>
    </row>
    <row r="366" spans="1:17">
      <c r="A366" s="38"/>
      <c r="B366" s="778">
        <v>0.55000000000000004</v>
      </c>
      <c r="C366" s="775">
        <v>907</v>
      </c>
      <c r="D366" s="775">
        <v>972</v>
      </c>
      <c r="E366" s="775">
        <v>1166</v>
      </c>
      <c r="F366" s="775">
        <v>1347</v>
      </c>
      <c r="G366" s="775">
        <v>1502</v>
      </c>
      <c r="H366" s="775">
        <v>36300</v>
      </c>
      <c r="I366" s="775">
        <v>41470</v>
      </c>
      <c r="J366" s="775">
        <v>46640.000000000007</v>
      </c>
      <c r="K366" s="775">
        <v>51810.000000000007</v>
      </c>
      <c r="L366" s="775">
        <v>55990.000000000007</v>
      </c>
      <c r="M366" s="775">
        <v>60115.000000000007</v>
      </c>
      <c r="N366" s="775">
        <v>64295.000000000007</v>
      </c>
      <c r="O366" s="775">
        <v>68420</v>
      </c>
      <c r="P366" s="41"/>
      <c r="Q366" s="41"/>
    </row>
    <row r="367" spans="1:17">
      <c r="A367" s="38"/>
      <c r="B367" s="778">
        <v>0.5</v>
      </c>
      <c r="C367" s="775">
        <v>825</v>
      </c>
      <c r="D367" s="775">
        <v>883</v>
      </c>
      <c r="E367" s="775">
        <v>1060</v>
      </c>
      <c r="F367" s="775">
        <v>1225</v>
      </c>
      <c r="G367" s="775">
        <v>1366</v>
      </c>
      <c r="H367" s="776">
        <v>33000</v>
      </c>
      <c r="I367" s="776">
        <v>37700</v>
      </c>
      <c r="J367" s="776">
        <v>42400</v>
      </c>
      <c r="K367" s="776">
        <v>47100</v>
      </c>
      <c r="L367" s="776">
        <v>50900</v>
      </c>
      <c r="M367" s="776">
        <v>54650</v>
      </c>
      <c r="N367" s="776">
        <v>58450</v>
      </c>
      <c r="O367" s="776">
        <v>62200</v>
      </c>
      <c r="P367" s="41"/>
      <c r="Q367" s="41"/>
    </row>
    <row r="368" spans="1:17">
      <c r="A368" s="38"/>
      <c r="B368" s="778">
        <v>0.45</v>
      </c>
      <c r="C368" s="775">
        <v>742</v>
      </c>
      <c r="D368" s="775">
        <v>795</v>
      </c>
      <c r="E368" s="775">
        <v>954</v>
      </c>
      <c r="F368" s="775">
        <v>1102</v>
      </c>
      <c r="G368" s="775">
        <v>1229</v>
      </c>
      <c r="H368" s="775">
        <v>29700</v>
      </c>
      <c r="I368" s="775">
        <v>33930</v>
      </c>
      <c r="J368" s="775">
        <v>38160</v>
      </c>
      <c r="K368" s="775">
        <v>42390</v>
      </c>
      <c r="L368" s="775">
        <v>45810</v>
      </c>
      <c r="M368" s="777">
        <v>49185</v>
      </c>
      <c r="N368" s="777">
        <v>52605</v>
      </c>
      <c r="O368" s="777">
        <v>55980</v>
      </c>
      <c r="P368" s="41"/>
      <c r="Q368" s="41"/>
    </row>
    <row r="369" spans="1:17">
      <c r="A369" s="38"/>
      <c r="B369" s="778">
        <v>0.4</v>
      </c>
      <c r="C369" s="775">
        <v>660</v>
      </c>
      <c r="D369" s="775">
        <v>707</v>
      </c>
      <c r="E369" s="775">
        <v>848</v>
      </c>
      <c r="F369" s="775">
        <v>980</v>
      </c>
      <c r="G369" s="775">
        <v>1093</v>
      </c>
      <c r="H369" s="775">
        <v>26400</v>
      </c>
      <c r="I369" s="775">
        <v>30160</v>
      </c>
      <c r="J369" s="775">
        <v>33920</v>
      </c>
      <c r="K369" s="775">
        <v>37680</v>
      </c>
      <c r="L369" s="775">
        <v>40720</v>
      </c>
      <c r="M369" s="777">
        <v>43720</v>
      </c>
      <c r="N369" s="777">
        <v>46760</v>
      </c>
      <c r="O369" s="777">
        <v>49760</v>
      </c>
      <c r="P369" s="41"/>
      <c r="Q369" s="41"/>
    </row>
    <row r="370" spans="1:17">
      <c r="A370" s="38"/>
      <c r="B370" s="519">
        <v>0.3</v>
      </c>
      <c r="C370" s="775">
        <v>495</v>
      </c>
      <c r="D370" s="775">
        <v>530</v>
      </c>
      <c r="E370" s="775">
        <v>636</v>
      </c>
      <c r="F370" s="775">
        <v>735</v>
      </c>
      <c r="G370" s="775">
        <v>819</v>
      </c>
      <c r="H370" s="776">
        <v>19800</v>
      </c>
      <c r="I370" s="776">
        <v>22620</v>
      </c>
      <c r="J370" s="776">
        <v>25440</v>
      </c>
      <c r="K370" s="776">
        <v>28260</v>
      </c>
      <c r="L370" s="776">
        <v>30540</v>
      </c>
      <c r="M370" s="776">
        <v>32790</v>
      </c>
      <c r="N370" s="776">
        <v>35070</v>
      </c>
      <c r="O370" s="776">
        <v>37320</v>
      </c>
      <c r="P370" s="41"/>
      <c r="Q370" s="41"/>
    </row>
    <row r="371" spans="1:17" ht="13.5" thickBot="1">
      <c r="A371" s="779"/>
      <c r="B371" s="40">
        <v>0.2</v>
      </c>
      <c r="C371" s="521">
        <v>330</v>
      </c>
      <c r="D371" s="521">
        <v>353</v>
      </c>
      <c r="E371" s="521">
        <v>424</v>
      </c>
      <c r="F371" s="521">
        <v>490</v>
      </c>
      <c r="G371" s="521">
        <v>546</v>
      </c>
      <c r="H371" s="522">
        <v>13200</v>
      </c>
      <c r="I371" s="522">
        <v>15080</v>
      </c>
      <c r="J371" s="522">
        <v>16960</v>
      </c>
      <c r="K371" s="522">
        <v>18840</v>
      </c>
      <c r="L371" s="522">
        <v>20360</v>
      </c>
      <c r="M371" s="522">
        <v>21860</v>
      </c>
      <c r="N371" s="522">
        <v>23380</v>
      </c>
      <c r="O371" s="522">
        <v>24880</v>
      </c>
      <c r="P371" s="41"/>
      <c r="Q371" s="41"/>
    </row>
    <row r="372" spans="1:17" ht="13.5" thickTop="1">
      <c r="A372" s="38"/>
      <c r="B372" s="37">
        <v>1.2</v>
      </c>
      <c r="C372" s="523">
        <v>2322</v>
      </c>
      <c r="D372" s="523">
        <v>2487</v>
      </c>
      <c r="E372" s="523">
        <v>2985</v>
      </c>
      <c r="F372" s="523">
        <v>3448</v>
      </c>
      <c r="G372" s="523">
        <v>3846</v>
      </c>
      <c r="H372" s="523">
        <v>92880</v>
      </c>
      <c r="I372" s="523">
        <v>106080</v>
      </c>
      <c r="J372" s="523">
        <v>119400</v>
      </c>
      <c r="K372" s="523">
        <v>132600</v>
      </c>
      <c r="L372" s="523">
        <v>143280</v>
      </c>
      <c r="M372" s="523">
        <v>153840</v>
      </c>
      <c r="N372" s="523">
        <v>164520</v>
      </c>
      <c r="O372" s="523">
        <v>175080</v>
      </c>
      <c r="P372" s="39"/>
      <c r="Q372" s="39"/>
    </row>
    <row r="373" spans="1:17">
      <c r="A373" s="38"/>
      <c r="B373" s="778">
        <v>1</v>
      </c>
      <c r="C373" s="775">
        <v>1935</v>
      </c>
      <c r="D373" s="775">
        <v>2072</v>
      </c>
      <c r="E373" s="775">
        <v>2487</v>
      </c>
      <c r="F373" s="775">
        <v>2873</v>
      </c>
      <c r="G373" s="775">
        <v>3205</v>
      </c>
      <c r="H373" s="775">
        <v>77400</v>
      </c>
      <c r="I373" s="775">
        <v>88400</v>
      </c>
      <c r="J373" s="775">
        <v>99500</v>
      </c>
      <c r="K373" s="775">
        <v>110500</v>
      </c>
      <c r="L373" s="775">
        <v>119400</v>
      </c>
      <c r="M373" s="775">
        <v>128200</v>
      </c>
      <c r="N373" s="775">
        <v>137100</v>
      </c>
      <c r="O373" s="775">
        <v>145900</v>
      </c>
      <c r="P373" s="39"/>
      <c r="Q373" s="39"/>
    </row>
    <row r="374" spans="1:17">
      <c r="A374" s="38" t="s">
        <v>1269</v>
      </c>
      <c r="B374" s="778">
        <v>0.8</v>
      </c>
      <c r="C374" s="775">
        <v>1548</v>
      </c>
      <c r="D374" s="775">
        <v>1658</v>
      </c>
      <c r="E374" s="775">
        <v>1990</v>
      </c>
      <c r="F374" s="775">
        <v>2299</v>
      </c>
      <c r="G374" s="775">
        <v>2564</v>
      </c>
      <c r="H374" s="776">
        <v>61920</v>
      </c>
      <c r="I374" s="776">
        <v>70720</v>
      </c>
      <c r="J374" s="776">
        <v>79600</v>
      </c>
      <c r="K374" s="776">
        <v>88400</v>
      </c>
      <c r="L374" s="776">
        <v>95520</v>
      </c>
      <c r="M374" s="776">
        <v>102560</v>
      </c>
      <c r="N374" s="776">
        <v>109680</v>
      </c>
      <c r="O374" s="776">
        <v>116720</v>
      </c>
      <c r="P374" s="39"/>
      <c r="Q374" s="39"/>
    </row>
    <row r="375" spans="1:17">
      <c r="A375" s="38"/>
      <c r="B375" s="778">
        <v>0.7</v>
      </c>
      <c r="C375" s="775">
        <v>1354</v>
      </c>
      <c r="D375" s="775">
        <v>1450</v>
      </c>
      <c r="E375" s="775">
        <v>1741</v>
      </c>
      <c r="F375" s="775">
        <v>2011</v>
      </c>
      <c r="G375" s="775">
        <v>2243</v>
      </c>
      <c r="H375" s="776">
        <v>54180</v>
      </c>
      <c r="I375" s="776">
        <v>61879.999999999993</v>
      </c>
      <c r="J375" s="776">
        <v>69650</v>
      </c>
      <c r="K375" s="776">
        <v>77350</v>
      </c>
      <c r="L375" s="776">
        <v>83580</v>
      </c>
      <c r="M375" s="776">
        <v>89740</v>
      </c>
      <c r="N375" s="776">
        <v>95970</v>
      </c>
      <c r="O375" s="776">
        <v>102130</v>
      </c>
      <c r="P375" s="39"/>
      <c r="Q375" s="39"/>
    </row>
    <row r="376" spans="1:17">
      <c r="A376" s="38"/>
      <c r="B376" s="778">
        <v>0.6</v>
      </c>
      <c r="C376" s="775">
        <v>1161</v>
      </c>
      <c r="D376" s="775">
        <v>1243</v>
      </c>
      <c r="E376" s="775">
        <v>1492</v>
      </c>
      <c r="F376" s="775">
        <v>1724</v>
      </c>
      <c r="G376" s="775">
        <v>1923</v>
      </c>
      <c r="H376" s="775">
        <v>46440</v>
      </c>
      <c r="I376" s="775">
        <v>53040</v>
      </c>
      <c r="J376" s="775">
        <v>59700</v>
      </c>
      <c r="K376" s="775">
        <v>66300</v>
      </c>
      <c r="L376" s="775">
        <v>71640</v>
      </c>
      <c r="M376" s="777">
        <v>76920</v>
      </c>
      <c r="N376" s="777">
        <v>82260</v>
      </c>
      <c r="O376" s="777">
        <v>87540</v>
      </c>
      <c r="P376" s="39"/>
      <c r="Q376" s="39"/>
    </row>
    <row r="377" spans="1:17">
      <c r="A377" s="38"/>
      <c r="B377" s="778">
        <v>0.55000000000000004</v>
      </c>
      <c r="C377" s="775">
        <v>1064</v>
      </c>
      <c r="D377" s="775">
        <v>1139</v>
      </c>
      <c r="E377" s="775">
        <v>1368</v>
      </c>
      <c r="F377" s="775">
        <v>1580</v>
      </c>
      <c r="G377" s="775">
        <v>1762</v>
      </c>
      <c r="H377" s="775">
        <v>42570</v>
      </c>
      <c r="I377" s="775">
        <v>48620.000000000007</v>
      </c>
      <c r="J377" s="775">
        <v>54725.000000000007</v>
      </c>
      <c r="K377" s="775">
        <v>60775.000000000007</v>
      </c>
      <c r="L377" s="775">
        <v>65670</v>
      </c>
      <c r="M377" s="775">
        <v>70510</v>
      </c>
      <c r="N377" s="775">
        <v>75405</v>
      </c>
      <c r="O377" s="775">
        <v>80245</v>
      </c>
      <c r="P377" s="39"/>
      <c r="Q377" s="39"/>
    </row>
    <row r="378" spans="1:17">
      <c r="A378" s="38"/>
      <c r="B378" s="778">
        <v>0.5</v>
      </c>
      <c r="C378" s="775">
        <v>967</v>
      </c>
      <c r="D378" s="775">
        <v>1036</v>
      </c>
      <c r="E378" s="775">
        <v>1243</v>
      </c>
      <c r="F378" s="775">
        <v>1436</v>
      </c>
      <c r="G378" s="775">
        <v>1602</v>
      </c>
      <c r="H378" s="776">
        <v>38700</v>
      </c>
      <c r="I378" s="776">
        <v>44200</v>
      </c>
      <c r="J378" s="776">
        <v>49750</v>
      </c>
      <c r="K378" s="776">
        <v>55250</v>
      </c>
      <c r="L378" s="776">
        <v>59700</v>
      </c>
      <c r="M378" s="776">
        <v>64100</v>
      </c>
      <c r="N378" s="776">
        <v>68550</v>
      </c>
      <c r="O378" s="776">
        <v>72950</v>
      </c>
      <c r="P378" s="39"/>
      <c r="Q378" s="39"/>
    </row>
    <row r="379" spans="1:17">
      <c r="A379" s="38"/>
      <c r="B379" s="778">
        <v>0.45</v>
      </c>
      <c r="C379" s="775">
        <v>870</v>
      </c>
      <c r="D379" s="775">
        <v>932</v>
      </c>
      <c r="E379" s="775">
        <v>1119</v>
      </c>
      <c r="F379" s="775">
        <v>1293</v>
      </c>
      <c r="G379" s="775">
        <v>1442</v>
      </c>
      <c r="H379" s="775">
        <v>34830</v>
      </c>
      <c r="I379" s="775">
        <v>39780</v>
      </c>
      <c r="J379" s="775">
        <v>44775</v>
      </c>
      <c r="K379" s="775">
        <v>49725</v>
      </c>
      <c r="L379" s="775">
        <v>53730</v>
      </c>
      <c r="M379" s="777">
        <v>57690</v>
      </c>
      <c r="N379" s="777">
        <v>61695</v>
      </c>
      <c r="O379" s="777">
        <v>65655</v>
      </c>
      <c r="P379" s="39"/>
      <c r="Q379" s="39"/>
    </row>
    <row r="380" spans="1:17">
      <c r="A380" s="38"/>
      <c r="B380" s="778">
        <v>0.4</v>
      </c>
      <c r="C380" s="775">
        <v>774</v>
      </c>
      <c r="D380" s="775">
        <v>829</v>
      </c>
      <c r="E380" s="775">
        <v>995</v>
      </c>
      <c r="F380" s="775">
        <v>1149</v>
      </c>
      <c r="G380" s="775">
        <v>1282</v>
      </c>
      <c r="H380" s="775">
        <v>30960</v>
      </c>
      <c r="I380" s="775">
        <v>35360</v>
      </c>
      <c r="J380" s="775">
        <v>39800</v>
      </c>
      <c r="K380" s="775">
        <v>44200</v>
      </c>
      <c r="L380" s="775">
        <v>47760</v>
      </c>
      <c r="M380" s="777">
        <v>51280</v>
      </c>
      <c r="N380" s="777">
        <v>54840</v>
      </c>
      <c r="O380" s="777">
        <v>58360</v>
      </c>
      <c r="P380" s="39"/>
      <c r="Q380" s="39"/>
    </row>
    <row r="381" spans="1:17">
      <c r="A381" s="38"/>
      <c r="B381" s="519">
        <v>0.3</v>
      </c>
      <c r="C381" s="775">
        <v>580</v>
      </c>
      <c r="D381" s="775">
        <v>621</v>
      </c>
      <c r="E381" s="775">
        <v>746</v>
      </c>
      <c r="F381" s="775">
        <v>862</v>
      </c>
      <c r="G381" s="775">
        <v>961</v>
      </c>
      <c r="H381" s="776">
        <v>23220</v>
      </c>
      <c r="I381" s="776">
        <v>26520</v>
      </c>
      <c r="J381" s="776">
        <v>29850</v>
      </c>
      <c r="K381" s="776">
        <v>33150</v>
      </c>
      <c r="L381" s="776">
        <v>35820</v>
      </c>
      <c r="M381" s="776">
        <v>38460</v>
      </c>
      <c r="N381" s="776">
        <v>41130</v>
      </c>
      <c r="O381" s="776">
        <v>43770</v>
      </c>
      <c r="P381" s="39"/>
      <c r="Q381" s="39"/>
    </row>
    <row r="382" spans="1:17" ht="13.5" thickBot="1">
      <c r="A382" s="779"/>
      <c r="B382" s="40">
        <v>0.2</v>
      </c>
      <c r="C382" s="521">
        <v>387</v>
      </c>
      <c r="D382" s="521">
        <v>414</v>
      </c>
      <c r="E382" s="521">
        <v>497</v>
      </c>
      <c r="F382" s="521">
        <v>574</v>
      </c>
      <c r="G382" s="521">
        <v>641</v>
      </c>
      <c r="H382" s="522">
        <v>15480</v>
      </c>
      <c r="I382" s="522">
        <v>17680</v>
      </c>
      <c r="J382" s="522">
        <v>19900</v>
      </c>
      <c r="K382" s="522">
        <v>22100</v>
      </c>
      <c r="L382" s="522">
        <v>23880</v>
      </c>
      <c r="M382" s="522">
        <v>25640</v>
      </c>
      <c r="N382" s="522">
        <v>27420</v>
      </c>
      <c r="O382" s="522">
        <v>29180</v>
      </c>
      <c r="P382" s="41"/>
      <c r="Q382" s="41"/>
    </row>
    <row r="383" spans="1:17" ht="13.5" thickTop="1">
      <c r="A383" s="46"/>
      <c r="B383" s="37">
        <v>1.2</v>
      </c>
      <c r="C383" s="523">
        <v>2007</v>
      </c>
      <c r="D383" s="523">
        <v>2151</v>
      </c>
      <c r="E383" s="523">
        <v>2583</v>
      </c>
      <c r="F383" s="523">
        <v>2986</v>
      </c>
      <c r="G383" s="523">
        <v>3333</v>
      </c>
      <c r="H383" s="523">
        <v>80280</v>
      </c>
      <c r="I383" s="523">
        <v>91800</v>
      </c>
      <c r="J383" s="523">
        <v>103320</v>
      </c>
      <c r="K383" s="523">
        <v>114840</v>
      </c>
      <c r="L383" s="523">
        <v>124080</v>
      </c>
      <c r="M383" s="523">
        <v>133320</v>
      </c>
      <c r="N383" s="523">
        <v>142320</v>
      </c>
      <c r="O383" s="523">
        <v>151560</v>
      </c>
      <c r="P383" s="39"/>
      <c r="Q383" s="39"/>
    </row>
    <row r="384" spans="1:17">
      <c r="A384" s="38"/>
      <c r="B384" s="778">
        <v>1</v>
      </c>
      <c r="C384" s="775">
        <v>1672</v>
      </c>
      <c r="D384" s="775">
        <v>1792</v>
      </c>
      <c r="E384" s="775">
        <v>2152</v>
      </c>
      <c r="F384" s="775">
        <v>2488</v>
      </c>
      <c r="G384" s="775">
        <v>2777</v>
      </c>
      <c r="H384" s="775">
        <v>66900</v>
      </c>
      <c r="I384" s="775">
        <v>76500</v>
      </c>
      <c r="J384" s="775">
        <v>86100</v>
      </c>
      <c r="K384" s="775">
        <v>95700</v>
      </c>
      <c r="L384" s="775">
        <v>103400</v>
      </c>
      <c r="M384" s="775">
        <v>111100</v>
      </c>
      <c r="N384" s="775">
        <v>118600</v>
      </c>
      <c r="O384" s="775">
        <v>126300</v>
      </c>
      <c r="P384" s="39"/>
      <c r="Q384" s="39"/>
    </row>
    <row r="385" spans="1:17">
      <c r="A385" s="38" t="s">
        <v>1270</v>
      </c>
      <c r="B385" s="778">
        <v>0.8</v>
      </c>
      <c r="C385" s="775">
        <v>1338</v>
      </c>
      <c r="D385" s="775">
        <v>1434</v>
      </c>
      <c r="E385" s="775">
        <v>1722</v>
      </c>
      <c r="F385" s="775">
        <v>1991</v>
      </c>
      <c r="G385" s="775">
        <v>2222</v>
      </c>
      <c r="H385" s="776">
        <v>53520</v>
      </c>
      <c r="I385" s="776">
        <v>61200</v>
      </c>
      <c r="J385" s="776">
        <v>68880</v>
      </c>
      <c r="K385" s="776">
        <v>76560</v>
      </c>
      <c r="L385" s="776">
        <v>82720</v>
      </c>
      <c r="M385" s="776">
        <v>88880</v>
      </c>
      <c r="N385" s="776">
        <v>94880</v>
      </c>
      <c r="O385" s="776">
        <v>101040</v>
      </c>
      <c r="P385" s="39"/>
      <c r="Q385" s="39"/>
    </row>
    <row r="386" spans="1:17">
      <c r="A386" s="38"/>
      <c r="B386" s="778">
        <v>0.7</v>
      </c>
      <c r="C386" s="775">
        <v>1170</v>
      </c>
      <c r="D386" s="775">
        <v>1254</v>
      </c>
      <c r="E386" s="775">
        <v>1506</v>
      </c>
      <c r="F386" s="775">
        <v>1742</v>
      </c>
      <c r="G386" s="775">
        <v>1944</v>
      </c>
      <c r="H386" s="776">
        <v>46830</v>
      </c>
      <c r="I386" s="776">
        <v>53550</v>
      </c>
      <c r="J386" s="776">
        <v>60269.999999999993</v>
      </c>
      <c r="K386" s="776">
        <v>66990</v>
      </c>
      <c r="L386" s="776">
        <v>72380</v>
      </c>
      <c r="M386" s="776">
        <v>77770</v>
      </c>
      <c r="N386" s="776">
        <v>83020</v>
      </c>
      <c r="O386" s="776">
        <v>88410</v>
      </c>
      <c r="P386" s="39"/>
      <c r="Q386" s="39"/>
    </row>
    <row r="387" spans="1:17">
      <c r="A387" s="38"/>
      <c r="B387" s="778">
        <v>0.6</v>
      </c>
      <c r="C387" s="775">
        <v>1003</v>
      </c>
      <c r="D387" s="775">
        <v>1075</v>
      </c>
      <c r="E387" s="775">
        <v>1291</v>
      </c>
      <c r="F387" s="775">
        <v>1493</v>
      </c>
      <c r="G387" s="775">
        <v>1666</v>
      </c>
      <c r="H387" s="775">
        <v>40140</v>
      </c>
      <c r="I387" s="775">
        <v>45900</v>
      </c>
      <c r="J387" s="775">
        <v>51660</v>
      </c>
      <c r="K387" s="775">
        <v>57420</v>
      </c>
      <c r="L387" s="775">
        <v>62040</v>
      </c>
      <c r="M387" s="777">
        <v>66660</v>
      </c>
      <c r="N387" s="777">
        <v>71160</v>
      </c>
      <c r="O387" s="777">
        <v>75780</v>
      </c>
      <c r="P387" s="39"/>
      <c r="Q387" s="39"/>
    </row>
    <row r="388" spans="1:17">
      <c r="A388" s="38"/>
      <c r="B388" s="778">
        <v>0.55000000000000004</v>
      </c>
      <c r="C388" s="775">
        <v>919</v>
      </c>
      <c r="D388" s="775">
        <v>985</v>
      </c>
      <c r="E388" s="775">
        <v>1183</v>
      </c>
      <c r="F388" s="775">
        <v>1368</v>
      </c>
      <c r="G388" s="775">
        <v>1527</v>
      </c>
      <c r="H388" s="775">
        <v>36795</v>
      </c>
      <c r="I388" s="775">
        <v>42075</v>
      </c>
      <c r="J388" s="775">
        <v>47355.000000000007</v>
      </c>
      <c r="K388" s="775">
        <v>52635.000000000007</v>
      </c>
      <c r="L388" s="775">
        <v>56870.000000000007</v>
      </c>
      <c r="M388" s="775">
        <v>61105.000000000007</v>
      </c>
      <c r="N388" s="775">
        <v>65230.000000000007</v>
      </c>
      <c r="O388" s="775">
        <v>69465</v>
      </c>
      <c r="P388" s="39"/>
      <c r="Q388" s="39"/>
    </row>
    <row r="389" spans="1:17">
      <c r="A389" s="38"/>
      <c r="B389" s="778">
        <v>0.5</v>
      </c>
      <c r="C389" s="775">
        <v>836</v>
      </c>
      <c r="D389" s="775">
        <v>896</v>
      </c>
      <c r="E389" s="775">
        <v>1076</v>
      </c>
      <c r="F389" s="775">
        <v>1244</v>
      </c>
      <c r="G389" s="775">
        <v>1388</v>
      </c>
      <c r="H389" s="776">
        <v>33450</v>
      </c>
      <c r="I389" s="776">
        <v>38250</v>
      </c>
      <c r="J389" s="776">
        <v>43050</v>
      </c>
      <c r="K389" s="776">
        <v>47850</v>
      </c>
      <c r="L389" s="776">
        <v>51700</v>
      </c>
      <c r="M389" s="776">
        <v>55550</v>
      </c>
      <c r="N389" s="776">
        <v>59300</v>
      </c>
      <c r="O389" s="776">
        <v>63150</v>
      </c>
      <c r="P389" s="39"/>
      <c r="Q389" s="39"/>
    </row>
    <row r="390" spans="1:17">
      <c r="A390" s="38"/>
      <c r="B390" s="778">
        <v>0.45</v>
      </c>
      <c r="C390" s="775">
        <v>752</v>
      </c>
      <c r="D390" s="775">
        <v>806</v>
      </c>
      <c r="E390" s="775">
        <v>968</v>
      </c>
      <c r="F390" s="775">
        <v>1119</v>
      </c>
      <c r="G390" s="775">
        <v>1249</v>
      </c>
      <c r="H390" s="775">
        <v>30105</v>
      </c>
      <c r="I390" s="775">
        <v>34425</v>
      </c>
      <c r="J390" s="775">
        <v>38745</v>
      </c>
      <c r="K390" s="775">
        <v>43065</v>
      </c>
      <c r="L390" s="775">
        <v>46530</v>
      </c>
      <c r="M390" s="777">
        <v>49995</v>
      </c>
      <c r="N390" s="777">
        <v>53370</v>
      </c>
      <c r="O390" s="777">
        <v>56835</v>
      </c>
      <c r="P390" s="39"/>
      <c r="Q390" s="39"/>
    </row>
    <row r="391" spans="1:17">
      <c r="A391" s="38"/>
      <c r="B391" s="778">
        <v>0.4</v>
      </c>
      <c r="C391" s="775">
        <v>669</v>
      </c>
      <c r="D391" s="775">
        <v>717</v>
      </c>
      <c r="E391" s="775">
        <v>861</v>
      </c>
      <c r="F391" s="775">
        <v>995</v>
      </c>
      <c r="G391" s="775">
        <v>1111</v>
      </c>
      <c r="H391" s="775">
        <v>26760</v>
      </c>
      <c r="I391" s="775">
        <v>30600</v>
      </c>
      <c r="J391" s="775">
        <v>34440</v>
      </c>
      <c r="K391" s="775">
        <v>38280</v>
      </c>
      <c r="L391" s="775">
        <v>41360</v>
      </c>
      <c r="M391" s="777">
        <v>44440</v>
      </c>
      <c r="N391" s="777">
        <v>47440</v>
      </c>
      <c r="O391" s="777">
        <v>50520</v>
      </c>
      <c r="P391" s="39"/>
      <c r="Q391" s="39"/>
    </row>
    <row r="392" spans="1:17">
      <c r="A392" s="38"/>
      <c r="B392" s="519">
        <v>0.3</v>
      </c>
      <c r="C392" s="775">
        <v>501</v>
      </c>
      <c r="D392" s="775">
        <v>537</v>
      </c>
      <c r="E392" s="775">
        <v>645</v>
      </c>
      <c r="F392" s="775">
        <v>746</v>
      </c>
      <c r="G392" s="775">
        <v>833</v>
      </c>
      <c r="H392" s="776">
        <v>20070</v>
      </c>
      <c r="I392" s="776">
        <v>22950</v>
      </c>
      <c r="J392" s="776">
        <v>25830</v>
      </c>
      <c r="K392" s="776">
        <v>28710</v>
      </c>
      <c r="L392" s="776">
        <v>31020</v>
      </c>
      <c r="M392" s="776">
        <v>33330</v>
      </c>
      <c r="N392" s="776">
        <v>35580</v>
      </c>
      <c r="O392" s="776">
        <v>37890</v>
      </c>
      <c r="P392" s="39"/>
      <c r="Q392" s="39"/>
    </row>
    <row r="393" spans="1:17" ht="13.5" thickBot="1">
      <c r="A393" s="779"/>
      <c r="B393" s="40">
        <v>0.2</v>
      </c>
      <c r="C393" s="521">
        <v>334</v>
      </c>
      <c r="D393" s="521">
        <v>358</v>
      </c>
      <c r="E393" s="521">
        <v>430</v>
      </c>
      <c r="F393" s="521">
        <v>497</v>
      </c>
      <c r="G393" s="521">
        <v>555</v>
      </c>
      <c r="H393" s="522">
        <v>13380</v>
      </c>
      <c r="I393" s="522">
        <v>15300</v>
      </c>
      <c r="J393" s="522">
        <v>17220</v>
      </c>
      <c r="K393" s="522">
        <v>19140</v>
      </c>
      <c r="L393" s="522">
        <v>20680</v>
      </c>
      <c r="M393" s="522">
        <v>22220</v>
      </c>
      <c r="N393" s="522">
        <v>23720</v>
      </c>
      <c r="O393" s="522">
        <v>25260</v>
      </c>
      <c r="P393" s="41"/>
      <c r="Q393" s="41"/>
    </row>
    <row r="394" spans="1:17" ht="13.5" thickTop="1">
      <c r="A394" s="46"/>
      <c r="B394" s="37">
        <v>1.2</v>
      </c>
      <c r="C394" s="523">
        <v>2496</v>
      </c>
      <c r="D394" s="523">
        <v>2674</v>
      </c>
      <c r="E394" s="523">
        <v>3210</v>
      </c>
      <c r="F394" s="523">
        <v>3708</v>
      </c>
      <c r="G394" s="523">
        <v>4137</v>
      </c>
      <c r="H394" s="523">
        <v>99840</v>
      </c>
      <c r="I394" s="523">
        <v>114120</v>
      </c>
      <c r="J394" s="523">
        <v>128400</v>
      </c>
      <c r="K394" s="523">
        <v>142560</v>
      </c>
      <c r="L394" s="523">
        <v>154080</v>
      </c>
      <c r="M394" s="523">
        <v>165480</v>
      </c>
      <c r="N394" s="523">
        <v>176880</v>
      </c>
      <c r="O394" s="523">
        <v>188280</v>
      </c>
      <c r="P394" s="39"/>
      <c r="Q394" s="39"/>
    </row>
    <row r="395" spans="1:17">
      <c r="A395" s="38"/>
      <c r="B395" s="778">
        <v>1</v>
      </c>
      <c r="C395" s="775">
        <v>2080</v>
      </c>
      <c r="D395" s="775">
        <v>2228</v>
      </c>
      <c r="E395" s="775">
        <v>2675</v>
      </c>
      <c r="F395" s="775">
        <v>3090</v>
      </c>
      <c r="G395" s="775">
        <v>3447</v>
      </c>
      <c r="H395" s="775">
        <v>83200</v>
      </c>
      <c r="I395" s="775">
        <v>95100</v>
      </c>
      <c r="J395" s="775">
        <v>107000</v>
      </c>
      <c r="K395" s="775">
        <v>118800</v>
      </c>
      <c r="L395" s="775">
        <v>128400</v>
      </c>
      <c r="M395" s="775">
        <v>137900</v>
      </c>
      <c r="N395" s="775">
        <v>147400</v>
      </c>
      <c r="O395" s="775">
        <v>156900</v>
      </c>
      <c r="P395" s="39"/>
      <c r="Q395" s="39"/>
    </row>
    <row r="396" spans="1:17">
      <c r="A396" s="38" t="s">
        <v>1271</v>
      </c>
      <c r="B396" s="778">
        <v>0.8</v>
      </c>
      <c r="C396" s="775">
        <v>1664</v>
      </c>
      <c r="D396" s="775">
        <v>1783</v>
      </c>
      <c r="E396" s="775">
        <v>2140</v>
      </c>
      <c r="F396" s="775">
        <v>2472</v>
      </c>
      <c r="G396" s="775">
        <v>2758</v>
      </c>
      <c r="H396" s="776">
        <v>66560</v>
      </c>
      <c r="I396" s="776">
        <v>76080</v>
      </c>
      <c r="J396" s="776">
        <v>85600</v>
      </c>
      <c r="K396" s="776">
        <v>95040</v>
      </c>
      <c r="L396" s="776">
        <v>102720</v>
      </c>
      <c r="M396" s="776">
        <v>110320</v>
      </c>
      <c r="N396" s="776">
        <v>117920</v>
      </c>
      <c r="O396" s="776">
        <v>125520</v>
      </c>
      <c r="P396" s="39"/>
      <c r="Q396" s="39"/>
    </row>
    <row r="397" spans="1:17">
      <c r="A397" s="38"/>
      <c r="B397" s="778">
        <v>0.7</v>
      </c>
      <c r="C397" s="775">
        <v>1456</v>
      </c>
      <c r="D397" s="775">
        <v>1560</v>
      </c>
      <c r="E397" s="775">
        <v>1872</v>
      </c>
      <c r="F397" s="775">
        <v>2163</v>
      </c>
      <c r="G397" s="775">
        <v>2413</v>
      </c>
      <c r="H397" s="776">
        <v>58239.999999999993</v>
      </c>
      <c r="I397" s="776">
        <v>66570</v>
      </c>
      <c r="J397" s="776">
        <v>74900</v>
      </c>
      <c r="K397" s="776">
        <v>83160</v>
      </c>
      <c r="L397" s="776">
        <v>89880</v>
      </c>
      <c r="M397" s="776">
        <v>96530</v>
      </c>
      <c r="N397" s="776">
        <v>103180</v>
      </c>
      <c r="O397" s="776">
        <v>109830</v>
      </c>
      <c r="P397" s="39"/>
      <c r="Q397" s="39"/>
    </row>
    <row r="398" spans="1:17">
      <c r="A398" s="38"/>
      <c r="B398" s="778">
        <v>0.6</v>
      </c>
      <c r="C398" s="775">
        <v>1248</v>
      </c>
      <c r="D398" s="775">
        <v>1337</v>
      </c>
      <c r="E398" s="775">
        <v>1605</v>
      </c>
      <c r="F398" s="775">
        <v>1854</v>
      </c>
      <c r="G398" s="775">
        <v>2068</v>
      </c>
      <c r="H398" s="775">
        <v>49920</v>
      </c>
      <c r="I398" s="775">
        <v>57060</v>
      </c>
      <c r="J398" s="775">
        <v>64200</v>
      </c>
      <c r="K398" s="775">
        <v>71280</v>
      </c>
      <c r="L398" s="775">
        <v>77040</v>
      </c>
      <c r="M398" s="777">
        <v>82740</v>
      </c>
      <c r="N398" s="777">
        <v>88440</v>
      </c>
      <c r="O398" s="777">
        <v>94140</v>
      </c>
      <c r="P398" s="39"/>
      <c r="Q398" s="39"/>
    </row>
    <row r="399" spans="1:17">
      <c r="A399" s="38"/>
      <c r="B399" s="778">
        <v>0.55000000000000004</v>
      </c>
      <c r="C399" s="775">
        <v>1144</v>
      </c>
      <c r="D399" s="775">
        <v>1225</v>
      </c>
      <c r="E399" s="775">
        <v>1471</v>
      </c>
      <c r="F399" s="775">
        <v>1699</v>
      </c>
      <c r="G399" s="775">
        <v>1896</v>
      </c>
      <c r="H399" s="775">
        <v>45760.000000000007</v>
      </c>
      <c r="I399" s="775">
        <v>52305.000000000007</v>
      </c>
      <c r="J399" s="775">
        <v>58850.000000000007</v>
      </c>
      <c r="K399" s="775">
        <v>65340.000000000007</v>
      </c>
      <c r="L399" s="775">
        <v>70620</v>
      </c>
      <c r="M399" s="775">
        <v>75845</v>
      </c>
      <c r="N399" s="775">
        <v>81070</v>
      </c>
      <c r="O399" s="775">
        <v>86295</v>
      </c>
      <c r="P399" s="39"/>
      <c r="Q399" s="39"/>
    </row>
    <row r="400" spans="1:17">
      <c r="A400" s="38"/>
      <c r="B400" s="778">
        <v>0.5</v>
      </c>
      <c r="C400" s="775">
        <v>1040</v>
      </c>
      <c r="D400" s="775">
        <v>1114</v>
      </c>
      <c r="E400" s="775">
        <v>1337</v>
      </c>
      <c r="F400" s="775">
        <v>1545</v>
      </c>
      <c r="G400" s="775">
        <v>1723</v>
      </c>
      <c r="H400" s="776">
        <v>41600</v>
      </c>
      <c r="I400" s="776">
        <v>47550</v>
      </c>
      <c r="J400" s="776">
        <v>53500</v>
      </c>
      <c r="K400" s="776">
        <v>59400</v>
      </c>
      <c r="L400" s="776">
        <v>64200</v>
      </c>
      <c r="M400" s="776">
        <v>68950</v>
      </c>
      <c r="N400" s="776">
        <v>73700</v>
      </c>
      <c r="O400" s="776">
        <v>78450</v>
      </c>
      <c r="P400" s="39"/>
      <c r="Q400" s="39"/>
    </row>
    <row r="401" spans="1:17">
      <c r="A401" s="38"/>
      <c r="B401" s="778">
        <v>0.45</v>
      </c>
      <c r="C401" s="775">
        <v>936</v>
      </c>
      <c r="D401" s="775">
        <v>1002</v>
      </c>
      <c r="E401" s="775">
        <v>1203</v>
      </c>
      <c r="F401" s="775">
        <v>1390</v>
      </c>
      <c r="G401" s="775">
        <v>1551</v>
      </c>
      <c r="H401" s="775">
        <v>37440</v>
      </c>
      <c r="I401" s="775">
        <v>42795</v>
      </c>
      <c r="J401" s="775">
        <v>48150</v>
      </c>
      <c r="K401" s="775">
        <v>53460</v>
      </c>
      <c r="L401" s="775">
        <v>57780</v>
      </c>
      <c r="M401" s="777">
        <v>62055</v>
      </c>
      <c r="N401" s="777">
        <v>66330</v>
      </c>
      <c r="O401" s="777">
        <v>70605</v>
      </c>
      <c r="P401" s="39"/>
      <c r="Q401" s="39"/>
    </row>
    <row r="402" spans="1:17">
      <c r="A402" s="38"/>
      <c r="B402" s="778">
        <v>0.4</v>
      </c>
      <c r="C402" s="775">
        <v>832</v>
      </c>
      <c r="D402" s="775">
        <v>891</v>
      </c>
      <c r="E402" s="775">
        <v>1070</v>
      </c>
      <c r="F402" s="775">
        <v>1236</v>
      </c>
      <c r="G402" s="775">
        <v>1379</v>
      </c>
      <c r="H402" s="775">
        <v>33280</v>
      </c>
      <c r="I402" s="775">
        <v>38040</v>
      </c>
      <c r="J402" s="775">
        <v>42800</v>
      </c>
      <c r="K402" s="775">
        <v>47520</v>
      </c>
      <c r="L402" s="775">
        <v>51360</v>
      </c>
      <c r="M402" s="777">
        <v>55160</v>
      </c>
      <c r="N402" s="777">
        <v>58960</v>
      </c>
      <c r="O402" s="777">
        <v>62760</v>
      </c>
      <c r="P402" s="39"/>
      <c r="Q402" s="39"/>
    </row>
    <row r="403" spans="1:17">
      <c r="A403" s="38"/>
      <c r="B403" s="519">
        <v>0.3</v>
      </c>
      <c r="C403" s="775">
        <v>624</v>
      </c>
      <c r="D403" s="775">
        <v>668</v>
      </c>
      <c r="E403" s="775">
        <v>802</v>
      </c>
      <c r="F403" s="775">
        <v>927</v>
      </c>
      <c r="G403" s="775">
        <v>1034</v>
      </c>
      <c r="H403" s="776">
        <v>24960</v>
      </c>
      <c r="I403" s="776">
        <v>28530</v>
      </c>
      <c r="J403" s="776">
        <v>32100</v>
      </c>
      <c r="K403" s="776">
        <v>35640</v>
      </c>
      <c r="L403" s="776">
        <v>38520</v>
      </c>
      <c r="M403" s="776">
        <v>41370</v>
      </c>
      <c r="N403" s="776">
        <v>44220</v>
      </c>
      <c r="O403" s="776">
        <v>47070</v>
      </c>
      <c r="P403" s="39"/>
      <c r="Q403" s="39"/>
    </row>
    <row r="404" spans="1:17" ht="13.5" thickBot="1">
      <c r="A404" s="779"/>
      <c r="B404" s="40">
        <v>0.2</v>
      </c>
      <c r="C404" s="521">
        <v>416</v>
      </c>
      <c r="D404" s="521">
        <v>445</v>
      </c>
      <c r="E404" s="521">
        <v>535</v>
      </c>
      <c r="F404" s="521">
        <v>618</v>
      </c>
      <c r="G404" s="521">
        <v>689</v>
      </c>
      <c r="H404" s="522">
        <v>16640</v>
      </c>
      <c r="I404" s="522">
        <v>19020</v>
      </c>
      <c r="J404" s="522">
        <v>21400</v>
      </c>
      <c r="K404" s="522">
        <v>23760</v>
      </c>
      <c r="L404" s="522">
        <v>25680</v>
      </c>
      <c r="M404" s="522">
        <v>27580</v>
      </c>
      <c r="N404" s="522">
        <v>29480</v>
      </c>
      <c r="O404" s="522">
        <v>31380</v>
      </c>
      <c r="P404" s="45"/>
      <c r="Q404" s="45"/>
    </row>
    <row r="405" spans="1:17" ht="13.5" thickTop="1">
      <c r="A405" s="46"/>
      <c r="B405" s="37">
        <v>1.2</v>
      </c>
      <c r="C405" s="523">
        <v>1980</v>
      </c>
      <c r="D405" s="523">
        <v>2121</v>
      </c>
      <c r="E405" s="523">
        <v>2544</v>
      </c>
      <c r="F405" s="523">
        <v>2940</v>
      </c>
      <c r="G405" s="523">
        <v>3279</v>
      </c>
      <c r="H405" s="523">
        <v>79200</v>
      </c>
      <c r="I405" s="523">
        <v>90480</v>
      </c>
      <c r="J405" s="523">
        <v>101760</v>
      </c>
      <c r="K405" s="523">
        <v>113040</v>
      </c>
      <c r="L405" s="523">
        <v>122160</v>
      </c>
      <c r="M405" s="523">
        <v>131160</v>
      </c>
      <c r="N405" s="523">
        <v>140280</v>
      </c>
      <c r="O405" s="523">
        <v>149280</v>
      </c>
      <c r="P405" s="41"/>
      <c r="Q405" s="41"/>
    </row>
    <row r="406" spans="1:17">
      <c r="A406" s="38"/>
      <c r="B406" s="778">
        <v>1</v>
      </c>
      <c r="C406" s="775">
        <v>1650</v>
      </c>
      <c r="D406" s="775">
        <v>1767</v>
      </c>
      <c r="E406" s="775">
        <v>2120</v>
      </c>
      <c r="F406" s="775">
        <v>2450</v>
      </c>
      <c r="G406" s="775">
        <v>2732</v>
      </c>
      <c r="H406" s="775">
        <v>66000</v>
      </c>
      <c r="I406" s="775">
        <v>75400</v>
      </c>
      <c r="J406" s="775">
        <v>84800</v>
      </c>
      <c r="K406" s="775">
        <v>94200</v>
      </c>
      <c r="L406" s="775">
        <v>101800</v>
      </c>
      <c r="M406" s="775">
        <v>109300</v>
      </c>
      <c r="N406" s="775">
        <v>116900</v>
      </c>
      <c r="O406" s="775">
        <v>124400</v>
      </c>
      <c r="P406" s="41"/>
      <c r="Q406" s="41"/>
    </row>
    <row r="407" spans="1:17">
      <c r="A407" s="38" t="s">
        <v>1272</v>
      </c>
      <c r="B407" s="778">
        <v>0.8</v>
      </c>
      <c r="C407" s="775">
        <v>1320</v>
      </c>
      <c r="D407" s="775">
        <v>1414</v>
      </c>
      <c r="E407" s="775">
        <v>1696</v>
      </c>
      <c r="F407" s="775">
        <v>1960</v>
      </c>
      <c r="G407" s="775">
        <v>2186</v>
      </c>
      <c r="H407" s="776">
        <v>52800</v>
      </c>
      <c r="I407" s="776">
        <v>60320</v>
      </c>
      <c r="J407" s="776">
        <v>67840</v>
      </c>
      <c r="K407" s="776">
        <v>75360</v>
      </c>
      <c r="L407" s="776">
        <v>81440</v>
      </c>
      <c r="M407" s="776">
        <v>87440</v>
      </c>
      <c r="N407" s="776">
        <v>93520</v>
      </c>
      <c r="O407" s="776">
        <v>99520</v>
      </c>
      <c r="P407" s="41"/>
      <c r="Q407" s="41"/>
    </row>
    <row r="408" spans="1:17">
      <c r="A408" s="38"/>
      <c r="B408" s="778">
        <v>0.7</v>
      </c>
      <c r="C408" s="775">
        <v>1155</v>
      </c>
      <c r="D408" s="775">
        <v>1237</v>
      </c>
      <c r="E408" s="775">
        <v>1484</v>
      </c>
      <c r="F408" s="775">
        <v>1715</v>
      </c>
      <c r="G408" s="775">
        <v>1912</v>
      </c>
      <c r="H408" s="776">
        <v>46200</v>
      </c>
      <c r="I408" s="776">
        <v>52780</v>
      </c>
      <c r="J408" s="776">
        <v>59359.999999999993</v>
      </c>
      <c r="K408" s="776">
        <v>65940</v>
      </c>
      <c r="L408" s="776">
        <v>71260</v>
      </c>
      <c r="M408" s="776">
        <v>76510</v>
      </c>
      <c r="N408" s="776">
        <v>81830</v>
      </c>
      <c r="O408" s="776">
        <v>87080</v>
      </c>
      <c r="P408" s="41"/>
      <c r="Q408" s="41"/>
    </row>
    <row r="409" spans="1:17">
      <c r="A409" s="38"/>
      <c r="B409" s="778">
        <v>0.6</v>
      </c>
      <c r="C409" s="775">
        <v>990</v>
      </c>
      <c r="D409" s="775">
        <v>1060</v>
      </c>
      <c r="E409" s="775">
        <v>1272</v>
      </c>
      <c r="F409" s="775">
        <v>1470</v>
      </c>
      <c r="G409" s="775">
        <v>1639</v>
      </c>
      <c r="H409" s="775">
        <v>39600</v>
      </c>
      <c r="I409" s="775">
        <v>45240</v>
      </c>
      <c r="J409" s="775">
        <v>50880</v>
      </c>
      <c r="K409" s="775">
        <v>56520</v>
      </c>
      <c r="L409" s="775">
        <v>61080</v>
      </c>
      <c r="M409" s="777">
        <v>65580</v>
      </c>
      <c r="N409" s="777">
        <v>70140</v>
      </c>
      <c r="O409" s="777">
        <v>74640</v>
      </c>
      <c r="P409" s="41"/>
      <c r="Q409" s="41"/>
    </row>
    <row r="410" spans="1:17">
      <c r="A410" s="38"/>
      <c r="B410" s="778">
        <v>0.55000000000000004</v>
      </c>
      <c r="C410" s="775">
        <v>907</v>
      </c>
      <c r="D410" s="775">
        <v>972</v>
      </c>
      <c r="E410" s="775">
        <v>1166</v>
      </c>
      <c r="F410" s="775">
        <v>1347</v>
      </c>
      <c r="G410" s="775">
        <v>1502</v>
      </c>
      <c r="H410" s="775">
        <v>36300</v>
      </c>
      <c r="I410" s="775">
        <v>41470</v>
      </c>
      <c r="J410" s="775">
        <v>46640.000000000007</v>
      </c>
      <c r="K410" s="775">
        <v>51810.000000000007</v>
      </c>
      <c r="L410" s="775">
        <v>55990.000000000007</v>
      </c>
      <c r="M410" s="775">
        <v>60115.000000000007</v>
      </c>
      <c r="N410" s="775">
        <v>64295.000000000007</v>
      </c>
      <c r="O410" s="775">
        <v>68420</v>
      </c>
      <c r="P410" s="41"/>
      <c r="Q410" s="41"/>
    </row>
    <row r="411" spans="1:17">
      <c r="A411" s="38"/>
      <c r="B411" s="778">
        <v>0.5</v>
      </c>
      <c r="C411" s="775">
        <v>825</v>
      </c>
      <c r="D411" s="775">
        <v>883</v>
      </c>
      <c r="E411" s="775">
        <v>1060</v>
      </c>
      <c r="F411" s="775">
        <v>1225</v>
      </c>
      <c r="G411" s="775">
        <v>1366</v>
      </c>
      <c r="H411" s="776">
        <v>33000</v>
      </c>
      <c r="I411" s="776">
        <v>37700</v>
      </c>
      <c r="J411" s="776">
        <v>42400</v>
      </c>
      <c r="K411" s="776">
        <v>47100</v>
      </c>
      <c r="L411" s="776">
        <v>50900</v>
      </c>
      <c r="M411" s="776">
        <v>54650</v>
      </c>
      <c r="N411" s="776">
        <v>58450</v>
      </c>
      <c r="O411" s="776">
        <v>62200</v>
      </c>
      <c r="P411" s="41"/>
      <c r="Q411" s="41"/>
    </row>
    <row r="412" spans="1:17">
      <c r="A412" s="38"/>
      <c r="B412" s="778">
        <v>0.45</v>
      </c>
      <c r="C412" s="775">
        <v>742</v>
      </c>
      <c r="D412" s="775">
        <v>795</v>
      </c>
      <c r="E412" s="775">
        <v>954</v>
      </c>
      <c r="F412" s="775">
        <v>1102</v>
      </c>
      <c r="G412" s="775">
        <v>1229</v>
      </c>
      <c r="H412" s="775">
        <v>29700</v>
      </c>
      <c r="I412" s="775">
        <v>33930</v>
      </c>
      <c r="J412" s="775">
        <v>38160</v>
      </c>
      <c r="K412" s="775">
        <v>42390</v>
      </c>
      <c r="L412" s="775">
        <v>45810</v>
      </c>
      <c r="M412" s="777">
        <v>49185</v>
      </c>
      <c r="N412" s="777">
        <v>52605</v>
      </c>
      <c r="O412" s="777">
        <v>55980</v>
      </c>
      <c r="P412" s="41"/>
      <c r="Q412" s="41"/>
    </row>
    <row r="413" spans="1:17">
      <c r="A413" s="38"/>
      <c r="B413" s="778">
        <v>0.4</v>
      </c>
      <c r="C413" s="775">
        <v>660</v>
      </c>
      <c r="D413" s="775">
        <v>707</v>
      </c>
      <c r="E413" s="775">
        <v>848</v>
      </c>
      <c r="F413" s="775">
        <v>980</v>
      </c>
      <c r="G413" s="775">
        <v>1093</v>
      </c>
      <c r="H413" s="775">
        <v>26400</v>
      </c>
      <c r="I413" s="775">
        <v>30160</v>
      </c>
      <c r="J413" s="775">
        <v>33920</v>
      </c>
      <c r="K413" s="775">
        <v>37680</v>
      </c>
      <c r="L413" s="775">
        <v>40720</v>
      </c>
      <c r="M413" s="777">
        <v>43720</v>
      </c>
      <c r="N413" s="777">
        <v>46760</v>
      </c>
      <c r="O413" s="777">
        <v>49760</v>
      </c>
      <c r="P413" s="41"/>
      <c r="Q413" s="41"/>
    </row>
    <row r="414" spans="1:17">
      <c r="A414" s="38"/>
      <c r="B414" s="519">
        <v>0.3</v>
      </c>
      <c r="C414" s="775">
        <v>495</v>
      </c>
      <c r="D414" s="775">
        <v>530</v>
      </c>
      <c r="E414" s="775">
        <v>636</v>
      </c>
      <c r="F414" s="775">
        <v>735</v>
      </c>
      <c r="G414" s="775">
        <v>819</v>
      </c>
      <c r="H414" s="776">
        <v>19800</v>
      </c>
      <c r="I414" s="776">
        <v>22620</v>
      </c>
      <c r="J414" s="776">
        <v>25440</v>
      </c>
      <c r="K414" s="776">
        <v>28260</v>
      </c>
      <c r="L414" s="776">
        <v>30540</v>
      </c>
      <c r="M414" s="776">
        <v>32790</v>
      </c>
      <c r="N414" s="776">
        <v>35070</v>
      </c>
      <c r="O414" s="776">
        <v>37320</v>
      </c>
      <c r="P414" s="41"/>
      <c r="Q414" s="41"/>
    </row>
    <row r="415" spans="1:17" ht="13.5" thickBot="1">
      <c r="A415" s="779"/>
      <c r="B415" s="40">
        <v>0.2</v>
      </c>
      <c r="C415" s="521">
        <v>330</v>
      </c>
      <c r="D415" s="521">
        <v>353</v>
      </c>
      <c r="E415" s="521">
        <v>424</v>
      </c>
      <c r="F415" s="521">
        <v>490</v>
      </c>
      <c r="G415" s="521">
        <v>546</v>
      </c>
      <c r="H415" s="522">
        <v>13200</v>
      </c>
      <c r="I415" s="522">
        <v>15080</v>
      </c>
      <c r="J415" s="522">
        <v>16960</v>
      </c>
      <c r="K415" s="522">
        <v>18840</v>
      </c>
      <c r="L415" s="522">
        <v>20360</v>
      </c>
      <c r="M415" s="522">
        <v>21860</v>
      </c>
      <c r="N415" s="522">
        <v>23380</v>
      </c>
      <c r="O415" s="522">
        <v>24880</v>
      </c>
      <c r="P415" s="41"/>
      <c r="Q415" s="41"/>
    </row>
    <row r="416" spans="1:17" ht="13.5" thickTop="1">
      <c r="A416" s="46"/>
      <c r="B416" s="37">
        <v>1.2</v>
      </c>
      <c r="C416" s="523">
        <v>1995</v>
      </c>
      <c r="D416" s="523">
        <v>2137</v>
      </c>
      <c r="E416" s="523">
        <v>2565</v>
      </c>
      <c r="F416" s="523">
        <v>2964</v>
      </c>
      <c r="G416" s="523">
        <v>3306</v>
      </c>
      <c r="H416" s="523">
        <v>79800</v>
      </c>
      <c r="I416" s="523">
        <v>91200</v>
      </c>
      <c r="J416" s="523">
        <v>102600</v>
      </c>
      <c r="K416" s="523">
        <v>114000</v>
      </c>
      <c r="L416" s="523">
        <v>123120</v>
      </c>
      <c r="M416" s="523">
        <v>132240</v>
      </c>
      <c r="N416" s="523">
        <v>141360</v>
      </c>
      <c r="O416" s="523">
        <v>150480</v>
      </c>
      <c r="P416" s="41"/>
      <c r="Q416" s="41"/>
    </row>
    <row r="417" spans="1:17">
      <c r="A417" s="38"/>
      <c r="B417" s="778">
        <v>1</v>
      </c>
      <c r="C417" s="775">
        <v>1662</v>
      </c>
      <c r="D417" s="775">
        <v>1781</v>
      </c>
      <c r="E417" s="775">
        <v>2137</v>
      </c>
      <c r="F417" s="775">
        <v>2470</v>
      </c>
      <c r="G417" s="775">
        <v>2755</v>
      </c>
      <c r="H417" s="775">
        <v>66500</v>
      </c>
      <c r="I417" s="775">
        <v>76000</v>
      </c>
      <c r="J417" s="775">
        <v>85500</v>
      </c>
      <c r="K417" s="775">
        <v>95000</v>
      </c>
      <c r="L417" s="775">
        <v>102600</v>
      </c>
      <c r="M417" s="775">
        <v>110200</v>
      </c>
      <c r="N417" s="775">
        <v>117800</v>
      </c>
      <c r="O417" s="775">
        <v>125400</v>
      </c>
      <c r="P417" s="41"/>
      <c r="Q417" s="41"/>
    </row>
    <row r="418" spans="1:17">
      <c r="A418" s="38" t="s">
        <v>1273</v>
      </c>
      <c r="B418" s="778">
        <v>0.8</v>
      </c>
      <c r="C418" s="775">
        <v>1330</v>
      </c>
      <c r="D418" s="775">
        <v>1425</v>
      </c>
      <c r="E418" s="775">
        <v>1710</v>
      </c>
      <c r="F418" s="775">
        <v>1976</v>
      </c>
      <c r="G418" s="775">
        <v>2204</v>
      </c>
      <c r="H418" s="776">
        <v>53200</v>
      </c>
      <c r="I418" s="776">
        <v>60800</v>
      </c>
      <c r="J418" s="776">
        <v>68400</v>
      </c>
      <c r="K418" s="776">
        <v>76000</v>
      </c>
      <c r="L418" s="776">
        <v>82080</v>
      </c>
      <c r="M418" s="776">
        <v>88160</v>
      </c>
      <c r="N418" s="776">
        <v>94240</v>
      </c>
      <c r="O418" s="776">
        <v>100320</v>
      </c>
      <c r="P418" s="41"/>
      <c r="Q418" s="41"/>
    </row>
    <row r="419" spans="1:17">
      <c r="A419" s="38"/>
      <c r="B419" s="778">
        <v>0.7</v>
      </c>
      <c r="C419" s="775">
        <v>1163</v>
      </c>
      <c r="D419" s="775">
        <v>1246</v>
      </c>
      <c r="E419" s="775">
        <v>1496</v>
      </c>
      <c r="F419" s="775">
        <v>1729</v>
      </c>
      <c r="G419" s="775">
        <v>1928</v>
      </c>
      <c r="H419" s="776">
        <v>46550</v>
      </c>
      <c r="I419" s="776">
        <v>53200</v>
      </c>
      <c r="J419" s="776">
        <v>59849.999999999993</v>
      </c>
      <c r="K419" s="776">
        <v>66500</v>
      </c>
      <c r="L419" s="776">
        <v>71820</v>
      </c>
      <c r="M419" s="776">
        <v>77140</v>
      </c>
      <c r="N419" s="776">
        <v>82460</v>
      </c>
      <c r="O419" s="776">
        <v>87780</v>
      </c>
      <c r="P419" s="41"/>
      <c r="Q419" s="41"/>
    </row>
    <row r="420" spans="1:17">
      <c r="A420" s="38"/>
      <c r="B420" s="778">
        <v>0.6</v>
      </c>
      <c r="C420" s="775">
        <v>997</v>
      </c>
      <c r="D420" s="775">
        <v>1068</v>
      </c>
      <c r="E420" s="775">
        <v>1282</v>
      </c>
      <c r="F420" s="775">
        <v>1482</v>
      </c>
      <c r="G420" s="775">
        <v>1653</v>
      </c>
      <c r="H420" s="775">
        <v>39900</v>
      </c>
      <c r="I420" s="775">
        <v>45600</v>
      </c>
      <c r="J420" s="775">
        <v>51300</v>
      </c>
      <c r="K420" s="775">
        <v>57000</v>
      </c>
      <c r="L420" s="775">
        <v>61560</v>
      </c>
      <c r="M420" s="777">
        <v>66120</v>
      </c>
      <c r="N420" s="777">
        <v>70680</v>
      </c>
      <c r="O420" s="777">
        <v>75240</v>
      </c>
      <c r="P420" s="41"/>
      <c r="Q420" s="41"/>
    </row>
    <row r="421" spans="1:17">
      <c r="A421" s="38"/>
      <c r="B421" s="778">
        <v>0.55000000000000004</v>
      </c>
      <c r="C421" s="775">
        <v>914</v>
      </c>
      <c r="D421" s="775">
        <v>979</v>
      </c>
      <c r="E421" s="775">
        <v>1175</v>
      </c>
      <c r="F421" s="775">
        <v>1358</v>
      </c>
      <c r="G421" s="775">
        <v>1515</v>
      </c>
      <c r="H421" s="775">
        <v>36575</v>
      </c>
      <c r="I421" s="775">
        <v>41800</v>
      </c>
      <c r="J421" s="775">
        <v>47025.000000000007</v>
      </c>
      <c r="K421" s="775">
        <v>52250.000000000007</v>
      </c>
      <c r="L421" s="775">
        <v>56430.000000000007</v>
      </c>
      <c r="M421" s="775">
        <v>60610.000000000007</v>
      </c>
      <c r="N421" s="775">
        <v>64790.000000000007</v>
      </c>
      <c r="O421" s="775">
        <v>68970</v>
      </c>
      <c r="P421" s="41"/>
      <c r="Q421" s="41"/>
    </row>
    <row r="422" spans="1:17">
      <c r="A422" s="38"/>
      <c r="B422" s="778">
        <v>0.5</v>
      </c>
      <c r="C422" s="775">
        <v>831</v>
      </c>
      <c r="D422" s="775">
        <v>890</v>
      </c>
      <c r="E422" s="775">
        <v>1068</v>
      </c>
      <c r="F422" s="775">
        <v>1235</v>
      </c>
      <c r="G422" s="775">
        <v>1377</v>
      </c>
      <c r="H422" s="776">
        <v>33250</v>
      </c>
      <c r="I422" s="776">
        <v>38000</v>
      </c>
      <c r="J422" s="776">
        <v>42750</v>
      </c>
      <c r="K422" s="776">
        <v>47500</v>
      </c>
      <c r="L422" s="776">
        <v>51300</v>
      </c>
      <c r="M422" s="776">
        <v>55100</v>
      </c>
      <c r="N422" s="776">
        <v>58900</v>
      </c>
      <c r="O422" s="776">
        <v>62700</v>
      </c>
      <c r="P422" s="41"/>
      <c r="Q422" s="41"/>
    </row>
    <row r="423" spans="1:17">
      <c r="A423" s="38"/>
      <c r="B423" s="778">
        <v>0.45</v>
      </c>
      <c r="C423" s="775">
        <v>748</v>
      </c>
      <c r="D423" s="775">
        <v>801</v>
      </c>
      <c r="E423" s="775">
        <v>961</v>
      </c>
      <c r="F423" s="775">
        <v>1111</v>
      </c>
      <c r="G423" s="775">
        <v>1239</v>
      </c>
      <c r="H423" s="775">
        <v>29925</v>
      </c>
      <c r="I423" s="775">
        <v>34200</v>
      </c>
      <c r="J423" s="775">
        <v>38475</v>
      </c>
      <c r="K423" s="775">
        <v>42750</v>
      </c>
      <c r="L423" s="775">
        <v>46170</v>
      </c>
      <c r="M423" s="777">
        <v>49590</v>
      </c>
      <c r="N423" s="777">
        <v>53010</v>
      </c>
      <c r="O423" s="777">
        <v>56430</v>
      </c>
      <c r="P423" s="41"/>
      <c r="Q423" s="41"/>
    </row>
    <row r="424" spans="1:17">
      <c r="A424" s="38"/>
      <c r="B424" s="778">
        <v>0.4</v>
      </c>
      <c r="C424" s="775">
        <v>665</v>
      </c>
      <c r="D424" s="775">
        <v>712</v>
      </c>
      <c r="E424" s="775">
        <v>855</v>
      </c>
      <c r="F424" s="775">
        <v>988</v>
      </c>
      <c r="G424" s="775">
        <v>1102</v>
      </c>
      <c r="H424" s="775">
        <v>26600</v>
      </c>
      <c r="I424" s="775">
        <v>30400</v>
      </c>
      <c r="J424" s="775">
        <v>34200</v>
      </c>
      <c r="K424" s="775">
        <v>38000</v>
      </c>
      <c r="L424" s="775">
        <v>41040</v>
      </c>
      <c r="M424" s="777">
        <v>44080</v>
      </c>
      <c r="N424" s="777">
        <v>47120</v>
      </c>
      <c r="O424" s="777">
        <v>50160</v>
      </c>
      <c r="P424" s="41"/>
      <c r="Q424" s="41"/>
    </row>
    <row r="425" spans="1:17">
      <c r="A425" s="38"/>
      <c r="B425" s="519">
        <v>0.3</v>
      </c>
      <c r="C425" s="775">
        <v>498</v>
      </c>
      <c r="D425" s="775">
        <v>534</v>
      </c>
      <c r="E425" s="775">
        <v>641</v>
      </c>
      <c r="F425" s="775">
        <v>741</v>
      </c>
      <c r="G425" s="775">
        <v>826</v>
      </c>
      <c r="H425" s="776">
        <v>19950</v>
      </c>
      <c r="I425" s="776">
        <v>22800</v>
      </c>
      <c r="J425" s="776">
        <v>25650</v>
      </c>
      <c r="K425" s="776">
        <v>28500</v>
      </c>
      <c r="L425" s="776">
        <v>30780</v>
      </c>
      <c r="M425" s="776">
        <v>33060</v>
      </c>
      <c r="N425" s="776">
        <v>35340</v>
      </c>
      <c r="O425" s="776">
        <v>37620</v>
      </c>
      <c r="P425" s="41"/>
      <c r="Q425" s="41"/>
    </row>
    <row r="426" spans="1:17" ht="13.5" thickBot="1">
      <c r="A426" s="779"/>
      <c r="B426" s="40">
        <v>0.2</v>
      </c>
      <c r="C426" s="521">
        <v>332</v>
      </c>
      <c r="D426" s="521">
        <v>356</v>
      </c>
      <c r="E426" s="521">
        <v>427</v>
      </c>
      <c r="F426" s="521">
        <v>494</v>
      </c>
      <c r="G426" s="521">
        <v>551</v>
      </c>
      <c r="H426" s="522">
        <v>13300</v>
      </c>
      <c r="I426" s="522">
        <v>15200</v>
      </c>
      <c r="J426" s="522">
        <v>17100</v>
      </c>
      <c r="K426" s="522">
        <v>19000</v>
      </c>
      <c r="L426" s="522">
        <v>20520</v>
      </c>
      <c r="M426" s="522">
        <v>22040</v>
      </c>
      <c r="N426" s="522">
        <v>23560</v>
      </c>
      <c r="O426" s="522">
        <v>25080</v>
      </c>
      <c r="P426" s="41"/>
      <c r="Q426" s="41"/>
    </row>
    <row r="427" spans="1:17" ht="13.5" thickTop="1">
      <c r="A427" s="46"/>
      <c r="B427" s="37">
        <v>1.2</v>
      </c>
      <c r="C427" s="523">
        <v>1980</v>
      </c>
      <c r="D427" s="523">
        <v>2121</v>
      </c>
      <c r="E427" s="523">
        <v>2544</v>
      </c>
      <c r="F427" s="523">
        <v>2940</v>
      </c>
      <c r="G427" s="523">
        <v>3279</v>
      </c>
      <c r="H427" s="523">
        <v>79200</v>
      </c>
      <c r="I427" s="523">
        <v>90480</v>
      </c>
      <c r="J427" s="523">
        <v>101760</v>
      </c>
      <c r="K427" s="523">
        <v>113040</v>
      </c>
      <c r="L427" s="523">
        <v>122160</v>
      </c>
      <c r="M427" s="523">
        <v>131160</v>
      </c>
      <c r="N427" s="523">
        <v>140280</v>
      </c>
      <c r="O427" s="523">
        <v>149280</v>
      </c>
      <c r="P427" s="41"/>
      <c r="Q427" s="41"/>
    </row>
    <row r="428" spans="1:17">
      <c r="A428" s="38"/>
      <c r="B428" s="778">
        <v>1</v>
      </c>
      <c r="C428" s="775">
        <v>1650</v>
      </c>
      <c r="D428" s="775">
        <v>1767</v>
      </c>
      <c r="E428" s="775">
        <v>2120</v>
      </c>
      <c r="F428" s="775">
        <v>2450</v>
      </c>
      <c r="G428" s="775">
        <v>2732</v>
      </c>
      <c r="H428" s="775">
        <v>66000</v>
      </c>
      <c r="I428" s="775">
        <v>75400</v>
      </c>
      <c r="J428" s="775">
        <v>84800</v>
      </c>
      <c r="K428" s="775">
        <v>94200</v>
      </c>
      <c r="L428" s="775">
        <v>101800</v>
      </c>
      <c r="M428" s="775">
        <v>109300</v>
      </c>
      <c r="N428" s="775">
        <v>116900</v>
      </c>
      <c r="O428" s="775">
        <v>124400</v>
      </c>
      <c r="P428" s="41"/>
      <c r="Q428" s="41"/>
    </row>
    <row r="429" spans="1:17">
      <c r="A429" s="38" t="s">
        <v>1274</v>
      </c>
      <c r="B429" s="778">
        <v>0.8</v>
      </c>
      <c r="C429" s="775">
        <v>1320</v>
      </c>
      <c r="D429" s="775">
        <v>1414</v>
      </c>
      <c r="E429" s="775">
        <v>1696</v>
      </c>
      <c r="F429" s="775">
        <v>1960</v>
      </c>
      <c r="G429" s="775">
        <v>2186</v>
      </c>
      <c r="H429" s="776">
        <v>52800</v>
      </c>
      <c r="I429" s="776">
        <v>60320</v>
      </c>
      <c r="J429" s="776">
        <v>67840</v>
      </c>
      <c r="K429" s="776">
        <v>75360</v>
      </c>
      <c r="L429" s="776">
        <v>81440</v>
      </c>
      <c r="M429" s="776">
        <v>87440</v>
      </c>
      <c r="N429" s="776">
        <v>93520</v>
      </c>
      <c r="O429" s="776">
        <v>99520</v>
      </c>
      <c r="P429" s="41"/>
      <c r="Q429" s="41"/>
    </row>
    <row r="430" spans="1:17">
      <c r="A430" s="38"/>
      <c r="B430" s="778">
        <v>0.7</v>
      </c>
      <c r="C430" s="775">
        <v>1155</v>
      </c>
      <c r="D430" s="775">
        <v>1237</v>
      </c>
      <c r="E430" s="775">
        <v>1484</v>
      </c>
      <c r="F430" s="775">
        <v>1715</v>
      </c>
      <c r="G430" s="775">
        <v>1912</v>
      </c>
      <c r="H430" s="776">
        <v>46200</v>
      </c>
      <c r="I430" s="776">
        <v>52780</v>
      </c>
      <c r="J430" s="776">
        <v>59359.999999999993</v>
      </c>
      <c r="K430" s="776">
        <v>65940</v>
      </c>
      <c r="L430" s="776">
        <v>71260</v>
      </c>
      <c r="M430" s="776">
        <v>76510</v>
      </c>
      <c r="N430" s="776">
        <v>81830</v>
      </c>
      <c r="O430" s="776">
        <v>87080</v>
      </c>
      <c r="P430" s="41"/>
      <c r="Q430" s="41"/>
    </row>
    <row r="431" spans="1:17">
      <c r="A431" s="38"/>
      <c r="B431" s="778">
        <v>0.6</v>
      </c>
      <c r="C431" s="775">
        <v>990</v>
      </c>
      <c r="D431" s="775">
        <v>1060</v>
      </c>
      <c r="E431" s="775">
        <v>1272</v>
      </c>
      <c r="F431" s="775">
        <v>1470</v>
      </c>
      <c r="G431" s="775">
        <v>1639</v>
      </c>
      <c r="H431" s="775">
        <v>39600</v>
      </c>
      <c r="I431" s="775">
        <v>45240</v>
      </c>
      <c r="J431" s="775">
        <v>50880</v>
      </c>
      <c r="K431" s="775">
        <v>56520</v>
      </c>
      <c r="L431" s="775">
        <v>61080</v>
      </c>
      <c r="M431" s="777">
        <v>65580</v>
      </c>
      <c r="N431" s="777">
        <v>70140</v>
      </c>
      <c r="O431" s="777">
        <v>74640</v>
      </c>
      <c r="P431" s="41"/>
      <c r="Q431" s="41"/>
    </row>
    <row r="432" spans="1:17">
      <c r="A432" s="38"/>
      <c r="B432" s="778">
        <v>0.55000000000000004</v>
      </c>
      <c r="C432" s="775">
        <v>907</v>
      </c>
      <c r="D432" s="775">
        <v>972</v>
      </c>
      <c r="E432" s="775">
        <v>1166</v>
      </c>
      <c r="F432" s="775">
        <v>1347</v>
      </c>
      <c r="G432" s="775">
        <v>1502</v>
      </c>
      <c r="H432" s="775">
        <v>36300</v>
      </c>
      <c r="I432" s="775">
        <v>41470</v>
      </c>
      <c r="J432" s="775">
        <v>46640.000000000007</v>
      </c>
      <c r="K432" s="775">
        <v>51810.000000000007</v>
      </c>
      <c r="L432" s="775">
        <v>55990.000000000007</v>
      </c>
      <c r="M432" s="775">
        <v>60115.000000000007</v>
      </c>
      <c r="N432" s="775">
        <v>64295.000000000007</v>
      </c>
      <c r="O432" s="775">
        <v>68420</v>
      </c>
      <c r="P432" s="41"/>
      <c r="Q432" s="41"/>
    </row>
    <row r="433" spans="1:17">
      <c r="A433" s="38"/>
      <c r="B433" s="778">
        <v>0.5</v>
      </c>
      <c r="C433" s="775">
        <v>825</v>
      </c>
      <c r="D433" s="775">
        <v>883</v>
      </c>
      <c r="E433" s="775">
        <v>1060</v>
      </c>
      <c r="F433" s="775">
        <v>1225</v>
      </c>
      <c r="G433" s="775">
        <v>1366</v>
      </c>
      <c r="H433" s="776">
        <v>33000</v>
      </c>
      <c r="I433" s="776">
        <v>37700</v>
      </c>
      <c r="J433" s="776">
        <v>42400</v>
      </c>
      <c r="K433" s="776">
        <v>47100</v>
      </c>
      <c r="L433" s="776">
        <v>50900</v>
      </c>
      <c r="M433" s="776">
        <v>54650</v>
      </c>
      <c r="N433" s="776">
        <v>58450</v>
      </c>
      <c r="O433" s="776">
        <v>62200</v>
      </c>
      <c r="P433" s="41"/>
      <c r="Q433" s="41"/>
    </row>
    <row r="434" spans="1:17">
      <c r="A434" s="38"/>
      <c r="B434" s="778">
        <v>0.45</v>
      </c>
      <c r="C434" s="775">
        <v>742</v>
      </c>
      <c r="D434" s="775">
        <v>795</v>
      </c>
      <c r="E434" s="775">
        <v>954</v>
      </c>
      <c r="F434" s="775">
        <v>1102</v>
      </c>
      <c r="G434" s="775">
        <v>1229</v>
      </c>
      <c r="H434" s="775">
        <v>29700</v>
      </c>
      <c r="I434" s="775">
        <v>33930</v>
      </c>
      <c r="J434" s="775">
        <v>38160</v>
      </c>
      <c r="K434" s="775">
        <v>42390</v>
      </c>
      <c r="L434" s="775">
        <v>45810</v>
      </c>
      <c r="M434" s="777">
        <v>49185</v>
      </c>
      <c r="N434" s="777">
        <v>52605</v>
      </c>
      <c r="O434" s="777">
        <v>55980</v>
      </c>
      <c r="P434" s="41"/>
      <c r="Q434" s="41"/>
    </row>
    <row r="435" spans="1:17">
      <c r="A435" s="38"/>
      <c r="B435" s="778">
        <v>0.4</v>
      </c>
      <c r="C435" s="775">
        <v>660</v>
      </c>
      <c r="D435" s="775">
        <v>707</v>
      </c>
      <c r="E435" s="775">
        <v>848</v>
      </c>
      <c r="F435" s="775">
        <v>980</v>
      </c>
      <c r="G435" s="775">
        <v>1093</v>
      </c>
      <c r="H435" s="775">
        <v>26400</v>
      </c>
      <c r="I435" s="775">
        <v>30160</v>
      </c>
      <c r="J435" s="775">
        <v>33920</v>
      </c>
      <c r="K435" s="775">
        <v>37680</v>
      </c>
      <c r="L435" s="775">
        <v>40720</v>
      </c>
      <c r="M435" s="777">
        <v>43720</v>
      </c>
      <c r="N435" s="777">
        <v>46760</v>
      </c>
      <c r="O435" s="777">
        <v>49760</v>
      </c>
      <c r="P435" s="41"/>
      <c r="Q435" s="41"/>
    </row>
    <row r="436" spans="1:17">
      <c r="A436" s="38"/>
      <c r="B436" s="519">
        <v>0.3</v>
      </c>
      <c r="C436" s="775">
        <v>495</v>
      </c>
      <c r="D436" s="775">
        <v>530</v>
      </c>
      <c r="E436" s="775">
        <v>636</v>
      </c>
      <c r="F436" s="775">
        <v>735</v>
      </c>
      <c r="G436" s="775">
        <v>819</v>
      </c>
      <c r="H436" s="776">
        <v>19800</v>
      </c>
      <c r="I436" s="776">
        <v>22620</v>
      </c>
      <c r="J436" s="776">
        <v>25440</v>
      </c>
      <c r="K436" s="776">
        <v>28260</v>
      </c>
      <c r="L436" s="776">
        <v>30540</v>
      </c>
      <c r="M436" s="776">
        <v>32790</v>
      </c>
      <c r="N436" s="776">
        <v>35070</v>
      </c>
      <c r="O436" s="776">
        <v>37320</v>
      </c>
      <c r="P436" s="41"/>
      <c r="Q436" s="41"/>
    </row>
    <row r="437" spans="1:17" ht="13.5" thickBot="1">
      <c r="A437" s="779"/>
      <c r="B437" s="40">
        <v>0.2</v>
      </c>
      <c r="C437" s="521">
        <v>330</v>
      </c>
      <c r="D437" s="521">
        <v>353</v>
      </c>
      <c r="E437" s="521">
        <v>424</v>
      </c>
      <c r="F437" s="521">
        <v>490</v>
      </c>
      <c r="G437" s="521">
        <v>546</v>
      </c>
      <c r="H437" s="522">
        <v>13200</v>
      </c>
      <c r="I437" s="522">
        <v>15080</v>
      </c>
      <c r="J437" s="522">
        <v>16960</v>
      </c>
      <c r="K437" s="522">
        <v>18840</v>
      </c>
      <c r="L437" s="522">
        <v>20360</v>
      </c>
      <c r="M437" s="522">
        <v>21860</v>
      </c>
      <c r="N437" s="522">
        <v>23380</v>
      </c>
      <c r="O437" s="522">
        <v>24880</v>
      </c>
      <c r="P437" s="41"/>
      <c r="Q437" s="41"/>
    </row>
    <row r="438" spans="1:17" ht="13.5" thickTop="1">
      <c r="A438" s="46"/>
      <c r="B438" s="37">
        <v>1.2</v>
      </c>
      <c r="C438" s="523">
        <v>1980</v>
      </c>
      <c r="D438" s="523">
        <v>2121</v>
      </c>
      <c r="E438" s="523">
        <v>2544</v>
      </c>
      <c r="F438" s="523">
        <v>2940</v>
      </c>
      <c r="G438" s="523">
        <v>3279</v>
      </c>
      <c r="H438" s="523">
        <v>79200</v>
      </c>
      <c r="I438" s="523">
        <v>90480</v>
      </c>
      <c r="J438" s="523">
        <v>101760</v>
      </c>
      <c r="K438" s="523">
        <v>113040</v>
      </c>
      <c r="L438" s="523">
        <v>122160</v>
      </c>
      <c r="M438" s="523">
        <v>131160</v>
      </c>
      <c r="N438" s="523">
        <v>140280</v>
      </c>
      <c r="O438" s="523">
        <v>149280</v>
      </c>
      <c r="P438" s="39"/>
      <c r="Q438" s="39"/>
    </row>
    <row r="439" spans="1:17">
      <c r="A439" s="38"/>
      <c r="B439" s="778">
        <v>1</v>
      </c>
      <c r="C439" s="775">
        <v>1650</v>
      </c>
      <c r="D439" s="775">
        <v>1767</v>
      </c>
      <c r="E439" s="775">
        <v>2120</v>
      </c>
      <c r="F439" s="775">
        <v>2450</v>
      </c>
      <c r="G439" s="775">
        <v>2732</v>
      </c>
      <c r="H439" s="775">
        <v>66000</v>
      </c>
      <c r="I439" s="775">
        <v>75400</v>
      </c>
      <c r="J439" s="775">
        <v>84800</v>
      </c>
      <c r="K439" s="775">
        <v>94200</v>
      </c>
      <c r="L439" s="775">
        <v>101800</v>
      </c>
      <c r="M439" s="775">
        <v>109300</v>
      </c>
      <c r="N439" s="775">
        <v>116900</v>
      </c>
      <c r="O439" s="775">
        <v>124400</v>
      </c>
      <c r="P439" s="39"/>
      <c r="Q439" s="39"/>
    </row>
    <row r="440" spans="1:17">
      <c r="A440" s="38" t="s">
        <v>1275</v>
      </c>
      <c r="B440" s="778">
        <v>0.8</v>
      </c>
      <c r="C440" s="775">
        <v>1320</v>
      </c>
      <c r="D440" s="775">
        <v>1414</v>
      </c>
      <c r="E440" s="775">
        <v>1696</v>
      </c>
      <c r="F440" s="775">
        <v>1960</v>
      </c>
      <c r="G440" s="775">
        <v>2186</v>
      </c>
      <c r="H440" s="776">
        <v>52800</v>
      </c>
      <c r="I440" s="776">
        <v>60320</v>
      </c>
      <c r="J440" s="776">
        <v>67840</v>
      </c>
      <c r="K440" s="776">
        <v>75360</v>
      </c>
      <c r="L440" s="776">
        <v>81440</v>
      </c>
      <c r="M440" s="776">
        <v>87440</v>
      </c>
      <c r="N440" s="776">
        <v>93520</v>
      </c>
      <c r="O440" s="776">
        <v>99520</v>
      </c>
      <c r="P440" s="39"/>
      <c r="Q440" s="39"/>
    </row>
    <row r="441" spans="1:17">
      <c r="A441" s="38"/>
      <c r="B441" s="778">
        <v>0.7</v>
      </c>
      <c r="C441" s="775">
        <v>1155</v>
      </c>
      <c r="D441" s="775">
        <v>1237</v>
      </c>
      <c r="E441" s="775">
        <v>1484</v>
      </c>
      <c r="F441" s="775">
        <v>1715</v>
      </c>
      <c r="G441" s="775">
        <v>1912</v>
      </c>
      <c r="H441" s="776">
        <v>46200</v>
      </c>
      <c r="I441" s="776">
        <v>52780</v>
      </c>
      <c r="J441" s="776">
        <v>59359.999999999993</v>
      </c>
      <c r="K441" s="776">
        <v>65940</v>
      </c>
      <c r="L441" s="776">
        <v>71260</v>
      </c>
      <c r="M441" s="776">
        <v>76510</v>
      </c>
      <c r="N441" s="776">
        <v>81830</v>
      </c>
      <c r="O441" s="776">
        <v>87080</v>
      </c>
      <c r="P441" s="39"/>
      <c r="Q441" s="39"/>
    </row>
    <row r="442" spans="1:17">
      <c r="A442" s="38"/>
      <c r="B442" s="778">
        <v>0.6</v>
      </c>
      <c r="C442" s="775">
        <v>990</v>
      </c>
      <c r="D442" s="775">
        <v>1060</v>
      </c>
      <c r="E442" s="775">
        <v>1272</v>
      </c>
      <c r="F442" s="775">
        <v>1470</v>
      </c>
      <c r="G442" s="775">
        <v>1639</v>
      </c>
      <c r="H442" s="775">
        <v>39600</v>
      </c>
      <c r="I442" s="775">
        <v>45240</v>
      </c>
      <c r="J442" s="775">
        <v>50880</v>
      </c>
      <c r="K442" s="775">
        <v>56520</v>
      </c>
      <c r="L442" s="775">
        <v>61080</v>
      </c>
      <c r="M442" s="777">
        <v>65580</v>
      </c>
      <c r="N442" s="777">
        <v>70140</v>
      </c>
      <c r="O442" s="777">
        <v>74640</v>
      </c>
      <c r="P442" s="39"/>
      <c r="Q442" s="39"/>
    </row>
    <row r="443" spans="1:17">
      <c r="A443" s="38"/>
      <c r="B443" s="778">
        <v>0.55000000000000004</v>
      </c>
      <c r="C443" s="775">
        <v>907</v>
      </c>
      <c r="D443" s="775">
        <v>972</v>
      </c>
      <c r="E443" s="775">
        <v>1166</v>
      </c>
      <c r="F443" s="775">
        <v>1347</v>
      </c>
      <c r="G443" s="775">
        <v>1502</v>
      </c>
      <c r="H443" s="775">
        <v>36300</v>
      </c>
      <c r="I443" s="775">
        <v>41470</v>
      </c>
      <c r="J443" s="775">
        <v>46640.000000000007</v>
      </c>
      <c r="K443" s="775">
        <v>51810.000000000007</v>
      </c>
      <c r="L443" s="775">
        <v>55990.000000000007</v>
      </c>
      <c r="M443" s="775">
        <v>60115.000000000007</v>
      </c>
      <c r="N443" s="775">
        <v>64295.000000000007</v>
      </c>
      <c r="O443" s="775">
        <v>68420</v>
      </c>
      <c r="P443" s="39"/>
      <c r="Q443" s="39"/>
    </row>
    <row r="444" spans="1:17">
      <c r="A444" s="38" t="s">
        <v>461</v>
      </c>
      <c r="B444" s="778">
        <v>0.5</v>
      </c>
      <c r="C444" s="775">
        <v>825</v>
      </c>
      <c r="D444" s="775">
        <v>883</v>
      </c>
      <c r="E444" s="775">
        <v>1060</v>
      </c>
      <c r="F444" s="775">
        <v>1225</v>
      </c>
      <c r="G444" s="775">
        <v>1366</v>
      </c>
      <c r="H444" s="776">
        <v>33000</v>
      </c>
      <c r="I444" s="776">
        <v>37700</v>
      </c>
      <c r="J444" s="776">
        <v>42400</v>
      </c>
      <c r="K444" s="776">
        <v>47100</v>
      </c>
      <c r="L444" s="776">
        <v>50900</v>
      </c>
      <c r="M444" s="776">
        <v>54650</v>
      </c>
      <c r="N444" s="776">
        <v>58450</v>
      </c>
      <c r="O444" s="776">
        <v>62200</v>
      </c>
      <c r="P444" s="39"/>
      <c r="Q444" s="39"/>
    </row>
    <row r="445" spans="1:17">
      <c r="A445" s="38"/>
      <c r="B445" s="778">
        <v>0.45</v>
      </c>
      <c r="C445" s="775">
        <v>742</v>
      </c>
      <c r="D445" s="775">
        <v>795</v>
      </c>
      <c r="E445" s="775">
        <v>954</v>
      </c>
      <c r="F445" s="775">
        <v>1102</v>
      </c>
      <c r="G445" s="775">
        <v>1229</v>
      </c>
      <c r="H445" s="775">
        <v>29700</v>
      </c>
      <c r="I445" s="775">
        <v>33930</v>
      </c>
      <c r="J445" s="775">
        <v>38160</v>
      </c>
      <c r="K445" s="775">
        <v>42390</v>
      </c>
      <c r="L445" s="775">
        <v>45810</v>
      </c>
      <c r="M445" s="777">
        <v>49185</v>
      </c>
      <c r="N445" s="777">
        <v>52605</v>
      </c>
      <c r="O445" s="777">
        <v>55980</v>
      </c>
      <c r="P445" s="39"/>
      <c r="Q445" s="39"/>
    </row>
    <row r="446" spans="1:17">
      <c r="A446" s="38"/>
      <c r="B446" s="778">
        <v>0.4</v>
      </c>
      <c r="C446" s="775">
        <v>660</v>
      </c>
      <c r="D446" s="775">
        <v>707</v>
      </c>
      <c r="E446" s="775">
        <v>848</v>
      </c>
      <c r="F446" s="775">
        <v>980</v>
      </c>
      <c r="G446" s="775">
        <v>1093</v>
      </c>
      <c r="H446" s="775">
        <v>26400</v>
      </c>
      <c r="I446" s="775">
        <v>30160</v>
      </c>
      <c r="J446" s="775">
        <v>33920</v>
      </c>
      <c r="K446" s="775">
        <v>37680</v>
      </c>
      <c r="L446" s="775">
        <v>40720</v>
      </c>
      <c r="M446" s="777">
        <v>43720</v>
      </c>
      <c r="N446" s="777">
        <v>46760</v>
      </c>
      <c r="O446" s="777">
        <v>49760</v>
      </c>
      <c r="P446" s="39"/>
      <c r="Q446" s="39"/>
    </row>
    <row r="447" spans="1:17">
      <c r="A447" s="38"/>
      <c r="B447" s="519">
        <v>0.3</v>
      </c>
      <c r="C447" s="775">
        <v>495</v>
      </c>
      <c r="D447" s="775">
        <v>530</v>
      </c>
      <c r="E447" s="775">
        <v>636</v>
      </c>
      <c r="F447" s="775">
        <v>735</v>
      </c>
      <c r="G447" s="775">
        <v>819</v>
      </c>
      <c r="H447" s="776">
        <v>19800</v>
      </c>
      <c r="I447" s="776">
        <v>22620</v>
      </c>
      <c r="J447" s="776">
        <v>25440</v>
      </c>
      <c r="K447" s="776">
        <v>28260</v>
      </c>
      <c r="L447" s="776">
        <v>30540</v>
      </c>
      <c r="M447" s="776">
        <v>32790</v>
      </c>
      <c r="N447" s="776">
        <v>35070</v>
      </c>
      <c r="O447" s="776">
        <v>37320</v>
      </c>
      <c r="P447" s="39"/>
      <c r="Q447" s="39"/>
    </row>
    <row r="448" spans="1:17" ht="13.5" thickBot="1">
      <c r="A448" s="779"/>
      <c r="B448" s="40">
        <v>0.2</v>
      </c>
      <c r="C448" s="521">
        <v>330</v>
      </c>
      <c r="D448" s="521">
        <v>353</v>
      </c>
      <c r="E448" s="521">
        <v>424</v>
      </c>
      <c r="F448" s="521">
        <v>490</v>
      </c>
      <c r="G448" s="521">
        <v>546</v>
      </c>
      <c r="H448" s="522">
        <v>13200</v>
      </c>
      <c r="I448" s="522">
        <v>15080</v>
      </c>
      <c r="J448" s="522">
        <v>16960</v>
      </c>
      <c r="K448" s="522">
        <v>18840</v>
      </c>
      <c r="L448" s="522">
        <v>20360</v>
      </c>
      <c r="M448" s="522">
        <v>21860</v>
      </c>
      <c r="N448" s="522">
        <v>23380</v>
      </c>
      <c r="O448" s="522">
        <v>24880</v>
      </c>
      <c r="P448" s="41"/>
      <c r="Q448" s="41"/>
    </row>
    <row r="449" spans="1:17" ht="13.5" thickTop="1">
      <c r="A449" s="38"/>
      <c r="B449" s="37">
        <v>1.2</v>
      </c>
      <c r="C449" s="523">
        <v>1980</v>
      </c>
      <c r="D449" s="523">
        <v>2121</v>
      </c>
      <c r="E449" s="523">
        <v>2544</v>
      </c>
      <c r="F449" s="523">
        <v>2940</v>
      </c>
      <c r="G449" s="523">
        <v>3279</v>
      </c>
      <c r="H449" s="523">
        <v>79200</v>
      </c>
      <c r="I449" s="523">
        <v>90480</v>
      </c>
      <c r="J449" s="523">
        <v>101760</v>
      </c>
      <c r="K449" s="523">
        <v>113040</v>
      </c>
      <c r="L449" s="523">
        <v>122160</v>
      </c>
      <c r="M449" s="523">
        <v>131160</v>
      </c>
      <c r="N449" s="523">
        <v>140280</v>
      </c>
      <c r="O449" s="523">
        <v>149280</v>
      </c>
      <c r="P449" s="39"/>
      <c r="Q449" s="39"/>
    </row>
    <row r="450" spans="1:17">
      <c r="A450" s="38"/>
      <c r="B450" s="778">
        <v>1</v>
      </c>
      <c r="C450" s="775">
        <v>1650</v>
      </c>
      <c r="D450" s="775">
        <v>1767</v>
      </c>
      <c r="E450" s="775">
        <v>2120</v>
      </c>
      <c r="F450" s="775">
        <v>2450</v>
      </c>
      <c r="G450" s="775">
        <v>2732</v>
      </c>
      <c r="H450" s="775">
        <v>66000</v>
      </c>
      <c r="I450" s="775">
        <v>75400</v>
      </c>
      <c r="J450" s="775">
        <v>84800</v>
      </c>
      <c r="K450" s="775">
        <v>94200</v>
      </c>
      <c r="L450" s="775">
        <v>101800</v>
      </c>
      <c r="M450" s="775">
        <v>109300</v>
      </c>
      <c r="N450" s="775">
        <v>116900</v>
      </c>
      <c r="O450" s="775">
        <v>124400</v>
      </c>
      <c r="P450" s="39"/>
      <c r="Q450" s="39"/>
    </row>
    <row r="451" spans="1:17">
      <c r="A451" s="38" t="s">
        <v>1276</v>
      </c>
      <c r="B451" s="778">
        <v>0.8</v>
      </c>
      <c r="C451" s="775">
        <v>1320</v>
      </c>
      <c r="D451" s="775">
        <v>1414</v>
      </c>
      <c r="E451" s="775">
        <v>1696</v>
      </c>
      <c r="F451" s="775">
        <v>1960</v>
      </c>
      <c r="G451" s="775">
        <v>2186</v>
      </c>
      <c r="H451" s="776">
        <v>52800</v>
      </c>
      <c r="I451" s="776">
        <v>60320</v>
      </c>
      <c r="J451" s="776">
        <v>67840</v>
      </c>
      <c r="K451" s="776">
        <v>75360</v>
      </c>
      <c r="L451" s="776">
        <v>81440</v>
      </c>
      <c r="M451" s="776">
        <v>87440</v>
      </c>
      <c r="N451" s="776">
        <v>93520</v>
      </c>
      <c r="O451" s="776">
        <v>99520</v>
      </c>
      <c r="P451" s="39"/>
      <c r="Q451" s="39"/>
    </row>
    <row r="452" spans="1:17">
      <c r="A452" s="38"/>
      <c r="B452" s="778">
        <v>0.7</v>
      </c>
      <c r="C452" s="775">
        <v>1155</v>
      </c>
      <c r="D452" s="775">
        <v>1237</v>
      </c>
      <c r="E452" s="775">
        <v>1484</v>
      </c>
      <c r="F452" s="775">
        <v>1715</v>
      </c>
      <c r="G452" s="775">
        <v>1912</v>
      </c>
      <c r="H452" s="776">
        <v>46200</v>
      </c>
      <c r="I452" s="776">
        <v>52780</v>
      </c>
      <c r="J452" s="776">
        <v>59359.999999999993</v>
      </c>
      <c r="K452" s="776">
        <v>65940</v>
      </c>
      <c r="L452" s="776">
        <v>71260</v>
      </c>
      <c r="M452" s="776">
        <v>76510</v>
      </c>
      <c r="N452" s="776">
        <v>81830</v>
      </c>
      <c r="O452" s="776">
        <v>87080</v>
      </c>
      <c r="P452" s="39"/>
      <c r="Q452" s="39"/>
    </row>
    <row r="453" spans="1:17">
      <c r="A453" s="38"/>
      <c r="B453" s="778">
        <v>0.6</v>
      </c>
      <c r="C453" s="775">
        <v>990</v>
      </c>
      <c r="D453" s="775">
        <v>1060</v>
      </c>
      <c r="E453" s="775">
        <v>1272</v>
      </c>
      <c r="F453" s="775">
        <v>1470</v>
      </c>
      <c r="G453" s="775">
        <v>1639</v>
      </c>
      <c r="H453" s="775">
        <v>39600</v>
      </c>
      <c r="I453" s="775">
        <v>45240</v>
      </c>
      <c r="J453" s="775">
        <v>50880</v>
      </c>
      <c r="K453" s="775">
        <v>56520</v>
      </c>
      <c r="L453" s="775">
        <v>61080</v>
      </c>
      <c r="M453" s="777">
        <v>65580</v>
      </c>
      <c r="N453" s="777">
        <v>70140</v>
      </c>
      <c r="O453" s="777">
        <v>74640</v>
      </c>
      <c r="P453" s="39"/>
      <c r="Q453" s="39"/>
    </row>
    <row r="454" spans="1:17">
      <c r="A454" s="38"/>
      <c r="B454" s="778">
        <v>0.55000000000000004</v>
      </c>
      <c r="C454" s="775">
        <v>907</v>
      </c>
      <c r="D454" s="775">
        <v>972</v>
      </c>
      <c r="E454" s="775">
        <v>1166</v>
      </c>
      <c r="F454" s="775">
        <v>1347</v>
      </c>
      <c r="G454" s="775">
        <v>1502</v>
      </c>
      <c r="H454" s="775">
        <v>36300</v>
      </c>
      <c r="I454" s="775">
        <v>41470</v>
      </c>
      <c r="J454" s="775">
        <v>46640.000000000007</v>
      </c>
      <c r="K454" s="775">
        <v>51810.000000000007</v>
      </c>
      <c r="L454" s="775">
        <v>55990.000000000007</v>
      </c>
      <c r="M454" s="775">
        <v>60115.000000000007</v>
      </c>
      <c r="N454" s="775">
        <v>64295.000000000007</v>
      </c>
      <c r="O454" s="775">
        <v>68420</v>
      </c>
      <c r="P454" s="39"/>
      <c r="Q454" s="39"/>
    </row>
    <row r="455" spans="1:17">
      <c r="A455" s="38"/>
      <c r="B455" s="778">
        <v>0.5</v>
      </c>
      <c r="C455" s="775">
        <v>825</v>
      </c>
      <c r="D455" s="775">
        <v>883</v>
      </c>
      <c r="E455" s="775">
        <v>1060</v>
      </c>
      <c r="F455" s="775">
        <v>1225</v>
      </c>
      <c r="G455" s="775">
        <v>1366</v>
      </c>
      <c r="H455" s="776">
        <v>33000</v>
      </c>
      <c r="I455" s="776">
        <v>37700</v>
      </c>
      <c r="J455" s="776">
        <v>42400</v>
      </c>
      <c r="K455" s="776">
        <v>47100</v>
      </c>
      <c r="L455" s="776">
        <v>50900</v>
      </c>
      <c r="M455" s="776">
        <v>54650</v>
      </c>
      <c r="N455" s="776">
        <v>58450</v>
      </c>
      <c r="O455" s="776">
        <v>62200</v>
      </c>
      <c r="P455" s="39"/>
      <c r="Q455" s="39"/>
    </row>
    <row r="456" spans="1:17">
      <c r="A456" s="38"/>
      <c r="B456" s="778">
        <v>0.45</v>
      </c>
      <c r="C456" s="775">
        <v>742</v>
      </c>
      <c r="D456" s="775">
        <v>795</v>
      </c>
      <c r="E456" s="775">
        <v>954</v>
      </c>
      <c r="F456" s="775">
        <v>1102</v>
      </c>
      <c r="G456" s="775">
        <v>1229</v>
      </c>
      <c r="H456" s="775">
        <v>29700</v>
      </c>
      <c r="I456" s="775">
        <v>33930</v>
      </c>
      <c r="J456" s="775">
        <v>38160</v>
      </c>
      <c r="K456" s="775">
        <v>42390</v>
      </c>
      <c r="L456" s="775">
        <v>45810</v>
      </c>
      <c r="M456" s="777">
        <v>49185</v>
      </c>
      <c r="N456" s="777">
        <v>52605</v>
      </c>
      <c r="O456" s="777">
        <v>55980</v>
      </c>
      <c r="P456" s="39"/>
      <c r="Q456" s="39"/>
    </row>
    <row r="457" spans="1:17">
      <c r="A457" s="38"/>
      <c r="B457" s="778">
        <v>0.4</v>
      </c>
      <c r="C457" s="775">
        <v>660</v>
      </c>
      <c r="D457" s="775">
        <v>707</v>
      </c>
      <c r="E457" s="775">
        <v>848</v>
      </c>
      <c r="F457" s="775">
        <v>980</v>
      </c>
      <c r="G457" s="775">
        <v>1093</v>
      </c>
      <c r="H457" s="775">
        <v>26400</v>
      </c>
      <c r="I457" s="775">
        <v>30160</v>
      </c>
      <c r="J457" s="775">
        <v>33920</v>
      </c>
      <c r="K457" s="775">
        <v>37680</v>
      </c>
      <c r="L457" s="775">
        <v>40720</v>
      </c>
      <c r="M457" s="777">
        <v>43720</v>
      </c>
      <c r="N457" s="777">
        <v>46760</v>
      </c>
      <c r="O457" s="777">
        <v>49760</v>
      </c>
      <c r="P457" s="39"/>
      <c r="Q457" s="39"/>
    </row>
    <row r="458" spans="1:17">
      <c r="A458" s="38"/>
      <c r="B458" s="519">
        <v>0.3</v>
      </c>
      <c r="C458" s="775">
        <v>495</v>
      </c>
      <c r="D458" s="775">
        <v>530</v>
      </c>
      <c r="E458" s="775">
        <v>636</v>
      </c>
      <c r="F458" s="775">
        <v>735</v>
      </c>
      <c r="G458" s="775">
        <v>819</v>
      </c>
      <c r="H458" s="776">
        <v>19800</v>
      </c>
      <c r="I458" s="776">
        <v>22620</v>
      </c>
      <c r="J458" s="776">
        <v>25440</v>
      </c>
      <c r="K458" s="776">
        <v>28260</v>
      </c>
      <c r="L458" s="776">
        <v>30540</v>
      </c>
      <c r="M458" s="776">
        <v>32790</v>
      </c>
      <c r="N458" s="776">
        <v>35070</v>
      </c>
      <c r="O458" s="776">
        <v>37320</v>
      </c>
      <c r="P458" s="39"/>
      <c r="Q458" s="39"/>
    </row>
    <row r="459" spans="1:17" ht="13.5" thickBot="1">
      <c r="A459" s="779"/>
      <c r="B459" s="40">
        <v>0.2</v>
      </c>
      <c r="C459" s="521">
        <v>330</v>
      </c>
      <c r="D459" s="521">
        <v>353</v>
      </c>
      <c r="E459" s="521">
        <v>424</v>
      </c>
      <c r="F459" s="521">
        <v>490</v>
      </c>
      <c r="G459" s="521">
        <v>546</v>
      </c>
      <c r="H459" s="522">
        <v>13200</v>
      </c>
      <c r="I459" s="522">
        <v>15080</v>
      </c>
      <c r="J459" s="522">
        <v>16960</v>
      </c>
      <c r="K459" s="522">
        <v>18840</v>
      </c>
      <c r="L459" s="522">
        <v>20360</v>
      </c>
      <c r="M459" s="522">
        <v>21860</v>
      </c>
      <c r="N459" s="522">
        <v>23380</v>
      </c>
      <c r="O459" s="522">
        <v>24880</v>
      </c>
      <c r="P459" s="45"/>
      <c r="Q459" s="45"/>
    </row>
    <row r="460" spans="1:17" ht="13.5" thickTop="1">
      <c r="A460" s="38"/>
      <c r="B460" s="37">
        <v>1.2</v>
      </c>
      <c r="C460" s="523">
        <v>1980</v>
      </c>
      <c r="D460" s="523">
        <v>2121</v>
      </c>
      <c r="E460" s="523">
        <v>2544</v>
      </c>
      <c r="F460" s="523">
        <v>2940</v>
      </c>
      <c r="G460" s="523">
        <v>3279</v>
      </c>
      <c r="H460" s="523">
        <v>79200</v>
      </c>
      <c r="I460" s="523">
        <v>90480</v>
      </c>
      <c r="J460" s="523">
        <v>101760</v>
      </c>
      <c r="K460" s="523">
        <v>113040</v>
      </c>
      <c r="L460" s="523">
        <v>122160</v>
      </c>
      <c r="M460" s="523">
        <v>131160</v>
      </c>
      <c r="N460" s="523">
        <v>140280</v>
      </c>
      <c r="O460" s="523">
        <v>149280</v>
      </c>
      <c r="P460" s="39"/>
      <c r="Q460" s="39"/>
    </row>
    <row r="461" spans="1:17">
      <c r="A461" s="38"/>
      <c r="B461" s="778">
        <v>1</v>
      </c>
      <c r="C461" s="775">
        <v>1650</v>
      </c>
      <c r="D461" s="775">
        <v>1767</v>
      </c>
      <c r="E461" s="775">
        <v>2120</v>
      </c>
      <c r="F461" s="775">
        <v>2450</v>
      </c>
      <c r="G461" s="775">
        <v>2732</v>
      </c>
      <c r="H461" s="775">
        <v>66000</v>
      </c>
      <c r="I461" s="775">
        <v>75400</v>
      </c>
      <c r="J461" s="775">
        <v>84800</v>
      </c>
      <c r="K461" s="775">
        <v>94200</v>
      </c>
      <c r="L461" s="775">
        <v>101800</v>
      </c>
      <c r="M461" s="775">
        <v>109300</v>
      </c>
      <c r="N461" s="775">
        <v>116900</v>
      </c>
      <c r="O461" s="775">
        <v>124400</v>
      </c>
      <c r="P461" s="39"/>
      <c r="Q461" s="39"/>
    </row>
    <row r="462" spans="1:17">
      <c r="A462" s="38" t="s">
        <v>1277</v>
      </c>
      <c r="B462" s="778">
        <v>0.8</v>
      </c>
      <c r="C462" s="775">
        <v>1320</v>
      </c>
      <c r="D462" s="775">
        <v>1414</v>
      </c>
      <c r="E462" s="775">
        <v>1696</v>
      </c>
      <c r="F462" s="775">
        <v>1960</v>
      </c>
      <c r="G462" s="775">
        <v>2186</v>
      </c>
      <c r="H462" s="776">
        <v>52800</v>
      </c>
      <c r="I462" s="776">
        <v>60320</v>
      </c>
      <c r="J462" s="776">
        <v>67840</v>
      </c>
      <c r="K462" s="776">
        <v>75360</v>
      </c>
      <c r="L462" s="776">
        <v>81440</v>
      </c>
      <c r="M462" s="776">
        <v>87440</v>
      </c>
      <c r="N462" s="776">
        <v>93520</v>
      </c>
      <c r="O462" s="776">
        <v>99520</v>
      </c>
      <c r="P462" s="39"/>
      <c r="Q462" s="39"/>
    </row>
    <row r="463" spans="1:17">
      <c r="A463" s="38"/>
      <c r="B463" s="778">
        <v>0.7</v>
      </c>
      <c r="C463" s="775">
        <v>1155</v>
      </c>
      <c r="D463" s="775">
        <v>1237</v>
      </c>
      <c r="E463" s="775">
        <v>1484</v>
      </c>
      <c r="F463" s="775">
        <v>1715</v>
      </c>
      <c r="G463" s="775">
        <v>1912</v>
      </c>
      <c r="H463" s="776">
        <v>46200</v>
      </c>
      <c r="I463" s="776">
        <v>52780</v>
      </c>
      <c r="J463" s="776">
        <v>59359.999999999993</v>
      </c>
      <c r="K463" s="776">
        <v>65940</v>
      </c>
      <c r="L463" s="776">
        <v>71260</v>
      </c>
      <c r="M463" s="776">
        <v>76510</v>
      </c>
      <c r="N463" s="776">
        <v>81830</v>
      </c>
      <c r="O463" s="776">
        <v>87080</v>
      </c>
      <c r="P463" s="39"/>
      <c r="Q463" s="39"/>
    </row>
    <row r="464" spans="1:17">
      <c r="A464" s="38"/>
      <c r="B464" s="778">
        <v>0.6</v>
      </c>
      <c r="C464" s="775">
        <v>990</v>
      </c>
      <c r="D464" s="775">
        <v>1060</v>
      </c>
      <c r="E464" s="775">
        <v>1272</v>
      </c>
      <c r="F464" s="775">
        <v>1470</v>
      </c>
      <c r="G464" s="775">
        <v>1639</v>
      </c>
      <c r="H464" s="775">
        <v>39600</v>
      </c>
      <c r="I464" s="775">
        <v>45240</v>
      </c>
      <c r="J464" s="775">
        <v>50880</v>
      </c>
      <c r="K464" s="775">
        <v>56520</v>
      </c>
      <c r="L464" s="775">
        <v>61080</v>
      </c>
      <c r="M464" s="777">
        <v>65580</v>
      </c>
      <c r="N464" s="777">
        <v>70140</v>
      </c>
      <c r="O464" s="777">
        <v>74640</v>
      </c>
      <c r="P464" s="39"/>
      <c r="Q464" s="39"/>
    </row>
    <row r="465" spans="1:17">
      <c r="A465" s="38"/>
      <c r="B465" s="778">
        <v>0.55000000000000004</v>
      </c>
      <c r="C465" s="775">
        <v>907</v>
      </c>
      <c r="D465" s="775">
        <v>972</v>
      </c>
      <c r="E465" s="775">
        <v>1166</v>
      </c>
      <c r="F465" s="775">
        <v>1347</v>
      </c>
      <c r="G465" s="775">
        <v>1502</v>
      </c>
      <c r="H465" s="775">
        <v>36300</v>
      </c>
      <c r="I465" s="775">
        <v>41470</v>
      </c>
      <c r="J465" s="775">
        <v>46640.000000000007</v>
      </c>
      <c r="K465" s="775">
        <v>51810.000000000007</v>
      </c>
      <c r="L465" s="775">
        <v>55990.000000000007</v>
      </c>
      <c r="M465" s="775">
        <v>60115.000000000007</v>
      </c>
      <c r="N465" s="775">
        <v>64295.000000000007</v>
      </c>
      <c r="O465" s="775">
        <v>68420</v>
      </c>
      <c r="P465" s="39"/>
      <c r="Q465" s="39"/>
    </row>
    <row r="466" spans="1:17">
      <c r="A466" s="38"/>
      <c r="B466" s="778">
        <v>0.5</v>
      </c>
      <c r="C466" s="775">
        <v>825</v>
      </c>
      <c r="D466" s="775">
        <v>883</v>
      </c>
      <c r="E466" s="775">
        <v>1060</v>
      </c>
      <c r="F466" s="775">
        <v>1225</v>
      </c>
      <c r="G466" s="775">
        <v>1366</v>
      </c>
      <c r="H466" s="776">
        <v>33000</v>
      </c>
      <c r="I466" s="776">
        <v>37700</v>
      </c>
      <c r="J466" s="776">
        <v>42400</v>
      </c>
      <c r="K466" s="776">
        <v>47100</v>
      </c>
      <c r="L466" s="776">
        <v>50900</v>
      </c>
      <c r="M466" s="776">
        <v>54650</v>
      </c>
      <c r="N466" s="776">
        <v>58450</v>
      </c>
      <c r="O466" s="776">
        <v>62200</v>
      </c>
      <c r="P466" s="39"/>
      <c r="Q466" s="39"/>
    </row>
    <row r="467" spans="1:17">
      <c r="A467" s="38"/>
      <c r="B467" s="778">
        <v>0.45</v>
      </c>
      <c r="C467" s="775">
        <v>742</v>
      </c>
      <c r="D467" s="775">
        <v>795</v>
      </c>
      <c r="E467" s="775">
        <v>954</v>
      </c>
      <c r="F467" s="775">
        <v>1102</v>
      </c>
      <c r="G467" s="775">
        <v>1229</v>
      </c>
      <c r="H467" s="775">
        <v>29700</v>
      </c>
      <c r="I467" s="775">
        <v>33930</v>
      </c>
      <c r="J467" s="775">
        <v>38160</v>
      </c>
      <c r="K467" s="775">
        <v>42390</v>
      </c>
      <c r="L467" s="775">
        <v>45810</v>
      </c>
      <c r="M467" s="777">
        <v>49185</v>
      </c>
      <c r="N467" s="777">
        <v>52605</v>
      </c>
      <c r="O467" s="777">
        <v>55980</v>
      </c>
      <c r="P467" s="39"/>
      <c r="Q467" s="39"/>
    </row>
    <row r="468" spans="1:17">
      <c r="A468" s="38"/>
      <c r="B468" s="778">
        <v>0.4</v>
      </c>
      <c r="C468" s="775">
        <v>660</v>
      </c>
      <c r="D468" s="775">
        <v>707</v>
      </c>
      <c r="E468" s="775">
        <v>848</v>
      </c>
      <c r="F468" s="775">
        <v>980</v>
      </c>
      <c r="G468" s="775">
        <v>1093</v>
      </c>
      <c r="H468" s="775">
        <v>26400</v>
      </c>
      <c r="I468" s="775">
        <v>30160</v>
      </c>
      <c r="J468" s="775">
        <v>33920</v>
      </c>
      <c r="K468" s="775">
        <v>37680</v>
      </c>
      <c r="L468" s="775">
        <v>40720</v>
      </c>
      <c r="M468" s="777">
        <v>43720</v>
      </c>
      <c r="N468" s="777">
        <v>46760</v>
      </c>
      <c r="O468" s="777">
        <v>49760</v>
      </c>
      <c r="P468" s="39"/>
      <c r="Q468" s="39"/>
    </row>
    <row r="469" spans="1:17">
      <c r="A469" s="38"/>
      <c r="B469" s="519">
        <v>0.3</v>
      </c>
      <c r="C469" s="775">
        <v>495</v>
      </c>
      <c r="D469" s="775">
        <v>530</v>
      </c>
      <c r="E469" s="775">
        <v>636</v>
      </c>
      <c r="F469" s="775">
        <v>735</v>
      </c>
      <c r="G469" s="775">
        <v>819</v>
      </c>
      <c r="H469" s="776">
        <v>19800</v>
      </c>
      <c r="I469" s="776">
        <v>22620</v>
      </c>
      <c r="J469" s="776">
        <v>25440</v>
      </c>
      <c r="K469" s="776">
        <v>28260</v>
      </c>
      <c r="L469" s="776">
        <v>30540</v>
      </c>
      <c r="M469" s="776">
        <v>32790</v>
      </c>
      <c r="N469" s="776">
        <v>35070</v>
      </c>
      <c r="O469" s="776">
        <v>37320</v>
      </c>
      <c r="P469" s="39"/>
      <c r="Q469" s="39"/>
    </row>
    <row r="470" spans="1:17" ht="13.5" thickBot="1">
      <c r="A470" s="779"/>
      <c r="B470" s="40">
        <v>0.2</v>
      </c>
      <c r="C470" s="521">
        <v>330</v>
      </c>
      <c r="D470" s="521">
        <v>353</v>
      </c>
      <c r="E470" s="521">
        <v>424</v>
      </c>
      <c r="F470" s="521">
        <v>490</v>
      </c>
      <c r="G470" s="521">
        <v>546</v>
      </c>
      <c r="H470" s="522">
        <v>13200</v>
      </c>
      <c r="I470" s="522">
        <v>15080</v>
      </c>
      <c r="J470" s="522">
        <v>16960</v>
      </c>
      <c r="K470" s="522">
        <v>18840</v>
      </c>
      <c r="L470" s="522">
        <v>20360</v>
      </c>
      <c r="M470" s="522">
        <v>21860</v>
      </c>
      <c r="N470" s="522">
        <v>23380</v>
      </c>
      <c r="O470" s="522">
        <v>24880</v>
      </c>
      <c r="P470" s="45"/>
      <c r="Q470" s="45"/>
    </row>
    <row r="471" spans="1:17" ht="13.5" thickTop="1">
      <c r="A471" s="38"/>
      <c r="B471" s="37">
        <v>1.2</v>
      </c>
      <c r="C471" s="523">
        <v>1980</v>
      </c>
      <c r="D471" s="523">
        <v>2121</v>
      </c>
      <c r="E471" s="523">
        <v>2544</v>
      </c>
      <c r="F471" s="523">
        <v>2940</v>
      </c>
      <c r="G471" s="523">
        <v>3279</v>
      </c>
      <c r="H471" s="523">
        <v>79200</v>
      </c>
      <c r="I471" s="523">
        <v>90480</v>
      </c>
      <c r="J471" s="523">
        <v>101760</v>
      </c>
      <c r="K471" s="523">
        <v>113040</v>
      </c>
      <c r="L471" s="523">
        <v>122160</v>
      </c>
      <c r="M471" s="523">
        <v>131160</v>
      </c>
      <c r="N471" s="523">
        <v>140280</v>
      </c>
      <c r="O471" s="523">
        <v>149280</v>
      </c>
      <c r="P471" s="41"/>
      <c r="Q471" s="41"/>
    </row>
    <row r="472" spans="1:17">
      <c r="A472" s="38"/>
      <c r="B472" s="778">
        <v>1</v>
      </c>
      <c r="C472" s="775">
        <v>1650</v>
      </c>
      <c r="D472" s="775">
        <v>1767</v>
      </c>
      <c r="E472" s="775">
        <v>2120</v>
      </c>
      <c r="F472" s="775">
        <v>2450</v>
      </c>
      <c r="G472" s="775">
        <v>2732</v>
      </c>
      <c r="H472" s="775">
        <v>66000</v>
      </c>
      <c r="I472" s="775">
        <v>75400</v>
      </c>
      <c r="J472" s="775">
        <v>84800</v>
      </c>
      <c r="K472" s="775">
        <v>94200</v>
      </c>
      <c r="L472" s="775">
        <v>101800</v>
      </c>
      <c r="M472" s="775">
        <v>109300</v>
      </c>
      <c r="N472" s="775">
        <v>116900</v>
      </c>
      <c r="O472" s="775">
        <v>124400</v>
      </c>
      <c r="P472" s="41"/>
      <c r="Q472" s="41"/>
    </row>
    <row r="473" spans="1:17">
      <c r="A473" s="38" t="s">
        <v>1278</v>
      </c>
      <c r="B473" s="778">
        <v>0.8</v>
      </c>
      <c r="C473" s="775">
        <v>1320</v>
      </c>
      <c r="D473" s="775">
        <v>1414</v>
      </c>
      <c r="E473" s="775">
        <v>1696</v>
      </c>
      <c r="F473" s="775">
        <v>1960</v>
      </c>
      <c r="G473" s="775">
        <v>2186</v>
      </c>
      <c r="H473" s="776">
        <v>52800</v>
      </c>
      <c r="I473" s="776">
        <v>60320</v>
      </c>
      <c r="J473" s="776">
        <v>67840</v>
      </c>
      <c r="K473" s="776">
        <v>75360</v>
      </c>
      <c r="L473" s="776">
        <v>81440</v>
      </c>
      <c r="M473" s="776">
        <v>87440</v>
      </c>
      <c r="N473" s="776">
        <v>93520</v>
      </c>
      <c r="O473" s="776">
        <v>99520</v>
      </c>
      <c r="P473" s="41"/>
      <c r="Q473" s="41"/>
    </row>
    <row r="474" spans="1:17">
      <c r="A474" s="38"/>
      <c r="B474" s="778">
        <v>0.7</v>
      </c>
      <c r="C474" s="775">
        <v>1155</v>
      </c>
      <c r="D474" s="775">
        <v>1237</v>
      </c>
      <c r="E474" s="775">
        <v>1484</v>
      </c>
      <c r="F474" s="775">
        <v>1715</v>
      </c>
      <c r="G474" s="775">
        <v>1912</v>
      </c>
      <c r="H474" s="776">
        <v>46200</v>
      </c>
      <c r="I474" s="776">
        <v>52780</v>
      </c>
      <c r="J474" s="776">
        <v>59359.999999999993</v>
      </c>
      <c r="K474" s="776">
        <v>65940</v>
      </c>
      <c r="L474" s="776">
        <v>71260</v>
      </c>
      <c r="M474" s="776">
        <v>76510</v>
      </c>
      <c r="N474" s="776">
        <v>81830</v>
      </c>
      <c r="O474" s="776">
        <v>87080</v>
      </c>
      <c r="P474" s="41"/>
      <c r="Q474" s="41"/>
    </row>
    <row r="475" spans="1:17">
      <c r="A475" s="38"/>
      <c r="B475" s="778">
        <v>0.6</v>
      </c>
      <c r="C475" s="775">
        <v>990</v>
      </c>
      <c r="D475" s="775">
        <v>1060</v>
      </c>
      <c r="E475" s="775">
        <v>1272</v>
      </c>
      <c r="F475" s="775">
        <v>1470</v>
      </c>
      <c r="G475" s="775">
        <v>1639</v>
      </c>
      <c r="H475" s="775">
        <v>39600</v>
      </c>
      <c r="I475" s="775">
        <v>45240</v>
      </c>
      <c r="J475" s="775">
        <v>50880</v>
      </c>
      <c r="K475" s="775">
        <v>56520</v>
      </c>
      <c r="L475" s="775">
        <v>61080</v>
      </c>
      <c r="M475" s="777">
        <v>65580</v>
      </c>
      <c r="N475" s="777">
        <v>70140</v>
      </c>
      <c r="O475" s="777">
        <v>74640</v>
      </c>
      <c r="P475" s="41"/>
      <c r="Q475" s="41"/>
    </row>
    <row r="476" spans="1:17">
      <c r="A476" s="38"/>
      <c r="B476" s="778">
        <v>0.55000000000000004</v>
      </c>
      <c r="C476" s="775">
        <v>907</v>
      </c>
      <c r="D476" s="775">
        <v>972</v>
      </c>
      <c r="E476" s="775">
        <v>1166</v>
      </c>
      <c r="F476" s="775">
        <v>1347</v>
      </c>
      <c r="G476" s="775">
        <v>1502</v>
      </c>
      <c r="H476" s="775">
        <v>36300</v>
      </c>
      <c r="I476" s="775">
        <v>41470</v>
      </c>
      <c r="J476" s="775">
        <v>46640.000000000007</v>
      </c>
      <c r="K476" s="775">
        <v>51810.000000000007</v>
      </c>
      <c r="L476" s="775">
        <v>55990.000000000007</v>
      </c>
      <c r="M476" s="775">
        <v>60115.000000000007</v>
      </c>
      <c r="N476" s="775">
        <v>64295.000000000007</v>
      </c>
      <c r="O476" s="775">
        <v>68420</v>
      </c>
      <c r="P476" s="41"/>
      <c r="Q476" s="41"/>
    </row>
    <row r="477" spans="1:17">
      <c r="A477" s="38"/>
      <c r="B477" s="778">
        <v>0.5</v>
      </c>
      <c r="C477" s="775">
        <v>825</v>
      </c>
      <c r="D477" s="775">
        <v>883</v>
      </c>
      <c r="E477" s="775">
        <v>1060</v>
      </c>
      <c r="F477" s="775">
        <v>1225</v>
      </c>
      <c r="G477" s="775">
        <v>1366</v>
      </c>
      <c r="H477" s="776">
        <v>33000</v>
      </c>
      <c r="I477" s="776">
        <v>37700</v>
      </c>
      <c r="J477" s="776">
        <v>42400</v>
      </c>
      <c r="K477" s="776">
        <v>47100</v>
      </c>
      <c r="L477" s="776">
        <v>50900</v>
      </c>
      <c r="M477" s="776">
        <v>54650</v>
      </c>
      <c r="N477" s="776">
        <v>58450</v>
      </c>
      <c r="O477" s="776">
        <v>62200</v>
      </c>
      <c r="P477" s="41"/>
      <c r="Q477" s="41"/>
    </row>
    <row r="478" spans="1:17">
      <c r="A478" s="38"/>
      <c r="B478" s="778">
        <v>0.45</v>
      </c>
      <c r="C478" s="775">
        <v>742</v>
      </c>
      <c r="D478" s="775">
        <v>795</v>
      </c>
      <c r="E478" s="775">
        <v>954</v>
      </c>
      <c r="F478" s="775">
        <v>1102</v>
      </c>
      <c r="G478" s="775">
        <v>1229</v>
      </c>
      <c r="H478" s="775">
        <v>29700</v>
      </c>
      <c r="I478" s="775">
        <v>33930</v>
      </c>
      <c r="J478" s="775">
        <v>38160</v>
      </c>
      <c r="K478" s="775">
        <v>42390</v>
      </c>
      <c r="L478" s="775">
        <v>45810</v>
      </c>
      <c r="M478" s="777">
        <v>49185</v>
      </c>
      <c r="N478" s="777">
        <v>52605</v>
      </c>
      <c r="O478" s="777">
        <v>55980</v>
      </c>
      <c r="P478" s="41"/>
      <c r="Q478" s="41"/>
    </row>
    <row r="479" spans="1:17">
      <c r="A479" s="38"/>
      <c r="B479" s="778">
        <v>0.4</v>
      </c>
      <c r="C479" s="775">
        <v>660</v>
      </c>
      <c r="D479" s="775">
        <v>707</v>
      </c>
      <c r="E479" s="775">
        <v>848</v>
      </c>
      <c r="F479" s="775">
        <v>980</v>
      </c>
      <c r="G479" s="775">
        <v>1093</v>
      </c>
      <c r="H479" s="775">
        <v>26400</v>
      </c>
      <c r="I479" s="775">
        <v>30160</v>
      </c>
      <c r="J479" s="775">
        <v>33920</v>
      </c>
      <c r="K479" s="775">
        <v>37680</v>
      </c>
      <c r="L479" s="775">
        <v>40720</v>
      </c>
      <c r="M479" s="777">
        <v>43720</v>
      </c>
      <c r="N479" s="777">
        <v>46760</v>
      </c>
      <c r="O479" s="777">
        <v>49760</v>
      </c>
      <c r="P479" s="41"/>
      <c r="Q479" s="41"/>
    </row>
    <row r="480" spans="1:17">
      <c r="A480" s="38"/>
      <c r="B480" s="519">
        <v>0.3</v>
      </c>
      <c r="C480" s="775">
        <v>495</v>
      </c>
      <c r="D480" s="775">
        <v>530</v>
      </c>
      <c r="E480" s="775">
        <v>636</v>
      </c>
      <c r="F480" s="775">
        <v>735</v>
      </c>
      <c r="G480" s="775">
        <v>819</v>
      </c>
      <c r="H480" s="776">
        <v>19800</v>
      </c>
      <c r="I480" s="776">
        <v>22620</v>
      </c>
      <c r="J480" s="776">
        <v>25440</v>
      </c>
      <c r="K480" s="776">
        <v>28260</v>
      </c>
      <c r="L480" s="776">
        <v>30540</v>
      </c>
      <c r="M480" s="776">
        <v>32790</v>
      </c>
      <c r="N480" s="776">
        <v>35070</v>
      </c>
      <c r="O480" s="776">
        <v>37320</v>
      </c>
      <c r="P480" s="41"/>
      <c r="Q480" s="41"/>
    </row>
    <row r="481" spans="1:17" ht="13.5" thickBot="1">
      <c r="A481" s="779"/>
      <c r="B481" s="40">
        <v>0.2</v>
      </c>
      <c r="C481" s="521">
        <v>330</v>
      </c>
      <c r="D481" s="521">
        <v>353</v>
      </c>
      <c r="E481" s="521">
        <v>424</v>
      </c>
      <c r="F481" s="521">
        <v>490</v>
      </c>
      <c r="G481" s="521">
        <v>546</v>
      </c>
      <c r="H481" s="522">
        <v>13200</v>
      </c>
      <c r="I481" s="522">
        <v>15080</v>
      </c>
      <c r="J481" s="522">
        <v>16960</v>
      </c>
      <c r="K481" s="522">
        <v>18840</v>
      </c>
      <c r="L481" s="522">
        <v>20360</v>
      </c>
      <c r="M481" s="522">
        <v>21860</v>
      </c>
      <c r="N481" s="522">
        <v>23380</v>
      </c>
      <c r="O481" s="522">
        <v>24880</v>
      </c>
      <c r="P481" s="41"/>
      <c r="Q481" s="41"/>
    </row>
    <row r="482" spans="1:17" ht="13.5" thickTop="1">
      <c r="A482" s="38"/>
      <c r="B482" s="37">
        <v>1.2</v>
      </c>
      <c r="C482" s="523">
        <v>1980</v>
      </c>
      <c r="D482" s="523">
        <v>2121</v>
      </c>
      <c r="E482" s="523">
        <v>2544</v>
      </c>
      <c r="F482" s="523">
        <v>2940</v>
      </c>
      <c r="G482" s="523">
        <v>3279</v>
      </c>
      <c r="H482" s="523">
        <v>79200</v>
      </c>
      <c r="I482" s="523">
        <v>90480</v>
      </c>
      <c r="J482" s="523">
        <v>101760</v>
      </c>
      <c r="K482" s="523">
        <v>113040</v>
      </c>
      <c r="L482" s="523">
        <v>122160</v>
      </c>
      <c r="M482" s="523">
        <v>131160</v>
      </c>
      <c r="N482" s="523">
        <v>140280</v>
      </c>
      <c r="O482" s="523">
        <v>149280</v>
      </c>
      <c r="P482" s="41"/>
      <c r="Q482" s="41"/>
    </row>
    <row r="483" spans="1:17">
      <c r="A483" s="38"/>
      <c r="B483" s="778">
        <v>1</v>
      </c>
      <c r="C483" s="775">
        <v>1650</v>
      </c>
      <c r="D483" s="775">
        <v>1767</v>
      </c>
      <c r="E483" s="775">
        <v>2120</v>
      </c>
      <c r="F483" s="775">
        <v>2450</v>
      </c>
      <c r="G483" s="775">
        <v>2732</v>
      </c>
      <c r="H483" s="775">
        <v>66000</v>
      </c>
      <c r="I483" s="775">
        <v>75400</v>
      </c>
      <c r="J483" s="775">
        <v>84800</v>
      </c>
      <c r="K483" s="775">
        <v>94200</v>
      </c>
      <c r="L483" s="775">
        <v>101800</v>
      </c>
      <c r="M483" s="775">
        <v>109300</v>
      </c>
      <c r="N483" s="775">
        <v>116900</v>
      </c>
      <c r="O483" s="775">
        <v>124400</v>
      </c>
      <c r="P483" s="41"/>
      <c r="Q483" s="41"/>
    </row>
    <row r="484" spans="1:17">
      <c r="A484" s="38" t="s">
        <v>1279</v>
      </c>
      <c r="B484" s="778">
        <v>0.8</v>
      </c>
      <c r="C484" s="775">
        <v>1320</v>
      </c>
      <c r="D484" s="775">
        <v>1414</v>
      </c>
      <c r="E484" s="775">
        <v>1696</v>
      </c>
      <c r="F484" s="775">
        <v>1960</v>
      </c>
      <c r="G484" s="775">
        <v>2186</v>
      </c>
      <c r="H484" s="776">
        <v>52800</v>
      </c>
      <c r="I484" s="776">
        <v>60320</v>
      </c>
      <c r="J484" s="776">
        <v>67840</v>
      </c>
      <c r="K484" s="776">
        <v>75360</v>
      </c>
      <c r="L484" s="776">
        <v>81440</v>
      </c>
      <c r="M484" s="776">
        <v>87440</v>
      </c>
      <c r="N484" s="776">
        <v>93520</v>
      </c>
      <c r="O484" s="776">
        <v>99520</v>
      </c>
      <c r="P484" s="41"/>
      <c r="Q484" s="41"/>
    </row>
    <row r="485" spans="1:17">
      <c r="A485" s="38"/>
      <c r="B485" s="778">
        <v>0.7</v>
      </c>
      <c r="C485" s="775">
        <v>1155</v>
      </c>
      <c r="D485" s="775">
        <v>1237</v>
      </c>
      <c r="E485" s="775">
        <v>1484</v>
      </c>
      <c r="F485" s="775">
        <v>1715</v>
      </c>
      <c r="G485" s="775">
        <v>1912</v>
      </c>
      <c r="H485" s="776">
        <v>46200</v>
      </c>
      <c r="I485" s="776">
        <v>52780</v>
      </c>
      <c r="J485" s="776">
        <v>59359.999999999993</v>
      </c>
      <c r="K485" s="776">
        <v>65940</v>
      </c>
      <c r="L485" s="776">
        <v>71260</v>
      </c>
      <c r="M485" s="776">
        <v>76510</v>
      </c>
      <c r="N485" s="776">
        <v>81830</v>
      </c>
      <c r="O485" s="776">
        <v>87080</v>
      </c>
      <c r="P485" s="41"/>
      <c r="Q485" s="41"/>
    </row>
    <row r="486" spans="1:17">
      <c r="A486" s="38"/>
      <c r="B486" s="778">
        <v>0.6</v>
      </c>
      <c r="C486" s="775">
        <v>990</v>
      </c>
      <c r="D486" s="775">
        <v>1060</v>
      </c>
      <c r="E486" s="775">
        <v>1272</v>
      </c>
      <c r="F486" s="775">
        <v>1470</v>
      </c>
      <c r="G486" s="775">
        <v>1639</v>
      </c>
      <c r="H486" s="775">
        <v>39600</v>
      </c>
      <c r="I486" s="775">
        <v>45240</v>
      </c>
      <c r="J486" s="775">
        <v>50880</v>
      </c>
      <c r="K486" s="775">
        <v>56520</v>
      </c>
      <c r="L486" s="775">
        <v>61080</v>
      </c>
      <c r="M486" s="777">
        <v>65580</v>
      </c>
      <c r="N486" s="777">
        <v>70140</v>
      </c>
      <c r="O486" s="777">
        <v>74640</v>
      </c>
      <c r="P486" s="41"/>
      <c r="Q486" s="41"/>
    </row>
    <row r="487" spans="1:17">
      <c r="A487" s="38"/>
      <c r="B487" s="778">
        <v>0.55000000000000004</v>
      </c>
      <c r="C487" s="775">
        <v>907</v>
      </c>
      <c r="D487" s="775">
        <v>972</v>
      </c>
      <c r="E487" s="775">
        <v>1166</v>
      </c>
      <c r="F487" s="775">
        <v>1347</v>
      </c>
      <c r="G487" s="775">
        <v>1502</v>
      </c>
      <c r="H487" s="775">
        <v>36300</v>
      </c>
      <c r="I487" s="775">
        <v>41470</v>
      </c>
      <c r="J487" s="775">
        <v>46640.000000000007</v>
      </c>
      <c r="K487" s="775">
        <v>51810.000000000007</v>
      </c>
      <c r="L487" s="775">
        <v>55990.000000000007</v>
      </c>
      <c r="M487" s="775">
        <v>60115.000000000007</v>
      </c>
      <c r="N487" s="775">
        <v>64295.000000000007</v>
      </c>
      <c r="O487" s="775">
        <v>68420</v>
      </c>
      <c r="P487" s="41"/>
      <c r="Q487" s="41"/>
    </row>
    <row r="488" spans="1:17">
      <c r="A488" s="38"/>
      <c r="B488" s="778">
        <v>0.5</v>
      </c>
      <c r="C488" s="775">
        <v>825</v>
      </c>
      <c r="D488" s="775">
        <v>883</v>
      </c>
      <c r="E488" s="775">
        <v>1060</v>
      </c>
      <c r="F488" s="775">
        <v>1225</v>
      </c>
      <c r="G488" s="775">
        <v>1366</v>
      </c>
      <c r="H488" s="776">
        <v>33000</v>
      </c>
      <c r="I488" s="776">
        <v>37700</v>
      </c>
      <c r="J488" s="776">
        <v>42400</v>
      </c>
      <c r="K488" s="776">
        <v>47100</v>
      </c>
      <c r="L488" s="776">
        <v>50900</v>
      </c>
      <c r="M488" s="776">
        <v>54650</v>
      </c>
      <c r="N488" s="776">
        <v>58450</v>
      </c>
      <c r="O488" s="776">
        <v>62200</v>
      </c>
      <c r="P488" s="41"/>
      <c r="Q488" s="41"/>
    </row>
    <row r="489" spans="1:17">
      <c r="A489" s="38"/>
      <c r="B489" s="778">
        <v>0.45</v>
      </c>
      <c r="C489" s="775">
        <v>742</v>
      </c>
      <c r="D489" s="775">
        <v>795</v>
      </c>
      <c r="E489" s="775">
        <v>954</v>
      </c>
      <c r="F489" s="775">
        <v>1102</v>
      </c>
      <c r="G489" s="775">
        <v>1229</v>
      </c>
      <c r="H489" s="775">
        <v>29700</v>
      </c>
      <c r="I489" s="775">
        <v>33930</v>
      </c>
      <c r="J489" s="775">
        <v>38160</v>
      </c>
      <c r="K489" s="775">
        <v>42390</v>
      </c>
      <c r="L489" s="775">
        <v>45810</v>
      </c>
      <c r="M489" s="777">
        <v>49185</v>
      </c>
      <c r="N489" s="777">
        <v>52605</v>
      </c>
      <c r="O489" s="777">
        <v>55980</v>
      </c>
      <c r="P489" s="41"/>
      <c r="Q489" s="41"/>
    </row>
    <row r="490" spans="1:17">
      <c r="A490" s="38"/>
      <c r="B490" s="778">
        <v>0.4</v>
      </c>
      <c r="C490" s="775">
        <v>660</v>
      </c>
      <c r="D490" s="775">
        <v>707</v>
      </c>
      <c r="E490" s="775">
        <v>848</v>
      </c>
      <c r="F490" s="775">
        <v>980</v>
      </c>
      <c r="G490" s="775">
        <v>1093</v>
      </c>
      <c r="H490" s="775">
        <v>26400</v>
      </c>
      <c r="I490" s="775">
        <v>30160</v>
      </c>
      <c r="J490" s="775">
        <v>33920</v>
      </c>
      <c r="K490" s="775">
        <v>37680</v>
      </c>
      <c r="L490" s="775">
        <v>40720</v>
      </c>
      <c r="M490" s="777">
        <v>43720</v>
      </c>
      <c r="N490" s="777">
        <v>46760</v>
      </c>
      <c r="O490" s="777">
        <v>49760</v>
      </c>
      <c r="P490" s="41"/>
      <c r="Q490" s="41"/>
    </row>
    <row r="491" spans="1:17">
      <c r="A491" s="38"/>
      <c r="B491" s="519">
        <v>0.3</v>
      </c>
      <c r="C491" s="775">
        <v>495</v>
      </c>
      <c r="D491" s="775">
        <v>530</v>
      </c>
      <c r="E491" s="775">
        <v>636</v>
      </c>
      <c r="F491" s="775">
        <v>735</v>
      </c>
      <c r="G491" s="775">
        <v>819</v>
      </c>
      <c r="H491" s="776">
        <v>19800</v>
      </c>
      <c r="I491" s="776">
        <v>22620</v>
      </c>
      <c r="J491" s="776">
        <v>25440</v>
      </c>
      <c r="K491" s="776">
        <v>28260</v>
      </c>
      <c r="L491" s="776">
        <v>30540</v>
      </c>
      <c r="M491" s="776">
        <v>32790</v>
      </c>
      <c r="N491" s="776">
        <v>35070</v>
      </c>
      <c r="O491" s="776">
        <v>37320</v>
      </c>
      <c r="P491" s="41"/>
      <c r="Q491" s="41"/>
    </row>
    <row r="492" spans="1:17" ht="13.5" thickBot="1">
      <c r="A492" s="779"/>
      <c r="B492" s="40">
        <v>0.2</v>
      </c>
      <c r="C492" s="521">
        <v>330</v>
      </c>
      <c r="D492" s="521">
        <v>353</v>
      </c>
      <c r="E492" s="521">
        <v>424</v>
      </c>
      <c r="F492" s="521">
        <v>490</v>
      </c>
      <c r="G492" s="521">
        <v>546</v>
      </c>
      <c r="H492" s="522">
        <v>13200</v>
      </c>
      <c r="I492" s="522">
        <v>15080</v>
      </c>
      <c r="J492" s="522">
        <v>16960</v>
      </c>
      <c r="K492" s="522">
        <v>18840</v>
      </c>
      <c r="L492" s="522">
        <v>20360</v>
      </c>
      <c r="M492" s="522">
        <v>21860</v>
      </c>
      <c r="N492" s="522">
        <v>23380</v>
      </c>
      <c r="O492" s="522">
        <v>24880</v>
      </c>
      <c r="P492" s="41"/>
      <c r="Q492" s="41"/>
    </row>
    <row r="493" spans="1:17" ht="13.5" thickTop="1">
      <c r="A493" s="38"/>
      <c r="B493" s="37">
        <v>1.2</v>
      </c>
      <c r="C493" s="523">
        <v>1980</v>
      </c>
      <c r="D493" s="523">
        <v>2121</v>
      </c>
      <c r="E493" s="523">
        <v>2544</v>
      </c>
      <c r="F493" s="523">
        <v>2940</v>
      </c>
      <c r="G493" s="523">
        <v>3279</v>
      </c>
      <c r="H493" s="523">
        <v>79200</v>
      </c>
      <c r="I493" s="523">
        <v>90480</v>
      </c>
      <c r="J493" s="523">
        <v>101760</v>
      </c>
      <c r="K493" s="523">
        <v>113040</v>
      </c>
      <c r="L493" s="523">
        <v>122160</v>
      </c>
      <c r="M493" s="523">
        <v>131160</v>
      </c>
      <c r="N493" s="523">
        <v>140280</v>
      </c>
      <c r="O493" s="523">
        <v>149280</v>
      </c>
      <c r="P493" s="41"/>
      <c r="Q493" s="41"/>
    </row>
    <row r="494" spans="1:17">
      <c r="A494" s="38"/>
      <c r="B494" s="778">
        <v>1</v>
      </c>
      <c r="C494" s="775">
        <v>1650</v>
      </c>
      <c r="D494" s="775">
        <v>1767</v>
      </c>
      <c r="E494" s="775">
        <v>2120</v>
      </c>
      <c r="F494" s="775">
        <v>2450</v>
      </c>
      <c r="G494" s="775">
        <v>2732</v>
      </c>
      <c r="H494" s="775">
        <v>66000</v>
      </c>
      <c r="I494" s="775">
        <v>75400</v>
      </c>
      <c r="J494" s="775">
        <v>84800</v>
      </c>
      <c r="K494" s="775">
        <v>94200</v>
      </c>
      <c r="L494" s="775">
        <v>101800</v>
      </c>
      <c r="M494" s="775">
        <v>109300</v>
      </c>
      <c r="N494" s="775">
        <v>116900</v>
      </c>
      <c r="O494" s="775">
        <v>124400</v>
      </c>
      <c r="P494" s="41"/>
      <c r="Q494" s="41"/>
    </row>
    <row r="495" spans="1:17">
      <c r="A495" s="38" t="s">
        <v>1280</v>
      </c>
      <c r="B495" s="778">
        <v>0.8</v>
      </c>
      <c r="C495" s="775">
        <v>1320</v>
      </c>
      <c r="D495" s="775">
        <v>1414</v>
      </c>
      <c r="E495" s="775">
        <v>1696</v>
      </c>
      <c r="F495" s="775">
        <v>1960</v>
      </c>
      <c r="G495" s="775">
        <v>2186</v>
      </c>
      <c r="H495" s="776">
        <v>52800</v>
      </c>
      <c r="I495" s="776">
        <v>60320</v>
      </c>
      <c r="J495" s="776">
        <v>67840</v>
      </c>
      <c r="K495" s="776">
        <v>75360</v>
      </c>
      <c r="L495" s="776">
        <v>81440</v>
      </c>
      <c r="M495" s="776">
        <v>87440</v>
      </c>
      <c r="N495" s="776">
        <v>93520</v>
      </c>
      <c r="O495" s="776">
        <v>99520</v>
      </c>
      <c r="P495" s="41"/>
      <c r="Q495" s="41"/>
    </row>
    <row r="496" spans="1:17">
      <c r="A496" s="38"/>
      <c r="B496" s="778">
        <v>0.7</v>
      </c>
      <c r="C496" s="775">
        <v>1155</v>
      </c>
      <c r="D496" s="775">
        <v>1237</v>
      </c>
      <c r="E496" s="775">
        <v>1484</v>
      </c>
      <c r="F496" s="775">
        <v>1715</v>
      </c>
      <c r="G496" s="775">
        <v>1912</v>
      </c>
      <c r="H496" s="776">
        <v>46200</v>
      </c>
      <c r="I496" s="776">
        <v>52780</v>
      </c>
      <c r="J496" s="776">
        <v>59359.999999999993</v>
      </c>
      <c r="K496" s="776">
        <v>65940</v>
      </c>
      <c r="L496" s="776">
        <v>71260</v>
      </c>
      <c r="M496" s="776">
        <v>76510</v>
      </c>
      <c r="N496" s="776">
        <v>81830</v>
      </c>
      <c r="O496" s="776">
        <v>87080</v>
      </c>
      <c r="P496" s="41"/>
      <c r="Q496" s="41"/>
    </row>
    <row r="497" spans="1:17">
      <c r="A497" s="38"/>
      <c r="B497" s="778">
        <v>0.6</v>
      </c>
      <c r="C497" s="775">
        <v>990</v>
      </c>
      <c r="D497" s="775">
        <v>1060</v>
      </c>
      <c r="E497" s="775">
        <v>1272</v>
      </c>
      <c r="F497" s="775">
        <v>1470</v>
      </c>
      <c r="G497" s="775">
        <v>1639</v>
      </c>
      <c r="H497" s="775">
        <v>39600</v>
      </c>
      <c r="I497" s="775">
        <v>45240</v>
      </c>
      <c r="J497" s="775">
        <v>50880</v>
      </c>
      <c r="K497" s="775">
        <v>56520</v>
      </c>
      <c r="L497" s="775">
        <v>61080</v>
      </c>
      <c r="M497" s="777">
        <v>65580</v>
      </c>
      <c r="N497" s="777">
        <v>70140</v>
      </c>
      <c r="O497" s="777">
        <v>74640</v>
      </c>
      <c r="P497" s="41"/>
      <c r="Q497" s="41"/>
    </row>
    <row r="498" spans="1:17">
      <c r="A498" s="38"/>
      <c r="B498" s="778">
        <v>0.55000000000000004</v>
      </c>
      <c r="C498" s="775">
        <v>907</v>
      </c>
      <c r="D498" s="775">
        <v>972</v>
      </c>
      <c r="E498" s="775">
        <v>1166</v>
      </c>
      <c r="F498" s="775">
        <v>1347</v>
      </c>
      <c r="G498" s="775">
        <v>1502</v>
      </c>
      <c r="H498" s="775">
        <v>36300</v>
      </c>
      <c r="I498" s="775">
        <v>41470</v>
      </c>
      <c r="J498" s="775">
        <v>46640.000000000007</v>
      </c>
      <c r="K498" s="775">
        <v>51810.000000000007</v>
      </c>
      <c r="L498" s="775">
        <v>55990.000000000007</v>
      </c>
      <c r="M498" s="775">
        <v>60115.000000000007</v>
      </c>
      <c r="N498" s="775">
        <v>64295.000000000007</v>
      </c>
      <c r="O498" s="775">
        <v>68420</v>
      </c>
      <c r="P498" s="41"/>
      <c r="Q498" s="41"/>
    </row>
    <row r="499" spans="1:17">
      <c r="A499" s="38"/>
      <c r="B499" s="778">
        <v>0.5</v>
      </c>
      <c r="C499" s="775">
        <v>825</v>
      </c>
      <c r="D499" s="775">
        <v>883</v>
      </c>
      <c r="E499" s="775">
        <v>1060</v>
      </c>
      <c r="F499" s="775">
        <v>1225</v>
      </c>
      <c r="G499" s="775">
        <v>1366</v>
      </c>
      <c r="H499" s="776">
        <v>33000</v>
      </c>
      <c r="I499" s="776">
        <v>37700</v>
      </c>
      <c r="J499" s="776">
        <v>42400</v>
      </c>
      <c r="K499" s="776">
        <v>47100</v>
      </c>
      <c r="L499" s="776">
        <v>50900</v>
      </c>
      <c r="M499" s="776">
        <v>54650</v>
      </c>
      <c r="N499" s="776">
        <v>58450</v>
      </c>
      <c r="O499" s="776">
        <v>62200</v>
      </c>
      <c r="P499" s="41"/>
      <c r="Q499" s="41"/>
    </row>
    <row r="500" spans="1:17">
      <c r="A500" s="38"/>
      <c r="B500" s="778">
        <v>0.45</v>
      </c>
      <c r="C500" s="775">
        <v>742</v>
      </c>
      <c r="D500" s="775">
        <v>795</v>
      </c>
      <c r="E500" s="775">
        <v>954</v>
      </c>
      <c r="F500" s="775">
        <v>1102</v>
      </c>
      <c r="G500" s="775">
        <v>1229</v>
      </c>
      <c r="H500" s="775">
        <v>29700</v>
      </c>
      <c r="I500" s="775">
        <v>33930</v>
      </c>
      <c r="J500" s="775">
        <v>38160</v>
      </c>
      <c r="K500" s="775">
        <v>42390</v>
      </c>
      <c r="L500" s="775">
        <v>45810</v>
      </c>
      <c r="M500" s="777">
        <v>49185</v>
      </c>
      <c r="N500" s="777">
        <v>52605</v>
      </c>
      <c r="O500" s="777">
        <v>55980</v>
      </c>
      <c r="P500" s="41"/>
      <c r="Q500" s="41"/>
    </row>
    <row r="501" spans="1:17">
      <c r="A501" s="38"/>
      <c r="B501" s="778">
        <v>0.4</v>
      </c>
      <c r="C501" s="775">
        <v>660</v>
      </c>
      <c r="D501" s="775">
        <v>707</v>
      </c>
      <c r="E501" s="775">
        <v>848</v>
      </c>
      <c r="F501" s="775">
        <v>980</v>
      </c>
      <c r="G501" s="775">
        <v>1093</v>
      </c>
      <c r="H501" s="775">
        <v>26400</v>
      </c>
      <c r="I501" s="775">
        <v>30160</v>
      </c>
      <c r="J501" s="775">
        <v>33920</v>
      </c>
      <c r="K501" s="775">
        <v>37680</v>
      </c>
      <c r="L501" s="775">
        <v>40720</v>
      </c>
      <c r="M501" s="777">
        <v>43720</v>
      </c>
      <c r="N501" s="777">
        <v>46760</v>
      </c>
      <c r="O501" s="777">
        <v>49760</v>
      </c>
      <c r="P501" s="41"/>
      <c r="Q501" s="41"/>
    </row>
    <row r="502" spans="1:17">
      <c r="A502" s="38"/>
      <c r="B502" s="519">
        <v>0.3</v>
      </c>
      <c r="C502" s="775">
        <v>495</v>
      </c>
      <c r="D502" s="775">
        <v>530</v>
      </c>
      <c r="E502" s="775">
        <v>636</v>
      </c>
      <c r="F502" s="775">
        <v>735</v>
      </c>
      <c r="G502" s="775">
        <v>819</v>
      </c>
      <c r="H502" s="776">
        <v>19800</v>
      </c>
      <c r="I502" s="776">
        <v>22620</v>
      </c>
      <c r="J502" s="776">
        <v>25440</v>
      </c>
      <c r="K502" s="776">
        <v>28260</v>
      </c>
      <c r="L502" s="776">
        <v>30540</v>
      </c>
      <c r="M502" s="776">
        <v>32790</v>
      </c>
      <c r="N502" s="776">
        <v>35070</v>
      </c>
      <c r="O502" s="776">
        <v>37320</v>
      </c>
      <c r="P502" s="41"/>
      <c r="Q502" s="41"/>
    </row>
    <row r="503" spans="1:17" ht="13.5" thickBot="1">
      <c r="A503" s="779"/>
      <c r="B503" s="40">
        <v>0.2</v>
      </c>
      <c r="C503" s="521">
        <v>330</v>
      </c>
      <c r="D503" s="521">
        <v>353</v>
      </c>
      <c r="E503" s="521">
        <v>424</v>
      </c>
      <c r="F503" s="521">
        <v>490</v>
      </c>
      <c r="G503" s="521">
        <v>546</v>
      </c>
      <c r="H503" s="522">
        <v>13200</v>
      </c>
      <c r="I503" s="522">
        <v>15080</v>
      </c>
      <c r="J503" s="522">
        <v>16960</v>
      </c>
      <c r="K503" s="522">
        <v>18840</v>
      </c>
      <c r="L503" s="522">
        <v>20360</v>
      </c>
      <c r="M503" s="522">
        <v>21860</v>
      </c>
      <c r="N503" s="522">
        <v>23380</v>
      </c>
      <c r="O503" s="522">
        <v>24880</v>
      </c>
      <c r="P503" s="41"/>
      <c r="Q503" s="41"/>
    </row>
    <row r="504" spans="1:17" ht="13.5" thickTop="1">
      <c r="A504" s="38"/>
      <c r="B504" s="37">
        <v>1.2</v>
      </c>
      <c r="C504" s="523">
        <v>1980</v>
      </c>
      <c r="D504" s="523">
        <v>2121</v>
      </c>
      <c r="E504" s="523">
        <v>2544</v>
      </c>
      <c r="F504" s="523">
        <v>2940</v>
      </c>
      <c r="G504" s="523">
        <v>3279</v>
      </c>
      <c r="H504" s="523">
        <v>79200</v>
      </c>
      <c r="I504" s="523">
        <v>90480</v>
      </c>
      <c r="J504" s="523">
        <v>101760</v>
      </c>
      <c r="K504" s="523">
        <v>113040</v>
      </c>
      <c r="L504" s="523">
        <v>122160</v>
      </c>
      <c r="M504" s="523">
        <v>131160</v>
      </c>
      <c r="N504" s="523">
        <v>140280</v>
      </c>
      <c r="O504" s="523">
        <v>149280</v>
      </c>
      <c r="P504" s="41"/>
      <c r="Q504" s="41"/>
    </row>
    <row r="505" spans="1:17">
      <c r="A505" s="38"/>
      <c r="B505" s="778">
        <v>1</v>
      </c>
      <c r="C505" s="775">
        <v>1650</v>
      </c>
      <c r="D505" s="775">
        <v>1767</v>
      </c>
      <c r="E505" s="775">
        <v>2120</v>
      </c>
      <c r="F505" s="775">
        <v>2450</v>
      </c>
      <c r="G505" s="775">
        <v>2732</v>
      </c>
      <c r="H505" s="775">
        <v>66000</v>
      </c>
      <c r="I505" s="775">
        <v>75400</v>
      </c>
      <c r="J505" s="775">
        <v>84800</v>
      </c>
      <c r="K505" s="775">
        <v>94200</v>
      </c>
      <c r="L505" s="775">
        <v>101800</v>
      </c>
      <c r="M505" s="775">
        <v>109300</v>
      </c>
      <c r="N505" s="775">
        <v>116900</v>
      </c>
      <c r="O505" s="775">
        <v>124400</v>
      </c>
      <c r="P505" s="41"/>
      <c r="Q505" s="41"/>
    </row>
    <row r="506" spans="1:17">
      <c r="A506" s="38" t="s">
        <v>1281</v>
      </c>
      <c r="B506" s="778">
        <v>0.8</v>
      </c>
      <c r="C506" s="775">
        <v>1320</v>
      </c>
      <c r="D506" s="775">
        <v>1414</v>
      </c>
      <c r="E506" s="775">
        <v>1696</v>
      </c>
      <c r="F506" s="775">
        <v>1960</v>
      </c>
      <c r="G506" s="775">
        <v>2186</v>
      </c>
      <c r="H506" s="776">
        <v>52800</v>
      </c>
      <c r="I506" s="776">
        <v>60320</v>
      </c>
      <c r="J506" s="776">
        <v>67840</v>
      </c>
      <c r="K506" s="776">
        <v>75360</v>
      </c>
      <c r="L506" s="776">
        <v>81440</v>
      </c>
      <c r="M506" s="776">
        <v>87440</v>
      </c>
      <c r="N506" s="776">
        <v>93520</v>
      </c>
      <c r="O506" s="776">
        <v>99520</v>
      </c>
      <c r="P506" s="41"/>
      <c r="Q506" s="41"/>
    </row>
    <row r="507" spans="1:17">
      <c r="A507" s="38"/>
      <c r="B507" s="778">
        <v>0.7</v>
      </c>
      <c r="C507" s="775">
        <v>1155</v>
      </c>
      <c r="D507" s="775">
        <v>1237</v>
      </c>
      <c r="E507" s="775">
        <v>1484</v>
      </c>
      <c r="F507" s="775">
        <v>1715</v>
      </c>
      <c r="G507" s="775">
        <v>1912</v>
      </c>
      <c r="H507" s="776">
        <v>46200</v>
      </c>
      <c r="I507" s="776">
        <v>52780</v>
      </c>
      <c r="J507" s="776">
        <v>59359.999999999993</v>
      </c>
      <c r="K507" s="776">
        <v>65940</v>
      </c>
      <c r="L507" s="776">
        <v>71260</v>
      </c>
      <c r="M507" s="776">
        <v>76510</v>
      </c>
      <c r="N507" s="776">
        <v>81830</v>
      </c>
      <c r="O507" s="776">
        <v>87080</v>
      </c>
      <c r="P507" s="41"/>
      <c r="Q507" s="41"/>
    </row>
    <row r="508" spans="1:17">
      <c r="A508" s="38"/>
      <c r="B508" s="778">
        <v>0.6</v>
      </c>
      <c r="C508" s="775">
        <v>990</v>
      </c>
      <c r="D508" s="775">
        <v>1060</v>
      </c>
      <c r="E508" s="775">
        <v>1272</v>
      </c>
      <c r="F508" s="775">
        <v>1470</v>
      </c>
      <c r="G508" s="775">
        <v>1639</v>
      </c>
      <c r="H508" s="775">
        <v>39600</v>
      </c>
      <c r="I508" s="775">
        <v>45240</v>
      </c>
      <c r="J508" s="775">
        <v>50880</v>
      </c>
      <c r="K508" s="775">
        <v>56520</v>
      </c>
      <c r="L508" s="775">
        <v>61080</v>
      </c>
      <c r="M508" s="777">
        <v>65580</v>
      </c>
      <c r="N508" s="777">
        <v>70140</v>
      </c>
      <c r="O508" s="777">
        <v>74640</v>
      </c>
      <c r="P508" s="41"/>
      <c r="Q508" s="41"/>
    </row>
    <row r="509" spans="1:17">
      <c r="A509" s="38"/>
      <c r="B509" s="778">
        <v>0.55000000000000004</v>
      </c>
      <c r="C509" s="775">
        <v>907</v>
      </c>
      <c r="D509" s="775">
        <v>972</v>
      </c>
      <c r="E509" s="775">
        <v>1166</v>
      </c>
      <c r="F509" s="775">
        <v>1347</v>
      </c>
      <c r="G509" s="775">
        <v>1502</v>
      </c>
      <c r="H509" s="775">
        <v>36300</v>
      </c>
      <c r="I509" s="775">
        <v>41470</v>
      </c>
      <c r="J509" s="775">
        <v>46640.000000000007</v>
      </c>
      <c r="K509" s="775">
        <v>51810.000000000007</v>
      </c>
      <c r="L509" s="775">
        <v>55990.000000000007</v>
      </c>
      <c r="M509" s="775">
        <v>60115.000000000007</v>
      </c>
      <c r="N509" s="775">
        <v>64295.000000000007</v>
      </c>
      <c r="O509" s="775">
        <v>68420</v>
      </c>
      <c r="P509" s="41"/>
      <c r="Q509" s="41"/>
    </row>
    <row r="510" spans="1:17">
      <c r="A510" s="38"/>
      <c r="B510" s="778">
        <v>0.5</v>
      </c>
      <c r="C510" s="775">
        <v>825</v>
      </c>
      <c r="D510" s="775">
        <v>883</v>
      </c>
      <c r="E510" s="775">
        <v>1060</v>
      </c>
      <c r="F510" s="775">
        <v>1225</v>
      </c>
      <c r="G510" s="775">
        <v>1366</v>
      </c>
      <c r="H510" s="776">
        <v>33000</v>
      </c>
      <c r="I510" s="776">
        <v>37700</v>
      </c>
      <c r="J510" s="776">
        <v>42400</v>
      </c>
      <c r="K510" s="776">
        <v>47100</v>
      </c>
      <c r="L510" s="776">
        <v>50900</v>
      </c>
      <c r="M510" s="776">
        <v>54650</v>
      </c>
      <c r="N510" s="776">
        <v>58450</v>
      </c>
      <c r="O510" s="776">
        <v>62200</v>
      </c>
      <c r="P510" s="41"/>
      <c r="Q510" s="41"/>
    </row>
    <row r="511" spans="1:17">
      <c r="A511" s="38"/>
      <c r="B511" s="778">
        <v>0.45</v>
      </c>
      <c r="C511" s="775">
        <v>742</v>
      </c>
      <c r="D511" s="775">
        <v>795</v>
      </c>
      <c r="E511" s="775">
        <v>954</v>
      </c>
      <c r="F511" s="775">
        <v>1102</v>
      </c>
      <c r="G511" s="775">
        <v>1229</v>
      </c>
      <c r="H511" s="775">
        <v>29700</v>
      </c>
      <c r="I511" s="775">
        <v>33930</v>
      </c>
      <c r="J511" s="775">
        <v>38160</v>
      </c>
      <c r="K511" s="775">
        <v>42390</v>
      </c>
      <c r="L511" s="775">
        <v>45810</v>
      </c>
      <c r="M511" s="777">
        <v>49185</v>
      </c>
      <c r="N511" s="777">
        <v>52605</v>
      </c>
      <c r="O511" s="777">
        <v>55980</v>
      </c>
      <c r="P511" s="41"/>
      <c r="Q511" s="41"/>
    </row>
    <row r="512" spans="1:17">
      <c r="A512" s="38"/>
      <c r="B512" s="778">
        <v>0.4</v>
      </c>
      <c r="C512" s="775">
        <v>660</v>
      </c>
      <c r="D512" s="775">
        <v>707</v>
      </c>
      <c r="E512" s="775">
        <v>848</v>
      </c>
      <c r="F512" s="775">
        <v>980</v>
      </c>
      <c r="G512" s="775">
        <v>1093</v>
      </c>
      <c r="H512" s="775">
        <v>26400</v>
      </c>
      <c r="I512" s="775">
        <v>30160</v>
      </c>
      <c r="J512" s="775">
        <v>33920</v>
      </c>
      <c r="K512" s="775">
        <v>37680</v>
      </c>
      <c r="L512" s="775">
        <v>40720</v>
      </c>
      <c r="M512" s="777">
        <v>43720</v>
      </c>
      <c r="N512" s="777">
        <v>46760</v>
      </c>
      <c r="O512" s="777">
        <v>49760</v>
      </c>
      <c r="P512" s="41"/>
      <c r="Q512" s="41"/>
    </row>
    <row r="513" spans="1:17">
      <c r="A513" s="38"/>
      <c r="B513" s="519">
        <v>0.3</v>
      </c>
      <c r="C513" s="775">
        <v>495</v>
      </c>
      <c r="D513" s="775">
        <v>530</v>
      </c>
      <c r="E513" s="775">
        <v>636</v>
      </c>
      <c r="F513" s="775">
        <v>735</v>
      </c>
      <c r="G513" s="775">
        <v>819</v>
      </c>
      <c r="H513" s="776">
        <v>19800</v>
      </c>
      <c r="I513" s="776">
        <v>22620</v>
      </c>
      <c r="J513" s="776">
        <v>25440</v>
      </c>
      <c r="K513" s="776">
        <v>28260</v>
      </c>
      <c r="L513" s="776">
        <v>30540</v>
      </c>
      <c r="M513" s="776">
        <v>32790</v>
      </c>
      <c r="N513" s="776">
        <v>35070</v>
      </c>
      <c r="O513" s="776">
        <v>37320</v>
      </c>
      <c r="P513" s="41"/>
      <c r="Q513" s="41"/>
    </row>
    <row r="514" spans="1:17" ht="13.5" thickBot="1">
      <c r="A514" s="779"/>
      <c r="B514" s="40">
        <v>0.2</v>
      </c>
      <c r="C514" s="521">
        <v>330</v>
      </c>
      <c r="D514" s="521">
        <v>353</v>
      </c>
      <c r="E514" s="521">
        <v>424</v>
      </c>
      <c r="F514" s="521">
        <v>490</v>
      </c>
      <c r="G514" s="521">
        <v>546</v>
      </c>
      <c r="H514" s="522">
        <v>13200</v>
      </c>
      <c r="I514" s="522">
        <v>15080</v>
      </c>
      <c r="J514" s="522">
        <v>16960</v>
      </c>
      <c r="K514" s="522">
        <v>18840</v>
      </c>
      <c r="L514" s="522">
        <v>20360</v>
      </c>
      <c r="M514" s="522">
        <v>21860</v>
      </c>
      <c r="N514" s="522">
        <v>23380</v>
      </c>
      <c r="O514" s="522">
        <v>24880</v>
      </c>
      <c r="P514" s="41"/>
      <c r="Q514" s="41"/>
    </row>
    <row r="515" spans="1:17" ht="13.5" thickTop="1">
      <c r="A515" s="38"/>
      <c r="B515" s="37">
        <v>1.2</v>
      </c>
      <c r="C515" s="523">
        <v>2151</v>
      </c>
      <c r="D515" s="523">
        <v>2304</v>
      </c>
      <c r="E515" s="523">
        <v>2763</v>
      </c>
      <c r="F515" s="523">
        <v>3195</v>
      </c>
      <c r="G515" s="523">
        <v>3564</v>
      </c>
      <c r="H515" s="523">
        <v>86040</v>
      </c>
      <c r="I515" s="523">
        <v>98280</v>
      </c>
      <c r="J515" s="523">
        <v>110520</v>
      </c>
      <c r="K515" s="523">
        <v>122880</v>
      </c>
      <c r="L515" s="523">
        <v>132720</v>
      </c>
      <c r="M515" s="523">
        <v>142560</v>
      </c>
      <c r="N515" s="523">
        <v>152400</v>
      </c>
      <c r="O515" s="523">
        <v>162120</v>
      </c>
      <c r="P515" s="39"/>
      <c r="Q515" s="39"/>
    </row>
    <row r="516" spans="1:17">
      <c r="A516" s="38"/>
      <c r="B516" s="778">
        <v>1</v>
      </c>
      <c r="C516" s="775">
        <v>1792</v>
      </c>
      <c r="D516" s="775">
        <v>1920</v>
      </c>
      <c r="E516" s="775">
        <v>2302</v>
      </c>
      <c r="F516" s="775">
        <v>2662</v>
      </c>
      <c r="G516" s="775">
        <v>2970</v>
      </c>
      <c r="H516" s="775">
        <v>71700</v>
      </c>
      <c r="I516" s="775">
        <v>81900</v>
      </c>
      <c r="J516" s="775">
        <v>92100</v>
      </c>
      <c r="K516" s="775">
        <v>102400</v>
      </c>
      <c r="L516" s="775">
        <v>110600</v>
      </c>
      <c r="M516" s="775">
        <v>118800</v>
      </c>
      <c r="N516" s="775">
        <v>127000</v>
      </c>
      <c r="O516" s="775">
        <v>135100</v>
      </c>
      <c r="P516" s="39"/>
      <c r="Q516" s="39"/>
    </row>
    <row r="517" spans="1:17">
      <c r="A517" s="38" t="s">
        <v>1282</v>
      </c>
      <c r="B517" s="778">
        <v>0.8</v>
      </c>
      <c r="C517" s="775">
        <v>1434</v>
      </c>
      <c r="D517" s="775">
        <v>1536</v>
      </c>
      <c r="E517" s="775">
        <v>1842</v>
      </c>
      <c r="F517" s="775">
        <v>2130</v>
      </c>
      <c r="G517" s="775">
        <v>2376</v>
      </c>
      <c r="H517" s="776">
        <v>57360</v>
      </c>
      <c r="I517" s="776">
        <v>65520</v>
      </c>
      <c r="J517" s="776">
        <v>73680</v>
      </c>
      <c r="K517" s="776">
        <v>81920</v>
      </c>
      <c r="L517" s="776">
        <v>88480</v>
      </c>
      <c r="M517" s="776">
        <v>95040</v>
      </c>
      <c r="N517" s="776">
        <v>101600</v>
      </c>
      <c r="O517" s="776">
        <v>108080</v>
      </c>
      <c r="P517" s="39"/>
      <c r="Q517" s="39"/>
    </row>
    <row r="518" spans="1:17">
      <c r="A518" s="38"/>
      <c r="B518" s="778">
        <v>0.7</v>
      </c>
      <c r="C518" s="775">
        <v>1254</v>
      </c>
      <c r="D518" s="775">
        <v>1344</v>
      </c>
      <c r="E518" s="775">
        <v>1611</v>
      </c>
      <c r="F518" s="775">
        <v>1863</v>
      </c>
      <c r="G518" s="775">
        <v>2079</v>
      </c>
      <c r="H518" s="776">
        <v>50190</v>
      </c>
      <c r="I518" s="776">
        <v>57330</v>
      </c>
      <c r="J518" s="776">
        <v>64469.999999999993</v>
      </c>
      <c r="K518" s="776">
        <v>71680</v>
      </c>
      <c r="L518" s="776">
        <v>77420</v>
      </c>
      <c r="M518" s="776">
        <v>83160</v>
      </c>
      <c r="N518" s="776">
        <v>88900</v>
      </c>
      <c r="O518" s="776">
        <v>94570</v>
      </c>
      <c r="P518" s="39"/>
      <c r="Q518" s="39"/>
    </row>
    <row r="519" spans="1:17">
      <c r="A519" s="38"/>
      <c r="B519" s="778">
        <v>0.6</v>
      </c>
      <c r="C519" s="775">
        <v>1075</v>
      </c>
      <c r="D519" s="775">
        <v>1152</v>
      </c>
      <c r="E519" s="775">
        <v>1381</v>
      </c>
      <c r="F519" s="775">
        <v>1597</v>
      </c>
      <c r="G519" s="775">
        <v>1782</v>
      </c>
      <c r="H519" s="775">
        <v>43020</v>
      </c>
      <c r="I519" s="775">
        <v>49140</v>
      </c>
      <c r="J519" s="775">
        <v>55260</v>
      </c>
      <c r="K519" s="775">
        <v>61440</v>
      </c>
      <c r="L519" s="775">
        <v>66360</v>
      </c>
      <c r="M519" s="777">
        <v>71280</v>
      </c>
      <c r="N519" s="777">
        <v>76200</v>
      </c>
      <c r="O519" s="777">
        <v>81060</v>
      </c>
      <c r="P519" s="39"/>
      <c r="Q519" s="39"/>
    </row>
    <row r="520" spans="1:17">
      <c r="A520" s="38"/>
      <c r="B520" s="778">
        <v>0.55000000000000004</v>
      </c>
      <c r="C520" s="775">
        <v>985</v>
      </c>
      <c r="D520" s="775">
        <v>1056</v>
      </c>
      <c r="E520" s="775">
        <v>1266</v>
      </c>
      <c r="F520" s="775">
        <v>1464</v>
      </c>
      <c r="G520" s="775">
        <v>1633</v>
      </c>
      <c r="H520" s="775">
        <v>39435</v>
      </c>
      <c r="I520" s="775">
        <v>45045</v>
      </c>
      <c r="J520" s="775">
        <v>50655.000000000007</v>
      </c>
      <c r="K520" s="775">
        <v>56320.000000000007</v>
      </c>
      <c r="L520" s="775">
        <v>60830.000000000007</v>
      </c>
      <c r="M520" s="775">
        <v>65340.000000000007</v>
      </c>
      <c r="N520" s="775">
        <v>69850</v>
      </c>
      <c r="O520" s="775">
        <v>74305</v>
      </c>
      <c r="P520" s="39"/>
      <c r="Q520" s="39"/>
    </row>
    <row r="521" spans="1:17">
      <c r="A521" s="38"/>
      <c r="B521" s="778">
        <v>0.5</v>
      </c>
      <c r="C521" s="775">
        <v>896</v>
      </c>
      <c r="D521" s="775">
        <v>960</v>
      </c>
      <c r="E521" s="775">
        <v>1151</v>
      </c>
      <c r="F521" s="775">
        <v>1331</v>
      </c>
      <c r="G521" s="775">
        <v>1485</v>
      </c>
      <c r="H521" s="776">
        <v>35850</v>
      </c>
      <c r="I521" s="776">
        <v>40950</v>
      </c>
      <c r="J521" s="776">
        <v>46050</v>
      </c>
      <c r="K521" s="776">
        <v>51200</v>
      </c>
      <c r="L521" s="776">
        <v>55300</v>
      </c>
      <c r="M521" s="776">
        <v>59400</v>
      </c>
      <c r="N521" s="776">
        <v>63500</v>
      </c>
      <c r="O521" s="776">
        <v>67550</v>
      </c>
      <c r="P521" s="39"/>
      <c r="Q521" s="39"/>
    </row>
    <row r="522" spans="1:17">
      <c r="A522" s="38"/>
      <c r="B522" s="778">
        <v>0.45</v>
      </c>
      <c r="C522" s="775">
        <v>806</v>
      </c>
      <c r="D522" s="775">
        <v>864</v>
      </c>
      <c r="E522" s="775">
        <v>1036</v>
      </c>
      <c r="F522" s="775">
        <v>1198</v>
      </c>
      <c r="G522" s="775">
        <v>1336</v>
      </c>
      <c r="H522" s="775">
        <v>32265</v>
      </c>
      <c r="I522" s="775">
        <v>36855</v>
      </c>
      <c r="J522" s="775">
        <v>41445</v>
      </c>
      <c r="K522" s="775">
        <v>46080</v>
      </c>
      <c r="L522" s="775">
        <v>49770</v>
      </c>
      <c r="M522" s="777">
        <v>53460</v>
      </c>
      <c r="N522" s="777">
        <v>57150</v>
      </c>
      <c r="O522" s="777">
        <v>60795</v>
      </c>
      <c r="P522" s="39"/>
      <c r="Q522" s="39"/>
    </row>
    <row r="523" spans="1:17">
      <c r="A523" s="38"/>
      <c r="B523" s="778">
        <v>0.4</v>
      </c>
      <c r="C523" s="775">
        <v>717</v>
      </c>
      <c r="D523" s="775">
        <v>768</v>
      </c>
      <c r="E523" s="775">
        <v>921</v>
      </c>
      <c r="F523" s="775">
        <v>1065</v>
      </c>
      <c r="G523" s="775">
        <v>1188</v>
      </c>
      <c r="H523" s="775">
        <v>28680</v>
      </c>
      <c r="I523" s="775">
        <v>32760</v>
      </c>
      <c r="J523" s="775">
        <v>36840</v>
      </c>
      <c r="K523" s="775">
        <v>40960</v>
      </c>
      <c r="L523" s="775">
        <v>44240</v>
      </c>
      <c r="M523" s="777">
        <v>47520</v>
      </c>
      <c r="N523" s="777">
        <v>50800</v>
      </c>
      <c r="O523" s="777">
        <v>54040</v>
      </c>
      <c r="P523" s="39"/>
      <c r="Q523" s="39"/>
    </row>
    <row r="524" spans="1:17">
      <c r="A524" s="38"/>
      <c r="B524" s="519">
        <v>0.3</v>
      </c>
      <c r="C524" s="775">
        <v>537</v>
      </c>
      <c r="D524" s="775">
        <v>576</v>
      </c>
      <c r="E524" s="775">
        <v>690</v>
      </c>
      <c r="F524" s="775">
        <v>798</v>
      </c>
      <c r="G524" s="775">
        <v>891</v>
      </c>
      <c r="H524" s="776">
        <v>21510</v>
      </c>
      <c r="I524" s="776">
        <v>24570</v>
      </c>
      <c r="J524" s="776">
        <v>27630</v>
      </c>
      <c r="K524" s="776">
        <v>30720</v>
      </c>
      <c r="L524" s="776">
        <v>33180</v>
      </c>
      <c r="M524" s="776">
        <v>35640</v>
      </c>
      <c r="N524" s="776">
        <v>38100</v>
      </c>
      <c r="O524" s="776">
        <v>40530</v>
      </c>
      <c r="P524" s="39"/>
      <c r="Q524" s="39"/>
    </row>
    <row r="525" spans="1:17" ht="13.5" thickBot="1">
      <c r="A525" s="779"/>
      <c r="B525" s="40">
        <v>0.2</v>
      </c>
      <c r="C525" s="521">
        <v>358</v>
      </c>
      <c r="D525" s="521">
        <v>384</v>
      </c>
      <c r="E525" s="521">
        <v>460</v>
      </c>
      <c r="F525" s="521">
        <v>532</v>
      </c>
      <c r="G525" s="521">
        <v>594</v>
      </c>
      <c r="H525" s="522">
        <v>14340</v>
      </c>
      <c r="I525" s="522">
        <v>16380</v>
      </c>
      <c r="J525" s="522">
        <v>18420</v>
      </c>
      <c r="K525" s="522">
        <v>20480</v>
      </c>
      <c r="L525" s="522">
        <v>22120</v>
      </c>
      <c r="M525" s="522">
        <v>23760</v>
      </c>
      <c r="N525" s="522">
        <v>25400</v>
      </c>
      <c r="O525" s="522">
        <v>27020</v>
      </c>
      <c r="P525" s="41"/>
      <c r="Q525" s="41"/>
    </row>
    <row r="526" spans="1:17" ht="13.5" thickTop="1">
      <c r="A526" s="38"/>
      <c r="B526" s="37">
        <v>1.2</v>
      </c>
      <c r="C526" s="523">
        <v>2739</v>
      </c>
      <c r="D526" s="523">
        <v>2935</v>
      </c>
      <c r="E526" s="523">
        <v>3522</v>
      </c>
      <c r="F526" s="523">
        <v>4069</v>
      </c>
      <c r="G526" s="523">
        <v>4539</v>
      </c>
      <c r="H526" s="523">
        <v>109560</v>
      </c>
      <c r="I526" s="523">
        <v>125280</v>
      </c>
      <c r="J526" s="523">
        <v>140880</v>
      </c>
      <c r="K526" s="523">
        <v>156480</v>
      </c>
      <c r="L526" s="523">
        <v>169080</v>
      </c>
      <c r="M526" s="523">
        <v>181560</v>
      </c>
      <c r="N526" s="523">
        <v>194040</v>
      </c>
      <c r="O526" s="523">
        <v>206640</v>
      </c>
      <c r="P526" s="39"/>
      <c r="Q526" s="39"/>
    </row>
    <row r="527" spans="1:17">
      <c r="A527" s="38"/>
      <c r="B527" s="778">
        <v>1</v>
      </c>
      <c r="C527" s="775">
        <v>2282</v>
      </c>
      <c r="D527" s="775">
        <v>2446</v>
      </c>
      <c r="E527" s="775">
        <v>2935</v>
      </c>
      <c r="F527" s="775">
        <v>3391</v>
      </c>
      <c r="G527" s="775">
        <v>3782</v>
      </c>
      <c r="H527" s="775">
        <v>91300</v>
      </c>
      <c r="I527" s="775">
        <v>104400</v>
      </c>
      <c r="J527" s="775">
        <v>117400</v>
      </c>
      <c r="K527" s="775">
        <v>130400</v>
      </c>
      <c r="L527" s="775">
        <v>140900</v>
      </c>
      <c r="M527" s="775">
        <v>151300</v>
      </c>
      <c r="N527" s="775">
        <v>161700</v>
      </c>
      <c r="O527" s="775">
        <v>172200</v>
      </c>
      <c r="P527" s="39"/>
      <c r="Q527" s="39"/>
    </row>
    <row r="528" spans="1:17">
      <c r="A528" s="38" t="s">
        <v>1283</v>
      </c>
      <c r="B528" s="778">
        <v>0.8</v>
      </c>
      <c r="C528" s="775">
        <v>1826</v>
      </c>
      <c r="D528" s="775">
        <v>1957</v>
      </c>
      <c r="E528" s="775">
        <v>2348</v>
      </c>
      <c r="F528" s="775">
        <v>2713</v>
      </c>
      <c r="G528" s="775">
        <v>3026</v>
      </c>
      <c r="H528" s="776">
        <v>73040</v>
      </c>
      <c r="I528" s="776">
        <v>83520</v>
      </c>
      <c r="J528" s="776">
        <v>93920</v>
      </c>
      <c r="K528" s="776">
        <v>104320</v>
      </c>
      <c r="L528" s="776">
        <v>112720</v>
      </c>
      <c r="M528" s="776">
        <v>121040</v>
      </c>
      <c r="N528" s="776">
        <v>129360</v>
      </c>
      <c r="O528" s="776">
        <v>137760</v>
      </c>
      <c r="P528" s="39"/>
      <c r="Q528" s="39"/>
    </row>
    <row r="529" spans="1:17">
      <c r="A529" s="38"/>
      <c r="B529" s="778">
        <v>0.7</v>
      </c>
      <c r="C529" s="775">
        <v>1597</v>
      </c>
      <c r="D529" s="775">
        <v>1712</v>
      </c>
      <c r="E529" s="775">
        <v>2054</v>
      </c>
      <c r="F529" s="775">
        <v>2373</v>
      </c>
      <c r="G529" s="775">
        <v>2647</v>
      </c>
      <c r="H529" s="776">
        <v>63909.999999999993</v>
      </c>
      <c r="I529" s="776">
        <v>73080</v>
      </c>
      <c r="J529" s="776">
        <v>82180</v>
      </c>
      <c r="K529" s="776">
        <v>91280</v>
      </c>
      <c r="L529" s="776">
        <v>98630</v>
      </c>
      <c r="M529" s="776">
        <v>105910</v>
      </c>
      <c r="N529" s="776">
        <v>113190</v>
      </c>
      <c r="O529" s="776">
        <v>120539.99999999999</v>
      </c>
      <c r="P529" s="39"/>
      <c r="Q529" s="39"/>
    </row>
    <row r="530" spans="1:17">
      <c r="A530" s="38"/>
      <c r="B530" s="778">
        <v>0.6</v>
      </c>
      <c r="C530" s="775">
        <v>1369</v>
      </c>
      <c r="D530" s="775">
        <v>1467</v>
      </c>
      <c r="E530" s="775">
        <v>1761</v>
      </c>
      <c r="F530" s="775">
        <v>2034</v>
      </c>
      <c r="G530" s="775">
        <v>2269</v>
      </c>
      <c r="H530" s="775">
        <v>54780</v>
      </c>
      <c r="I530" s="775">
        <v>62640</v>
      </c>
      <c r="J530" s="775">
        <v>70440</v>
      </c>
      <c r="K530" s="775">
        <v>78240</v>
      </c>
      <c r="L530" s="775">
        <v>84540</v>
      </c>
      <c r="M530" s="777">
        <v>90780</v>
      </c>
      <c r="N530" s="777">
        <v>97020</v>
      </c>
      <c r="O530" s="777">
        <v>103320</v>
      </c>
      <c r="P530" s="39"/>
      <c r="Q530" s="39"/>
    </row>
    <row r="531" spans="1:17">
      <c r="A531" s="38"/>
      <c r="B531" s="778">
        <v>0.55000000000000004</v>
      </c>
      <c r="C531" s="775">
        <v>1255</v>
      </c>
      <c r="D531" s="775">
        <v>1345</v>
      </c>
      <c r="E531" s="775">
        <v>1614</v>
      </c>
      <c r="F531" s="775">
        <v>1865</v>
      </c>
      <c r="G531" s="775">
        <v>2080</v>
      </c>
      <c r="H531" s="775">
        <v>50215.000000000007</v>
      </c>
      <c r="I531" s="775">
        <v>57420.000000000007</v>
      </c>
      <c r="J531" s="775">
        <v>64570.000000000007</v>
      </c>
      <c r="K531" s="775">
        <v>71720</v>
      </c>
      <c r="L531" s="775">
        <v>77495</v>
      </c>
      <c r="M531" s="775">
        <v>83215</v>
      </c>
      <c r="N531" s="775">
        <v>88935</v>
      </c>
      <c r="O531" s="775">
        <v>94710.000000000015</v>
      </c>
      <c r="P531" s="39"/>
      <c r="Q531" s="39"/>
    </row>
    <row r="532" spans="1:17">
      <c r="A532" s="38"/>
      <c r="B532" s="778">
        <v>0.5</v>
      </c>
      <c r="C532" s="775">
        <v>1141</v>
      </c>
      <c r="D532" s="775">
        <v>1223</v>
      </c>
      <c r="E532" s="775">
        <v>1467</v>
      </c>
      <c r="F532" s="775">
        <v>1695</v>
      </c>
      <c r="G532" s="775">
        <v>1891</v>
      </c>
      <c r="H532" s="776">
        <v>45650</v>
      </c>
      <c r="I532" s="776">
        <v>52200</v>
      </c>
      <c r="J532" s="776">
        <v>58700</v>
      </c>
      <c r="K532" s="776">
        <v>65200</v>
      </c>
      <c r="L532" s="776">
        <v>70450</v>
      </c>
      <c r="M532" s="776">
        <v>75650</v>
      </c>
      <c r="N532" s="776">
        <v>80850</v>
      </c>
      <c r="O532" s="776">
        <v>86100</v>
      </c>
      <c r="P532" s="39"/>
      <c r="Q532" s="39"/>
    </row>
    <row r="533" spans="1:17">
      <c r="A533" s="38"/>
      <c r="B533" s="778">
        <v>0.45</v>
      </c>
      <c r="C533" s="775">
        <v>1027</v>
      </c>
      <c r="D533" s="775">
        <v>1100</v>
      </c>
      <c r="E533" s="775">
        <v>1320</v>
      </c>
      <c r="F533" s="775">
        <v>1526</v>
      </c>
      <c r="G533" s="775">
        <v>1702</v>
      </c>
      <c r="H533" s="775">
        <v>41085</v>
      </c>
      <c r="I533" s="775">
        <v>46980</v>
      </c>
      <c r="J533" s="775">
        <v>52830</v>
      </c>
      <c r="K533" s="775">
        <v>58680</v>
      </c>
      <c r="L533" s="775">
        <v>63405</v>
      </c>
      <c r="M533" s="777">
        <v>68085</v>
      </c>
      <c r="N533" s="777">
        <v>72765</v>
      </c>
      <c r="O533" s="777">
        <v>77490</v>
      </c>
      <c r="P533" s="39"/>
      <c r="Q533" s="39"/>
    </row>
    <row r="534" spans="1:17">
      <c r="A534" s="38"/>
      <c r="B534" s="778">
        <v>0.4</v>
      </c>
      <c r="C534" s="775">
        <v>913</v>
      </c>
      <c r="D534" s="775">
        <v>978</v>
      </c>
      <c r="E534" s="775">
        <v>1174</v>
      </c>
      <c r="F534" s="775">
        <v>1356</v>
      </c>
      <c r="G534" s="775">
        <v>1513</v>
      </c>
      <c r="H534" s="775">
        <v>36520</v>
      </c>
      <c r="I534" s="775">
        <v>41760</v>
      </c>
      <c r="J534" s="775">
        <v>46960</v>
      </c>
      <c r="K534" s="775">
        <v>52160</v>
      </c>
      <c r="L534" s="775">
        <v>56360</v>
      </c>
      <c r="M534" s="777">
        <v>60520</v>
      </c>
      <c r="N534" s="777">
        <v>64680</v>
      </c>
      <c r="O534" s="777">
        <v>68880</v>
      </c>
      <c r="P534" s="39"/>
      <c r="Q534" s="39"/>
    </row>
    <row r="535" spans="1:17">
      <c r="A535" s="38"/>
      <c r="B535" s="519">
        <v>0.3</v>
      </c>
      <c r="C535" s="775">
        <v>684</v>
      </c>
      <c r="D535" s="775">
        <v>733</v>
      </c>
      <c r="E535" s="775">
        <v>880</v>
      </c>
      <c r="F535" s="775">
        <v>1017</v>
      </c>
      <c r="G535" s="775">
        <v>1134</v>
      </c>
      <c r="H535" s="776">
        <v>27390</v>
      </c>
      <c r="I535" s="776">
        <v>31320</v>
      </c>
      <c r="J535" s="776">
        <v>35220</v>
      </c>
      <c r="K535" s="776">
        <v>39120</v>
      </c>
      <c r="L535" s="776">
        <v>42270</v>
      </c>
      <c r="M535" s="776">
        <v>45390</v>
      </c>
      <c r="N535" s="776">
        <v>48510</v>
      </c>
      <c r="O535" s="776">
        <v>51660</v>
      </c>
      <c r="P535" s="39"/>
      <c r="Q535" s="39"/>
    </row>
    <row r="536" spans="1:17" ht="13.5" thickBot="1">
      <c r="A536" s="779"/>
      <c r="B536" s="40">
        <v>0.2</v>
      </c>
      <c r="C536" s="521">
        <v>456</v>
      </c>
      <c r="D536" s="521">
        <v>489</v>
      </c>
      <c r="E536" s="521">
        <v>587</v>
      </c>
      <c r="F536" s="521">
        <v>678</v>
      </c>
      <c r="G536" s="521">
        <v>756</v>
      </c>
      <c r="H536" s="522">
        <v>18260</v>
      </c>
      <c r="I536" s="522">
        <v>20880</v>
      </c>
      <c r="J536" s="522">
        <v>23480</v>
      </c>
      <c r="K536" s="522">
        <v>26080</v>
      </c>
      <c r="L536" s="522">
        <v>28180</v>
      </c>
      <c r="M536" s="522">
        <v>30260</v>
      </c>
      <c r="N536" s="522">
        <v>32340</v>
      </c>
      <c r="O536" s="522">
        <v>34440</v>
      </c>
      <c r="P536" s="45"/>
      <c r="Q536" s="45"/>
    </row>
    <row r="537" spans="1:17" ht="13.5" thickTop="1">
      <c r="A537" s="38"/>
      <c r="B537" s="37">
        <v>1.2</v>
      </c>
      <c r="C537" s="523">
        <v>1980</v>
      </c>
      <c r="D537" s="523">
        <v>2121</v>
      </c>
      <c r="E537" s="523">
        <v>2544</v>
      </c>
      <c r="F537" s="523">
        <v>2940</v>
      </c>
      <c r="G537" s="523">
        <v>3279</v>
      </c>
      <c r="H537" s="523">
        <v>79200</v>
      </c>
      <c r="I537" s="523">
        <v>90480</v>
      </c>
      <c r="J537" s="523">
        <v>101760</v>
      </c>
      <c r="K537" s="523">
        <v>113040</v>
      </c>
      <c r="L537" s="523">
        <v>122160</v>
      </c>
      <c r="M537" s="523">
        <v>131160</v>
      </c>
      <c r="N537" s="523">
        <v>140280</v>
      </c>
      <c r="O537" s="523">
        <v>149280</v>
      </c>
      <c r="P537" s="41"/>
      <c r="Q537" s="41"/>
    </row>
    <row r="538" spans="1:17">
      <c r="A538" s="38"/>
      <c r="B538" s="778">
        <v>1</v>
      </c>
      <c r="C538" s="775">
        <v>1650</v>
      </c>
      <c r="D538" s="775">
        <v>1767</v>
      </c>
      <c r="E538" s="775">
        <v>2120</v>
      </c>
      <c r="F538" s="775">
        <v>2450</v>
      </c>
      <c r="G538" s="775">
        <v>2732</v>
      </c>
      <c r="H538" s="775">
        <v>66000</v>
      </c>
      <c r="I538" s="775">
        <v>75400</v>
      </c>
      <c r="J538" s="775">
        <v>84800</v>
      </c>
      <c r="K538" s="775">
        <v>94200</v>
      </c>
      <c r="L538" s="775">
        <v>101800</v>
      </c>
      <c r="M538" s="775">
        <v>109300</v>
      </c>
      <c r="N538" s="775">
        <v>116900</v>
      </c>
      <c r="O538" s="775">
        <v>124400</v>
      </c>
      <c r="P538" s="41"/>
      <c r="Q538" s="41"/>
    </row>
    <row r="539" spans="1:17">
      <c r="A539" s="38" t="s">
        <v>1284</v>
      </c>
      <c r="B539" s="778">
        <v>0.8</v>
      </c>
      <c r="C539" s="775">
        <v>1320</v>
      </c>
      <c r="D539" s="775">
        <v>1414</v>
      </c>
      <c r="E539" s="775">
        <v>1696</v>
      </c>
      <c r="F539" s="775">
        <v>1960</v>
      </c>
      <c r="G539" s="775">
        <v>2186</v>
      </c>
      <c r="H539" s="776">
        <v>52800</v>
      </c>
      <c r="I539" s="776">
        <v>60320</v>
      </c>
      <c r="J539" s="776">
        <v>67840</v>
      </c>
      <c r="K539" s="776">
        <v>75360</v>
      </c>
      <c r="L539" s="776">
        <v>81440</v>
      </c>
      <c r="M539" s="776">
        <v>87440</v>
      </c>
      <c r="N539" s="776">
        <v>93520</v>
      </c>
      <c r="O539" s="776">
        <v>99520</v>
      </c>
      <c r="P539" s="41"/>
      <c r="Q539" s="41"/>
    </row>
    <row r="540" spans="1:17">
      <c r="A540" s="38"/>
      <c r="B540" s="778">
        <v>0.7</v>
      </c>
      <c r="C540" s="775">
        <v>1155</v>
      </c>
      <c r="D540" s="775">
        <v>1237</v>
      </c>
      <c r="E540" s="775">
        <v>1484</v>
      </c>
      <c r="F540" s="775">
        <v>1715</v>
      </c>
      <c r="G540" s="775">
        <v>1912</v>
      </c>
      <c r="H540" s="776">
        <v>46200</v>
      </c>
      <c r="I540" s="776">
        <v>52780</v>
      </c>
      <c r="J540" s="776">
        <v>59359.999999999993</v>
      </c>
      <c r="K540" s="776">
        <v>65940</v>
      </c>
      <c r="L540" s="776">
        <v>71260</v>
      </c>
      <c r="M540" s="776">
        <v>76510</v>
      </c>
      <c r="N540" s="776">
        <v>81830</v>
      </c>
      <c r="O540" s="776">
        <v>87080</v>
      </c>
      <c r="P540" s="41"/>
      <c r="Q540" s="41"/>
    </row>
    <row r="541" spans="1:17">
      <c r="A541" s="38"/>
      <c r="B541" s="778">
        <v>0.6</v>
      </c>
      <c r="C541" s="775">
        <v>990</v>
      </c>
      <c r="D541" s="775">
        <v>1060</v>
      </c>
      <c r="E541" s="775">
        <v>1272</v>
      </c>
      <c r="F541" s="775">
        <v>1470</v>
      </c>
      <c r="G541" s="775">
        <v>1639</v>
      </c>
      <c r="H541" s="775">
        <v>39600</v>
      </c>
      <c r="I541" s="775">
        <v>45240</v>
      </c>
      <c r="J541" s="775">
        <v>50880</v>
      </c>
      <c r="K541" s="775">
        <v>56520</v>
      </c>
      <c r="L541" s="775">
        <v>61080</v>
      </c>
      <c r="M541" s="777">
        <v>65580</v>
      </c>
      <c r="N541" s="777">
        <v>70140</v>
      </c>
      <c r="O541" s="777">
        <v>74640</v>
      </c>
      <c r="P541" s="41"/>
      <c r="Q541" s="41"/>
    </row>
    <row r="542" spans="1:17">
      <c r="A542" s="38"/>
      <c r="B542" s="778">
        <v>0.55000000000000004</v>
      </c>
      <c r="C542" s="775">
        <v>907</v>
      </c>
      <c r="D542" s="775">
        <v>972</v>
      </c>
      <c r="E542" s="775">
        <v>1166</v>
      </c>
      <c r="F542" s="775">
        <v>1347</v>
      </c>
      <c r="G542" s="775">
        <v>1502</v>
      </c>
      <c r="H542" s="775">
        <v>36300</v>
      </c>
      <c r="I542" s="775">
        <v>41470</v>
      </c>
      <c r="J542" s="775">
        <v>46640.000000000007</v>
      </c>
      <c r="K542" s="775">
        <v>51810.000000000007</v>
      </c>
      <c r="L542" s="775">
        <v>55990.000000000007</v>
      </c>
      <c r="M542" s="775">
        <v>60115.000000000007</v>
      </c>
      <c r="N542" s="775">
        <v>64295.000000000007</v>
      </c>
      <c r="O542" s="775">
        <v>68420</v>
      </c>
      <c r="P542" s="41"/>
      <c r="Q542" s="41"/>
    </row>
    <row r="543" spans="1:17">
      <c r="A543" s="38"/>
      <c r="B543" s="778">
        <v>0.5</v>
      </c>
      <c r="C543" s="775">
        <v>825</v>
      </c>
      <c r="D543" s="775">
        <v>883</v>
      </c>
      <c r="E543" s="775">
        <v>1060</v>
      </c>
      <c r="F543" s="775">
        <v>1225</v>
      </c>
      <c r="G543" s="775">
        <v>1366</v>
      </c>
      <c r="H543" s="776">
        <v>33000</v>
      </c>
      <c r="I543" s="776">
        <v>37700</v>
      </c>
      <c r="J543" s="776">
        <v>42400</v>
      </c>
      <c r="K543" s="776">
        <v>47100</v>
      </c>
      <c r="L543" s="776">
        <v>50900</v>
      </c>
      <c r="M543" s="776">
        <v>54650</v>
      </c>
      <c r="N543" s="776">
        <v>58450</v>
      </c>
      <c r="O543" s="776">
        <v>62200</v>
      </c>
      <c r="P543" s="41"/>
      <c r="Q543" s="41"/>
    </row>
    <row r="544" spans="1:17">
      <c r="A544" s="38"/>
      <c r="B544" s="778">
        <v>0.45</v>
      </c>
      <c r="C544" s="775">
        <v>742</v>
      </c>
      <c r="D544" s="775">
        <v>795</v>
      </c>
      <c r="E544" s="775">
        <v>954</v>
      </c>
      <c r="F544" s="775">
        <v>1102</v>
      </c>
      <c r="G544" s="775">
        <v>1229</v>
      </c>
      <c r="H544" s="775">
        <v>29700</v>
      </c>
      <c r="I544" s="775">
        <v>33930</v>
      </c>
      <c r="J544" s="775">
        <v>38160</v>
      </c>
      <c r="K544" s="775">
        <v>42390</v>
      </c>
      <c r="L544" s="775">
        <v>45810</v>
      </c>
      <c r="M544" s="777">
        <v>49185</v>
      </c>
      <c r="N544" s="777">
        <v>52605</v>
      </c>
      <c r="O544" s="777">
        <v>55980</v>
      </c>
      <c r="P544" s="41"/>
      <c r="Q544" s="41"/>
    </row>
    <row r="545" spans="1:17">
      <c r="A545" s="38"/>
      <c r="B545" s="778">
        <v>0.4</v>
      </c>
      <c r="C545" s="775">
        <v>660</v>
      </c>
      <c r="D545" s="775">
        <v>707</v>
      </c>
      <c r="E545" s="775">
        <v>848</v>
      </c>
      <c r="F545" s="775">
        <v>980</v>
      </c>
      <c r="G545" s="775">
        <v>1093</v>
      </c>
      <c r="H545" s="775">
        <v>26400</v>
      </c>
      <c r="I545" s="775">
        <v>30160</v>
      </c>
      <c r="J545" s="775">
        <v>33920</v>
      </c>
      <c r="K545" s="775">
        <v>37680</v>
      </c>
      <c r="L545" s="775">
        <v>40720</v>
      </c>
      <c r="M545" s="777">
        <v>43720</v>
      </c>
      <c r="N545" s="777">
        <v>46760</v>
      </c>
      <c r="O545" s="777">
        <v>49760</v>
      </c>
      <c r="P545" s="41"/>
      <c r="Q545" s="41"/>
    </row>
    <row r="546" spans="1:17">
      <c r="A546" s="38"/>
      <c r="B546" s="519">
        <v>0.3</v>
      </c>
      <c r="C546" s="775">
        <v>495</v>
      </c>
      <c r="D546" s="775">
        <v>530</v>
      </c>
      <c r="E546" s="775">
        <v>636</v>
      </c>
      <c r="F546" s="775">
        <v>735</v>
      </c>
      <c r="G546" s="775">
        <v>819</v>
      </c>
      <c r="H546" s="776">
        <v>19800</v>
      </c>
      <c r="I546" s="776">
        <v>22620</v>
      </c>
      <c r="J546" s="776">
        <v>25440</v>
      </c>
      <c r="K546" s="776">
        <v>28260</v>
      </c>
      <c r="L546" s="776">
        <v>30540</v>
      </c>
      <c r="M546" s="776">
        <v>32790</v>
      </c>
      <c r="N546" s="776">
        <v>35070</v>
      </c>
      <c r="O546" s="776">
        <v>37320</v>
      </c>
      <c r="P546" s="41"/>
      <c r="Q546" s="41"/>
    </row>
    <row r="547" spans="1:17" ht="13.5" thickBot="1">
      <c r="A547" s="779"/>
      <c r="B547" s="40">
        <v>0.2</v>
      </c>
      <c r="C547" s="521">
        <v>330</v>
      </c>
      <c r="D547" s="521">
        <v>353</v>
      </c>
      <c r="E547" s="521">
        <v>424</v>
      </c>
      <c r="F547" s="521">
        <v>490</v>
      </c>
      <c r="G547" s="521">
        <v>546</v>
      </c>
      <c r="H547" s="522">
        <v>13200</v>
      </c>
      <c r="I547" s="522">
        <v>15080</v>
      </c>
      <c r="J547" s="522">
        <v>16960</v>
      </c>
      <c r="K547" s="522">
        <v>18840</v>
      </c>
      <c r="L547" s="522">
        <v>20360</v>
      </c>
      <c r="M547" s="522">
        <v>21860</v>
      </c>
      <c r="N547" s="522">
        <v>23380</v>
      </c>
      <c r="O547" s="522">
        <v>24880</v>
      </c>
      <c r="P547" s="41"/>
      <c r="Q547" s="41"/>
    </row>
    <row r="548" spans="1:17" ht="13.5" thickTop="1">
      <c r="A548" s="38"/>
      <c r="B548" s="37">
        <v>1.2</v>
      </c>
      <c r="C548" s="523">
        <v>2640</v>
      </c>
      <c r="D548" s="523">
        <v>2829</v>
      </c>
      <c r="E548" s="523">
        <v>3393</v>
      </c>
      <c r="F548" s="523">
        <v>3922</v>
      </c>
      <c r="G548" s="523">
        <v>4374</v>
      </c>
      <c r="H548" s="523">
        <v>105600</v>
      </c>
      <c r="I548" s="523">
        <v>120720</v>
      </c>
      <c r="J548" s="523">
        <v>135720</v>
      </c>
      <c r="K548" s="523">
        <v>150840</v>
      </c>
      <c r="L548" s="523">
        <v>162960</v>
      </c>
      <c r="M548" s="523">
        <v>174960</v>
      </c>
      <c r="N548" s="523">
        <v>187080</v>
      </c>
      <c r="O548" s="523">
        <v>199080</v>
      </c>
      <c r="P548" s="39"/>
      <c r="Q548" s="39"/>
    </row>
    <row r="549" spans="1:17">
      <c r="A549" s="38"/>
      <c r="B549" s="778">
        <v>1</v>
      </c>
      <c r="C549" s="775">
        <v>2200</v>
      </c>
      <c r="D549" s="775">
        <v>2357</v>
      </c>
      <c r="E549" s="775">
        <v>2827</v>
      </c>
      <c r="F549" s="775">
        <v>3268</v>
      </c>
      <c r="G549" s="775">
        <v>3645</v>
      </c>
      <c r="H549" s="775">
        <v>88000</v>
      </c>
      <c r="I549" s="775">
        <v>100600</v>
      </c>
      <c r="J549" s="775">
        <v>113100</v>
      </c>
      <c r="K549" s="775">
        <v>125700</v>
      </c>
      <c r="L549" s="775">
        <v>135800</v>
      </c>
      <c r="M549" s="775">
        <v>145800</v>
      </c>
      <c r="N549" s="775">
        <v>155900</v>
      </c>
      <c r="O549" s="775">
        <v>165900</v>
      </c>
      <c r="P549" s="39"/>
      <c r="Q549" s="39"/>
    </row>
    <row r="550" spans="1:17">
      <c r="A550" s="38" t="s">
        <v>1285</v>
      </c>
      <c r="B550" s="778">
        <v>0.8</v>
      </c>
      <c r="C550" s="775">
        <v>1760</v>
      </c>
      <c r="D550" s="775">
        <v>1886</v>
      </c>
      <c r="E550" s="775">
        <v>2262</v>
      </c>
      <c r="F550" s="775">
        <v>2615</v>
      </c>
      <c r="G550" s="775">
        <v>2916</v>
      </c>
      <c r="H550" s="776">
        <v>70400</v>
      </c>
      <c r="I550" s="776">
        <v>80480</v>
      </c>
      <c r="J550" s="776">
        <v>90480</v>
      </c>
      <c r="K550" s="776">
        <v>100560</v>
      </c>
      <c r="L550" s="776">
        <v>108640</v>
      </c>
      <c r="M550" s="776">
        <v>116640</v>
      </c>
      <c r="N550" s="776">
        <v>124720</v>
      </c>
      <c r="O550" s="776">
        <v>132720</v>
      </c>
      <c r="P550" s="39"/>
      <c r="Q550" s="39"/>
    </row>
    <row r="551" spans="1:17">
      <c r="A551" s="38"/>
      <c r="B551" s="778">
        <v>0.7</v>
      </c>
      <c r="C551" s="775">
        <v>1540</v>
      </c>
      <c r="D551" s="775">
        <v>1650</v>
      </c>
      <c r="E551" s="775">
        <v>1979</v>
      </c>
      <c r="F551" s="775">
        <v>2288</v>
      </c>
      <c r="G551" s="775">
        <v>2551</v>
      </c>
      <c r="H551" s="776">
        <v>61599.999999999993</v>
      </c>
      <c r="I551" s="776">
        <v>70420</v>
      </c>
      <c r="J551" s="776">
        <v>79170</v>
      </c>
      <c r="K551" s="776">
        <v>87990</v>
      </c>
      <c r="L551" s="776">
        <v>95060</v>
      </c>
      <c r="M551" s="776">
        <v>102060</v>
      </c>
      <c r="N551" s="776">
        <v>109130</v>
      </c>
      <c r="O551" s="776">
        <v>116129.99999999999</v>
      </c>
      <c r="P551" s="39"/>
      <c r="Q551" s="39"/>
    </row>
    <row r="552" spans="1:17">
      <c r="A552" s="38"/>
      <c r="B552" s="778">
        <v>0.6</v>
      </c>
      <c r="C552" s="775">
        <v>1320</v>
      </c>
      <c r="D552" s="775">
        <v>1414</v>
      </c>
      <c r="E552" s="775">
        <v>1696</v>
      </c>
      <c r="F552" s="775">
        <v>1961</v>
      </c>
      <c r="G552" s="775">
        <v>2187</v>
      </c>
      <c r="H552" s="775">
        <v>52800</v>
      </c>
      <c r="I552" s="775">
        <v>60360</v>
      </c>
      <c r="J552" s="775">
        <v>67860</v>
      </c>
      <c r="K552" s="775">
        <v>75420</v>
      </c>
      <c r="L552" s="775">
        <v>81480</v>
      </c>
      <c r="M552" s="777">
        <v>87480</v>
      </c>
      <c r="N552" s="777">
        <v>93540</v>
      </c>
      <c r="O552" s="777">
        <v>99540</v>
      </c>
      <c r="P552" s="39"/>
      <c r="Q552" s="39"/>
    </row>
    <row r="553" spans="1:17">
      <c r="A553" s="38"/>
      <c r="B553" s="778">
        <v>0.55000000000000004</v>
      </c>
      <c r="C553" s="775">
        <v>1210</v>
      </c>
      <c r="D553" s="775">
        <v>1296</v>
      </c>
      <c r="E553" s="775">
        <v>1555</v>
      </c>
      <c r="F553" s="775">
        <v>1797</v>
      </c>
      <c r="G553" s="775">
        <v>2004</v>
      </c>
      <c r="H553" s="775">
        <v>48400.000000000007</v>
      </c>
      <c r="I553" s="775">
        <v>55330.000000000007</v>
      </c>
      <c r="J553" s="775">
        <v>62205.000000000007</v>
      </c>
      <c r="K553" s="775">
        <v>69135</v>
      </c>
      <c r="L553" s="775">
        <v>74690</v>
      </c>
      <c r="M553" s="775">
        <v>80190</v>
      </c>
      <c r="N553" s="775">
        <v>85745</v>
      </c>
      <c r="O553" s="775">
        <v>91245.000000000015</v>
      </c>
      <c r="P553" s="39"/>
      <c r="Q553" s="39"/>
    </row>
    <row r="554" spans="1:17">
      <c r="A554" s="38"/>
      <c r="B554" s="778">
        <v>0.5</v>
      </c>
      <c r="C554" s="775">
        <v>1100</v>
      </c>
      <c r="D554" s="775">
        <v>1178</v>
      </c>
      <c r="E554" s="775">
        <v>1413</v>
      </c>
      <c r="F554" s="775">
        <v>1634</v>
      </c>
      <c r="G554" s="775">
        <v>1822</v>
      </c>
      <c r="H554" s="776">
        <v>44000</v>
      </c>
      <c r="I554" s="776">
        <v>50300</v>
      </c>
      <c r="J554" s="776">
        <v>56550</v>
      </c>
      <c r="K554" s="776">
        <v>62850</v>
      </c>
      <c r="L554" s="776">
        <v>67900</v>
      </c>
      <c r="M554" s="776">
        <v>72900</v>
      </c>
      <c r="N554" s="776">
        <v>77950</v>
      </c>
      <c r="O554" s="776">
        <v>82950</v>
      </c>
      <c r="P554" s="39"/>
      <c r="Q554" s="39"/>
    </row>
    <row r="555" spans="1:17">
      <c r="A555" s="38"/>
      <c r="B555" s="778">
        <v>0.45</v>
      </c>
      <c r="C555" s="775">
        <v>990</v>
      </c>
      <c r="D555" s="775">
        <v>1060</v>
      </c>
      <c r="E555" s="775">
        <v>1272</v>
      </c>
      <c r="F555" s="775">
        <v>1470</v>
      </c>
      <c r="G555" s="775">
        <v>1640</v>
      </c>
      <c r="H555" s="775">
        <v>39600</v>
      </c>
      <c r="I555" s="775">
        <v>45270</v>
      </c>
      <c r="J555" s="775">
        <v>50895</v>
      </c>
      <c r="K555" s="775">
        <v>56565</v>
      </c>
      <c r="L555" s="775">
        <v>61110</v>
      </c>
      <c r="M555" s="777">
        <v>65610</v>
      </c>
      <c r="N555" s="777">
        <v>70155</v>
      </c>
      <c r="O555" s="777">
        <v>74655</v>
      </c>
      <c r="P555" s="39"/>
      <c r="Q555" s="39"/>
    </row>
    <row r="556" spans="1:17">
      <c r="A556" s="38"/>
      <c r="B556" s="778">
        <v>0.4</v>
      </c>
      <c r="C556" s="775">
        <v>880</v>
      </c>
      <c r="D556" s="775">
        <v>943</v>
      </c>
      <c r="E556" s="775">
        <v>1131</v>
      </c>
      <c r="F556" s="775">
        <v>1307</v>
      </c>
      <c r="G556" s="775">
        <v>1458</v>
      </c>
      <c r="H556" s="775">
        <v>35200</v>
      </c>
      <c r="I556" s="775">
        <v>40240</v>
      </c>
      <c r="J556" s="775">
        <v>45240</v>
      </c>
      <c r="K556" s="775">
        <v>50280</v>
      </c>
      <c r="L556" s="775">
        <v>54320</v>
      </c>
      <c r="M556" s="777">
        <v>58320</v>
      </c>
      <c r="N556" s="777">
        <v>62360</v>
      </c>
      <c r="O556" s="777">
        <v>66360</v>
      </c>
      <c r="P556" s="39"/>
      <c r="Q556" s="39"/>
    </row>
    <row r="557" spans="1:17">
      <c r="A557" s="38"/>
      <c r="B557" s="519">
        <v>0.3</v>
      </c>
      <c r="C557" s="775">
        <v>660</v>
      </c>
      <c r="D557" s="775">
        <v>707</v>
      </c>
      <c r="E557" s="775">
        <v>848</v>
      </c>
      <c r="F557" s="775">
        <v>980</v>
      </c>
      <c r="G557" s="775">
        <v>1093</v>
      </c>
      <c r="H557" s="776">
        <v>26400</v>
      </c>
      <c r="I557" s="776">
        <v>30180</v>
      </c>
      <c r="J557" s="776">
        <v>33930</v>
      </c>
      <c r="K557" s="776">
        <v>37710</v>
      </c>
      <c r="L557" s="776">
        <v>40740</v>
      </c>
      <c r="M557" s="776">
        <v>43740</v>
      </c>
      <c r="N557" s="776">
        <v>46770</v>
      </c>
      <c r="O557" s="776">
        <v>49770</v>
      </c>
      <c r="P557" s="39"/>
      <c r="Q557" s="39"/>
    </row>
    <row r="558" spans="1:17" ht="13.5" thickBot="1">
      <c r="A558" s="779"/>
      <c r="B558" s="40">
        <v>0.2</v>
      </c>
      <c r="C558" s="521">
        <v>440</v>
      </c>
      <c r="D558" s="521">
        <v>471</v>
      </c>
      <c r="E558" s="521">
        <v>565</v>
      </c>
      <c r="F558" s="521">
        <v>653</v>
      </c>
      <c r="G558" s="521">
        <v>729</v>
      </c>
      <c r="H558" s="522">
        <v>17600</v>
      </c>
      <c r="I558" s="522">
        <v>20120</v>
      </c>
      <c r="J558" s="522">
        <v>22620</v>
      </c>
      <c r="K558" s="522">
        <v>25140</v>
      </c>
      <c r="L558" s="522">
        <v>27160</v>
      </c>
      <c r="M558" s="522">
        <v>29160</v>
      </c>
      <c r="N558" s="522">
        <v>31180</v>
      </c>
      <c r="O558" s="522">
        <v>33180</v>
      </c>
      <c r="P558" s="39"/>
      <c r="Q558" s="39"/>
    </row>
    <row r="559" spans="1:17" ht="13.5" thickTop="1">
      <c r="A559" s="38"/>
      <c r="B559" s="37">
        <v>1.2</v>
      </c>
      <c r="C559" s="523">
        <v>1980</v>
      </c>
      <c r="D559" s="523">
        <v>2121</v>
      </c>
      <c r="E559" s="523">
        <v>2544</v>
      </c>
      <c r="F559" s="523">
        <v>2940</v>
      </c>
      <c r="G559" s="523">
        <v>3279</v>
      </c>
      <c r="H559" s="523">
        <v>79200</v>
      </c>
      <c r="I559" s="523">
        <v>90480</v>
      </c>
      <c r="J559" s="523">
        <v>101760</v>
      </c>
      <c r="K559" s="523">
        <v>113040</v>
      </c>
      <c r="L559" s="523">
        <v>122160</v>
      </c>
      <c r="M559" s="523">
        <v>131160</v>
      </c>
      <c r="N559" s="523">
        <v>140280</v>
      </c>
      <c r="O559" s="523">
        <v>149280</v>
      </c>
      <c r="P559" s="39"/>
      <c r="Q559" s="39"/>
    </row>
    <row r="560" spans="1:17">
      <c r="A560" s="38"/>
      <c r="B560" s="778">
        <v>1</v>
      </c>
      <c r="C560" s="775">
        <v>1650</v>
      </c>
      <c r="D560" s="775">
        <v>1767</v>
      </c>
      <c r="E560" s="775">
        <v>2120</v>
      </c>
      <c r="F560" s="775">
        <v>2450</v>
      </c>
      <c r="G560" s="775">
        <v>2732</v>
      </c>
      <c r="H560" s="775">
        <v>66000</v>
      </c>
      <c r="I560" s="775">
        <v>75400</v>
      </c>
      <c r="J560" s="775">
        <v>84800</v>
      </c>
      <c r="K560" s="775">
        <v>94200</v>
      </c>
      <c r="L560" s="775">
        <v>101800</v>
      </c>
      <c r="M560" s="775">
        <v>109300</v>
      </c>
      <c r="N560" s="775">
        <v>116900</v>
      </c>
      <c r="O560" s="775">
        <v>124400</v>
      </c>
      <c r="P560" s="39"/>
      <c r="Q560" s="39"/>
    </row>
    <row r="561" spans="1:17">
      <c r="A561" s="38" t="s">
        <v>1286</v>
      </c>
      <c r="B561" s="778">
        <v>0.8</v>
      </c>
      <c r="C561" s="775">
        <v>1320</v>
      </c>
      <c r="D561" s="775">
        <v>1414</v>
      </c>
      <c r="E561" s="775">
        <v>1696</v>
      </c>
      <c r="F561" s="775">
        <v>1960</v>
      </c>
      <c r="G561" s="775">
        <v>2186</v>
      </c>
      <c r="H561" s="776">
        <v>52800</v>
      </c>
      <c r="I561" s="776">
        <v>60320</v>
      </c>
      <c r="J561" s="776">
        <v>67840</v>
      </c>
      <c r="K561" s="776">
        <v>75360</v>
      </c>
      <c r="L561" s="776">
        <v>81440</v>
      </c>
      <c r="M561" s="776">
        <v>87440</v>
      </c>
      <c r="N561" s="776">
        <v>93520</v>
      </c>
      <c r="O561" s="776">
        <v>99520</v>
      </c>
      <c r="P561" s="39"/>
      <c r="Q561" s="39"/>
    </row>
    <row r="562" spans="1:17">
      <c r="A562" s="38"/>
      <c r="B562" s="778">
        <v>0.7</v>
      </c>
      <c r="C562" s="775">
        <v>1155</v>
      </c>
      <c r="D562" s="775">
        <v>1237</v>
      </c>
      <c r="E562" s="775">
        <v>1484</v>
      </c>
      <c r="F562" s="775">
        <v>1715</v>
      </c>
      <c r="G562" s="775">
        <v>1912</v>
      </c>
      <c r="H562" s="776">
        <v>46200</v>
      </c>
      <c r="I562" s="776">
        <v>52780</v>
      </c>
      <c r="J562" s="776">
        <v>59359.999999999993</v>
      </c>
      <c r="K562" s="776">
        <v>65940</v>
      </c>
      <c r="L562" s="776">
        <v>71260</v>
      </c>
      <c r="M562" s="776">
        <v>76510</v>
      </c>
      <c r="N562" s="776">
        <v>81830</v>
      </c>
      <c r="O562" s="776">
        <v>87080</v>
      </c>
      <c r="P562" s="39"/>
      <c r="Q562" s="39"/>
    </row>
    <row r="563" spans="1:17">
      <c r="A563" s="38"/>
      <c r="B563" s="778">
        <v>0.6</v>
      </c>
      <c r="C563" s="775">
        <v>990</v>
      </c>
      <c r="D563" s="775">
        <v>1060</v>
      </c>
      <c r="E563" s="775">
        <v>1272</v>
      </c>
      <c r="F563" s="775">
        <v>1470</v>
      </c>
      <c r="G563" s="775">
        <v>1639</v>
      </c>
      <c r="H563" s="775">
        <v>39600</v>
      </c>
      <c r="I563" s="775">
        <v>45240</v>
      </c>
      <c r="J563" s="775">
        <v>50880</v>
      </c>
      <c r="K563" s="775">
        <v>56520</v>
      </c>
      <c r="L563" s="775">
        <v>61080</v>
      </c>
      <c r="M563" s="777">
        <v>65580</v>
      </c>
      <c r="N563" s="777">
        <v>70140</v>
      </c>
      <c r="O563" s="777">
        <v>74640</v>
      </c>
      <c r="P563" s="39"/>
      <c r="Q563" s="39"/>
    </row>
    <row r="564" spans="1:17">
      <c r="A564" s="38"/>
      <c r="B564" s="778">
        <v>0.55000000000000004</v>
      </c>
      <c r="C564" s="775">
        <v>907</v>
      </c>
      <c r="D564" s="775">
        <v>972</v>
      </c>
      <c r="E564" s="775">
        <v>1166</v>
      </c>
      <c r="F564" s="775">
        <v>1347</v>
      </c>
      <c r="G564" s="775">
        <v>1502</v>
      </c>
      <c r="H564" s="775">
        <v>36300</v>
      </c>
      <c r="I564" s="775">
        <v>41470</v>
      </c>
      <c r="J564" s="775">
        <v>46640.000000000007</v>
      </c>
      <c r="K564" s="775">
        <v>51810.000000000007</v>
      </c>
      <c r="L564" s="775">
        <v>55990.000000000007</v>
      </c>
      <c r="M564" s="775">
        <v>60115.000000000007</v>
      </c>
      <c r="N564" s="775">
        <v>64295.000000000007</v>
      </c>
      <c r="O564" s="775">
        <v>68420</v>
      </c>
      <c r="P564" s="39"/>
      <c r="Q564" s="39"/>
    </row>
    <row r="565" spans="1:17">
      <c r="A565" s="38"/>
      <c r="B565" s="778">
        <v>0.5</v>
      </c>
      <c r="C565" s="775">
        <v>825</v>
      </c>
      <c r="D565" s="775">
        <v>883</v>
      </c>
      <c r="E565" s="775">
        <v>1060</v>
      </c>
      <c r="F565" s="775">
        <v>1225</v>
      </c>
      <c r="G565" s="775">
        <v>1366</v>
      </c>
      <c r="H565" s="776">
        <v>33000</v>
      </c>
      <c r="I565" s="776">
        <v>37700</v>
      </c>
      <c r="J565" s="776">
        <v>42400</v>
      </c>
      <c r="K565" s="776">
        <v>47100</v>
      </c>
      <c r="L565" s="776">
        <v>50900</v>
      </c>
      <c r="M565" s="776">
        <v>54650</v>
      </c>
      <c r="N565" s="776">
        <v>58450</v>
      </c>
      <c r="O565" s="776">
        <v>62200</v>
      </c>
      <c r="P565" s="39"/>
      <c r="Q565" s="39"/>
    </row>
    <row r="566" spans="1:17">
      <c r="A566" s="38"/>
      <c r="B566" s="778">
        <v>0.45</v>
      </c>
      <c r="C566" s="775">
        <v>742</v>
      </c>
      <c r="D566" s="775">
        <v>795</v>
      </c>
      <c r="E566" s="775">
        <v>954</v>
      </c>
      <c r="F566" s="775">
        <v>1102</v>
      </c>
      <c r="G566" s="775">
        <v>1229</v>
      </c>
      <c r="H566" s="775">
        <v>29700</v>
      </c>
      <c r="I566" s="775">
        <v>33930</v>
      </c>
      <c r="J566" s="775">
        <v>38160</v>
      </c>
      <c r="K566" s="775">
        <v>42390</v>
      </c>
      <c r="L566" s="775">
        <v>45810</v>
      </c>
      <c r="M566" s="777">
        <v>49185</v>
      </c>
      <c r="N566" s="777">
        <v>52605</v>
      </c>
      <c r="O566" s="777">
        <v>55980</v>
      </c>
      <c r="P566" s="39"/>
      <c r="Q566" s="39"/>
    </row>
    <row r="567" spans="1:17">
      <c r="A567" s="38"/>
      <c r="B567" s="778">
        <v>0.4</v>
      </c>
      <c r="C567" s="775">
        <v>660</v>
      </c>
      <c r="D567" s="775">
        <v>707</v>
      </c>
      <c r="E567" s="775">
        <v>848</v>
      </c>
      <c r="F567" s="775">
        <v>980</v>
      </c>
      <c r="G567" s="775">
        <v>1093</v>
      </c>
      <c r="H567" s="775">
        <v>26400</v>
      </c>
      <c r="I567" s="775">
        <v>30160</v>
      </c>
      <c r="J567" s="775">
        <v>33920</v>
      </c>
      <c r="K567" s="775">
        <v>37680</v>
      </c>
      <c r="L567" s="775">
        <v>40720</v>
      </c>
      <c r="M567" s="777">
        <v>43720</v>
      </c>
      <c r="N567" s="777">
        <v>46760</v>
      </c>
      <c r="O567" s="777">
        <v>49760</v>
      </c>
      <c r="P567" s="39"/>
      <c r="Q567" s="39"/>
    </row>
    <row r="568" spans="1:17">
      <c r="A568" s="38"/>
      <c r="B568" s="519">
        <v>0.3</v>
      </c>
      <c r="C568" s="775">
        <v>495</v>
      </c>
      <c r="D568" s="775">
        <v>530</v>
      </c>
      <c r="E568" s="775">
        <v>636</v>
      </c>
      <c r="F568" s="775">
        <v>735</v>
      </c>
      <c r="G568" s="775">
        <v>819</v>
      </c>
      <c r="H568" s="776">
        <v>19800</v>
      </c>
      <c r="I568" s="776">
        <v>22620</v>
      </c>
      <c r="J568" s="776">
        <v>25440</v>
      </c>
      <c r="K568" s="776">
        <v>28260</v>
      </c>
      <c r="L568" s="776">
        <v>30540</v>
      </c>
      <c r="M568" s="776">
        <v>32790</v>
      </c>
      <c r="N568" s="776">
        <v>35070</v>
      </c>
      <c r="O568" s="776">
        <v>37320</v>
      </c>
      <c r="P568" s="39"/>
      <c r="Q568" s="39"/>
    </row>
    <row r="569" spans="1:17" ht="13.5" thickBot="1">
      <c r="A569" s="779"/>
      <c r="B569" s="40">
        <v>0.2</v>
      </c>
      <c r="C569" s="521">
        <v>330</v>
      </c>
      <c r="D569" s="521">
        <v>353</v>
      </c>
      <c r="E569" s="521">
        <v>424</v>
      </c>
      <c r="F569" s="521">
        <v>490</v>
      </c>
      <c r="G569" s="521">
        <v>546</v>
      </c>
      <c r="H569" s="522">
        <v>13200</v>
      </c>
      <c r="I569" s="522">
        <v>15080</v>
      </c>
      <c r="J569" s="522">
        <v>16960</v>
      </c>
      <c r="K569" s="522">
        <v>18840</v>
      </c>
      <c r="L569" s="522">
        <v>20360</v>
      </c>
      <c r="M569" s="522">
        <v>21860</v>
      </c>
      <c r="N569" s="522">
        <v>23380</v>
      </c>
      <c r="O569" s="522">
        <v>24880</v>
      </c>
      <c r="P569" s="39"/>
      <c r="Q569" s="39"/>
    </row>
    <row r="570" spans="1:17" ht="13.5" thickTop="1">
      <c r="A570" s="46"/>
      <c r="B570" s="37">
        <v>1.2</v>
      </c>
      <c r="C570" s="523">
        <v>1980</v>
      </c>
      <c r="D570" s="523">
        <v>2121</v>
      </c>
      <c r="E570" s="523">
        <v>2544</v>
      </c>
      <c r="F570" s="523">
        <v>2940</v>
      </c>
      <c r="G570" s="523">
        <v>3279</v>
      </c>
      <c r="H570" s="523">
        <v>79200</v>
      </c>
      <c r="I570" s="523">
        <v>90480</v>
      </c>
      <c r="J570" s="523">
        <v>101760</v>
      </c>
      <c r="K570" s="523">
        <v>113040</v>
      </c>
      <c r="L570" s="523">
        <v>122160</v>
      </c>
      <c r="M570" s="523">
        <v>131160</v>
      </c>
      <c r="N570" s="523">
        <v>140280</v>
      </c>
      <c r="O570" s="523">
        <v>149280</v>
      </c>
      <c r="P570" s="45"/>
      <c r="Q570" s="45"/>
    </row>
    <row r="571" spans="1:17">
      <c r="A571" s="38"/>
      <c r="B571" s="778">
        <v>1</v>
      </c>
      <c r="C571" s="775">
        <v>1650</v>
      </c>
      <c r="D571" s="775">
        <v>1767</v>
      </c>
      <c r="E571" s="775">
        <v>2120</v>
      </c>
      <c r="F571" s="775">
        <v>2450</v>
      </c>
      <c r="G571" s="775">
        <v>2732</v>
      </c>
      <c r="H571" s="775">
        <v>66000</v>
      </c>
      <c r="I571" s="775">
        <v>75400</v>
      </c>
      <c r="J571" s="775">
        <v>84800</v>
      </c>
      <c r="K571" s="775">
        <v>94200</v>
      </c>
      <c r="L571" s="775">
        <v>101800</v>
      </c>
      <c r="M571" s="775">
        <v>109300</v>
      </c>
      <c r="N571" s="775">
        <v>116900</v>
      </c>
      <c r="O571" s="775">
        <v>124400</v>
      </c>
      <c r="P571" s="39"/>
      <c r="Q571" s="39"/>
    </row>
    <row r="572" spans="1:17">
      <c r="A572" s="43" t="s">
        <v>1287</v>
      </c>
      <c r="B572" s="778">
        <v>0.8</v>
      </c>
      <c r="C572" s="775">
        <v>1320</v>
      </c>
      <c r="D572" s="775">
        <v>1414</v>
      </c>
      <c r="E572" s="775">
        <v>1696</v>
      </c>
      <c r="F572" s="775">
        <v>1960</v>
      </c>
      <c r="G572" s="775">
        <v>2186</v>
      </c>
      <c r="H572" s="776">
        <v>52800</v>
      </c>
      <c r="I572" s="776">
        <v>60320</v>
      </c>
      <c r="J572" s="776">
        <v>67840</v>
      </c>
      <c r="K572" s="776">
        <v>75360</v>
      </c>
      <c r="L572" s="776">
        <v>81440</v>
      </c>
      <c r="M572" s="776">
        <v>87440</v>
      </c>
      <c r="N572" s="776">
        <v>93520</v>
      </c>
      <c r="O572" s="776">
        <v>99520</v>
      </c>
      <c r="P572" s="39"/>
      <c r="Q572" s="39"/>
    </row>
    <row r="573" spans="1:17">
      <c r="A573" s="43"/>
      <c r="B573" s="778">
        <v>0.7</v>
      </c>
      <c r="C573" s="775">
        <v>1155</v>
      </c>
      <c r="D573" s="775">
        <v>1237</v>
      </c>
      <c r="E573" s="775">
        <v>1484</v>
      </c>
      <c r="F573" s="775">
        <v>1715</v>
      </c>
      <c r="G573" s="775">
        <v>1912</v>
      </c>
      <c r="H573" s="776">
        <v>46200</v>
      </c>
      <c r="I573" s="776">
        <v>52780</v>
      </c>
      <c r="J573" s="776">
        <v>59359.999999999993</v>
      </c>
      <c r="K573" s="776">
        <v>65940</v>
      </c>
      <c r="L573" s="776">
        <v>71260</v>
      </c>
      <c r="M573" s="776">
        <v>76510</v>
      </c>
      <c r="N573" s="776">
        <v>81830</v>
      </c>
      <c r="O573" s="776">
        <v>87080</v>
      </c>
      <c r="P573" s="39"/>
      <c r="Q573" s="39"/>
    </row>
    <row r="574" spans="1:17">
      <c r="A574" s="38"/>
      <c r="B574" s="778">
        <v>0.6</v>
      </c>
      <c r="C574" s="775">
        <v>990</v>
      </c>
      <c r="D574" s="775">
        <v>1060</v>
      </c>
      <c r="E574" s="775">
        <v>1272</v>
      </c>
      <c r="F574" s="775">
        <v>1470</v>
      </c>
      <c r="G574" s="775">
        <v>1639</v>
      </c>
      <c r="H574" s="775">
        <v>39600</v>
      </c>
      <c r="I574" s="775">
        <v>45240</v>
      </c>
      <c r="J574" s="775">
        <v>50880</v>
      </c>
      <c r="K574" s="775">
        <v>56520</v>
      </c>
      <c r="L574" s="775">
        <v>61080</v>
      </c>
      <c r="M574" s="777">
        <v>65580</v>
      </c>
      <c r="N574" s="777">
        <v>70140</v>
      </c>
      <c r="O574" s="777">
        <v>74640</v>
      </c>
      <c r="P574" s="39"/>
      <c r="Q574" s="39"/>
    </row>
    <row r="575" spans="1:17">
      <c r="A575" s="38"/>
      <c r="B575" s="778">
        <v>0.55000000000000004</v>
      </c>
      <c r="C575" s="775">
        <v>907</v>
      </c>
      <c r="D575" s="775">
        <v>972</v>
      </c>
      <c r="E575" s="775">
        <v>1166</v>
      </c>
      <c r="F575" s="775">
        <v>1347</v>
      </c>
      <c r="G575" s="775">
        <v>1502</v>
      </c>
      <c r="H575" s="775">
        <v>36300</v>
      </c>
      <c r="I575" s="775">
        <v>41470</v>
      </c>
      <c r="J575" s="775">
        <v>46640.000000000007</v>
      </c>
      <c r="K575" s="775">
        <v>51810.000000000007</v>
      </c>
      <c r="L575" s="775">
        <v>55990.000000000007</v>
      </c>
      <c r="M575" s="775">
        <v>60115.000000000007</v>
      </c>
      <c r="N575" s="775">
        <v>64295.000000000007</v>
      </c>
      <c r="O575" s="775">
        <v>68420</v>
      </c>
      <c r="P575" s="39"/>
      <c r="Q575" s="39"/>
    </row>
    <row r="576" spans="1:17">
      <c r="A576" s="38"/>
      <c r="B576" s="778">
        <v>0.5</v>
      </c>
      <c r="C576" s="775">
        <v>825</v>
      </c>
      <c r="D576" s="775">
        <v>883</v>
      </c>
      <c r="E576" s="775">
        <v>1060</v>
      </c>
      <c r="F576" s="775">
        <v>1225</v>
      </c>
      <c r="G576" s="775">
        <v>1366</v>
      </c>
      <c r="H576" s="776">
        <v>33000</v>
      </c>
      <c r="I576" s="776">
        <v>37700</v>
      </c>
      <c r="J576" s="776">
        <v>42400</v>
      </c>
      <c r="K576" s="776">
        <v>47100</v>
      </c>
      <c r="L576" s="776">
        <v>50900</v>
      </c>
      <c r="M576" s="776">
        <v>54650</v>
      </c>
      <c r="N576" s="776">
        <v>58450</v>
      </c>
      <c r="O576" s="776">
        <v>62200</v>
      </c>
      <c r="P576" s="39"/>
      <c r="Q576" s="39"/>
    </row>
    <row r="577" spans="1:17">
      <c r="A577" s="38"/>
      <c r="B577" s="778">
        <v>0.45</v>
      </c>
      <c r="C577" s="775">
        <v>742</v>
      </c>
      <c r="D577" s="775">
        <v>795</v>
      </c>
      <c r="E577" s="775">
        <v>954</v>
      </c>
      <c r="F577" s="775">
        <v>1102</v>
      </c>
      <c r="G577" s="775">
        <v>1229</v>
      </c>
      <c r="H577" s="775">
        <v>29700</v>
      </c>
      <c r="I577" s="775">
        <v>33930</v>
      </c>
      <c r="J577" s="775">
        <v>38160</v>
      </c>
      <c r="K577" s="775">
        <v>42390</v>
      </c>
      <c r="L577" s="775">
        <v>45810</v>
      </c>
      <c r="M577" s="777">
        <v>49185</v>
      </c>
      <c r="N577" s="777">
        <v>52605</v>
      </c>
      <c r="O577" s="777">
        <v>55980</v>
      </c>
      <c r="P577" s="39"/>
      <c r="Q577" s="39"/>
    </row>
    <row r="578" spans="1:17">
      <c r="A578" s="38"/>
      <c r="B578" s="778">
        <v>0.4</v>
      </c>
      <c r="C578" s="775">
        <v>660</v>
      </c>
      <c r="D578" s="775">
        <v>707</v>
      </c>
      <c r="E578" s="775">
        <v>848</v>
      </c>
      <c r="F578" s="775">
        <v>980</v>
      </c>
      <c r="G578" s="775">
        <v>1093</v>
      </c>
      <c r="H578" s="775">
        <v>26400</v>
      </c>
      <c r="I578" s="775">
        <v>30160</v>
      </c>
      <c r="J578" s="775">
        <v>33920</v>
      </c>
      <c r="K578" s="775">
        <v>37680</v>
      </c>
      <c r="L578" s="775">
        <v>40720</v>
      </c>
      <c r="M578" s="777">
        <v>43720</v>
      </c>
      <c r="N578" s="777">
        <v>46760</v>
      </c>
      <c r="O578" s="777">
        <v>49760</v>
      </c>
      <c r="P578" s="39"/>
      <c r="Q578" s="39"/>
    </row>
    <row r="579" spans="1:17">
      <c r="A579" s="38"/>
      <c r="B579" s="519">
        <v>0.3</v>
      </c>
      <c r="C579" s="775">
        <v>495</v>
      </c>
      <c r="D579" s="775">
        <v>530</v>
      </c>
      <c r="E579" s="775">
        <v>636</v>
      </c>
      <c r="F579" s="775">
        <v>735</v>
      </c>
      <c r="G579" s="775">
        <v>819</v>
      </c>
      <c r="H579" s="776">
        <v>19800</v>
      </c>
      <c r="I579" s="776">
        <v>22620</v>
      </c>
      <c r="J579" s="776">
        <v>25440</v>
      </c>
      <c r="K579" s="776">
        <v>28260</v>
      </c>
      <c r="L579" s="776">
        <v>30540</v>
      </c>
      <c r="M579" s="776">
        <v>32790</v>
      </c>
      <c r="N579" s="776">
        <v>35070</v>
      </c>
      <c r="O579" s="776">
        <v>37320</v>
      </c>
      <c r="P579" s="39"/>
      <c r="Q579" s="39"/>
    </row>
    <row r="580" spans="1:17" ht="13.5" thickBot="1">
      <c r="A580" s="779"/>
      <c r="B580" s="40">
        <v>0.2</v>
      </c>
      <c r="C580" s="521">
        <v>330</v>
      </c>
      <c r="D580" s="521">
        <v>353</v>
      </c>
      <c r="E580" s="521">
        <v>424</v>
      </c>
      <c r="F580" s="521">
        <v>490</v>
      </c>
      <c r="G580" s="521">
        <v>546</v>
      </c>
      <c r="H580" s="522">
        <v>13200</v>
      </c>
      <c r="I580" s="522">
        <v>15080</v>
      </c>
      <c r="J580" s="522">
        <v>16960</v>
      </c>
      <c r="K580" s="522">
        <v>18840</v>
      </c>
      <c r="L580" s="522">
        <v>20360</v>
      </c>
      <c r="M580" s="522">
        <v>21860</v>
      </c>
      <c r="N580" s="522">
        <v>23380</v>
      </c>
      <c r="O580" s="522">
        <v>24880</v>
      </c>
      <c r="P580" s="39"/>
      <c r="Q580" s="39"/>
    </row>
    <row r="581" spans="1:17" ht="13.5" thickTop="1">
      <c r="A581" s="38"/>
      <c r="B581" s="37">
        <v>1.2</v>
      </c>
      <c r="C581" s="523">
        <v>1980</v>
      </c>
      <c r="D581" s="523">
        <v>2121</v>
      </c>
      <c r="E581" s="523">
        <v>2544</v>
      </c>
      <c r="F581" s="523">
        <v>2940</v>
      </c>
      <c r="G581" s="523">
        <v>3279</v>
      </c>
      <c r="H581" s="523">
        <v>79200</v>
      </c>
      <c r="I581" s="523">
        <v>90480</v>
      </c>
      <c r="J581" s="523">
        <v>101760</v>
      </c>
      <c r="K581" s="523">
        <v>113040</v>
      </c>
      <c r="L581" s="523">
        <v>122160</v>
      </c>
      <c r="M581" s="523">
        <v>131160</v>
      </c>
      <c r="N581" s="523">
        <v>140280</v>
      </c>
      <c r="O581" s="523">
        <v>149280</v>
      </c>
      <c r="P581" s="45"/>
      <c r="Q581" s="45"/>
    </row>
    <row r="582" spans="1:17">
      <c r="A582" s="38"/>
      <c r="B582" s="778">
        <v>1</v>
      </c>
      <c r="C582" s="775">
        <v>1650</v>
      </c>
      <c r="D582" s="775">
        <v>1767</v>
      </c>
      <c r="E582" s="775">
        <v>2120</v>
      </c>
      <c r="F582" s="775">
        <v>2450</v>
      </c>
      <c r="G582" s="775">
        <v>2732</v>
      </c>
      <c r="H582" s="775">
        <v>66000</v>
      </c>
      <c r="I582" s="775">
        <v>75400</v>
      </c>
      <c r="J582" s="775">
        <v>84800</v>
      </c>
      <c r="K582" s="775">
        <v>94200</v>
      </c>
      <c r="L582" s="775">
        <v>101800</v>
      </c>
      <c r="M582" s="775">
        <v>109300</v>
      </c>
      <c r="N582" s="775">
        <v>116900</v>
      </c>
      <c r="O582" s="775">
        <v>124400</v>
      </c>
      <c r="P582" s="39"/>
      <c r="Q582" s="39"/>
    </row>
    <row r="583" spans="1:17">
      <c r="A583" s="38" t="s">
        <v>1288</v>
      </c>
      <c r="B583" s="778">
        <v>0.8</v>
      </c>
      <c r="C583" s="775">
        <v>1320</v>
      </c>
      <c r="D583" s="775">
        <v>1414</v>
      </c>
      <c r="E583" s="775">
        <v>1696</v>
      </c>
      <c r="F583" s="775">
        <v>1960</v>
      </c>
      <c r="G583" s="775">
        <v>2186</v>
      </c>
      <c r="H583" s="776">
        <v>52800</v>
      </c>
      <c r="I583" s="776">
        <v>60320</v>
      </c>
      <c r="J583" s="776">
        <v>67840</v>
      </c>
      <c r="K583" s="776">
        <v>75360</v>
      </c>
      <c r="L583" s="776">
        <v>81440</v>
      </c>
      <c r="M583" s="776">
        <v>87440</v>
      </c>
      <c r="N583" s="776">
        <v>93520</v>
      </c>
      <c r="O583" s="776">
        <v>99520</v>
      </c>
      <c r="P583" s="39"/>
      <c r="Q583" s="39"/>
    </row>
    <row r="584" spans="1:17">
      <c r="A584" s="38"/>
      <c r="B584" s="778">
        <v>0.7</v>
      </c>
      <c r="C584" s="775">
        <v>1155</v>
      </c>
      <c r="D584" s="775">
        <v>1237</v>
      </c>
      <c r="E584" s="775">
        <v>1484</v>
      </c>
      <c r="F584" s="775">
        <v>1715</v>
      </c>
      <c r="G584" s="775">
        <v>1912</v>
      </c>
      <c r="H584" s="776">
        <v>46200</v>
      </c>
      <c r="I584" s="776">
        <v>52780</v>
      </c>
      <c r="J584" s="776">
        <v>59359.999999999993</v>
      </c>
      <c r="K584" s="776">
        <v>65940</v>
      </c>
      <c r="L584" s="776">
        <v>71260</v>
      </c>
      <c r="M584" s="776">
        <v>76510</v>
      </c>
      <c r="N584" s="776">
        <v>81830</v>
      </c>
      <c r="O584" s="776">
        <v>87080</v>
      </c>
      <c r="P584" s="39"/>
      <c r="Q584" s="39"/>
    </row>
    <row r="585" spans="1:17">
      <c r="A585" s="38"/>
      <c r="B585" s="778">
        <v>0.6</v>
      </c>
      <c r="C585" s="775">
        <v>990</v>
      </c>
      <c r="D585" s="775">
        <v>1060</v>
      </c>
      <c r="E585" s="775">
        <v>1272</v>
      </c>
      <c r="F585" s="775">
        <v>1470</v>
      </c>
      <c r="G585" s="775">
        <v>1639</v>
      </c>
      <c r="H585" s="775">
        <v>39600</v>
      </c>
      <c r="I585" s="775">
        <v>45240</v>
      </c>
      <c r="J585" s="775">
        <v>50880</v>
      </c>
      <c r="K585" s="775">
        <v>56520</v>
      </c>
      <c r="L585" s="775">
        <v>61080</v>
      </c>
      <c r="M585" s="777">
        <v>65580</v>
      </c>
      <c r="N585" s="777">
        <v>70140</v>
      </c>
      <c r="O585" s="777">
        <v>74640</v>
      </c>
      <c r="P585" s="39"/>
      <c r="Q585" s="39"/>
    </row>
    <row r="586" spans="1:17">
      <c r="A586" s="38"/>
      <c r="B586" s="778">
        <v>0.55000000000000004</v>
      </c>
      <c r="C586" s="775">
        <v>907</v>
      </c>
      <c r="D586" s="775">
        <v>972</v>
      </c>
      <c r="E586" s="775">
        <v>1166</v>
      </c>
      <c r="F586" s="775">
        <v>1347</v>
      </c>
      <c r="G586" s="775">
        <v>1502</v>
      </c>
      <c r="H586" s="775">
        <v>36300</v>
      </c>
      <c r="I586" s="775">
        <v>41470</v>
      </c>
      <c r="J586" s="775">
        <v>46640.000000000007</v>
      </c>
      <c r="K586" s="775">
        <v>51810.000000000007</v>
      </c>
      <c r="L586" s="775">
        <v>55990.000000000007</v>
      </c>
      <c r="M586" s="775">
        <v>60115.000000000007</v>
      </c>
      <c r="N586" s="775">
        <v>64295.000000000007</v>
      </c>
      <c r="O586" s="775">
        <v>68420</v>
      </c>
      <c r="P586" s="39"/>
      <c r="Q586" s="39"/>
    </row>
    <row r="587" spans="1:17">
      <c r="A587" s="38"/>
      <c r="B587" s="778">
        <v>0.5</v>
      </c>
      <c r="C587" s="775">
        <v>825</v>
      </c>
      <c r="D587" s="775">
        <v>883</v>
      </c>
      <c r="E587" s="775">
        <v>1060</v>
      </c>
      <c r="F587" s="775">
        <v>1225</v>
      </c>
      <c r="G587" s="775">
        <v>1366</v>
      </c>
      <c r="H587" s="776">
        <v>33000</v>
      </c>
      <c r="I587" s="776">
        <v>37700</v>
      </c>
      <c r="J587" s="776">
        <v>42400</v>
      </c>
      <c r="K587" s="776">
        <v>47100</v>
      </c>
      <c r="L587" s="776">
        <v>50900</v>
      </c>
      <c r="M587" s="776">
        <v>54650</v>
      </c>
      <c r="N587" s="776">
        <v>58450</v>
      </c>
      <c r="O587" s="776">
        <v>62200</v>
      </c>
      <c r="P587" s="39"/>
      <c r="Q587" s="39"/>
    </row>
    <row r="588" spans="1:17">
      <c r="A588" s="38"/>
      <c r="B588" s="778">
        <v>0.45</v>
      </c>
      <c r="C588" s="775">
        <v>742</v>
      </c>
      <c r="D588" s="775">
        <v>795</v>
      </c>
      <c r="E588" s="775">
        <v>954</v>
      </c>
      <c r="F588" s="775">
        <v>1102</v>
      </c>
      <c r="G588" s="775">
        <v>1229</v>
      </c>
      <c r="H588" s="775">
        <v>29700</v>
      </c>
      <c r="I588" s="775">
        <v>33930</v>
      </c>
      <c r="J588" s="775">
        <v>38160</v>
      </c>
      <c r="K588" s="775">
        <v>42390</v>
      </c>
      <c r="L588" s="775">
        <v>45810</v>
      </c>
      <c r="M588" s="777">
        <v>49185</v>
      </c>
      <c r="N588" s="777">
        <v>52605</v>
      </c>
      <c r="O588" s="777">
        <v>55980</v>
      </c>
      <c r="P588" s="39"/>
      <c r="Q588" s="39"/>
    </row>
    <row r="589" spans="1:17">
      <c r="A589" s="38"/>
      <c r="B589" s="778">
        <v>0.4</v>
      </c>
      <c r="C589" s="775">
        <v>660</v>
      </c>
      <c r="D589" s="775">
        <v>707</v>
      </c>
      <c r="E589" s="775">
        <v>848</v>
      </c>
      <c r="F589" s="775">
        <v>980</v>
      </c>
      <c r="G589" s="775">
        <v>1093</v>
      </c>
      <c r="H589" s="775">
        <v>26400</v>
      </c>
      <c r="I589" s="775">
        <v>30160</v>
      </c>
      <c r="J589" s="775">
        <v>33920</v>
      </c>
      <c r="K589" s="775">
        <v>37680</v>
      </c>
      <c r="L589" s="775">
        <v>40720</v>
      </c>
      <c r="M589" s="777">
        <v>43720</v>
      </c>
      <c r="N589" s="777">
        <v>46760</v>
      </c>
      <c r="O589" s="777">
        <v>49760</v>
      </c>
      <c r="P589" s="39"/>
      <c r="Q589" s="39"/>
    </row>
    <row r="590" spans="1:17">
      <c r="A590" s="38"/>
      <c r="B590" s="519">
        <v>0.3</v>
      </c>
      <c r="C590" s="775">
        <v>495</v>
      </c>
      <c r="D590" s="775">
        <v>530</v>
      </c>
      <c r="E590" s="775">
        <v>636</v>
      </c>
      <c r="F590" s="775">
        <v>735</v>
      </c>
      <c r="G590" s="775">
        <v>819</v>
      </c>
      <c r="H590" s="776">
        <v>19800</v>
      </c>
      <c r="I590" s="776">
        <v>22620</v>
      </c>
      <c r="J590" s="776">
        <v>25440</v>
      </c>
      <c r="K590" s="776">
        <v>28260</v>
      </c>
      <c r="L590" s="776">
        <v>30540</v>
      </c>
      <c r="M590" s="776">
        <v>32790</v>
      </c>
      <c r="N590" s="776">
        <v>35070</v>
      </c>
      <c r="O590" s="776">
        <v>37320</v>
      </c>
      <c r="P590" s="39"/>
      <c r="Q590" s="39"/>
    </row>
    <row r="591" spans="1:17" ht="13.5" thickBot="1">
      <c r="A591" s="779"/>
      <c r="B591" s="40">
        <v>0.2</v>
      </c>
      <c r="C591" s="521">
        <v>330</v>
      </c>
      <c r="D591" s="521">
        <v>353</v>
      </c>
      <c r="E591" s="521">
        <v>424</v>
      </c>
      <c r="F591" s="521">
        <v>490</v>
      </c>
      <c r="G591" s="521">
        <v>546</v>
      </c>
      <c r="H591" s="522">
        <v>13200</v>
      </c>
      <c r="I591" s="522">
        <v>15080</v>
      </c>
      <c r="J591" s="522">
        <v>16960</v>
      </c>
      <c r="K591" s="522">
        <v>18840</v>
      </c>
      <c r="L591" s="522">
        <v>20360</v>
      </c>
      <c r="M591" s="522">
        <v>21860</v>
      </c>
      <c r="N591" s="522">
        <v>23380</v>
      </c>
      <c r="O591" s="522">
        <v>24880</v>
      </c>
      <c r="P591" s="39"/>
      <c r="Q591" s="39"/>
    </row>
    <row r="592" spans="1:17" ht="13.5" thickTop="1">
      <c r="A592" s="38"/>
      <c r="B592" s="37">
        <v>1.2</v>
      </c>
      <c r="C592" s="523">
        <v>1980</v>
      </c>
      <c r="D592" s="523">
        <v>2121</v>
      </c>
      <c r="E592" s="523">
        <v>2544</v>
      </c>
      <c r="F592" s="523">
        <v>2940</v>
      </c>
      <c r="G592" s="523">
        <v>3279</v>
      </c>
      <c r="H592" s="523">
        <v>79200</v>
      </c>
      <c r="I592" s="523">
        <v>90480</v>
      </c>
      <c r="J592" s="523">
        <v>101760</v>
      </c>
      <c r="K592" s="523">
        <v>113040</v>
      </c>
      <c r="L592" s="523">
        <v>122160</v>
      </c>
      <c r="M592" s="523">
        <v>131160</v>
      </c>
      <c r="N592" s="523">
        <v>140280</v>
      </c>
      <c r="O592" s="523">
        <v>149280</v>
      </c>
      <c r="P592" s="39"/>
      <c r="Q592" s="39"/>
    </row>
    <row r="593" spans="1:17">
      <c r="A593" s="38"/>
      <c r="B593" s="778">
        <v>1</v>
      </c>
      <c r="C593" s="775">
        <v>1650</v>
      </c>
      <c r="D593" s="775">
        <v>1767</v>
      </c>
      <c r="E593" s="775">
        <v>2120</v>
      </c>
      <c r="F593" s="775">
        <v>2450</v>
      </c>
      <c r="G593" s="775">
        <v>2732</v>
      </c>
      <c r="H593" s="775">
        <v>66000</v>
      </c>
      <c r="I593" s="775">
        <v>75400</v>
      </c>
      <c r="J593" s="775">
        <v>84800</v>
      </c>
      <c r="K593" s="775">
        <v>94200</v>
      </c>
      <c r="L593" s="775">
        <v>101800</v>
      </c>
      <c r="M593" s="775">
        <v>109300</v>
      </c>
      <c r="N593" s="775">
        <v>116900</v>
      </c>
      <c r="O593" s="775">
        <v>124400</v>
      </c>
      <c r="P593" s="39"/>
      <c r="Q593" s="39"/>
    </row>
    <row r="594" spans="1:17">
      <c r="A594" s="38" t="s">
        <v>1289</v>
      </c>
      <c r="B594" s="778">
        <v>0.8</v>
      </c>
      <c r="C594" s="775">
        <v>1320</v>
      </c>
      <c r="D594" s="775">
        <v>1414</v>
      </c>
      <c r="E594" s="775">
        <v>1696</v>
      </c>
      <c r="F594" s="775">
        <v>1960</v>
      </c>
      <c r="G594" s="775">
        <v>2186</v>
      </c>
      <c r="H594" s="776">
        <v>52800</v>
      </c>
      <c r="I594" s="776">
        <v>60320</v>
      </c>
      <c r="J594" s="776">
        <v>67840</v>
      </c>
      <c r="K594" s="776">
        <v>75360</v>
      </c>
      <c r="L594" s="776">
        <v>81440</v>
      </c>
      <c r="M594" s="776">
        <v>87440</v>
      </c>
      <c r="N594" s="776">
        <v>93520</v>
      </c>
      <c r="O594" s="776">
        <v>99520</v>
      </c>
      <c r="P594" s="39"/>
      <c r="Q594" s="39"/>
    </row>
    <row r="595" spans="1:17">
      <c r="A595" s="38"/>
      <c r="B595" s="778">
        <v>0.7</v>
      </c>
      <c r="C595" s="775">
        <v>1155</v>
      </c>
      <c r="D595" s="775">
        <v>1237</v>
      </c>
      <c r="E595" s="775">
        <v>1484</v>
      </c>
      <c r="F595" s="775">
        <v>1715</v>
      </c>
      <c r="G595" s="775">
        <v>1912</v>
      </c>
      <c r="H595" s="776">
        <v>46200</v>
      </c>
      <c r="I595" s="776">
        <v>52780</v>
      </c>
      <c r="J595" s="776">
        <v>59359.999999999993</v>
      </c>
      <c r="K595" s="776">
        <v>65940</v>
      </c>
      <c r="L595" s="776">
        <v>71260</v>
      </c>
      <c r="M595" s="776">
        <v>76510</v>
      </c>
      <c r="N595" s="776">
        <v>81830</v>
      </c>
      <c r="O595" s="776">
        <v>87080</v>
      </c>
      <c r="P595" s="39"/>
      <c r="Q595" s="39"/>
    </row>
    <row r="596" spans="1:17">
      <c r="A596" s="38"/>
      <c r="B596" s="778">
        <v>0.6</v>
      </c>
      <c r="C596" s="775">
        <v>990</v>
      </c>
      <c r="D596" s="775">
        <v>1060</v>
      </c>
      <c r="E596" s="775">
        <v>1272</v>
      </c>
      <c r="F596" s="775">
        <v>1470</v>
      </c>
      <c r="G596" s="775">
        <v>1639</v>
      </c>
      <c r="H596" s="775">
        <v>39600</v>
      </c>
      <c r="I596" s="775">
        <v>45240</v>
      </c>
      <c r="J596" s="775">
        <v>50880</v>
      </c>
      <c r="K596" s="775">
        <v>56520</v>
      </c>
      <c r="L596" s="775">
        <v>61080</v>
      </c>
      <c r="M596" s="777">
        <v>65580</v>
      </c>
      <c r="N596" s="777">
        <v>70140</v>
      </c>
      <c r="O596" s="777">
        <v>74640</v>
      </c>
      <c r="P596" s="39"/>
      <c r="Q596" s="39"/>
    </row>
    <row r="597" spans="1:17">
      <c r="A597" s="38"/>
      <c r="B597" s="778">
        <v>0.55000000000000004</v>
      </c>
      <c r="C597" s="775">
        <v>907</v>
      </c>
      <c r="D597" s="775">
        <v>972</v>
      </c>
      <c r="E597" s="775">
        <v>1166</v>
      </c>
      <c r="F597" s="775">
        <v>1347</v>
      </c>
      <c r="G597" s="775">
        <v>1502</v>
      </c>
      <c r="H597" s="775">
        <v>36300</v>
      </c>
      <c r="I597" s="775">
        <v>41470</v>
      </c>
      <c r="J597" s="775">
        <v>46640.000000000007</v>
      </c>
      <c r="K597" s="775">
        <v>51810.000000000007</v>
      </c>
      <c r="L597" s="775">
        <v>55990.000000000007</v>
      </c>
      <c r="M597" s="775">
        <v>60115.000000000007</v>
      </c>
      <c r="N597" s="775">
        <v>64295.000000000007</v>
      </c>
      <c r="O597" s="775">
        <v>68420</v>
      </c>
      <c r="P597" s="39"/>
      <c r="Q597" s="39"/>
    </row>
    <row r="598" spans="1:17">
      <c r="A598" s="38"/>
      <c r="B598" s="778">
        <v>0.5</v>
      </c>
      <c r="C598" s="775">
        <v>825</v>
      </c>
      <c r="D598" s="775">
        <v>883</v>
      </c>
      <c r="E598" s="775">
        <v>1060</v>
      </c>
      <c r="F598" s="775">
        <v>1225</v>
      </c>
      <c r="G598" s="775">
        <v>1366</v>
      </c>
      <c r="H598" s="776">
        <v>33000</v>
      </c>
      <c r="I598" s="776">
        <v>37700</v>
      </c>
      <c r="J598" s="776">
        <v>42400</v>
      </c>
      <c r="K598" s="776">
        <v>47100</v>
      </c>
      <c r="L598" s="776">
        <v>50900</v>
      </c>
      <c r="M598" s="776">
        <v>54650</v>
      </c>
      <c r="N598" s="776">
        <v>58450</v>
      </c>
      <c r="O598" s="776">
        <v>62200</v>
      </c>
      <c r="P598" s="39"/>
      <c r="Q598" s="39"/>
    </row>
    <row r="599" spans="1:17">
      <c r="A599" s="38"/>
      <c r="B599" s="778">
        <v>0.45</v>
      </c>
      <c r="C599" s="775">
        <v>742</v>
      </c>
      <c r="D599" s="775">
        <v>795</v>
      </c>
      <c r="E599" s="775">
        <v>954</v>
      </c>
      <c r="F599" s="775">
        <v>1102</v>
      </c>
      <c r="G599" s="775">
        <v>1229</v>
      </c>
      <c r="H599" s="775">
        <v>29700</v>
      </c>
      <c r="I599" s="775">
        <v>33930</v>
      </c>
      <c r="J599" s="775">
        <v>38160</v>
      </c>
      <c r="K599" s="775">
        <v>42390</v>
      </c>
      <c r="L599" s="775">
        <v>45810</v>
      </c>
      <c r="M599" s="777">
        <v>49185</v>
      </c>
      <c r="N599" s="777">
        <v>52605</v>
      </c>
      <c r="O599" s="777">
        <v>55980</v>
      </c>
      <c r="P599" s="39"/>
      <c r="Q599" s="39"/>
    </row>
    <row r="600" spans="1:17">
      <c r="A600" s="38"/>
      <c r="B600" s="778">
        <v>0.4</v>
      </c>
      <c r="C600" s="775">
        <v>660</v>
      </c>
      <c r="D600" s="775">
        <v>707</v>
      </c>
      <c r="E600" s="775">
        <v>848</v>
      </c>
      <c r="F600" s="775">
        <v>980</v>
      </c>
      <c r="G600" s="775">
        <v>1093</v>
      </c>
      <c r="H600" s="775">
        <v>26400</v>
      </c>
      <c r="I600" s="775">
        <v>30160</v>
      </c>
      <c r="J600" s="775">
        <v>33920</v>
      </c>
      <c r="K600" s="775">
        <v>37680</v>
      </c>
      <c r="L600" s="775">
        <v>40720</v>
      </c>
      <c r="M600" s="777">
        <v>43720</v>
      </c>
      <c r="N600" s="777">
        <v>46760</v>
      </c>
      <c r="O600" s="777">
        <v>49760</v>
      </c>
      <c r="P600" s="39"/>
      <c r="Q600" s="39"/>
    </row>
    <row r="601" spans="1:17">
      <c r="A601" s="38"/>
      <c r="B601" s="519">
        <v>0.3</v>
      </c>
      <c r="C601" s="775">
        <v>495</v>
      </c>
      <c r="D601" s="775">
        <v>530</v>
      </c>
      <c r="E601" s="775">
        <v>636</v>
      </c>
      <c r="F601" s="775">
        <v>735</v>
      </c>
      <c r="G601" s="775">
        <v>819</v>
      </c>
      <c r="H601" s="776">
        <v>19800</v>
      </c>
      <c r="I601" s="776">
        <v>22620</v>
      </c>
      <c r="J601" s="776">
        <v>25440</v>
      </c>
      <c r="K601" s="776">
        <v>28260</v>
      </c>
      <c r="L601" s="776">
        <v>30540</v>
      </c>
      <c r="M601" s="776">
        <v>32790</v>
      </c>
      <c r="N601" s="776">
        <v>35070</v>
      </c>
      <c r="O601" s="776">
        <v>37320</v>
      </c>
      <c r="P601" s="39"/>
      <c r="Q601" s="39"/>
    </row>
    <row r="602" spans="1:17" ht="13.5" thickBot="1">
      <c r="A602" s="779"/>
      <c r="B602" s="40">
        <v>0.2</v>
      </c>
      <c r="C602" s="521">
        <v>330</v>
      </c>
      <c r="D602" s="521">
        <v>353</v>
      </c>
      <c r="E602" s="521">
        <v>424</v>
      </c>
      <c r="F602" s="521">
        <v>490</v>
      </c>
      <c r="G602" s="521">
        <v>546</v>
      </c>
      <c r="H602" s="522">
        <v>13200</v>
      </c>
      <c r="I602" s="522">
        <v>15080</v>
      </c>
      <c r="J602" s="522">
        <v>16960</v>
      </c>
      <c r="K602" s="522">
        <v>18840</v>
      </c>
      <c r="L602" s="522">
        <v>20360</v>
      </c>
      <c r="M602" s="522">
        <v>21860</v>
      </c>
      <c r="N602" s="522">
        <v>23380</v>
      </c>
      <c r="O602" s="522">
        <v>24880</v>
      </c>
      <c r="P602" s="39"/>
      <c r="Q602" s="39"/>
    </row>
    <row r="603" spans="1:17" ht="13.5" thickTop="1">
      <c r="A603" s="38"/>
      <c r="B603" s="37">
        <v>1.2</v>
      </c>
      <c r="C603" s="523">
        <v>2502</v>
      </c>
      <c r="D603" s="523">
        <v>2680</v>
      </c>
      <c r="E603" s="523">
        <v>3216</v>
      </c>
      <c r="F603" s="523">
        <v>3717</v>
      </c>
      <c r="G603" s="523">
        <v>4146</v>
      </c>
      <c r="H603" s="523">
        <v>100080</v>
      </c>
      <c r="I603" s="523">
        <v>114360</v>
      </c>
      <c r="J603" s="523">
        <v>128640</v>
      </c>
      <c r="K603" s="523">
        <v>142920</v>
      </c>
      <c r="L603" s="523">
        <v>154440</v>
      </c>
      <c r="M603" s="523">
        <v>165840</v>
      </c>
      <c r="N603" s="523">
        <v>177240</v>
      </c>
      <c r="O603" s="523">
        <v>188760</v>
      </c>
      <c r="P603" s="45"/>
      <c r="Q603" s="45"/>
    </row>
    <row r="604" spans="1:17">
      <c r="A604" s="38"/>
      <c r="B604" s="778">
        <v>1</v>
      </c>
      <c r="C604" s="775">
        <v>2085</v>
      </c>
      <c r="D604" s="775">
        <v>2233</v>
      </c>
      <c r="E604" s="775">
        <v>2680</v>
      </c>
      <c r="F604" s="775">
        <v>3097</v>
      </c>
      <c r="G604" s="775">
        <v>3455</v>
      </c>
      <c r="H604" s="775">
        <v>83400</v>
      </c>
      <c r="I604" s="775">
        <v>95300</v>
      </c>
      <c r="J604" s="775">
        <v>107200</v>
      </c>
      <c r="K604" s="775">
        <v>119100</v>
      </c>
      <c r="L604" s="775">
        <v>128700</v>
      </c>
      <c r="M604" s="775">
        <v>138200</v>
      </c>
      <c r="N604" s="775">
        <v>147700</v>
      </c>
      <c r="O604" s="775">
        <v>157300</v>
      </c>
      <c r="P604" s="39"/>
      <c r="Q604" s="39"/>
    </row>
    <row r="605" spans="1:17">
      <c r="A605" s="38" t="s">
        <v>1290</v>
      </c>
      <c r="B605" s="778">
        <v>0.8</v>
      </c>
      <c r="C605" s="775">
        <v>1668</v>
      </c>
      <c r="D605" s="775">
        <v>1787</v>
      </c>
      <c r="E605" s="775">
        <v>2144</v>
      </c>
      <c r="F605" s="775">
        <v>2478</v>
      </c>
      <c r="G605" s="775">
        <v>2764</v>
      </c>
      <c r="H605" s="776">
        <v>66720</v>
      </c>
      <c r="I605" s="776">
        <v>76240</v>
      </c>
      <c r="J605" s="776">
        <v>85760</v>
      </c>
      <c r="K605" s="776">
        <v>95280</v>
      </c>
      <c r="L605" s="776">
        <v>102960</v>
      </c>
      <c r="M605" s="776">
        <v>110560</v>
      </c>
      <c r="N605" s="776">
        <v>118160</v>
      </c>
      <c r="O605" s="776">
        <v>125840</v>
      </c>
      <c r="P605" s="39"/>
      <c r="Q605" s="39"/>
    </row>
    <row r="606" spans="1:17">
      <c r="A606" s="38"/>
      <c r="B606" s="778">
        <v>0.7</v>
      </c>
      <c r="C606" s="775">
        <v>1459</v>
      </c>
      <c r="D606" s="775">
        <v>1563</v>
      </c>
      <c r="E606" s="775">
        <v>1876</v>
      </c>
      <c r="F606" s="775">
        <v>2168</v>
      </c>
      <c r="G606" s="775">
        <v>2418</v>
      </c>
      <c r="H606" s="776">
        <v>58379.999999999993</v>
      </c>
      <c r="I606" s="776">
        <v>66710</v>
      </c>
      <c r="J606" s="776">
        <v>75040</v>
      </c>
      <c r="K606" s="776">
        <v>83370</v>
      </c>
      <c r="L606" s="776">
        <v>90090</v>
      </c>
      <c r="M606" s="776">
        <v>96740</v>
      </c>
      <c r="N606" s="776">
        <v>103390</v>
      </c>
      <c r="O606" s="776">
        <v>110110</v>
      </c>
      <c r="P606" s="39"/>
      <c r="Q606" s="39"/>
    </row>
    <row r="607" spans="1:17">
      <c r="A607" s="38"/>
      <c r="B607" s="778">
        <v>0.6</v>
      </c>
      <c r="C607" s="775">
        <v>1251</v>
      </c>
      <c r="D607" s="775">
        <v>1340</v>
      </c>
      <c r="E607" s="775">
        <v>1608</v>
      </c>
      <c r="F607" s="775">
        <v>1858</v>
      </c>
      <c r="G607" s="775">
        <v>2073</v>
      </c>
      <c r="H607" s="775">
        <v>50040</v>
      </c>
      <c r="I607" s="775">
        <v>57180</v>
      </c>
      <c r="J607" s="775">
        <v>64320</v>
      </c>
      <c r="K607" s="775">
        <v>71460</v>
      </c>
      <c r="L607" s="775">
        <v>77220</v>
      </c>
      <c r="M607" s="777">
        <v>82920</v>
      </c>
      <c r="N607" s="777">
        <v>88620</v>
      </c>
      <c r="O607" s="777">
        <v>94380</v>
      </c>
      <c r="P607" s="39"/>
      <c r="Q607" s="39"/>
    </row>
    <row r="608" spans="1:17">
      <c r="A608" s="38"/>
      <c r="B608" s="778">
        <v>0.55000000000000004</v>
      </c>
      <c r="C608" s="775">
        <v>1146</v>
      </c>
      <c r="D608" s="775">
        <v>1228</v>
      </c>
      <c r="E608" s="775">
        <v>1474</v>
      </c>
      <c r="F608" s="775">
        <v>1703</v>
      </c>
      <c r="G608" s="775">
        <v>1900</v>
      </c>
      <c r="H608" s="775">
        <v>45870.000000000007</v>
      </c>
      <c r="I608" s="775">
        <v>52415.000000000007</v>
      </c>
      <c r="J608" s="775">
        <v>58960.000000000007</v>
      </c>
      <c r="K608" s="775">
        <v>65505.000000000007</v>
      </c>
      <c r="L608" s="775">
        <v>70785</v>
      </c>
      <c r="M608" s="775">
        <v>76010</v>
      </c>
      <c r="N608" s="775">
        <v>81235</v>
      </c>
      <c r="O608" s="775">
        <v>86515</v>
      </c>
      <c r="P608" s="39"/>
      <c r="Q608" s="39"/>
    </row>
    <row r="609" spans="1:17">
      <c r="A609" s="38"/>
      <c r="B609" s="778">
        <v>0.5</v>
      </c>
      <c r="C609" s="775">
        <v>1042</v>
      </c>
      <c r="D609" s="775">
        <v>1116</v>
      </c>
      <c r="E609" s="775">
        <v>1340</v>
      </c>
      <c r="F609" s="775">
        <v>1548</v>
      </c>
      <c r="G609" s="775">
        <v>1727</v>
      </c>
      <c r="H609" s="776">
        <v>41700</v>
      </c>
      <c r="I609" s="776">
        <v>47650</v>
      </c>
      <c r="J609" s="776">
        <v>53600</v>
      </c>
      <c r="K609" s="776">
        <v>59550</v>
      </c>
      <c r="L609" s="776">
        <v>64350</v>
      </c>
      <c r="M609" s="776">
        <v>69100</v>
      </c>
      <c r="N609" s="776">
        <v>73850</v>
      </c>
      <c r="O609" s="776">
        <v>78650</v>
      </c>
      <c r="P609" s="39"/>
      <c r="Q609" s="39"/>
    </row>
    <row r="610" spans="1:17">
      <c r="A610" s="38"/>
      <c r="B610" s="778">
        <v>0.45</v>
      </c>
      <c r="C610" s="775">
        <v>938</v>
      </c>
      <c r="D610" s="775">
        <v>1005</v>
      </c>
      <c r="E610" s="775">
        <v>1206</v>
      </c>
      <c r="F610" s="775">
        <v>1393</v>
      </c>
      <c r="G610" s="775">
        <v>1554</v>
      </c>
      <c r="H610" s="775">
        <v>37530</v>
      </c>
      <c r="I610" s="775">
        <v>42885</v>
      </c>
      <c r="J610" s="775">
        <v>48240</v>
      </c>
      <c r="K610" s="775">
        <v>53595</v>
      </c>
      <c r="L610" s="775">
        <v>57915</v>
      </c>
      <c r="M610" s="777">
        <v>62190</v>
      </c>
      <c r="N610" s="777">
        <v>66465</v>
      </c>
      <c r="O610" s="777">
        <v>70785</v>
      </c>
      <c r="P610" s="39"/>
      <c r="Q610" s="39"/>
    </row>
    <row r="611" spans="1:17">
      <c r="A611" s="38"/>
      <c r="B611" s="778">
        <v>0.4</v>
      </c>
      <c r="C611" s="775">
        <v>834</v>
      </c>
      <c r="D611" s="775">
        <v>893</v>
      </c>
      <c r="E611" s="775">
        <v>1072</v>
      </c>
      <c r="F611" s="775">
        <v>1239</v>
      </c>
      <c r="G611" s="775">
        <v>1382</v>
      </c>
      <c r="H611" s="775">
        <v>33360</v>
      </c>
      <c r="I611" s="775">
        <v>38120</v>
      </c>
      <c r="J611" s="775">
        <v>42880</v>
      </c>
      <c r="K611" s="775">
        <v>47640</v>
      </c>
      <c r="L611" s="775">
        <v>51480</v>
      </c>
      <c r="M611" s="777">
        <v>55280</v>
      </c>
      <c r="N611" s="777">
        <v>59080</v>
      </c>
      <c r="O611" s="777">
        <v>62920</v>
      </c>
      <c r="P611" s="39"/>
      <c r="Q611" s="39"/>
    </row>
    <row r="612" spans="1:17">
      <c r="A612" s="38"/>
      <c r="B612" s="519">
        <v>0.3</v>
      </c>
      <c r="C612" s="775">
        <v>625</v>
      </c>
      <c r="D612" s="775">
        <v>670</v>
      </c>
      <c r="E612" s="775">
        <v>804</v>
      </c>
      <c r="F612" s="775">
        <v>929</v>
      </c>
      <c r="G612" s="775">
        <v>1036</v>
      </c>
      <c r="H612" s="776">
        <v>25020</v>
      </c>
      <c r="I612" s="776">
        <v>28590</v>
      </c>
      <c r="J612" s="776">
        <v>32160</v>
      </c>
      <c r="K612" s="776">
        <v>35730</v>
      </c>
      <c r="L612" s="776">
        <v>38610</v>
      </c>
      <c r="M612" s="776">
        <v>41460</v>
      </c>
      <c r="N612" s="776">
        <v>44310</v>
      </c>
      <c r="O612" s="776">
        <v>47190</v>
      </c>
      <c r="P612" s="39"/>
      <c r="Q612" s="39"/>
    </row>
    <row r="613" spans="1:17" ht="13.5" thickBot="1">
      <c r="A613" s="779"/>
      <c r="B613" s="40">
        <v>0.2</v>
      </c>
      <c r="C613" s="521">
        <v>417</v>
      </c>
      <c r="D613" s="521">
        <v>446</v>
      </c>
      <c r="E613" s="521">
        <v>536</v>
      </c>
      <c r="F613" s="521">
        <v>619</v>
      </c>
      <c r="G613" s="521">
        <v>691</v>
      </c>
      <c r="H613" s="522">
        <v>16680</v>
      </c>
      <c r="I613" s="522">
        <v>19060</v>
      </c>
      <c r="J613" s="522">
        <v>21440</v>
      </c>
      <c r="K613" s="522">
        <v>23820</v>
      </c>
      <c r="L613" s="522">
        <v>25740</v>
      </c>
      <c r="M613" s="522">
        <v>27640</v>
      </c>
      <c r="N613" s="522">
        <v>29540</v>
      </c>
      <c r="O613" s="522">
        <v>31460</v>
      </c>
      <c r="P613" s="39"/>
      <c r="Q613" s="39"/>
    </row>
    <row r="614" spans="1:17" ht="13.5" thickTop="1">
      <c r="A614" s="38"/>
      <c r="B614" s="37">
        <v>1.2</v>
      </c>
      <c r="C614" s="523">
        <v>1980</v>
      </c>
      <c r="D614" s="523">
        <v>2121</v>
      </c>
      <c r="E614" s="523">
        <v>2544</v>
      </c>
      <c r="F614" s="523">
        <v>2940</v>
      </c>
      <c r="G614" s="523">
        <v>3279</v>
      </c>
      <c r="H614" s="523">
        <v>79200</v>
      </c>
      <c r="I614" s="523">
        <v>90480</v>
      </c>
      <c r="J614" s="523">
        <v>101760</v>
      </c>
      <c r="K614" s="523">
        <v>113040</v>
      </c>
      <c r="L614" s="523">
        <v>122160</v>
      </c>
      <c r="M614" s="523">
        <v>131160</v>
      </c>
      <c r="N614" s="523">
        <v>140280</v>
      </c>
      <c r="O614" s="523">
        <v>149280</v>
      </c>
      <c r="P614" s="39"/>
      <c r="Q614" s="39"/>
    </row>
    <row r="615" spans="1:17">
      <c r="A615" s="38"/>
      <c r="B615" s="778">
        <v>1</v>
      </c>
      <c r="C615" s="775">
        <v>1650</v>
      </c>
      <c r="D615" s="775">
        <v>1767</v>
      </c>
      <c r="E615" s="775">
        <v>2120</v>
      </c>
      <c r="F615" s="775">
        <v>2450</v>
      </c>
      <c r="G615" s="775">
        <v>2732</v>
      </c>
      <c r="H615" s="775">
        <v>66000</v>
      </c>
      <c r="I615" s="775">
        <v>75400</v>
      </c>
      <c r="J615" s="775">
        <v>84800</v>
      </c>
      <c r="K615" s="775">
        <v>94200</v>
      </c>
      <c r="L615" s="775">
        <v>101800</v>
      </c>
      <c r="M615" s="775">
        <v>109300</v>
      </c>
      <c r="N615" s="775">
        <v>116900</v>
      </c>
      <c r="O615" s="775">
        <v>124400</v>
      </c>
      <c r="P615" s="39"/>
      <c r="Q615" s="39"/>
    </row>
    <row r="616" spans="1:17">
      <c r="A616" s="38" t="s">
        <v>1291</v>
      </c>
      <c r="B616" s="778">
        <v>0.8</v>
      </c>
      <c r="C616" s="775">
        <v>1320</v>
      </c>
      <c r="D616" s="775">
        <v>1414</v>
      </c>
      <c r="E616" s="775">
        <v>1696</v>
      </c>
      <c r="F616" s="775">
        <v>1960</v>
      </c>
      <c r="G616" s="775">
        <v>2186</v>
      </c>
      <c r="H616" s="776">
        <v>52800</v>
      </c>
      <c r="I616" s="776">
        <v>60320</v>
      </c>
      <c r="J616" s="776">
        <v>67840</v>
      </c>
      <c r="K616" s="776">
        <v>75360</v>
      </c>
      <c r="L616" s="776">
        <v>81440</v>
      </c>
      <c r="M616" s="776">
        <v>87440</v>
      </c>
      <c r="N616" s="776">
        <v>93520</v>
      </c>
      <c r="O616" s="776">
        <v>99520</v>
      </c>
      <c r="P616" s="39"/>
      <c r="Q616" s="39"/>
    </row>
    <row r="617" spans="1:17">
      <c r="A617" s="38"/>
      <c r="B617" s="778">
        <v>0.7</v>
      </c>
      <c r="C617" s="775">
        <v>1155</v>
      </c>
      <c r="D617" s="775">
        <v>1237</v>
      </c>
      <c r="E617" s="775">
        <v>1484</v>
      </c>
      <c r="F617" s="775">
        <v>1715</v>
      </c>
      <c r="G617" s="775">
        <v>1912</v>
      </c>
      <c r="H617" s="776">
        <v>46200</v>
      </c>
      <c r="I617" s="776">
        <v>52780</v>
      </c>
      <c r="J617" s="776">
        <v>59359.999999999993</v>
      </c>
      <c r="K617" s="776">
        <v>65940</v>
      </c>
      <c r="L617" s="776">
        <v>71260</v>
      </c>
      <c r="M617" s="776">
        <v>76510</v>
      </c>
      <c r="N617" s="776">
        <v>81830</v>
      </c>
      <c r="O617" s="776">
        <v>87080</v>
      </c>
      <c r="P617" s="39"/>
      <c r="Q617" s="39"/>
    </row>
    <row r="618" spans="1:17">
      <c r="A618" s="38"/>
      <c r="B618" s="778">
        <v>0.6</v>
      </c>
      <c r="C618" s="775">
        <v>990</v>
      </c>
      <c r="D618" s="775">
        <v>1060</v>
      </c>
      <c r="E618" s="775">
        <v>1272</v>
      </c>
      <c r="F618" s="775">
        <v>1470</v>
      </c>
      <c r="G618" s="775">
        <v>1639</v>
      </c>
      <c r="H618" s="775">
        <v>39600</v>
      </c>
      <c r="I618" s="775">
        <v>45240</v>
      </c>
      <c r="J618" s="775">
        <v>50880</v>
      </c>
      <c r="K618" s="775">
        <v>56520</v>
      </c>
      <c r="L618" s="775">
        <v>61080</v>
      </c>
      <c r="M618" s="777">
        <v>65580</v>
      </c>
      <c r="N618" s="777">
        <v>70140</v>
      </c>
      <c r="O618" s="777">
        <v>74640</v>
      </c>
      <c r="P618" s="39"/>
      <c r="Q618" s="39"/>
    </row>
    <row r="619" spans="1:17">
      <c r="A619" s="38"/>
      <c r="B619" s="778">
        <v>0.55000000000000004</v>
      </c>
      <c r="C619" s="775">
        <v>907</v>
      </c>
      <c r="D619" s="775">
        <v>972</v>
      </c>
      <c r="E619" s="775">
        <v>1166</v>
      </c>
      <c r="F619" s="775">
        <v>1347</v>
      </c>
      <c r="G619" s="775">
        <v>1502</v>
      </c>
      <c r="H619" s="775">
        <v>36300</v>
      </c>
      <c r="I619" s="775">
        <v>41470</v>
      </c>
      <c r="J619" s="775">
        <v>46640.000000000007</v>
      </c>
      <c r="K619" s="775">
        <v>51810.000000000007</v>
      </c>
      <c r="L619" s="775">
        <v>55990.000000000007</v>
      </c>
      <c r="M619" s="775">
        <v>60115.000000000007</v>
      </c>
      <c r="N619" s="775">
        <v>64295.000000000007</v>
      </c>
      <c r="O619" s="775">
        <v>68420</v>
      </c>
      <c r="P619" s="39"/>
      <c r="Q619" s="39"/>
    </row>
    <row r="620" spans="1:17">
      <c r="A620" s="38"/>
      <c r="B620" s="778">
        <v>0.5</v>
      </c>
      <c r="C620" s="775">
        <v>825</v>
      </c>
      <c r="D620" s="775">
        <v>883</v>
      </c>
      <c r="E620" s="775">
        <v>1060</v>
      </c>
      <c r="F620" s="775">
        <v>1225</v>
      </c>
      <c r="G620" s="775">
        <v>1366</v>
      </c>
      <c r="H620" s="776">
        <v>33000</v>
      </c>
      <c r="I620" s="776">
        <v>37700</v>
      </c>
      <c r="J620" s="776">
        <v>42400</v>
      </c>
      <c r="K620" s="776">
        <v>47100</v>
      </c>
      <c r="L620" s="776">
        <v>50900</v>
      </c>
      <c r="M620" s="776">
        <v>54650</v>
      </c>
      <c r="N620" s="776">
        <v>58450</v>
      </c>
      <c r="O620" s="776">
        <v>62200</v>
      </c>
      <c r="P620" s="39"/>
      <c r="Q620" s="39"/>
    </row>
    <row r="621" spans="1:17">
      <c r="A621" s="38"/>
      <c r="B621" s="778">
        <v>0.45</v>
      </c>
      <c r="C621" s="775">
        <v>742</v>
      </c>
      <c r="D621" s="775">
        <v>795</v>
      </c>
      <c r="E621" s="775">
        <v>954</v>
      </c>
      <c r="F621" s="775">
        <v>1102</v>
      </c>
      <c r="G621" s="775">
        <v>1229</v>
      </c>
      <c r="H621" s="775">
        <v>29700</v>
      </c>
      <c r="I621" s="775">
        <v>33930</v>
      </c>
      <c r="J621" s="775">
        <v>38160</v>
      </c>
      <c r="K621" s="775">
        <v>42390</v>
      </c>
      <c r="L621" s="775">
        <v>45810</v>
      </c>
      <c r="M621" s="777">
        <v>49185</v>
      </c>
      <c r="N621" s="777">
        <v>52605</v>
      </c>
      <c r="O621" s="777">
        <v>55980</v>
      </c>
      <c r="P621" s="39"/>
      <c r="Q621" s="39"/>
    </row>
    <row r="622" spans="1:17">
      <c r="A622" s="38"/>
      <c r="B622" s="778">
        <v>0.4</v>
      </c>
      <c r="C622" s="775">
        <v>660</v>
      </c>
      <c r="D622" s="775">
        <v>707</v>
      </c>
      <c r="E622" s="775">
        <v>848</v>
      </c>
      <c r="F622" s="775">
        <v>980</v>
      </c>
      <c r="G622" s="775">
        <v>1093</v>
      </c>
      <c r="H622" s="775">
        <v>26400</v>
      </c>
      <c r="I622" s="775">
        <v>30160</v>
      </c>
      <c r="J622" s="775">
        <v>33920</v>
      </c>
      <c r="K622" s="775">
        <v>37680</v>
      </c>
      <c r="L622" s="775">
        <v>40720</v>
      </c>
      <c r="M622" s="777">
        <v>43720</v>
      </c>
      <c r="N622" s="777">
        <v>46760</v>
      </c>
      <c r="O622" s="777">
        <v>49760</v>
      </c>
      <c r="P622" s="39"/>
      <c r="Q622" s="39"/>
    </row>
    <row r="623" spans="1:17">
      <c r="A623" s="38"/>
      <c r="B623" s="519">
        <v>0.3</v>
      </c>
      <c r="C623" s="775">
        <v>495</v>
      </c>
      <c r="D623" s="775">
        <v>530</v>
      </c>
      <c r="E623" s="775">
        <v>636</v>
      </c>
      <c r="F623" s="775">
        <v>735</v>
      </c>
      <c r="G623" s="775">
        <v>819</v>
      </c>
      <c r="H623" s="776">
        <v>19800</v>
      </c>
      <c r="I623" s="776">
        <v>22620</v>
      </c>
      <c r="J623" s="776">
        <v>25440</v>
      </c>
      <c r="K623" s="776">
        <v>28260</v>
      </c>
      <c r="L623" s="776">
        <v>30540</v>
      </c>
      <c r="M623" s="776">
        <v>32790</v>
      </c>
      <c r="N623" s="776">
        <v>35070</v>
      </c>
      <c r="O623" s="776">
        <v>37320</v>
      </c>
      <c r="P623" s="39"/>
      <c r="Q623" s="39"/>
    </row>
    <row r="624" spans="1:17" ht="13.5" thickBot="1">
      <c r="A624" s="779"/>
      <c r="B624" s="40">
        <v>0.2</v>
      </c>
      <c r="C624" s="521">
        <v>330</v>
      </c>
      <c r="D624" s="521">
        <v>353</v>
      </c>
      <c r="E624" s="521">
        <v>424</v>
      </c>
      <c r="F624" s="521">
        <v>490</v>
      </c>
      <c r="G624" s="521">
        <v>546</v>
      </c>
      <c r="H624" s="522">
        <v>13200</v>
      </c>
      <c r="I624" s="522">
        <v>15080</v>
      </c>
      <c r="J624" s="522">
        <v>16960</v>
      </c>
      <c r="K624" s="522">
        <v>18840</v>
      </c>
      <c r="L624" s="522">
        <v>20360</v>
      </c>
      <c r="M624" s="522">
        <v>21860</v>
      </c>
      <c r="N624" s="522">
        <v>23380</v>
      </c>
      <c r="O624" s="522">
        <v>24880</v>
      </c>
      <c r="P624" s="39"/>
      <c r="Q624" s="39"/>
    </row>
    <row r="625" spans="1:17" ht="13.5" thickTop="1">
      <c r="A625" s="38"/>
      <c r="B625" s="37">
        <v>1.2</v>
      </c>
      <c r="C625" s="523">
        <v>1980</v>
      </c>
      <c r="D625" s="523">
        <v>2121</v>
      </c>
      <c r="E625" s="523">
        <v>2544</v>
      </c>
      <c r="F625" s="523">
        <v>2940</v>
      </c>
      <c r="G625" s="523">
        <v>3279</v>
      </c>
      <c r="H625" s="523">
        <v>79200</v>
      </c>
      <c r="I625" s="523">
        <v>90480</v>
      </c>
      <c r="J625" s="523">
        <v>101760</v>
      </c>
      <c r="K625" s="523">
        <v>113040</v>
      </c>
      <c r="L625" s="523">
        <v>122160</v>
      </c>
      <c r="M625" s="523">
        <v>131160</v>
      </c>
      <c r="N625" s="523">
        <v>140280</v>
      </c>
      <c r="O625" s="523">
        <v>149280</v>
      </c>
      <c r="P625" s="45"/>
      <c r="Q625" s="45"/>
    </row>
    <row r="626" spans="1:17">
      <c r="A626" s="38"/>
      <c r="B626" s="778">
        <v>1</v>
      </c>
      <c r="C626" s="775">
        <v>1650</v>
      </c>
      <c r="D626" s="775">
        <v>1767</v>
      </c>
      <c r="E626" s="775">
        <v>2120</v>
      </c>
      <c r="F626" s="775">
        <v>2450</v>
      </c>
      <c r="G626" s="775">
        <v>2732</v>
      </c>
      <c r="H626" s="775">
        <v>66000</v>
      </c>
      <c r="I626" s="775">
        <v>75400</v>
      </c>
      <c r="J626" s="775">
        <v>84800</v>
      </c>
      <c r="K626" s="775">
        <v>94200</v>
      </c>
      <c r="L626" s="775">
        <v>101800</v>
      </c>
      <c r="M626" s="775">
        <v>109300</v>
      </c>
      <c r="N626" s="775">
        <v>116900</v>
      </c>
      <c r="O626" s="775">
        <v>124400</v>
      </c>
      <c r="P626" s="39"/>
      <c r="Q626" s="39"/>
    </row>
    <row r="627" spans="1:17">
      <c r="A627" s="38" t="s">
        <v>1292</v>
      </c>
      <c r="B627" s="778">
        <v>0.8</v>
      </c>
      <c r="C627" s="775">
        <v>1320</v>
      </c>
      <c r="D627" s="775">
        <v>1414</v>
      </c>
      <c r="E627" s="775">
        <v>1696</v>
      </c>
      <c r="F627" s="775">
        <v>1960</v>
      </c>
      <c r="G627" s="775">
        <v>2186</v>
      </c>
      <c r="H627" s="776">
        <v>52800</v>
      </c>
      <c r="I627" s="776">
        <v>60320</v>
      </c>
      <c r="J627" s="776">
        <v>67840</v>
      </c>
      <c r="K627" s="776">
        <v>75360</v>
      </c>
      <c r="L627" s="776">
        <v>81440</v>
      </c>
      <c r="M627" s="776">
        <v>87440</v>
      </c>
      <c r="N627" s="776">
        <v>93520</v>
      </c>
      <c r="O627" s="776">
        <v>99520</v>
      </c>
      <c r="P627" s="39"/>
      <c r="Q627" s="39"/>
    </row>
    <row r="628" spans="1:17">
      <c r="A628" s="38"/>
      <c r="B628" s="778">
        <v>0.7</v>
      </c>
      <c r="C628" s="775">
        <v>1155</v>
      </c>
      <c r="D628" s="775">
        <v>1237</v>
      </c>
      <c r="E628" s="775">
        <v>1484</v>
      </c>
      <c r="F628" s="775">
        <v>1715</v>
      </c>
      <c r="G628" s="775">
        <v>1912</v>
      </c>
      <c r="H628" s="776">
        <v>46200</v>
      </c>
      <c r="I628" s="776">
        <v>52780</v>
      </c>
      <c r="J628" s="776">
        <v>59359.999999999993</v>
      </c>
      <c r="K628" s="776">
        <v>65940</v>
      </c>
      <c r="L628" s="776">
        <v>71260</v>
      </c>
      <c r="M628" s="776">
        <v>76510</v>
      </c>
      <c r="N628" s="776">
        <v>81830</v>
      </c>
      <c r="O628" s="776">
        <v>87080</v>
      </c>
      <c r="P628" s="39"/>
      <c r="Q628" s="39"/>
    </row>
    <row r="629" spans="1:17">
      <c r="A629" s="38"/>
      <c r="B629" s="778">
        <v>0.6</v>
      </c>
      <c r="C629" s="775">
        <v>990</v>
      </c>
      <c r="D629" s="775">
        <v>1060</v>
      </c>
      <c r="E629" s="775">
        <v>1272</v>
      </c>
      <c r="F629" s="775">
        <v>1470</v>
      </c>
      <c r="G629" s="775">
        <v>1639</v>
      </c>
      <c r="H629" s="775">
        <v>39600</v>
      </c>
      <c r="I629" s="775">
        <v>45240</v>
      </c>
      <c r="J629" s="775">
        <v>50880</v>
      </c>
      <c r="K629" s="775">
        <v>56520</v>
      </c>
      <c r="L629" s="775">
        <v>61080</v>
      </c>
      <c r="M629" s="777">
        <v>65580</v>
      </c>
      <c r="N629" s="777">
        <v>70140</v>
      </c>
      <c r="O629" s="777">
        <v>74640</v>
      </c>
      <c r="P629" s="39"/>
      <c r="Q629" s="39"/>
    </row>
    <row r="630" spans="1:17">
      <c r="A630" s="38"/>
      <c r="B630" s="778">
        <v>0.55000000000000004</v>
      </c>
      <c r="C630" s="775">
        <v>907</v>
      </c>
      <c r="D630" s="775">
        <v>972</v>
      </c>
      <c r="E630" s="775">
        <v>1166</v>
      </c>
      <c r="F630" s="775">
        <v>1347</v>
      </c>
      <c r="G630" s="775">
        <v>1502</v>
      </c>
      <c r="H630" s="775">
        <v>36300</v>
      </c>
      <c r="I630" s="775">
        <v>41470</v>
      </c>
      <c r="J630" s="775">
        <v>46640.000000000007</v>
      </c>
      <c r="K630" s="775">
        <v>51810.000000000007</v>
      </c>
      <c r="L630" s="775">
        <v>55990.000000000007</v>
      </c>
      <c r="M630" s="775">
        <v>60115.000000000007</v>
      </c>
      <c r="N630" s="775">
        <v>64295.000000000007</v>
      </c>
      <c r="O630" s="775">
        <v>68420</v>
      </c>
      <c r="P630" s="39"/>
      <c r="Q630" s="39"/>
    </row>
    <row r="631" spans="1:17">
      <c r="A631" s="38"/>
      <c r="B631" s="778">
        <v>0.5</v>
      </c>
      <c r="C631" s="775">
        <v>825</v>
      </c>
      <c r="D631" s="775">
        <v>883</v>
      </c>
      <c r="E631" s="775">
        <v>1060</v>
      </c>
      <c r="F631" s="775">
        <v>1225</v>
      </c>
      <c r="G631" s="775">
        <v>1366</v>
      </c>
      <c r="H631" s="776">
        <v>33000</v>
      </c>
      <c r="I631" s="776">
        <v>37700</v>
      </c>
      <c r="J631" s="776">
        <v>42400</v>
      </c>
      <c r="K631" s="776">
        <v>47100</v>
      </c>
      <c r="L631" s="776">
        <v>50900</v>
      </c>
      <c r="M631" s="776">
        <v>54650</v>
      </c>
      <c r="N631" s="776">
        <v>58450</v>
      </c>
      <c r="O631" s="776">
        <v>62200</v>
      </c>
      <c r="P631" s="39"/>
      <c r="Q631" s="39"/>
    </row>
    <row r="632" spans="1:17">
      <c r="A632" s="38"/>
      <c r="B632" s="778">
        <v>0.45</v>
      </c>
      <c r="C632" s="775">
        <v>742</v>
      </c>
      <c r="D632" s="775">
        <v>795</v>
      </c>
      <c r="E632" s="775">
        <v>954</v>
      </c>
      <c r="F632" s="775">
        <v>1102</v>
      </c>
      <c r="G632" s="775">
        <v>1229</v>
      </c>
      <c r="H632" s="775">
        <v>29700</v>
      </c>
      <c r="I632" s="775">
        <v>33930</v>
      </c>
      <c r="J632" s="775">
        <v>38160</v>
      </c>
      <c r="K632" s="775">
        <v>42390</v>
      </c>
      <c r="L632" s="775">
        <v>45810</v>
      </c>
      <c r="M632" s="777">
        <v>49185</v>
      </c>
      <c r="N632" s="777">
        <v>52605</v>
      </c>
      <c r="O632" s="777">
        <v>55980</v>
      </c>
      <c r="P632" s="39"/>
      <c r="Q632" s="39"/>
    </row>
    <row r="633" spans="1:17">
      <c r="A633" s="38"/>
      <c r="B633" s="778">
        <v>0.4</v>
      </c>
      <c r="C633" s="775">
        <v>660</v>
      </c>
      <c r="D633" s="775">
        <v>707</v>
      </c>
      <c r="E633" s="775">
        <v>848</v>
      </c>
      <c r="F633" s="775">
        <v>980</v>
      </c>
      <c r="G633" s="775">
        <v>1093</v>
      </c>
      <c r="H633" s="775">
        <v>26400</v>
      </c>
      <c r="I633" s="775">
        <v>30160</v>
      </c>
      <c r="J633" s="775">
        <v>33920</v>
      </c>
      <c r="K633" s="775">
        <v>37680</v>
      </c>
      <c r="L633" s="775">
        <v>40720</v>
      </c>
      <c r="M633" s="777">
        <v>43720</v>
      </c>
      <c r="N633" s="777">
        <v>46760</v>
      </c>
      <c r="O633" s="777">
        <v>49760</v>
      </c>
      <c r="P633" s="39"/>
      <c r="Q633" s="39"/>
    </row>
    <row r="634" spans="1:17">
      <c r="A634" s="38"/>
      <c r="B634" s="519">
        <v>0.3</v>
      </c>
      <c r="C634" s="775">
        <v>495</v>
      </c>
      <c r="D634" s="775">
        <v>530</v>
      </c>
      <c r="E634" s="775">
        <v>636</v>
      </c>
      <c r="F634" s="775">
        <v>735</v>
      </c>
      <c r="G634" s="775">
        <v>819</v>
      </c>
      <c r="H634" s="776">
        <v>19800</v>
      </c>
      <c r="I634" s="776">
        <v>22620</v>
      </c>
      <c r="J634" s="776">
        <v>25440</v>
      </c>
      <c r="K634" s="776">
        <v>28260</v>
      </c>
      <c r="L634" s="776">
        <v>30540</v>
      </c>
      <c r="M634" s="776">
        <v>32790</v>
      </c>
      <c r="N634" s="776">
        <v>35070</v>
      </c>
      <c r="O634" s="776">
        <v>37320</v>
      </c>
      <c r="P634" s="39"/>
      <c r="Q634" s="39"/>
    </row>
    <row r="635" spans="1:17" ht="13.5" thickBot="1">
      <c r="A635" s="779"/>
      <c r="B635" s="40">
        <v>0.2</v>
      </c>
      <c r="C635" s="521">
        <v>330</v>
      </c>
      <c r="D635" s="521">
        <v>353</v>
      </c>
      <c r="E635" s="521">
        <v>424</v>
      </c>
      <c r="F635" s="521">
        <v>490</v>
      </c>
      <c r="G635" s="521">
        <v>546</v>
      </c>
      <c r="H635" s="522">
        <v>13200</v>
      </c>
      <c r="I635" s="522">
        <v>15080</v>
      </c>
      <c r="J635" s="522">
        <v>16960</v>
      </c>
      <c r="K635" s="522">
        <v>18840</v>
      </c>
      <c r="L635" s="522">
        <v>20360</v>
      </c>
      <c r="M635" s="522">
        <v>21860</v>
      </c>
      <c r="N635" s="522">
        <v>23380</v>
      </c>
      <c r="O635" s="522">
        <v>24880</v>
      </c>
      <c r="P635" s="39"/>
      <c r="Q635" s="39"/>
    </row>
    <row r="636" spans="1:17" ht="13.5" thickTop="1">
      <c r="A636" s="38"/>
      <c r="B636" s="37">
        <v>1.2</v>
      </c>
      <c r="C636" s="523">
        <v>2301</v>
      </c>
      <c r="D636" s="523">
        <v>2466</v>
      </c>
      <c r="E636" s="523">
        <v>2961</v>
      </c>
      <c r="F636" s="523">
        <v>3420</v>
      </c>
      <c r="G636" s="523">
        <v>3816</v>
      </c>
      <c r="H636" s="523">
        <v>92040</v>
      </c>
      <c r="I636" s="523">
        <v>105240</v>
      </c>
      <c r="J636" s="523">
        <v>118440</v>
      </c>
      <c r="K636" s="523">
        <v>131520</v>
      </c>
      <c r="L636" s="523">
        <v>142080</v>
      </c>
      <c r="M636" s="523">
        <v>152640</v>
      </c>
      <c r="N636" s="523">
        <v>163200</v>
      </c>
      <c r="O636" s="523">
        <v>173640</v>
      </c>
      <c r="P636" s="39"/>
      <c r="Q636" s="39"/>
    </row>
    <row r="637" spans="1:17">
      <c r="A637" s="38"/>
      <c r="B637" s="778">
        <v>1</v>
      </c>
      <c r="C637" s="775">
        <v>1917</v>
      </c>
      <c r="D637" s="775">
        <v>2055</v>
      </c>
      <c r="E637" s="775">
        <v>2467</v>
      </c>
      <c r="F637" s="775">
        <v>2850</v>
      </c>
      <c r="G637" s="775">
        <v>3180</v>
      </c>
      <c r="H637" s="775">
        <v>76700</v>
      </c>
      <c r="I637" s="775">
        <v>87700</v>
      </c>
      <c r="J637" s="775">
        <v>98700</v>
      </c>
      <c r="K637" s="775">
        <v>109600</v>
      </c>
      <c r="L637" s="775">
        <v>118400</v>
      </c>
      <c r="M637" s="775">
        <v>127200</v>
      </c>
      <c r="N637" s="775">
        <v>136000</v>
      </c>
      <c r="O637" s="775">
        <v>144700</v>
      </c>
      <c r="P637" s="39"/>
      <c r="Q637" s="39"/>
    </row>
    <row r="638" spans="1:17">
      <c r="A638" s="38" t="s">
        <v>1293</v>
      </c>
      <c r="B638" s="778">
        <v>0.8</v>
      </c>
      <c r="C638" s="775">
        <v>1534</v>
      </c>
      <c r="D638" s="775">
        <v>1644</v>
      </c>
      <c r="E638" s="775">
        <v>1974</v>
      </c>
      <c r="F638" s="775">
        <v>2280</v>
      </c>
      <c r="G638" s="775">
        <v>2544</v>
      </c>
      <c r="H638" s="776">
        <v>61360</v>
      </c>
      <c r="I638" s="776">
        <v>70160</v>
      </c>
      <c r="J638" s="776">
        <v>78960</v>
      </c>
      <c r="K638" s="776">
        <v>87680</v>
      </c>
      <c r="L638" s="776">
        <v>94720</v>
      </c>
      <c r="M638" s="776">
        <v>101760</v>
      </c>
      <c r="N638" s="776">
        <v>108800</v>
      </c>
      <c r="O638" s="776">
        <v>115760</v>
      </c>
      <c r="P638" s="39"/>
      <c r="Q638" s="39"/>
    </row>
    <row r="639" spans="1:17">
      <c r="A639" s="38"/>
      <c r="B639" s="778">
        <v>0.7</v>
      </c>
      <c r="C639" s="775">
        <v>1342</v>
      </c>
      <c r="D639" s="775">
        <v>1438</v>
      </c>
      <c r="E639" s="775">
        <v>1727</v>
      </c>
      <c r="F639" s="775">
        <v>1995</v>
      </c>
      <c r="G639" s="775">
        <v>2226</v>
      </c>
      <c r="H639" s="776">
        <v>53690</v>
      </c>
      <c r="I639" s="776">
        <v>61389.999999999993</v>
      </c>
      <c r="J639" s="776">
        <v>69090</v>
      </c>
      <c r="K639" s="776">
        <v>76720</v>
      </c>
      <c r="L639" s="776">
        <v>82880</v>
      </c>
      <c r="M639" s="776">
        <v>89040</v>
      </c>
      <c r="N639" s="776">
        <v>95200</v>
      </c>
      <c r="O639" s="776">
        <v>101290</v>
      </c>
      <c r="P639" s="39"/>
      <c r="Q639" s="39"/>
    </row>
    <row r="640" spans="1:17">
      <c r="A640" s="38"/>
      <c r="B640" s="778">
        <v>0.6</v>
      </c>
      <c r="C640" s="775">
        <v>1150</v>
      </c>
      <c r="D640" s="775">
        <v>1233</v>
      </c>
      <c r="E640" s="775">
        <v>1480</v>
      </c>
      <c r="F640" s="775">
        <v>1710</v>
      </c>
      <c r="G640" s="775">
        <v>1908</v>
      </c>
      <c r="H640" s="775">
        <v>46020</v>
      </c>
      <c r="I640" s="775">
        <v>52620</v>
      </c>
      <c r="J640" s="775">
        <v>59220</v>
      </c>
      <c r="K640" s="775">
        <v>65760</v>
      </c>
      <c r="L640" s="775">
        <v>71040</v>
      </c>
      <c r="M640" s="777">
        <v>76320</v>
      </c>
      <c r="N640" s="777">
        <v>81600</v>
      </c>
      <c r="O640" s="777">
        <v>86820</v>
      </c>
      <c r="P640" s="39"/>
      <c r="Q640" s="39"/>
    </row>
    <row r="641" spans="1:17">
      <c r="A641" s="38"/>
      <c r="B641" s="778">
        <v>0.55000000000000004</v>
      </c>
      <c r="C641" s="775">
        <v>1054</v>
      </c>
      <c r="D641" s="775">
        <v>1130</v>
      </c>
      <c r="E641" s="775">
        <v>1357</v>
      </c>
      <c r="F641" s="775">
        <v>1567</v>
      </c>
      <c r="G641" s="775">
        <v>1749</v>
      </c>
      <c r="H641" s="775">
        <v>42185</v>
      </c>
      <c r="I641" s="775">
        <v>48235.000000000007</v>
      </c>
      <c r="J641" s="775">
        <v>54285.000000000007</v>
      </c>
      <c r="K641" s="775">
        <v>60280.000000000007</v>
      </c>
      <c r="L641" s="775">
        <v>65120.000000000007</v>
      </c>
      <c r="M641" s="775">
        <v>69960</v>
      </c>
      <c r="N641" s="775">
        <v>74800</v>
      </c>
      <c r="O641" s="775">
        <v>79585</v>
      </c>
      <c r="P641" s="39"/>
      <c r="Q641" s="39"/>
    </row>
    <row r="642" spans="1:17">
      <c r="A642" s="38"/>
      <c r="B642" s="778">
        <v>0.5</v>
      </c>
      <c r="C642" s="775">
        <v>958</v>
      </c>
      <c r="D642" s="775">
        <v>1027</v>
      </c>
      <c r="E642" s="775">
        <v>1233</v>
      </c>
      <c r="F642" s="775">
        <v>1425</v>
      </c>
      <c r="G642" s="775">
        <v>1590</v>
      </c>
      <c r="H642" s="776">
        <v>38350</v>
      </c>
      <c r="I642" s="776">
        <v>43850</v>
      </c>
      <c r="J642" s="776">
        <v>49350</v>
      </c>
      <c r="K642" s="776">
        <v>54800</v>
      </c>
      <c r="L642" s="776">
        <v>59200</v>
      </c>
      <c r="M642" s="776">
        <v>63600</v>
      </c>
      <c r="N642" s="776">
        <v>68000</v>
      </c>
      <c r="O642" s="776">
        <v>72350</v>
      </c>
      <c r="P642" s="39"/>
      <c r="Q642" s="39"/>
    </row>
    <row r="643" spans="1:17">
      <c r="A643" s="38"/>
      <c r="B643" s="778">
        <v>0.45</v>
      </c>
      <c r="C643" s="775">
        <v>862</v>
      </c>
      <c r="D643" s="775">
        <v>924</v>
      </c>
      <c r="E643" s="775">
        <v>1110</v>
      </c>
      <c r="F643" s="775">
        <v>1282</v>
      </c>
      <c r="G643" s="775">
        <v>1431</v>
      </c>
      <c r="H643" s="775">
        <v>34515</v>
      </c>
      <c r="I643" s="775">
        <v>39465</v>
      </c>
      <c r="J643" s="775">
        <v>44415</v>
      </c>
      <c r="K643" s="775">
        <v>49320</v>
      </c>
      <c r="L643" s="775">
        <v>53280</v>
      </c>
      <c r="M643" s="777">
        <v>57240</v>
      </c>
      <c r="N643" s="777">
        <v>61200</v>
      </c>
      <c r="O643" s="777">
        <v>65115</v>
      </c>
      <c r="P643" s="39"/>
      <c r="Q643" s="39"/>
    </row>
    <row r="644" spans="1:17">
      <c r="A644" s="38"/>
      <c r="B644" s="778">
        <v>0.4</v>
      </c>
      <c r="C644" s="775">
        <v>767</v>
      </c>
      <c r="D644" s="775">
        <v>822</v>
      </c>
      <c r="E644" s="775">
        <v>987</v>
      </c>
      <c r="F644" s="775">
        <v>1140</v>
      </c>
      <c r="G644" s="775">
        <v>1272</v>
      </c>
      <c r="H644" s="775">
        <v>30680</v>
      </c>
      <c r="I644" s="775">
        <v>35080</v>
      </c>
      <c r="J644" s="775">
        <v>39480</v>
      </c>
      <c r="K644" s="775">
        <v>43840</v>
      </c>
      <c r="L644" s="775">
        <v>47360</v>
      </c>
      <c r="M644" s="777">
        <v>50880</v>
      </c>
      <c r="N644" s="777">
        <v>54400</v>
      </c>
      <c r="O644" s="777">
        <v>57880</v>
      </c>
      <c r="P644" s="39"/>
      <c r="Q644" s="39"/>
    </row>
    <row r="645" spans="1:17">
      <c r="A645" s="38"/>
      <c r="B645" s="519">
        <v>0.3</v>
      </c>
      <c r="C645" s="775">
        <v>575</v>
      </c>
      <c r="D645" s="775">
        <v>616</v>
      </c>
      <c r="E645" s="775">
        <v>740</v>
      </c>
      <c r="F645" s="775">
        <v>855</v>
      </c>
      <c r="G645" s="775">
        <v>954</v>
      </c>
      <c r="H645" s="776">
        <v>23010</v>
      </c>
      <c r="I645" s="776">
        <v>26310</v>
      </c>
      <c r="J645" s="776">
        <v>29610</v>
      </c>
      <c r="K645" s="776">
        <v>32880</v>
      </c>
      <c r="L645" s="776">
        <v>35520</v>
      </c>
      <c r="M645" s="776">
        <v>38160</v>
      </c>
      <c r="N645" s="776">
        <v>40800</v>
      </c>
      <c r="O645" s="776">
        <v>43410</v>
      </c>
      <c r="P645" s="39"/>
      <c r="Q645" s="39"/>
    </row>
    <row r="646" spans="1:17" ht="13.5" thickBot="1">
      <c r="A646" s="779"/>
      <c r="B646" s="40">
        <v>0.2</v>
      </c>
      <c r="C646" s="521">
        <v>383</v>
      </c>
      <c r="D646" s="521">
        <v>411</v>
      </c>
      <c r="E646" s="521">
        <v>493</v>
      </c>
      <c r="F646" s="521">
        <v>570</v>
      </c>
      <c r="G646" s="521">
        <v>636</v>
      </c>
      <c r="H646" s="522">
        <v>15340</v>
      </c>
      <c r="I646" s="522">
        <v>17540</v>
      </c>
      <c r="J646" s="522">
        <v>19740</v>
      </c>
      <c r="K646" s="522">
        <v>21920</v>
      </c>
      <c r="L646" s="522">
        <v>23680</v>
      </c>
      <c r="M646" s="522">
        <v>25440</v>
      </c>
      <c r="N646" s="522">
        <v>27200</v>
      </c>
      <c r="O646" s="522">
        <v>28940</v>
      </c>
      <c r="P646" s="39"/>
      <c r="Q646" s="39"/>
    </row>
    <row r="647" spans="1:17" ht="13.5" thickTop="1">
      <c r="A647" s="38"/>
      <c r="B647" s="37">
        <v>1.2</v>
      </c>
      <c r="C647" s="523">
        <v>1980</v>
      </c>
      <c r="D647" s="523">
        <v>2121</v>
      </c>
      <c r="E647" s="523">
        <v>2544</v>
      </c>
      <c r="F647" s="523">
        <v>2940</v>
      </c>
      <c r="G647" s="523">
        <v>3279</v>
      </c>
      <c r="H647" s="523">
        <v>79200</v>
      </c>
      <c r="I647" s="523">
        <v>90480</v>
      </c>
      <c r="J647" s="523">
        <v>101760</v>
      </c>
      <c r="K647" s="523">
        <v>113040</v>
      </c>
      <c r="L647" s="523">
        <v>122160</v>
      </c>
      <c r="M647" s="523">
        <v>131160</v>
      </c>
      <c r="N647" s="523">
        <v>140280</v>
      </c>
      <c r="O647" s="523">
        <v>149280</v>
      </c>
      <c r="P647" s="39"/>
      <c r="Q647" s="39"/>
    </row>
    <row r="648" spans="1:17">
      <c r="A648" s="38"/>
      <c r="B648" s="778">
        <v>1</v>
      </c>
      <c r="C648" s="775">
        <v>1650</v>
      </c>
      <c r="D648" s="775">
        <v>1767</v>
      </c>
      <c r="E648" s="775">
        <v>2120</v>
      </c>
      <c r="F648" s="775">
        <v>2450</v>
      </c>
      <c r="G648" s="775">
        <v>2732</v>
      </c>
      <c r="H648" s="775">
        <v>66000</v>
      </c>
      <c r="I648" s="775">
        <v>75400</v>
      </c>
      <c r="J648" s="775">
        <v>84800</v>
      </c>
      <c r="K648" s="775">
        <v>94200</v>
      </c>
      <c r="L648" s="775">
        <v>101800</v>
      </c>
      <c r="M648" s="775">
        <v>109300</v>
      </c>
      <c r="N648" s="775">
        <v>116900</v>
      </c>
      <c r="O648" s="775">
        <v>124400</v>
      </c>
      <c r="P648" s="39"/>
      <c r="Q648" s="39"/>
    </row>
    <row r="649" spans="1:17">
      <c r="A649" s="38" t="s">
        <v>1294</v>
      </c>
      <c r="B649" s="778">
        <v>0.8</v>
      </c>
      <c r="C649" s="775">
        <v>1320</v>
      </c>
      <c r="D649" s="775">
        <v>1414</v>
      </c>
      <c r="E649" s="775">
        <v>1696</v>
      </c>
      <c r="F649" s="775">
        <v>1960</v>
      </c>
      <c r="G649" s="775">
        <v>2186</v>
      </c>
      <c r="H649" s="776">
        <v>52800</v>
      </c>
      <c r="I649" s="776">
        <v>60320</v>
      </c>
      <c r="J649" s="776">
        <v>67840</v>
      </c>
      <c r="K649" s="776">
        <v>75360</v>
      </c>
      <c r="L649" s="776">
        <v>81440</v>
      </c>
      <c r="M649" s="776">
        <v>87440</v>
      </c>
      <c r="N649" s="776">
        <v>93520</v>
      </c>
      <c r="O649" s="776">
        <v>99520</v>
      </c>
      <c r="P649" s="39"/>
      <c r="Q649" s="39"/>
    </row>
    <row r="650" spans="1:17">
      <c r="A650" s="38"/>
      <c r="B650" s="778">
        <v>0.7</v>
      </c>
      <c r="C650" s="775">
        <v>1155</v>
      </c>
      <c r="D650" s="775">
        <v>1237</v>
      </c>
      <c r="E650" s="775">
        <v>1484</v>
      </c>
      <c r="F650" s="775">
        <v>1715</v>
      </c>
      <c r="G650" s="775">
        <v>1912</v>
      </c>
      <c r="H650" s="776">
        <v>46200</v>
      </c>
      <c r="I650" s="776">
        <v>52780</v>
      </c>
      <c r="J650" s="776">
        <v>59359.999999999993</v>
      </c>
      <c r="K650" s="776">
        <v>65940</v>
      </c>
      <c r="L650" s="776">
        <v>71260</v>
      </c>
      <c r="M650" s="776">
        <v>76510</v>
      </c>
      <c r="N650" s="776">
        <v>81830</v>
      </c>
      <c r="O650" s="776">
        <v>87080</v>
      </c>
      <c r="P650" s="39"/>
      <c r="Q650" s="39"/>
    </row>
    <row r="651" spans="1:17">
      <c r="A651" s="38"/>
      <c r="B651" s="778">
        <v>0.6</v>
      </c>
      <c r="C651" s="775">
        <v>990</v>
      </c>
      <c r="D651" s="775">
        <v>1060</v>
      </c>
      <c r="E651" s="775">
        <v>1272</v>
      </c>
      <c r="F651" s="775">
        <v>1470</v>
      </c>
      <c r="G651" s="775">
        <v>1639</v>
      </c>
      <c r="H651" s="775">
        <v>39600</v>
      </c>
      <c r="I651" s="775">
        <v>45240</v>
      </c>
      <c r="J651" s="775">
        <v>50880</v>
      </c>
      <c r="K651" s="775">
        <v>56520</v>
      </c>
      <c r="L651" s="775">
        <v>61080</v>
      </c>
      <c r="M651" s="777">
        <v>65580</v>
      </c>
      <c r="N651" s="777">
        <v>70140</v>
      </c>
      <c r="O651" s="777">
        <v>74640</v>
      </c>
      <c r="P651" s="39"/>
      <c r="Q651" s="39"/>
    </row>
    <row r="652" spans="1:17">
      <c r="A652" s="38"/>
      <c r="B652" s="778">
        <v>0.55000000000000004</v>
      </c>
      <c r="C652" s="775">
        <v>907</v>
      </c>
      <c r="D652" s="775">
        <v>972</v>
      </c>
      <c r="E652" s="775">
        <v>1166</v>
      </c>
      <c r="F652" s="775">
        <v>1347</v>
      </c>
      <c r="G652" s="775">
        <v>1502</v>
      </c>
      <c r="H652" s="775">
        <v>36300</v>
      </c>
      <c r="I652" s="775">
        <v>41470</v>
      </c>
      <c r="J652" s="775">
        <v>46640.000000000007</v>
      </c>
      <c r="K652" s="775">
        <v>51810.000000000007</v>
      </c>
      <c r="L652" s="775">
        <v>55990.000000000007</v>
      </c>
      <c r="M652" s="775">
        <v>60115.000000000007</v>
      </c>
      <c r="N652" s="775">
        <v>64295.000000000007</v>
      </c>
      <c r="O652" s="775">
        <v>68420</v>
      </c>
      <c r="P652" s="39"/>
      <c r="Q652" s="39"/>
    </row>
    <row r="653" spans="1:17">
      <c r="A653" s="38"/>
      <c r="B653" s="778">
        <v>0.5</v>
      </c>
      <c r="C653" s="775">
        <v>825</v>
      </c>
      <c r="D653" s="775">
        <v>883</v>
      </c>
      <c r="E653" s="775">
        <v>1060</v>
      </c>
      <c r="F653" s="775">
        <v>1225</v>
      </c>
      <c r="G653" s="775">
        <v>1366</v>
      </c>
      <c r="H653" s="776">
        <v>33000</v>
      </c>
      <c r="I653" s="776">
        <v>37700</v>
      </c>
      <c r="J653" s="776">
        <v>42400</v>
      </c>
      <c r="K653" s="776">
        <v>47100</v>
      </c>
      <c r="L653" s="776">
        <v>50900</v>
      </c>
      <c r="M653" s="776">
        <v>54650</v>
      </c>
      <c r="N653" s="776">
        <v>58450</v>
      </c>
      <c r="O653" s="776">
        <v>62200</v>
      </c>
      <c r="P653" s="39"/>
      <c r="Q653" s="39"/>
    </row>
    <row r="654" spans="1:17">
      <c r="A654" s="38"/>
      <c r="B654" s="778">
        <v>0.45</v>
      </c>
      <c r="C654" s="775">
        <v>742</v>
      </c>
      <c r="D654" s="775">
        <v>795</v>
      </c>
      <c r="E654" s="775">
        <v>954</v>
      </c>
      <c r="F654" s="775">
        <v>1102</v>
      </c>
      <c r="G654" s="775">
        <v>1229</v>
      </c>
      <c r="H654" s="775">
        <v>29700</v>
      </c>
      <c r="I654" s="775">
        <v>33930</v>
      </c>
      <c r="J654" s="775">
        <v>38160</v>
      </c>
      <c r="K654" s="775">
        <v>42390</v>
      </c>
      <c r="L654" s="775">
        <v>45810</v>
      </c>
      <c r="M654" s="777">
        <v>49185</v>
      </c>
      <c r="N654" s="777">
        <v>52605</v>
      </c>
      <c r="O654" s="777">
        <v>55980</v>
      </c>
      <c r="P654" s="39"/>
      <c r="Q654" s="39"/>
    </row>
    <row r="655" spans="1:17">
      <c r="A655" s="38"/>
      <c r="B655" s="778">
        <v>0.4</v>
      </c>
      <c r="C655" s="775">
        <v>660</v>
      </c>
      <c r="D655" s="775">
        <v>707</v>
      </c>
      <c r="E655" s="775">
        <v>848</v>
      </c>
      <c r="F655" s="775">
        <v>980</v>
      </c>
      <c r="G655" s="775">
        <v>1093</v>
      </c>
      <c r="H655" s="775">
        <v>26400</v>
      </c>
      <c r="I655" s="775">
        <v>30160</v>
      </c>
      <c r="J655" s="775">
        <v>33920</v>
      </c>
      <c r="K655" s="775">
        <v>37680</v>
      </c>
      <c r="L655" s="775">
        <v>40720</v>
      </c>
      <c r="M655" s="777">
        <v>43720</v>
      </c>
      <c r="N655" s="777">
        <v>46760</v>
      </c>
      <c r="O655" s="777">
        <v>49760</v>
      </c>
      <c r="P655" s="39"/>
      <c r="Q655" s="39"/>
    </row>
    <row r="656" spans="1:17">
      <c r="A656" s="38"/>
      <c r="B656" s="519">
        <v>0.3</v>
      </c>
      <c r="C656" s="775">
        <v>495</v>
      </c>
      <c r="D656" s="775">
        <v>530</v>
      </c>
      <c r="E656" s="775">
        <v>636</v>
      </c>
      <c r="F656" s="775">
        <v>735</v>
      </c>
      <c r="G656" s="775">
        <v>819</v>
      </c>
      <c r="H656" s="776">
        <v>19800</v>
      </c>
      <c r="I656" s="776">
        <v>22620</v>
      </c>
      <c r="J656" s="776">
        <v>25440</v>
      </c>
      <c r="K656" s="776">
        <v>28260</v>
      </c>
      <c r="L656" s="776">
        <v>30540</v>
      </c>
      <c r="M656" s="776">
        <v>32790</v>
      </c>
      <c r="N656" s="776">
        <v>35070</v>
      </c>
      <c r="O656" s="776">
        <v>37320</v>
      </c>
      <c r="P656" s="39"/>
      <c r="Q656" s="39"/>
    </row>
    <row r="657" spans="1:17" ht="13.5" thickBot="1">
      <c r="A657" s="779"/>
      <c r="B657" s="40">
        <v>0.2</v>
      </c>
      <c r="C657" s="521">
        <v>330</v>
      </c>
      <c r="D657" s="521">
        <v>353</v>
      </c>
      <c r="E657" s="521">
        <v>424</v>
      </c>
      <c r="F657" s="521">
        <v>490</v>
      </c>
      <c r="G657" s="521">
        <v>546</v>
      </c>
      <c r="H657" s="522">
        <v>13200</v>
      </c>
      <c r="I657" s="522">
        <v>15080</v>
      </c>
      <c r="J657" s="522">
        <v>16960</v>
      </c>
      <c r="K657" s="522">
        <v>18840</v>
      </c>
      <c r="L657" s="522">
        <v>20360</v>
      </c>
      <c r="M657" s="522">
        <v>21860</v>
      </c>
      <c r="N657" s="522">
        <v>23380</v>
      </c>
      <c r="O657" s="522">
        <v>24880</v>
      </c>
      <c r="P657" s="39"/>
      <c r="Q657" s="39"/>
    </row>
    <row r="658" spans="1:17" ht="13.5" thickTop="1">
      <c r="A658" s="38"/>
      <c r="B658" s="37">
        <v>1.2</v>
      </c>
      <c r="C658" s="523">
        <v>2559</v>
      </c>
      <c r="D658" s="523">
        <v>2742</v>
      </c>
      <c r="E658" s="523">
        <v>3291</v>
      </c>
      <c r="F658" s="523">
        <v>3801</v>
      </c>
      <c r="G658" s="523">
        <v>4239</v>
      </c>
      <c r="H658" s="523">
        <v>102360</v>
      </c>
      <c r="I658" s="523">
        <v>117000</v>
      </c>
      <c r="J658" s="523">
        <v>131640</v>
      </c>
      <c r="K658" s="523">
        <v>146160</v>
      </c>
      <c r="L658" s="523">
        <v>157920</v>
      </c>
      <c r="M658" s="523">
        <v>169560</v>
      </c>
      <c r="N658" s="523">
        <v>181320</v>
      </c>
      <c r="O658" s="523">
        <v>192960</v>
      </c>
      <c r="P658" s="41"/>
      <c r="Q658" s="41"/>
    </row>
    <row r="659" spans="1:17">
      <c r="A659" s="38"/>
      <c r="B659" s="778">
        <v>1</v>
      </c>
      <c r="C659" s="775">
        <v>2132</v>
      </c>
      <c r="D659" s="775">
        <v>2285</v>
      </c>
      <c r="E659" s="775">
        <v>2742</v>
      </c>
      <c r="F659" s="775">
        <v>3167</v>
      </c>
      <c r="G659" s="775">
        <v>3532</v>
      </c>
      <c r="H659" s="775">
        <v>85300</v>
      </c>
      <c r="I659" s="775">
        <v>97500</v>
      </c>
      <c r="J659" s="775">
        <v>109700</v>
      </c>
      <c r="K659" s="775">
        <v>121800</v>
      </c>
      <c r="L659" s="775">
        <v>131600</v>
      </c>
      <c r="M659" s="775">
        <v>141300</v>
      </c>
      <c r="N659" s="775">
        <v>151100</v>
      </c>
      <c r="O659" s="775">
        <v>160800</v>
      </c>
      <c r="P659" s="39"/>
      <c r="Q659" s="39"/>
    </row>
    <row r="660" spans="1:17">
      <c r="A660" s="38" t="s">
        <v>1295</v>
      </c>
      <c r="B660" s="778">
        <v>0.8</v>
      </c>
      <c r="C660" s="775">
        <v>1706</v>
      </c>
      <c r="D660" s="775">
        <v>1828</v>
      </c>
      <c r="E660" s="775">
        <v>2194</v>
      </c>
      <c r="F660" s="775">
        <v>2534</v>
      </c>
      <c r="G660" s="775">
        <v>2826</v>
      </c>
      <c r="H660" s="776">
        <v>68240</v>
      </c>
      <c r="I660" s="776">
        <v>78000</v>
      </c>
      <c r="J660" s="776">
        <v>87760</v>
      </c>
      <c r="K660" s="776">
        <v>97440</v>
      </c>
      <c r="L660" s="776">
        <v>105280</v>
      </c>
      <c r="M660" s="776">
        <v>113040</v>
      </c>
      <c r="N660" s="776">
        <v>120880</v>
      </c>
      <c r="O660" s="776">
        <v>128640</v>
      </c>
      <c r="P660" s="39"/>
      <c r="Q660" s="39"/>
    </row>
    <row r="661" spans="1:17">
      <c r="A661" s="38"/>
      <c r="B661" s="778">
        <v>0.7</v>
      </c>
      <c r="C661" s="775">
        <v>1492</v>
      </c>
      <c r="D661" s="775">
        <v>1599</v>
      </c>
      <c r="E661" s="775">
        <v>1919</v>
      </c>
      <c r="F661" s="775">
        <v>2217</v>
      </c>
      <c r="G661" s="775">
        <v>2472</v>
      </c>
      <c r="H661" s="776">
        <v>59709.999999999993</v>
      </c>
      <c r="I661" s="776">
        <v>68250</v>
      </c>
      <c r="J661" s="776">
        <v>76790</v>
      </c>
      <c r="K661" s="776">
        <v>85260</v>
      </c>
      <c r="L661" s="776">
        <v>92120</v>
      </c>
      <c r="M661" s="776">
        <v>98910</v>
      </c>
      <c r="N661" s="776">
        <v>105770</v>
      </c>
      <c r="O661" s="776">
        <v>112560</v>
      </c>
      <c r="P661" s="39"/>
      <c r="Q661" s="39"/>
    </row>
    <row r="662" spans="1:17">
      <c r="A662" s="38"/>
      <c r="B662" s="778">
        <v>0.6</v>
      </c>
      <c r="C662" s="775">
        <v>1279</v>
      </c>
      <c r="D662" s="775">
        <v>1371</v>
      </c>
      <c r="E662" s="775">
        <v>1645</v>
      </c>
      <c r="F662" s="775">
        <v>1900</v>
      </c>
      <c r="G662" s="775">
        <v>2119</v>
      </c>
      <c r="H662" s="775">
        <v>51180</v>
      </c>
      <c r="I662" s="775">
        <v>58500</v>
      </c>
      <c r="J662" s="775">
        <v>65820</v>
      </c>
      <c r="K662" s="775">
        <v>73080</v>
      </c>
      <c r="L662" s="775">
        <v>78960</v>
      </c>
      <c r="M662" s="777">
        <v>84780</v>
      </c>
      <c r="N662" s="777">
        <v>90660</v>
      </c>
      <c r="O662" s="777">
        <v>96480</v>
      </c>
      <c r="P662" s="39"/>
      <c r="Q662" s="39"/>
    </row>
    <row r="663" spans="1:17">
      <c r="A663" s="38"/>
      <c r="B663" s="778">
        <v>0.55000000000000004</v>
      </c>
      <c r="C663" s="775">
        <v>1172</v>
      </c>
      <c r="D663" s="775">
        <v>1256</v>
      </c>
      <c r="E663" s="775">
        <v>1508</v>
      </c>
      <c r="F663" s="775">
        <v>1742</v>
      </c>
      <c r="G663" s="775">
        <v>1942</v>
      </c>
      <c r="H663" s="775">
        <v>46915.000000000007</v>
      </c>
      <c r="I663" s="775">
        <v>53625.000000000007</v>
      </c>
      <c r="J663" s="775">
        <v>60335.000000000007</v>
      </c>
      <c r="K663" s="775">
        <v>66990</v>
      </c>
      <c r="L663" s="775">
        <v>72380</v>
      </c>
      <c r="M663" s="775">
        <v>77715</v>
      </c>
      <c r="N663" s="775">
        <v>83105</v>
      </c>
      <c r="O663" s="775">
        <v>88440</v>
      </c>
      <c r="P663" s="39"/>
      <c r="Q663" s="39"/>
    </row>
    <row r="664" spans="1:17">
      <c r="A664" s="38"/>
      <c r="B664" s="778">
        <v>0.5</v>
      </c>
      <c r="C664" s="775">
        <v>1066</v>
      </c>
      <c r="D664" s="775">
        <v>1142</v>
      </c>
      <c r="E664" s="775">
        <v>1371</v>
      </c>
      <c r="F664" s="775">
        <v>1583</v>
      </c>
      <c r="G664" s="775">
        <v>1766</v>
      </c>
      <c r="H664" s="776">
        <v>42650</v>
      </c>
      <c r="I664" s="776">
        <v>48750</v>
      </c>
      <c r="J664" s="776">
        <v>54850</v>
      </c>
      <c r="K664" s="776">
        <v>60900</v>
      </c>
      <c r="L664" s="776">
        <v>65800</v>
      </c>
      <c r="M664" s="776">
        <v>70650</v>
      </c>
      <c r="N664" s="776">
        <v>75550</v>
      </c>
      <c r="O664" s="776">
        <v>80400</v>
      </c>
      <c r="P664" s="39"/>
      <c r="Q664" s="39"/>
    </row>
    <row r="665" spans="1:17">
      <c r="A665" s="38"/>
      <c r="B665" s="778">
        <v>0.45</v>
      </c>
      <c r="C665" s="775">
        <v>959</v>
      </c>
      <c r="D665" s="775">
        <v>1028</v>
      </c>
      <c r="E665" s="775">
        <v>1234</v>
      </c>
      <c r="F665" s="775">
        <v>1425</v>
      </c>
      <c r="G665" s="775">
        <v>1589</v>
      </c>
      <c r="H665" s="775">
        <v>38385</v>
      </c>
      <c r="I665" s="775">
        <v>43875</v>
      </c>
      <c r="J665" s="775">
        <v>49365</v>
      </c>
      <c r="K665" s="775">
        <v>54810</v>
      </c>
      <c r="L665" s="775">
        <v>59220</v>
      </c>
      <c r="M665" s="777">
        <v>63585</v>
      </c>
      <c r="N665" s="777">
        <v>67995</v>
      </c>
      <c r="O665" s="777">
        <v>72360</v>
      </c>
      <c r="P665" s="39"/>
      <c r="Q665" s="39"/>
    </row>
    <row r="666" spans="1:17">
      <c r="A666" s="38"/>
      <c r="B666" s="778">
        <v>0.4</v>
      </c>
      <c r="C666" s="775">
        <v>853</v>
      </c>
      <c r="D666" s="775">
        <v>914</v>
      </c>
      <c r="E666" s="775">
        <v>1097</v>
      </c>
      <c r="F666" s="775">
        <v>1267</v>
      </c>
      <c r="G666" s="775">
        <v>1413</v>
      </c>
      <c r="H666" s="775">
        <v>34120</v>
      </c>
      <c r="I666" s="775">
        <v>39000</v>
      </c>
      <c r="J666" s="775">
        <v>43880</v>
      </c>
      <c r="K666" s="775">
        <v>48720</v>
      </c>
      <c r="L666" s="775">
        <v>52640</v>
      </c>
      <c r="M666" s="777">
        <v>56520</v>
      </c>
      <c r="N666" s="777">
        <v>60440</v>
      </c>
      <c r="O666" s="777">
        <v>64320</v>
      </c>
      <c r="P666" s="39"/>
      <c r="Q666" s="39"/>
    </row>
    <row r="667" spans="1:17">
      <c r="A667" s="38"/>
      <c r="B667" s="519">
        <v>0.3</v>
      </c>
      <c r="C667" s="775">
        <v>639</v>
      </c>
      <c r="D667" s="775">
        <v>685</v>
      </c>
      <c r="E667" s="775">
        <v>822</v>
      </c>
      <c r="F667" s="775">
        <v>950</v>
      </c>
      <c r="G667" s="775">
        <v>1059</v>
      </c>
      <c r="H667" s="776">
        <v>25590</v>
      </c>
      <c r="I667" s="776">
        <v>29250</v>
      </c>
      <c r="J667" s="776">
        <v>32910</v>
      </c>
      <c r="K667" s="776">
        <v>36540</v>
      </c>
      <c r="L667" s="776">
        <v>39480</v>
      </c>
      <c r="M667" s="776">
        <v>42390</v>
      </c>
      <c r="N667" s="776">
        <v>45330</v>
      </c>
      <c r="O667" s="776">
        <v>48240</v>
      </c>
      <c r="P667" s="39"/>
      <c r="Q667" s="39"/>
    </row>
    <row r="668" spans="1:17" ht="13.5" thickBot="1">
      <c r="A668" s="779"/>
      <c r="B668" s="40">
        <v>0.2</v>
      </c>
      <c r="C668" s="521">
        <v>426</v>
      </c>
      <c r="D668" s="521">
        <v>457</v>
      </c>
      <c r="E668" s="521">
        <v>548</v>
      </c>
      <c r="F668" s="521">
        <v>633</v>
      </c>
      <c r="G668" s="521">
        <v>706</v>
      </c>
      <c r="H668" s="522">
        <v>17060</v>
      </c>
      <c r="I668" s="522">
        <v>19500</v>
      </c>
      <c r="J668" s="522">
        <v>21940</v>
      </c>
      <c r="K668" s="522">
        <v>24360</v>
      </c>
      <c r="L668" s="522">
        <v>26320</v>
      </c>
      <c r="M668" s="522">
        <v>28260</v>
      </c>
      <c r="N668" s="522">
        <v>30220</v>
      </c>
      <c r="O668" s="522">
        <v>32160</v>
      </c>
      <c r="P668" s="39"/>
      <c r="Q668" s="39"/>
    </row>
    <row r="669" spans="1:17" ht="13.5" thickTop="1">
      <c r="A669" s="38"/>
      <c r="B669" s="37">
        <v>1.2</v>
      </c>
      <c r="C669" s="523">
        <v>1983</v>
      </c>
      <c r="D669" s="523">
        <v>2124</v>
      </c>
      <c r="E669" s="523">
        <v>2547</v>
      </c>
      <c r="F669" s="523">
        <v>2943</v>
      </c>
      <c r="G669" s="523">
        <v>3282</v>
      </c>
      <c r="H669" s="523">
        <v>79320</v>
      </c>
      <c r="I669" s="523">
        <v>90600</v>
      </c>
      <c r="J669" s="523">
        <v>101880</v>
      </c>
      <c r="K669" s="523">
        <v>113160</v>
      </c>
      <c r="L669" s="523">
        <v>122280</v>
      </c>
      <c r="M669" s="523">
        <v>131280</v>
      </c>
      <c r="N669" s="523">
        <v>140400</v>
      </c>
      <c r="O669" s="523">
        <v>149400</v>
      </c>
      <c r="P669" s="47"/>
      <c r="Q669" s="47"/>
    </row>
    <row r="670" spans="1:17">
      <c r="A670" s="38"/>
      <c r="B670" s="778">
        <v>1</v>
      </c>
      <c r="C670" s="775">
        <v>1652</v>
      </c>
      <c r="D670" s="775">
        <v>1770</v>
      </c>
      <c r="E670" s="775">
        <v>2122</v>
      </c>
      <c r="F670" s="775">
        <v>2452</v>
      </c>
      <c r="G670" s="775">
        <v>2735</v>
      </c>
      <c r="H670" s="775">
        <v>66100</v>
      </c>
      <c r="I670" s="775">
        <v>75500</v>
      </c>
      <c r="J670" s="775">
        <v>84900</v>
      </c>
      <c r="K670" s="775">
        <v>94300</v>
      </c>
      <c r="L670" s="775">
        <v>101900</v>
      </c>
      <c r="M670" s="775">
        <v>109400</v>
      </c>
      <c r="N670" s="775">
        <v>117000</v>
      </c>
      <c r="O670" s="775">
        <v>124500</v>
      </c>
      <c r="P670" s="48"/>
      <c r="Q670" s="48"/>
    </row>
    <row r="671" spans="1:17">
      <c r="A671" s="38" t="s">
        <v>1296</v>
      </c>
      <c r="B671" s="778">
        <v>0.8</v>
      </c>
      <c r="C671" s="775">
        <v>1322</v>
      </c>
      <c r="D671" s="775">
        <v>1416</v>
      </c>
      <c r="E671" s="775">
        <v>1698</v>
      </c>
      <c r="F671" s="775">
        <v>1962</v>
      </c>
      <c r="G671" s="775">
        <v>2188</v>
      </c>
      <c r="H671" s="776">
        <v>52880</v>
      </c>
      <c r="I671" s="776">
        <v>60400</v>
      </c>
      <c r="J671" s="776">
        <v>67920</v>
      </c>
      <c r="K671" s="776">
        <v>75440</v>
      </c>
      <c r="L671" s="776">
        <v>81520</v>
      </c>
      <c r="M671" s="776">
        <v>87520</v>
      </c>
      <c r="N671" s="776">
        <v>93600</v>
      </c>
      <c r="O671" s="776">
        <v>99600</v>
      </c>
      <c r="P671" s="242"/>
      <c r="Q671" s="242"/>
    </row>
    <row r="672" spans="1:17">
      <c r="A672" s="38"/>
      <c r="B672" s="778">
        <v>0.7</v>
      </c>
      <c r="C672" s="775">
        <v>1156</v>
      </c>
      <c r="D672" s="775">
        <v>1239</v>
      </c>
      <c r="E672" s="775">
        <v>1485</v>
      </c>
      <c r="F672" s="775">
        <v>1716</v>
      </c>
      <c r="G672" s="775">
        <v>1914</v>
      </c>
      <c r="H672" s="776">
        <v>46270</v>
      </c>
      <c r="I672" s="776">
        <v>52850</v>
      </c>
      <c r="J672" s="776">
        <v>59429.999999999993</v>
      </c>
      <c r="K672" s="776">
        <v>66010</v>
      </c>
      <c r="L672" s="776">
        <v>71330</v>
      </c>
      <c r="M672" s="776">
        <v>76580</v>
      </c>
      <c r="N672" s="776">
        <v>81900</v>
      </c>
      <c r="O672" s="776">
        <v>87150</v>
      </c>
      <c r="P672" s="242"/>
      <c r="Q672" s="242"/>
    </row>
    <row r="673" spans="1:17">
      <c r="A673" s="38"/>
      <c r="B673" s="778">
        <v>0.6</v>
      </c>
      <c r="C673" s="775">
        <v>991</v>
      </c>
      <c r="D673" s="775">
        <v>1062</v>
      </c>
      <c r="E673" s="775">
        <v>1273</v>
      </c>
      <c r="F673" s="775">
        <v>1471</v>
      </c>
      <c r="G673" s="775">
        <v>1641</v>
      </c>
      <c r="H673" s="775">
        <v>39660</v>
      </c>
      <c r="I673" s="775">
        <v>45300</v>
      </c>
      <c r="J673" s="775">
        <v>50940</v>
      </c>
      <c r="K673" s="775">
        <v>56580</v>
      </c>
      <c r="L673" s="775">
        <v>61140</v>
      </c>
      <c r="M673" s="777">
        <v>65640</v>
      </c>
      <c r="N673" s="777">
        <v>70200</v>
      </c>
      <c r="O673" s="777">
        <v>74700</v>
      </c>
      <c r="P673" s="242"/>
      <c r="Q673" s="242"/>
    </row>
    <row r="674" spans="1:17">
      <c r="A674" s="38"/>
      <c r="B674" s="778">
        <v>0.55000000000000004</v>
      </c>
      <c r="C674" s="775">
        <v>908</v>
      </c>
      <c r="D674" s="775">
        <v>973</v>
      </c>
      <c r="E674" s="775">
        <v>1167</v>
      </c>
      <c r="F674" s="775">
        <v>1348</v>
      </c>
      <c r="G674" s="775">
        <v>1504</v>
      </c>
      <c r="H674" s="775">
        <v>36355</v>
      </c>
      <c r="I674" s="775">
        <v>41525</v>
      </c>
      <c r="J674" s="775">
        <v>46695.000000000007</v>
      </c>
      <c r="K674" s="775">
        <v>51865.000000000007</v>
      </c>
      <c r="L674" s="775">
        <v>56045.000000000007</v>
      </c>
      <c r="M674" s="775">
        <v>60170.000000000007</v>
      </c>
      <c r="N674" s="775">
        <v>64350.000000000007</v>
      </c>
      <c r="O674" s="775">
        <v>68475</v>
      </c>
      <c r="P674" s="242"/>
      <c r="Q674" s="242"/>
    </row>
    <row r="675" spans="1:17">
      <c r="A675" s="38"/>
      <c r="B675" s="778">
        <v>0.5</v>
      </c>
      <c r="C675" s="775">
        <v>826</v>
      </c>
      <c r="D675" s="775">
        <v>885</v>
      </c>
      <c r="E675" s="775">
        <v>1061</v>
      </c>
      <c r="F675" s="775">
        <v>1226</v>
      </c>
      <c r="G675" s="775">
        <v>1367</v>
      </c>
      <c r="H675" s="776">
        <v>33050</v>
      </c>
      <c r="I675" s="776">
        <v>37750</v>
      </c>
      <c r="J675" s="776">
        <v>42450</v>
      </c>
      <c r="K675" s="776">
        <v>47150</v>
      </c>
      <c r="L675" s="776">
        <v>50950</v>
      </c>
      <c r="M675" s="776">
        <v>54700</v>
      </c>
      <c r="N675" s="776">
        <v>58500</v>
      </c>
      <c r="O675" s="776">
        <v>62250</v>
      </c>
      <c r="P675" s="242"/>
      <c r="Q675" s="242"/>
    </row>
    <row r="676" spans="1:17">
      <c r="A676" s="38"/>
      <c r="B676" s="778">
        <v>0.45</v>
      </c>
      <c r="C676" s="775">
        <v>743</v>
      </c>
      <c r="D676" s="775">
        <v>796</v>
      </c>
      <c r="E676" s="775">
        <v>955</v>
      </c>
      <c r="F676" s="775">
        <v>1103</v>
      </c>
      <c r="G676" s="775">
        <v>1230</v>
      </c>
      <c r="H676" s="775">
        <v>29745</v>
      </c>
      <c r="I676" s="775">
        <v>33975</v>
      </c>
      <c r="J676" s="775">
        <v>38205</v>
      </c>
      <c r="K676" s="775">
        <v>42435</v>
      </c>
      <c r="L676" s="775">
        <v>45855</v>
      </c>
      <c r="M676" s="777">
        <v>49230</v>
      </c>
      <c r="N676" s="777">
        <v>52650</v>
      </c>
      <c r="O676" s="777">
        <v>56025</v>
      </c>
      <c r="P676" s="242"/>
      <c r="Q676" s="242"/>
    </row>
    <row r="677" spans="1:17">
      <c r="A677" s="38"/>
      <c r="B677" s="778">
        <v>0.4</v>
      </c>
      <c r="C677" s="775">
        <v>661</v>
      </c>
      <c r="D677" s="775">
        <v>708</v>
      </c>
      <c r="E677" s="775">
        <v>849</v>
      </c>
      <c r="F677" s="775">
        <v>981</v>
      </c>
      <c r="G677" s="775">
        <v>1094</v>
      </c>
      <c r="H677" s="775">
        <v>26440</v>
      </c>
      <c r="I677" s="775">
        <v>30200</v>
      </c>
      <c r="J677" s="775">
        <v>33960</v>
      </c>
      <c r="K677" s="775">
        <v>37720</v>
      </c>
      <c r="L677" s="775">
        <v>40760</v>
      </c>
      <c r="M677" s="777">
        <v>43760</v>
      </c>
      <c r="N677" s="777">
        <v>46800</v>
      </c>
      <c r="O677" s="777">
        <v>49800</v>
      </c>
      <c r="P677" s="242"/>
      <c r="Q677" s="242"/>
    </row>
    <row r="678" spans="1:17">
      <c r="A678" s="38"/>
      <c r="B678" s="519">
        <v>0.3</v>
      </c>
      <c r="C678" s="775">
        <v>495</v>
      </c>
      <c r="D678" s="775">
        <v>531</v>
      </c>
      <c r="E678" s="775">
        <v>636</v>
      </c>
      <c r="F678" s="775">
        <v>735</v>
      </c>
      <c r="G678" s="775">
        <v>820</v>
      </c>
      <c r="H678" s="776">
        <v>19830</v>
      </c>
      <c r="I678" s="776">
        <v>22650</v>
      </c>
      <c r="J678" s="776">
        <v>25470</v>
      </c>
      <c r="K678" s="776">
        <v>28290</v>
      </c>
      <c r="L678" s="776">
        <v>30570</v>
      </c>
      <c r="M678" s="776">
        <v>32820</v>
      </c>
      <c r="N678" s="776">
        <v>35100</v>
      </c>
      <c r="O678" s="776">
        <v>37350</v>
      </c>
      <c r="P678" s="242"/>
      <c r="Q678" s="242"/>
    </row>
    <row r="679" spans="1:17" ht="13.5" thickBot="1">
      <c r="A679" s="779"/>
      <c r="B679" s="40">
        <v>0.2</v>
      </c>
      <c r="C679" s="521">
        <v>330</v>
      </c>
      <c r="D679" s="521">
        <v>354</v>
      </c>
      <c r="E679" s="521">
        <v>424</v>
      </c>
      <c r="F679" s="521">
        <v>490</v>
      </c>
      <c r="G679" s="521">
        <v>547</v>
      </c>
      <c r="H679" s="522">
        <v>13220</v>
      </c>
      <c r="I679" s="522">
        <v>15100</v>
      </c>
      <c r="J679" s="522">
        <v>16980</v>
      </c>
      <c r="K679" s="522">
        <v>18860</v>
      </c>
      <c r="L679" s="522">
        <v>20380</v>
      </c>
      <c r="M679" s="522">
        <v>21880</v>
      </c>
      <c r="N679" s="522">
        <v>23400</v>
      </c>
      <c r="O679" s="522">
        <v>24900</v>
      </c>
      <c r="P679" s="242"/>
      <c r="Q679" s="242"/>
    </row>
    <row r="680" spans="1:17" ht="13.5" thickTop="1">
      <c r="A680" s="38"/>
      <c r="B680" s="37">
        <v>1.2</v>
      </c>
      <c r="C680" s="523">
        <v>1980</v>
      </c>
      <c r="D680" s="523">
        <v>2121</v>
      </c>
      <c r="E680" s="523">
        <v>2544</v>
      </c>
      <c r="F680" s="523">
        <v>2940</v>
      </c>
      <c r="G680" s="523">
        <v>3279</v>
      </c>
      <c r="H680" s="523">
        <v>79200</v>
      </c>
      <c r="I680" s="523">
        <v>90480</v>
      </c>
      <c r="J680" s="523">
        <v>101760</v>
      </c>
      <c r="K680" s="523">
        <v>113040</v>
      </c>
      <c r="L680" s="523">
        <v>122160</v>
      </c>
      <c r="M680" s="523">
        <v>131160</v>
      </c>
      <c r="N680" s="523">
        <v>140280</v>
      </c>
      <c r="O680" s="523">
        <v>149280</v>
      </c>
      <c r="P680" s="242"/>
      <c r="Q680" s="242"/>
    </row>
    <row r="681" spans="1:17">
      <c r="A681" s="38"/>
      <c r="B681" s="778">
        <v>1</v>
      </c>
      <c r="C681" s="775">
        <v>1650</v>
      </c>
      <c r="D681" s="775">
        <v>1767</v>
      </c>
      <c r="E681" s="775">
        <v>2120</v>
      </c>
      <c r="F681" s="775">
        <v>2450</v>
      </c>
      <c r="G681" s="775">
        <v>2732</v>
      </c>
      <c r="H681" s="775">
        <v>66000</v>
      </c>
      <c r="I681" s="775">
        <v>75400</v>
      </c>
      <c r="J681" s="775">
        <v>84800</v>
      </c>
      <c r="K681" s="775">
        <v>94200</v>
      </c>
      <c r="L681" s="775">
        <v>101800</v>
      </c>
      <c r="M681" s="775">
        <v>109300</v>
      </c>
      <c r="N681" s="775">
        <v>116900</v>
      </c>
      <c r="O681" s="775">
        <v>124400</v>
      </c>
      <c r="P681" s="242"/>
      <c r="Q681" s="242"/>
    </row>
    <row r="682" spans="1:17">
      <c r="A682" s="38" t="s">
        <v>1297</v>
      </c>
      <c r="B682" s="778">
        <v>0.8</v>
      </c>
      <c r="C682" s="775">
        <v>1320</v>
      </c>
      <c r="D682" s="775">
        <v>1414</v>
      </c>
      <c r="E682" s="775">
        <v>1696</v>
      </c>
      <c r="F682" s="775">
        <v>1960</v>
      </c>
      <c r="G682" s="775">
        <v>2186</v>
      </c>
      <c r="H682" s="776">
        <v>52800</v>
      </c>
      <c r="I682" s="776">
        <v>60320</v>
      </c>
      <c r="J682" s="776">
        <v>67840</v>
      </c>
      <c r="K682" s="776">
        <v>75360</v>
      </c>
      <c r="L682" s="776">
        <v>81440</v>
      </c>
      <c r="M682" s="776">
        <v>87440</v>
      </c>
      <c r="N682" s="776">
        <v>93520</v>
      </c>
      <c r="O682" s="776">
        <v>99520</v>
      </c>
      <c r="P682" s="242"/>
      <c r="Q682" s="242"/>
    </row>
    <row r="683" spans="1:17">
      <c r="A683" s="38"/>
      <c r="B683" s="778">
        <v>0.7</v>
      </c>
      <c r="C683" s="775">
        <v>1155</v>
      </c>
      <c r="D683" s="775">
        <v>1237</v>
      </c>
      <c r="E683" s="775">
        <v>1484</v>
      </c>
      <c r="F683" s="775">
        <v>1715</v>
      </c>
      <c r="G683" s="775">
        <v>1912</v>
      </c>
      <c r="H683" s="776">
        <v>46200</v>
      </c>
      <c r="I683" s="776">
        <v>52780</v>
      </c>
      <c r="J683" s="776">
        <v>59359.999999999993</v>
      </c>
      <c r="K683" s="776">
        <v>65940</v>
      </c>
      <c r="L683" s="776">
        <v>71260</v>
      </c>
      <c r="M683" s="776">
        <v>76510</v>
      </c>
      <c r="N683" s="776">
        <v>81830</v>
      </c>
      <c r="O683" s="776">
        <v>87080</v>
      </c>
      <c r="P683" s="242"/>
      <c r="Q683" s="242"/>
    </row>
    <row r="684" spans="1:17">
      <c r="A684" s="38"/>
      <c r="B684" s="778">
        <v>0.6</v>
      </c>
      <c r="C684" s="775">
        <v>990</v>
      </c>
      <c r="D684" s="775">
        <v>1060</v>
      </c>
      <c r="E684" s="775">
        <v>1272</v>
      </c>
      <c r="F684" s="775">
        <v>1470</v>
      </c>
      <c r="G684" s="775">
        <v>1639</v>
      </c>
      <c r="H684" s="775">
        <v>39600</v>
      </c>
      <c r="I684" s="775">
        <v>45240</v>
      </c>
      <c r="J684" s="775">
        <v>50880</v>
      </c>
      <c r="K684" s="775">
        <v>56520</v>
      </c>
      <c r="L684" s="775">
        <v>61080</v>
      </c>
      <c r="M684" s="777">
        <v>65580</v>
      </c>
      <c r="N684" s="777">
        <v>70140</v>
      </c>
      <c r="O684" s="777">
        <v>74640</v>
      </c>
      <c r="P684" s="242"/>
      <c r="Q684" s="242"/>
    </row>
    <row r="685" spans="1:17">
      <c r="A685" s="38"/>
      <c r="B685" s="778">
        <v>0.55000000000000004</v>
      </c>
      <c r="C685" s="775">
        <v>907</v>
      </c>
      <c r="D685" s="775">
        <v>972</v>
      </c>
      <c r="E685" s="775">
        <v>1166</v>
      </c>
      <c r="F685" s="775">
        <v>1347</v>
      </c>
      <c r="G685" s="775">
        <v>1502</v>
      </c>
      <c r="H685" s="775">
        <v>36300</v>
      </c>
      <c r="I685" s="775">
        <v>41470</v>
      </c>
      <c r="J685" s="775">
        <v>46640.000000000007</v>
      </c>
      <c r="K685" s="775">
        <v>51810.000000000007</v>
      </c>
      <c r="L685" s="775">
        <v>55990.000000000007</v>
      </c>
      <c r="M685" s="775">
        <v>60115.000000000007</v>
      </c>
      <c r="N685" s="775">
        <v>64295.000000000007</v>
      </c>
      <c r="O685" s="775">
        <v>68420</v>
      </c>
      <c r="P685" s="242"/>
      <c r="Q685" s="242"/>
    </row>
    <row r="686" spans="1:17">
      <c r="A686" s="38"/>
      <c r="B686" s="778">
        <v>0.5</v>
      </c>
      <c r="C686" s="775">
        <v>825</v>
      </c>
      <c r="D686" s="775">
        <v>883</v>
      </c>
      <c r="E686" s="775">
        <v>1060</v>
      </c>
      <c r="F686" s="775">
        <v>1225</v>
      </c>
      <c r="G686" s="775">
        <v>1366</v>
      </c>
      <c r="H686" s="776">
        <v>33000</v>
      </c>
      <c r="I686" s="776">
        <v>37700</v>
      </c>
      <c r="J686" s="776">
        <v>42400</v>
      </c>
      <c r="K686" s="776">
        <v>47100</v>
      </c>
      <c r="L686" s="776">
        <v>50900</v>
      </c>
      <c r="M686" s="776">
        <v>54650</v>
      </c>
      <c r="N686" s="776">
        <v>58450</v>
      </c>
      <c r="O686" s="776">
        <v>62200</v>
      </c>
      <c r="P686" s="242"/>
      <c r="Q686" s="242"/>
    </row>
    <row r="687" spans="1:17">
      <c r="A687" s="38"/>
      <c r="B687" s="778">
        <v>0.45</v>
      </c>
      <c r="C687" s="775">
        <v>742</v>
      </c>
      <c r="D687" s="775">
        <v>795</v>
      </c>
      <c r="E687" s="775">
        <v>954</v>
      </c>
      <c r="F687" s="775">
        <v>1102</v>
      </c>
      <c r="G687" s="775">
        <v>1229</v>
      </c>
      <c r="H687" s="775">
        <v>29700</v>
      </c>
      <c r="I687" s="775">
        <v>33930</v>
      </c>
      <c r="J687" s="775">
        <v>38160</v>
      </c>
      <c r="K687" s="775">
        <v>42390</v>
      </c>
      <c r="L687" s="775">
        <v>45810</v>
      </c>
      <c r="M687" s="777">
        <v>49185</v>
      </c>
      <c r="N687" s="777">
        <v>52605</v>
      </c>
      <c r="O687" s="777">
        <v>55980</v>
      </c>
      <c r="P687" s="242"/>
      <c r="Q687" s="242"/>
    </row>
    <row r="688" spans="1:17">
      <c r="A688" s="38"/>
      <c r="B688" s="778">
        <v>0.4</v>
      </c>
      <c r="C688" s="775">
        <v>660</v>
      </c>
      <c r="D688" s="775">
        <v>707</v>
      </c>
      <c r="E688" s="775">
        <v>848</v>
      </c>
      <c r="F688" s="775">
        <v>980</v>
      </c>
      <c r="G688" s="775">
        <v>1093</v>
      </c>
      <c r="H688" s="775">
        <v>26400</v>
      </c>
      <c r="I688" s="775">
        <v>30160</v>
      </c>
      <c r="J688" s="775">
        <v>33920</v>
      </c>
      <c r="K688" s="775">
        <v>37680</v>
      </c>
      <c r="L688" s="775">
        <v>40720</v>
      </c>
      <c r="M688" s="777">
        <v>43720</v>
      </c>
      <c r="N688" s="777">
        <v>46760</v>
      </c>
      <c r="O688" s="777">
        <v>49760</v>
      </c>
      <c r="P688" s="242"/>
      <c r="Q688" s="242"/>
    </row>
    <row r="689" spans="1:17">
      <c r="A689" s="38"/>
      <c r="B689" s="519">
        <v>0.3</v>
      </c>
      <c r="C689" s="775">
        <v>495</v>
      </c>
      <c r="D689" s="775">
        <v>530</v>
      </c>
      <c r="E689" s="775">
        <v>636</v>
      </c>
      <c r="F689" s="775">
        <v>735</v>
      </c>
      <c r="G689" s="775">
        <v>819</v>
      </c>
      <c r="H689" s="776">
        <v>19800</v>
      </c>
      <c r="I689" s="776">
        <v>22620</v>
      </c>
      <c r="J689" s="776">
        <v>25440</v>
      </c>
      <c r="K689" s="776">
        <v>28260</v>
      </c>
      <c r="L689" s="776">
        <v>30540</v>
      </c>
      <c r="M689" s="776">
        <v>32790</v>
      </c>
      <c r="N689" s="776">
        <v>35070</v>
      </c>
      <c r="O689" s="776">
        <v>37320</v>
      </c>
      <c r="P689" s="242"/>
      <c r="Q689" s="242"/>
    </row>
    <row r="690" spans="1:17" ht="13.5" thickBot="1">
      <c r="A690" s="779"/>
      <c r="B690" s="40">
        <v>0.2</v>
      </c>
      <c r="C690" s="521">
        <v>330</v>
      </c>
      <c r="D690" s="521">
        <v>353</v>
      </c>
      <c r="E690" s="521">
        <v>424</v>
      </c>
      <c r="F690" s="521">
        <v>490</v>
      </c>
      <c r="G690" s="521">
        <v>546</v>
      </c>
      <c r="H690" s="522">
        <v>13200</v>
      </c>
      <c r="I690" s="522">
        <v>15080</v>
      </c>
      <c r="J690" s="522">
        <v>16960</v>
      </c>
      <c r="K690" s="522">
        <v>18840</v>
      </c>
      <c r="L690" s="522">
        <v>20360</v>
      </c>
      <c r="M690" s="522">
        <v>21860</v>
      </c>
      <c r="N690" s="522">
        <v>23380</v>
      </c>
      <c r="O690" s="522">
        <v>24880</v>
      </c>
      <c r="P690" s="242"/>
      <c r="Q690" s="242"/>
    </row>
    <row r="691" spans="1:17" ht="13.5" thickTop="1">
      <c r="A691" s="46"/>
      <c r="B691" s="37">
        <v>1.2</v>
      </c>
      <c r="C691" s="523">
        <v>2406</v>
      </c>
      <c r="D691" s="523">
        <v>2577</v>
      </c>
      <c r="E691" s="523">
        <v>3093</v>
      </c>
      <c r="F691" s="523">
        <v>3573</v>
      </c>
      <c r="G691" s="523">
        <v>3987</v>
      </c>
      <c r="H691" s="523">
        <v>96240</v>
      </c>
      <c r="I691" s="523">
        <v>109920</v>
      </c>
      <c r="J691" s="523">
        <v>123720</v>
      </c>
      <c r="K691" s="523">
        <v>137400</v>
      </c>
      <c r="L691" s="523">
        <v>148440</v>
      </c>
      <c r="M691" s="523">
        <v>159480</v>
      </c>
      <c r="N691" s="523">
        <v>170400</v>
      </c>
      <c r="O691" s="523">
        <v>181440</v>
      </c>
      <c r="P691" s="242"/>
      <c r="Q691" s="242"/>
    </row>
    <row r="692" spans="1:17">
      <c r="A692" s="38"/>
      <c r="B692" s="778">
        <v>1</v>
      </c>
      <c r="C692" s="775">
        <v>2005</v>
      </c>
      <c r="D692" s="775">
        <v>2147</v>
      </c>
      <c r="E692" s="775">
        <v>2577</v>
      </c>
      <c r="F692" s="775">
        <v>2977</v>
      </c>
      <c r="G692" s="775">
        <v>3322</v>
      </c>
      <c r="H692" s="775">
        <v>80200</v>
      </c>
      <c r="I692" s="775">
        <v>91600</v>
      </c>
      <c r="J692" s="775">
        <v>103100</v>
      </c>
      <c r="K692" s="775">
        <v>114500</v>
      </c>
      <c r="L692" s="775">
        <v>123700</v>
      </c>
      <c r="M692" s="775">
        <v>132900</v>
      </c>
      <c r="N692" s="775">
        <v>142000</v>
      </c>
      <c r="O692" s="775">
        <v>151200</v>
      </c>
      <c r="P692" s="242"/>
      <c r="Q692" s="242"/>
    </row>
    <row r="693" spans="1:17">
      <c r="A693" s="38" t="s">
        <v>1298</v>
      </c>
      <c r="B693" s="778">
        <v>0.8</v>
      </c>
      <c r="C693" s="775">
        <v>1604</v>
      </c>
      <c r="D693" s="775">
        <v>1718</v>
      </c>
      <c r="E693" s="775">
        <v>2062</v>
      </c>
      <c r="F693" s="775">
        <v>2382</v>
      </c>
      <c r="G693" s="775">
        <v>2658</v>
      </c>
      <c r="H693" s="776">
        <v>64160</v>
      </c>
      <c r="I693" s="776">
        <v>73280</v>
      </c>
      <c r="J693" s="776">
        <v>82480</v>
      </c>
      <c r="K693" s="776">
        <v>91600</v>
      </c>
      <c r="L693" s="776">
        <v>98960</v>
      </c>
      <c r="M693" s="776">
        <v>106320</v>
      </c>
      <c r="N693" s="776">
        <v>113600</v>
      </c>
      <c r="O693" s="776">
        <v>120960</v>
      </c>
      <c r="P693" s="242"/>
      <c r="Q693" s="242"/>
    </row>
    <row r="694" spans="1:17">
      <c r="A694" s="38"/>
      <c r="B694" s="778">
        <v>0.7</v>
      </c>
      <c r="C694" s="775">
        <v>1403</v>
      </c>
      <c r="D694" s="775">
        <v>1503</v>
      </c>
      <c r="E694" s="775">
        <v>1804</v>
      </c>
      <c r="F694" s="775">
        <v>2084</v>
      </c>
      <c r="G694" s="775">
        <v>2325</v>
      </c>
      <c r="H694" s="776">
        <v>56140</v>
      </c>
      <c r="I694" s="776">
        <v>64119.999999999993</v>
      </c>
      <c r="J694" s="776">
        <v>72170</v>
      </c>
      <c r="K694" s="776">
        <v>80150</v>
      </c>
      <c r="L694" s="776">
        <v>86590</v>
      </c>
      <c r="M694" s="776">
        <v>93030</v>
      </c>
      <c r="N694" s="776">
        <v>99400</v>
      </c>
      <c r="O694" s="776">
        <v>105840</v>
      </c>
      <c r="P694" s="242"/>
      <c r="Q694" s="242"/>
    </row>
    <row r="695" spans="1:17">
      <c r="A695" s="38"/>
      <c r="B695" s="778">
        <v>0.6</v>
      </c>
      <c r="C695" s="775">
        <v>1203</v>
      </c>
      <c r="D695" s="775">
        <v>1288</v>
      </c>
      <c r="E695" s="775">
        <v>1546</v>
      </c>
      <c r="F695" s="775">
        <v>1786</v>
      </c>
      <c r="G695" s="775">
        <v>1993</v>
      </c>
      <c r="H695" s="775">
        <v>48120</v>
      </c>
      <c r="I695" s="775">
        <v>54960</v>
      </c>
      <c r="J695" s="775">
        <v>61860</v>
      </c>
      <c r="K695" s="775">
        <v>68700</v>
      </c>
      <c r="L695" s="775">
        <v>74220</v>
      </c>
      <c r="M695" s="777">
        <v>79740</v>
      </c>
      <c r="N695" s="777">
        <v>85200</v>
      </c>
      <c r="O695" s="777">
        <v>90720</v>
      </c>
      <c r="P695" s="242"/>
      <c r="Q695" s="242"/>
    </row>
    <row r="696" spans="1:17">
      <c r="A696" s="38"/>
      <c r="B696" s="778">
        <v>0.55000000000000004</v>
      </c>
      <c r="C696" s="775">
        <v>1102</v>
      </c>
      <c r="D696" s="775">
        <v>1181</v>
      </c>
      <c r="E696" s="775">
        <v>1417</v>
      </c>
      <c r="F696" s="775">
        <v>1637</v>
      </c>
      <c r="G696" s="775">
        <v>1827</v>
      </c>
      <c r="H696" s="775">
        <v>44110</v>
      </c>
      <c r="I696" s="775">
        <v>50380.000000000007</v>
      </c>
      <c r="J696" s="775">
        <v>56705.000000000007</v>
      </c>
      <c r="K696" s="775">
        <v>62975.000000000007</v>
      </c>
      <c r="L696" s="775">
        <v>68035</v>
      </c>
      <c r="M696" s="775">
        <v>73095</v>
      </c>
      <c r="N696" s="775">
        <v>78100</v>
      </c>
      <c r="O696" s="775">
        <v>83160</v>
      </c>
      <c r="P696" s="242"/>
      <c r="Q696" s="242"/>
    </row>
    <row r="697" spans="1:17">
      <c r="A697" s="38"/>
      <c r="B697" s="778">
        <v>0.5</v>
      </c>
      <c r="C697" s="775">
        <v>1002</v>
      </c>
      <c r="D697" s="775">
        <v>1073</v>
      </c>
      <c r="E697" s="775">
        <v>1288</v>
      </c>
      <c r="F697" s="775">
        <v>1488</v>
      </c>
      <c r="G697" s="775">
        <v>1661</v>
      </c>
      <c r="H697" s="776">
        <v>40100</v>
      </c>
      <c r="I697" s="776">
        <v>45800</v>
      </c>
      <c r="J697" s="776">
        <v>51550</v>
      </c>
      <c r="K697" s="776">
        <v>57250</v>
      </c>
      <c r="L697" s="776">
        <v>61850</v>
      </c>
      <c r="M697" s="776">
        <v>66450</v>
      </c>
      <c r="N697" s="776">
        <v>71000</v>
      </c>
      <c r="O697" s="776">
        <v>75600</v>
      </c>
      <c r="P697" s="242"/>
      <c r="Q697" s="242"/>
    </row>
    <row r="698" spans="1:17">
      <c r="A698" s="38"/>
      <c r="B698" s="778">
        <v>0.45</v>
      </c>
      <c r="C698" s="775">
        <v>902</v>
      </c>
      <c r="D698" s="775">
        <v>966</v>
      </c>
      <c r="E698" s="775">
        <v>1159</v>
      </c>
      <c r="F698" s="775">
        <v>1339</v>
      </c>
      <c r="G698" s="775">
        <v>1495</v>
      </c>
      <c r="H698" s="775">
        <v>36090</v>
      </c>
      <c r="I698" s="775">
        <v>41220</v>
      </c>
      <c r="J698" s="775">
        <v>46395</v>
      </c>
      <c r="K698" s="775">
        <v>51525</v>
      </c>
      <c r="L698" s="775">
        <v>55665</v>
      </c>
      <c r="M698" s="777">
        <v>59805</v>
      </c>
      <c r="N698" s="777">
        <v>63900</v>
      </c>
      <c r="O698" s="777">
        <v>68040</v>
      </c>
      <c r="P698" s="242"/>
      <c r="Q698" s="242"/>
    </row>
    <row r="699" spans="1:17">
      <c r="A699" s="38"/>
      <c r="B699" s="778">
        <v>0.4</v>
      </c>
      <c r="C699" s="775">
        <v>802</v>
      </c>
      <c r="D699" s="775">
        <v>859</v>
      </c>
      <c r="E699" s="775">
        <v>1031</v>
      </c>
      <c r="F699" s="775">
        <v>1191</v>
      </c>
      <c r="G699" s="775">
        <v>1329</v>
      </c>
      <c r="H699" s="775">
        <v>32080</v>
      </c>
      <c r="I699" s="775">
        <v>36640</v>
      </c>
      <c r="J699" s="775">
        <v>41240</v>
      </c>
      <c r="K699" s="775">
        <v>45800</v>
      </c>
      <c r="L699" s="775">
        <v>49480</v>
      </c>
      <c r="M699" s="777">
        <v>53160</v>
      </c>
      <c r="N699" s="777">
        <v>56800</v>
      </c>
      <c r="O699" s="777">
        <v>60480</v>
      </c>
      <c r="P699" s="242"/>
      <c r="Q699" s="242"/>
    </row>
    <row r="700" spans="1:17">
      <c r="A700" s="38"/>
      <c r="B700" s="519">
        <v>0.3</v>
      </c>
      <c r="C700" s="775">
        <v>601</v>
      </c>
      <c r="D700" s="775">
        <v>644</v>
      </c>
      <c r="E700" s="775">
        <v>773</v>
      </c>
      <c r="F700" s="775">
        <v>893</v>
      </c>
      <c r="G700" s="775">
        <v>996</v>
      </c>
      <c r="H700" s="776">
        <v>24060</v>
      </c>
      <c r="I700" s="776">
        <v>27480</v>
      </c>
      <c r="J700" s="776">
        <v>30930</v>
      </c>
      <c r="K700" s="776">
        <v>34350</v>
      </c>
      <c r="L700" s="776">
        <v>37110</v>
      </c>
      <c r="M700" s="776">
        <v>39870</v>
      </c>
      <c r="N700" s="776">
        <v>42600</v>
      </c>
      <c r="O700" s="776">
        <v>45360</v>
      </c>
      <c r="P700" s="242"/>
      <c r="Q700" s="242"/>
    </row>
    <row r="701" spans="1:17" ht="13.5" thickBot="1">
      <c r="A701" s="779"/>
      <c r="B701" s="40">
        <v>0.2</v>
      </c>
      <c r="C701" s="521">
        <v>401</v>
      </c>
      <c r="D701" s="521">
        <v>429</v>
      </c>
      <c r="E701" s="521">
        <v>515</v>
      </c>
      <c r="F701" s="521">
        <v>595</v>
      </c>
      <c r="G701" s="521">
        <v>664</v>
      </c>
      <c r="H701" s="522">
        <v>16040</v>
      </c>
      <c r="I701" s="522">
        <v>18320</v>
      </c>
      <c r="J701" s="522">
        <v>20620</v>
      </c>
      <c r="K701" s="522">
        <v>22900</v>
      </c>
      <c r="L701" s="522">
        <v>24740</v>
      </c>
      <c r="M701" s="522">
        <v>26580</v>
      </c>
      <c r="N701" s="522">
        <v>28400</v>
      </c>
      <c r="O701" s="522">
        <v>30240</v>
      </c>
      <c r="P701" s="242"/>
      <c r="Q701" s="242"/>
    </row>
    <row r="702" spans="1:17" ht="13.5" thickTop="1">
      <c r="A702" s="44"/>
      <c r="B702" s="37">
        <v>1.2</v>
      </c>
      <c r="C702" s="523">
        <v>1980</v>
      </c>
      <c r="D702" s="523">
        <v>2121</v>
      </c>
      <c r="E702" s="523">
        <v>2544</v>
      </c>
      <c r="F702" s="523">
        <v>2940</v>
      </c>
      <c r="G702" s="523">
        <v>3279</v>
      </c>
      <c r="H702" s="523">
        <v>79200</v>
      </c>
      <c r="I702" s="523">
        <v>90480</v>
      </c>
      <c r="J702" s="523">
        <v>101760</v>
      </c>
      <c r="K702" s="523">
        <v>113040</v>
      </c>
      <c r="L702" s="523">
        <v>122160</v>
      </c>
      <c r="M702" s="523">
        <v>131160</v>
      </c>
      <c r="N702" s="523">
        <v>140280</v>
      </c>
      <c r="O702" s="523">
        <v>149280</v>
      </c>
      <c r="P702" s="242"/>
      <c r="Q702" s="242"/>
    </row>
    <row r="703" spans="1:17">
      <c r="A703" s="38"/>
      <c r="B703" s="778">
        <v>1</v>
      </c>
      <c r="C703" s="775">
        <v>1650</v>
      </c>
      <c r="D703" s="775">
        <v>1767</v>
      </c>
      <c r="E703" s="775">
        <v>2120</v>
      </c>
      <c r="F703" s="775">
        <v>2450</v>
      </c>
      <c r="G703" s="775">
        <v>2732</v>
      </c>
      <c r="H703" s="775">
        <v>66000</v>
      </c>
      <c r="I703" s="775">
        <v>75400</v>
      </c>
      <c r="J703" s="775">
        <v>84800</v>
      </c>
      <c r="K703" s="775">
        <v>94200</v>
      </c>
      <c r="L703" s="775">
        <v>101800</v>
      </c>
      <c r="M703" s="775">
        <v>109300</v>
      </c>
      <c r="N703" s="775">
        <v>116900</v>
      </c>
      <c r="O703" s="775">
        <v>124400</v>
      </c>
      <c r="P703" s="242"/>
      <c r="Q703" s="242"/>
    </row>
    <row r="704" spans="1:17">
      <c r="A704" s="38" t="s">
        <v>1299</v>
      </c>
      <c r="B704" s="778">
        <v>0.8</v>
      </c>
      <c r="C704" s="775">
        <v>1320</v>
      </c>
      <c r="D704" s="775">
        <v>1414</v>
      </c>
      <c r="E704" s="775">
        <v>1696</v>
      </c>
      <c r="F704" s="775">
        <v>1960</v>
      </c>
      <c r="G704" s="775">
        <v>2186</v>
      </c>
      <c r="H704" s="776">
        <v>52800</v>
      </c>
      <c r="I704" s="776">
        <v>60320</v>
      </c>
      <c r="J704" s="776">
        <v>67840</v>
      </c>
      <c r="K704" s="776">
        <v>75360</v>
      </c>
      <c r="L704" s="776">
        <v>81440</v>
      </c>
      <c r="M704" s="776">
        <v>87440</v>
      </c>
      <c r="N704" s="776">
        <v>93520</v>
      </c>
      <c r="O704" s="776">
        <v>99520</v>
      </c>
      <c r="P704" s="242"/>
      <c r="Q704" s="242"/>
    </row>
    <row r="705" spans="1:19">
      <c r="A705" s="38"/>
      <c r="B705" s="778">
        <v>0.7</v>
      </c>
      <c r="C705" s="775">
        <v>1155</v>
      </c>
      <c r="D705" s="775">
        <v>1237</v>
      </c>
      <c r="E705" s="775">
        <v>1484</v>
      </c>
      <c r="F705" s="775">
        <v>1715</v>
      </c>
      <c r="G705" s="775">
        <v>1912</v>
      </c>
      <c r="H705" s="776">
        <v>46200</v>
      </c>
      <c r="I705" s="776">
        <v>52780</v>
      </c>
      <c r="J705" s="776">
        <v>59359.999999999993</v>
      </c>
      <c r="K705" s="776">
        <v>65940</v>
      </c>
      <c r="L705" s="776">
        <v>71260</v>
      </c>
      <c r="M705" s="776">
        <v>76510</v>
      </c>
      <c r="N705" s="776">
        <v>81830</v>
      </c>
      <c r="O705" s="776">
        <v>87080</v>
      </c>
      <c r="P705" s="242"/>
      <c r="Q705" s="242"/>
      <c r="R705" s="242"/>
      <c r="S705" s="242"/>
    </row>
    <row r="706" spans="1:19">
      <c r="A706" s="242"/>
      <c r="B706" s="778">
        <v>0.6</v>
      </c>
      <c r="C706" s="775">
        <v>990</v>
      </c>
      <c r="D706" s="775">
        <v>1060</v>
      </c>
      <c r="E706" s="775">
        <v>1272</v>
      </c>
      <c r="F706" s="775">
        <v>1470</v>
      </c>
      <c r="G706" s="775">
        <v>1639</v>
      </c>
      <c r="H706" s="775">
        <v>39600</v>
      </c>
      <c r="I706" s="775">
        <v>45240</v>
      </c>
      <c r="J706" s="775">
        <v>50880</v>
      </c>
      <c r="K706" s="775">
        <v>56520</v>
      </c>
      <c r="L706" s="775">
        <v>61080</v>
      </c>
      <c r="M706" s="777">
        <v>65580</v>
      </c>
      <c r="N706" s="777">
        <v>70140</v>
      </c>
      <c r="O706" s="777">
        <v>74640</v>
      </c>
      <c r="P706" s="242"/>
      <c r="Q706" s="242"/>
      <c r="R706" s="242"/>
      <c r="S706" s="242"/>
    </row>
    <row r="707" spans="1:19">
      <c r="A707" s="242"/>
      <c r="B707" s="778">
        <v>0.55000000000000004</v>
      </c>
      <c r="C707" s="775">
        <v>907</v>
      </c>
      <c r="D707" s="775">
        <v>972</v>
      </c>
      <c r="E707" s="775">
        <v>1166</v>
      </c>
      <c r="F707" s="775">
        <v>1347</v>
      </c>
      <c r="G707" s="775">
        <v>1502</v>
      </c>
      <c r="H707" s="775">
        <v>36300</v>
      </c>
      <c r="I707" s="775">
        <v>41470</v>
      </c>
      <c r="J707" s="775">
        <v>46640.000000000007</v>
      </c>
      <c r="K707" s="775">
        <v>51810.000000000007</v>
      </c>
      <c r="L707" s="775">
        <v>55990.000000000007</v>
      </c>
      <c r="M707" s="775">
        <v>60115.000000000007</v>
      </c>
      <c r="N707" s="775">
        <v>64295.000000000007</v>
      </c>
      <c r="O707" s="775">
        <v>68420</v>
      </c>
      <c r="P707" s="242"/>
      <c r="Q707" s="242"/>
      <c r="R707" s="242"/>
      <c r="S707" s="242"/>
    </row>
    <row r="708" spans="1:19">
      <c r="A708" s="38"/>
      <c r="B708" s="778">
        <v>0.5</v>
      </c>
      <c r="C708" s="775">
        <v>825</v>
      </c>
      <c r="D708" s="775">
        <v>883</v>
      </c>
      <c r="E708" s="775">
        <v>1060</v>
      </c>
      <c r="F708" s="775">
        <v>1225</v>
      </c>
      <c r="G708" s="775">
        <v>1366</v>
      </c>
      <c r="H708" s="776">
        <v>33000</v>
      </c>
      <c r="I708" s="776">
        <v>37700</v>
      </c>
      <c r="J708" s="776">
        <v>42400</v>
      </c>
      <c r="K708" s="776">
        <v>47100</v>
      </c>
      <c r="L708" s="776">
        <v>50900</v>
      </c>
      <c r="M708" s="776">
        <v>54650</v>
      </c>
      <c r="N708" s="776">
        <v>58450</v>
      </c>
      <c r="O708" s="776">
        <v>62200</v>
      </c>
      <c r="P708" s="242"/>
      <c r="Q708" s="242"/>
      <c r="R708" s="242"/>
      <c r="S708" s="242"/>
    </row>
    <row r="709" spans="1:19">
      <c r="A709" s="38"/>
      <c r="B709" s="778">
        <v>0.45</v>
      </c>
      <c r="C709" s="775">
        <v>742</v>
      </c>
      <c r="D709" s="775">
        <v>795</v>
      </c>
      <c r="E709" s="775">
        <v>954</v>
      </c>
      <c r="F709" s="775">
        <v>1102</v>
      </c>
      <c r="G709" s="775">
        <v>1229</v>
      </c>
      <c r="H709" s="775">
        <v>29700</v>
      </c>
      <c r="I709" s="775">
        <v>33930</v>
      </c>
      <c r="J709" s="775">
        <v>38160</v>
      </c>
      <c r="K709" s="775">
        <v>42390</v>
      </c>
      <c r="L709" s="775">
        <v>45810</v>
      </c>
      <c r="M709" s="777">
        <v>49185</v>
      </c>
      <c r="N709" s="777">
        <v>52605</v>
      </c>
      <c r="O709" s="777">
        <v>55980</v>
      </c>
      <c r="P709" s="242"/>
      <c r="Q709" s="242"/>
      <c r="R709" s="242"/>
      <c r="S709" s="242"/>
    </row>
    <row r="710" spans="1:19">
      <c r="A710" s="38"/>
      <c r="B710" s="778">
        <v>0.4</v>
      </c>
      <c r="C710" s="775">
        <v>660</v>
      </c>
      <c r="D710" s="775">
        <v>707</v>
      </c>
      <c r="E710" s="775">
        <v>848</v>
      </c>
      <c r="F710" s="775">
        <v>980</v>
      </c>
      <c r="G710" s="775">
        <v>1093</v>
      </c>
      <c r="H710" s="775">
        <v>26400</v>
      </c>
      <c r="I710" s="775">
        <v>30160</v>
      </c>
      <c r="J710" s="775">
        <v>33920</v>
      </c>
      <c r="K710" s="775">
        <v>37680</v>
      </c>
      <c r="L710" s="775">
        <v>40720</v>
      </c>
      <c r="M710" s="777">
        <v>43720</v>
      </c>
      <c r="N710" s="777">
        <v>46760</v>
      </c>
      <c r="O710" s="777">
        <v>49760</v>
      </c>
      <c r="P710" s="242"/>
      <c r="Q710" s="242"/>
      <c r="R710" s="242"/>
      <c r="S710" s="242"/>
    </row>
    <row r="711" spans="1:19">
      <c r="A711" s="38"/>
      <c r="B711" s="519">
        <v>0.3</v>
      </c>
      <c r="C711" s="775">
        <v>495</v>
      </c>
      <c r="D711" s="775">
        <v>530</v>
      </c>
      <c r="E711" s="775">
        <v>636</v>
      </c>
      <c r="F711" s="775">
        <v>735</v>
      </c>
      <c r="G711" s="775">
        <v>819</v>
      </c>
      <c r="H711" s="776">
        <v>19800</v>
      </c>
      <c r="I711" s="776">
        <v>22620</v>
      </c>
      <c r="J711" s="776">
        <v>25440</v>
      </c>
      <c r="K711" s="776">
        <v>28260</v>
      </c>
      <c r="L711" s="776">
        <v>30540</v>
      </c>
      <c r="M711" s="776">
        <v>32790</v>
      </c>
      <c r="N711" s="776">
        <v>35070</v>
      </c>
      <c r="O711" s="776">
        <v>37320</v>
      </c>
      <c r="P711" s="242"/>
      <c r="Q711" s="242"/>
      <c r="R711" s="242"/>
      <c r="S711" s="242"/>
    </row>
    <row r="712" spans="1:19" ht="13.5" thickBot="1">
      <c r="A712" s="782"/>
      <c r="B712" s="40">
        <v>0.2</v>
      </c>
      <c r="C712" s="521">
        <v>330</v>
      </c>
      <c r="D712" s="521">
        <v>353</v>
      </c>
      <c r="E712" s="521">
        <v>424</v>
      </c>
      <c r="F712" s="521">
        <v>490</v>
      </c>
      <c r="G712" s="521">
        <v>546</v>
      </c>
      <c r="H712" s="522">
        <v>13200</v>
      </c>
      <c r="I712" s="522">
        <v>15080</v>
      </c>
      <c r="J712" s="522">
        <v>16960</v>
      </c>
      <c r="K712" s="522">
        <v>18840</v>
      </c>
      <c r="L712" s="522">
        <v>20360</v>
      </c>
      <c r="M712" s="522">
        <v>21860</v>
      </c>
      <c r="N712" s="522">
        <v>23380</v>
      </c>
      <c r="O712" s="522">
        <v>24880</v>
      </c>
      <c r="P712" s="242"/>
      <c r="Q712" s="242"/>
      <c r="R712" s="242"/>
      <c r="S712" s="242"/>
    </row>
    <row r="713" spans="1:19" ht="61.5" customHeight="1">
      <c r="A713" s="951" t="s">
        <v>1300</v>
      </c>
      <c r="B713" s="951"/>
      <c r="C713" s="951"/>
      <c r="D713" s="951"/>
      <c r="E713" s="951"/>
      <c r="F713" s="951"/>
      <c r="G713" s="951"/>
      <c r="H713" s="951"/>
      <c r="I713" s="951"/>
      <c r="J713" s="951"/>
      <c r="K713" s="951"/>
      <c r="L713" s="951"/>
      <c r="M713" s="951"/>
      <c r="N713" s="951"/>
      <c r="O713" s="951"/>
      <c r="P713" s="951"/>
      <c r="Q713" s="951"/>
      <c r="R713" s="951"/>
      <c r="S713" s="951"/>
    </row>
    <row r="714" spans="1:19">
      <c r="A714" s="466"/>
      <c r="B714" s="242"/>
      <c r="C714" s="242"/>
      <c r="D714" s="242"/>
      <c r="E714" s="242"/>
      <c r="F714" s="242"/>
      <c r="G714" s="242"/>
      <c r="H714" s="242"/>
      <c r="I714" s="242"/>
      <c r="J714" s="242"/>
      <c r="K714" s="242"/>
      <c r="L714" s="242"/>
      <c r="M714" s="242"/>
      <c r="N714" s="242"/>
      <c r="O714" s="242"/>
      <c r="P714" s="242"/>
      <c r="Q714" s="242"/>
      <c r="R714" s="242"/>
      <c r="S714" s="242"/>
    </row>
  </sheetData>
  <sheetProtection algorithmName="SHA-512" hashValue="i64V70rx0W/0e9z1R1VWQY4QO/zBAclo/azDd/5vg1DnT/+L0n1kQZj0sA9o0PezTlOEJzMsAaugUgDcC6Jp/w==" saltValue="95qNJwSrOXL+fRJSUnnGHw==" spinCount="100000" sheet="1" objects="1" scenarios="1"/>
  <mergeCells count="5">
    <mergeCell ref="A1:O1"/>
    <mergeCell ref="A2:O2"/>
    <mergeCell ref="A3:O3"/>
    <mergeCell ref="A4:O4"/>
    <mergeCell ref="A713:S713"/>
  </mergeCells>
  <conditionalFormatting sqref="C9:O712">
    <cfRule type="expression" dxfId="3" priority="1">
      <formula>MOD(ROW(),2)=1</formula>
    </cfRule>
  </conditionalFormatting>
  <pageMargins left="0.75" right="0.75" top="1" bottom="1" header="0.5" footer="0.5"/>
  <pageSetup paperSize="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7030A0"/>
  </sheetPr>
  <dimension ref="A1:AA104"/>
  <sheetViews>
    <sheetView showGridLines="0" workbookViewId="0">
      <selection activeCell="A2" sqref="A2"/>
    </sheetView>
  </sheetViews>
  <sheetFormatPr defaultRowHeight="15"/>
  <cols>
    <col min="1" max="1" width="10" customWidth="1"/>
    <col min="2" max="2" width="12" customWidth="1"/>
    <col min="3" max="3" width="11.140625" customWidth="1"/>
    <col min="4" max="4" width="12.140625" customWidth="1"/>
    <col min="5" max="5" width="15" customWidth="1"/>
    <col min="6" max="6" width="14.5703125" customWidth="1"/>
    <col min="7" max="7" width="15" customWidth="1"/>
    <col min="8" max="8" width="17" customWidth="1"/>
    <col min="9" max="10" width="16.5703125" customWidth="1"/>
    <col min="11" max="11" width="14.5703125" customWidth="1"/>
    <col min="12" max="12" width="17" customWidth="1"/>
    <col min="13" max="14" width="14.5703125" customWidth="1"/>
    <col min="15" max="16" width="16" customWidth="1"/>
    <col min="17" max="17" width="14.5703125" customWidth="1"/>
    <col min="18" max="18" width="16.5703125" customWidth="1"/>
    <col min="19" max="27" width="14.5703125" customWidth="1"/>
  </cols>
  <sheetData>
    <row r="1" spans="1:27" ht="21">
      <c r="A1" s="4" t="s">
        <v>1301</v>
      </c>
      <c r="B1" s="4"/>
      <c r="C1" s="4"/>
      <c r="D1" s="4"/>
      <c r="E1" s="4"/>
      <c r="F1" s="4"/>
      <c r="G1" s="4"/>
      <c r="H1" s="4"/>
      <c r="I1" s="4"/>
      <c r="J1" s="4"/>
      <c r="K1" s="4"/>
      <c r="L1" s="4"/>
      <c r="M1" s="4"/>
      <c r="N1" s="4"/>
      <c r="O1" s="4"/>
      <c r="P1" s="4"/>
      <c r="Q1" s="4"/>
      <c r="R1" s="4"/>
      <c r="S1" s="4"/>
      <c r="T1" s="4"/>
      <c r="U1" s="4"/>
      <c r="V1" s="4"/>
      <c r="W1" s="4"/>
      <c r="X1" s="4"/>
      <c r="Y1" s="4"/>
      <c r="Z1" s="4"/>
      <c r="AA1" s="4"/>
    </row>
    <row r="4" spans="1:27" ht="45" customHeight="1">
      <c r="A4" s="511" t="str">
        <f>Calculations!A707</f>
        <v>Building #</v>
      </c>
      <c r="B4" s="511" t="str">
        <f>Calculations!B707</f>
        <v>Total Units in Building</v>
      </c>
      <c r="C4" s="511" t="str">
        <f>Calculations!C707</f>
        <v>Employee Units</v>
      </c>
      <c r="D4" s="511" t="str">
        <f>Calculations!D707</f>
        <v>Low-Income Units</v>
      </c>
      <c r="E4" s="511" t="str">
        <f>Calculations!E707</f>
        <v>Residential Square Footage</v>
      </c>
      <c r="F4" s="511" t="str">
        <f>Calculations!F707</f>
        <v>Square Footage of Employee Units</v>
      </c>
      <c r="G4" s="511" t="str">
        <f>Calculations!G707</f>
        <v>Square Footage of Low-Income Units</v>
      </c>
      <c r="H4" s="511" t="str">
        <f>Calculations!H707</f>
        <v>Low-Income Unit Applicable Fraction</v>
      </c>
      <c r="I4" s="511" t="str">
        <f>Calculations!I707</f>
        <v>Square Footage Applicable Fraction</v>
      </c>
      <c r="J4" s="511" t="str">
        <f>Calculations!J707</f>
        <v xml:space="preserve">Lowest Applicable for Calculating Credit </v>
      </c>
      <c r="K4" s="511" t="str">
        <f>Calculations!K707</f>
        <v>New Construction Eligible Basis</v>
      </c>
      <c r="L4" s="511" t="str">
        <f>Calculations!L707</f>
        <v>Boosted New Con Eligible Basis</v>
      </c>
      <c r="M4" s="511" t="str">
        <f>Calculations!M707</f>
        <v>Rehab Eligible Basis</v>
      </c>
      <c r="N4" s="511" t="str">
        <f>Calculations!N707</f>
        <v>Boosted Rehab Eligible Basis</v>
      </c>
      <c r="O4" s="511" t="str">
        <f>Calculations!O707</f>
        <v>New Con/Rehab Total Eligible Basis</v>
      </c>
      <c r="P4" s="511" t="str">
        <f>Calculations!P707</f>
        <v>New Con/Rehab Total Qualified Basis</v>
      </c>
      <c r="Q4" s="511" t="str">
        <f>Calculations!Q707</f>
        <v>New Con/Rehab APR</v>
      </c>
      <c r="R4" s="511" t="str">
        <f>Calculations!R707</f>
        <v>New Con/Rehab Annual Credit Amount</v>
      </c>
      <c r="S4" s="511" t="str">
        <f>Calculations!S707</f>
        <v>Total Acquisition Eligible Basis</v>
      </c>
      <c r="T4" s="511" t="str">
        <f>Calculations!T707</f>
        <v>Acq Total Qualified Basis</v>
      </c>
      <c r="U4" s="511" t="str">
        <f>Calculations!U707</f>
        <v>Acq APR</v>
      </c>
      <c r="V4" s="511" t="str">
        <f>Calculations!V707</f>
        <v>Acq Annual Credit Amount</v>
      </c>
      <c r="W4" s="511" t="str">
        <f>Calculations!W707</f>
        <v>New Con/Rehab Applicable Percentage</v>
      </c>
      <c r="X4" s="511" t="str">
        <f>Calculations!X707</f>
        <v>Acq Applicable Percentage</v>
      </c>
      <c r="Y4" s="511" t="str">
        <f>Calculations!Y707</f>
        <v>Applicable Fraction Sq Footage</v>
      </c>
      <c r="Z4" s="511" t="str">
        <f>Calculations!Z707</f>
        <v>Applicable Fraction LI Units</v>
      </c>
      <c r="AA4" s="511" t="str">
        <f>Calculations!AA707</f>
        <v>Lowest Applicable Fraction</v>
      </c>
    </row>
    <row r="5" spans="1:27">
      <c r="A5" s="3">
        <f>Calculations!A708</f>
        <v>1</v>
      </c>
      <c r="B5">
        <f>Calculations!B708</f>
        <v>0</v>
      </c>
      <c r="C5">
        <f>Calculations!C708</f>
        <v>0</v>
      </c>
      <c r="D5">
        <f>Calculations!D708</f>
        <v>0</v>
      </c>
      <c r="E5" s="265">
        <f>Calculations!E708</f>
        <v>0</v>
      </c>
      <c r="F5" s="265">
        <f>Calculations!F708</f>
        <v>0</v>
      </c>
      <c r="G5" s="265">
        <f>Calculations!G708</f>
        <v>0</v>
      </c>
      <c r="H5" s="197">
        <f>Calculations!H708</f>
        <v>0</v>
      </c>
      <c r="I5" s="197">
        <f>Calculations!I708</f>
        <v>0</v>
      </c>
      <c r="J5" s="137">
        <f>Calculations!J708</f>
        <v>0</v>
      </c>
      <c r="K5" s="66">
        <f>Calculations!K708</f>
        <v>0</v>
      </c>
      <c r="L5" s="66">
        <f>Calculations!L708</f>
        <v>0</v>
      </c>
      <c r="M5">
        <f>Calculations!M708</f>
        <v>0</v>
      </c>
      <c r="N5" s="66">
        <f>Calculations!N708</f>
        <v>0</v>
      </c>
      <c r="O5" s="66">
        <f>Calculations!O708</f>
        <v>0</v>
      </c>
      <c r="P5" s="66">
        <f>Calculations!P708</f>
        <v>0</v>
      </c>
      <c r="Q5" s="204">
        <f>Calculations!Q708</f>
        <v>0</v>
      </c>
      <c r="R5" s="66">
        <f>Calculations!R708</f>
        <v>0</v>
      </c>
      <c r="S5" s="65">
        <f>Calculations!S708</f>
        <v>0</v>
      </c>
      <c r="T5" s="65">
        <f>Calculations!T708</f>
        <v>0</v>
      </c>
      <c r="U5" s="204">
        <f>Calculations!U708</f>
        <v>0</v>
      </c>
      <c r="V5" s="65">
        <f>Calculations!V708</f>
        <v>0</v>
      </c>
      <c r="W5" s="266">
        <f>Calculations!W708</f>
        <v>0</v>
      </c>
      <c r="X5" s="266">
        <f>Calculations!X708</f>
        <v>0</v>
      </c>
      <c r="Y5" s="266" t="e">
        <f>Calculations!Y708</f>
        <v>#DIV/0!</v>
      </c>
      <c r="Z5" s="266" t="e">
        <f>Calculations!Z708</f>
        <v>#DIV/0!</v>
      </c>
      <c r="AA5" s="266" t="e">
        <f>Calculations!AA708</f>
        <v>#DIV/0!</v>
      </c>
    </row>
    <row r="6" spans="1:27">
      <c r="A6" s="3">
        <f>Calculations!A709</f>
        <v>2</v>
      </c>
      <c r="B6">
        <f>Calculations!B709</f>
        <v>0</v>
      </c>
      <c r="C6">
        <f>Calculations!C709</f>
        <v>0</v>
      </c>
      <c r="D6">
        <f>Calculations!D709</f>
        <v>0</v>
      </c>
      <c r="E6" s="265">
        <f>Calculations!E709</f>
        <v>0</v>
      </c>
      <c r="F6" s="265">
        <f>Calculations!F709</f>
        <v>0</v>
      </c>
      <c r="G6" s="265">
        <f>Calculations!G709</f>
        <v>0</v>
      </c>
      <c r="H6" s="197">
        <f>Calculations!H709</f>
        <v>0</v>
      </c>
      <c r="I6" s="197">
        <f>Calculations!I709</f>
        <v>0</v>
      </c>
      <c r="J6" s="137">
        <f>Calculations!J709</f>
        <v>0</v>
      </c>
      <c r="K6" s="66">
        <f>Calculations!K709</f>
        <v>0</v>
      </c>
      <c r="L6" s="66">
        <f>Calculations!L709</f>
        <v>0</v>
      </c>
      <c r="M6">
        <f>Calculations!M709</f>
        <v>0</v>
      </c>
      <c r="N6" s="66">
        <f>Calculations!N709</f>
        <v>0</v>
      </c>
      <c r="O6" s="66">
        <f>Calculations!O709</f>
        <v>0</v>
      </c>
      <c r="P6" s="66">
        <f>Calculations!P709</f>
        <v>0</v>
      </c>
      <c r="Q6" s="204">
        <f>Calculations!Q709</f>
        <v>0</v>
      </c>
      <c r="R6" s="66">
        <f>Calculations!R709</f>
        <v>0</v>
      </c>
      <c r="S6" s="65">
        <f>Calculations!S709</f>
        <v>0</v>
      </c>
      <c r="T6" s="65">
        <f>Calculations!T709</f>
        <v>0</v>
      </c>
      <c r="U6" s="204">
        <f>Calculations!U709</f>
        <v>0</v>
      </c>
      <c r="V6" s="65">
        <f>Calculations!V709</f>
        <v>0</v>
      </c>
      <c r="W6" s="266">
        <f>Calculations!W709</f>
        <v>0</v>
      </c>
      <c r="X6" s="266">
        <f>Calculations!X709</f>
        <v>0</v>
      </c>
      <c r="Y6" s="266" t="e">
        <f>Calculations!Y709</f>
        <v>#DIV/0!</v>
      </c>
      <c r="Z6" s="266" t="e">
        <f>Calculations!Z709</f>
        <v>#DIV/0!</v>
      </c>
      <c r="AA6" s="266" t="e">
        <f>Calculations!AA709</f>
        <v>#DIV/0!</v>
      </c>
    </row>
    <row r="7" spans="1:27">
      <c r="A7" s="3">
        <f>Calculations!A710</f>
        <v>3</v>
      </c>
      <c r="B7">
        <f>Calculations!B710</f>
        <v>0</v>
      </c>
      <c r="C7">
        <f>Calculations!C710</f>
        <v>0</v>
      </c>
      <c r="D7">
        <f>Calculations!D710</f>
        <v>0</v>
      </c>
      <c r="E7" s="265">
        <f>Calculations!E710</f>
        <v>0</v>
      </c>
      <c r="F7" s="265">
        <f>Calculations!F710</f>
        <v>0</v>
      </c>
      <c r="G7" s="265">
        <f>Calculations!G710</f>
        <v>0</v>
      </c>
      <c r="H7" s="197">
        <f>Calculations!H710</f>
        <v>0</v>
      </c>
      <c r="I7" s="197">
        <f>Calculations!I710</f>
        <v>0</v>
      </c>
      <c r="J7" s="137">
        <f>Calculations!J710</f>
        <v>0</v>
      </c>
      <c r="K7" s="66">
        <f>Calculations!K710</f>
        <v>0</v>
      </c>
      <c r="L7" s="66">
        <f>Calculations!L710</f>
        <v>0</v>
      </c>
      <c r="M7">
        <f>Calculations!M710</f>
        <v>0</v>
      </c>
      <c r="N7" s="66">
        <f>Calculations!N710</f>
        <v>0</v>
      </c>
      <c r="O7" s="66">
        <f>Calculations!O710</f>
        <v>0</v>
      </c>
      <c r="P7" s="66">
        <f>Calculations!P710</f>
        <v>0</v>
      </c>
      <c r="Q7" s="204">
        <f>Calculations!Q710</f>
        <v>0</v>
      </c>
      <c r="R7" s="66">
        <f>Calculations!R710</f>
        <v>0</v>
      </c>
      <c r="S7" s="65">
        <f>Calculations!S710</f>
        <v>0</v>
      </c>
      <c r="T7" s="65">
        <f>Calculations!T710</f>
        <v>0</v>
      </c>
      <c r="U7" s="204">
        <f>Calculations!U710</f>
        <v>0</v>
      </c>
      <c r="V7" s="65">
        <f>Calculations!V710</f>
        <v>0</v>
      </c>
      <c r="W7" s="266">
        <f>Calculations!W710</f>
        <v>0</v>
      </c>
      <c r="X7" s="266">
        <f>Calculations!X710</f>
        <v>0</v>
      </c>
      <c r="Y7" s="266" t="e">
        <f>Calculations!Y710</f>
        <v>#DIV/0!</v>
      </c>
      <c r="Z7" s="266" t="e">
        <f>Calculations!Z710</f>
        <v>#DIV/0!</v>
      </c>
      <c r="AA7" s="266" t="e">
        <f>Calculations!AA710</f>
        <v>#DIV/0!</v>
      </c>
    </row>
    <row r="8" spans="1:27">
      <c r="A8" s="3">
        <f>Calculations!A711</f>
        <v>4</v>
      </c>
      <c r="B8">
        <f>Calculations!B711</f>
        <v>0</v>
      </c>
      <c r="C8">
        <f>Calculations!C711</f>
        <v>0</v>
      </c>
      <c r="D8">
        <f>Calculations!D711</f>
        <v>0</v>
      </c>
      <c r="E8" s="265">
        <f>Calculations!E711</f>
        <v>0</v>
      </c>
      <c r="F8" s="265">
        <f>Calculations!F711</f>
        <v>0</v>
      </c>
      <c r="G8" s="265">
        <f>Calculations!G711</f>
        <v>0</v>
      </c>
      <c r="H8" s="197">
        <f>Calculations!H711</f>
        <v>0</v>
      </c>
      <c r="I8" s="197">
        <f>Calculations!I711</f>
        <v>0</v>
      </c>
      <c r="J8" s="137">
        <f>Calculations!J711</f>
        <v>0</v>
      </c>
      <c r="K8" s="66">
        <f>Calculations!K711</f>
        <v>0</v>
      </c>
      <c r="L8" s="66">
        <f>Calculations!L711</f>
        <v>0</v>
      </c>
      <c r="M8">
        <f>Calculations!M711</f>
        <v>0</v>
      </c>
      <c r="N8" s="66">
        <f>Calculations!N711</f>
        <v>0</v>
      </c>
      <c r="O8" s="66">
        <f>Calculations!O711</f>
        <v>0</v>
      </c>
      <c r="P8" s="66">
        <f>Calculations!P711</f>
        <v>0</v>
      </c>
      <c r="Q8" s="204">
        <f>Calculations!Q711</f>
        <v>0</v>
      </c>
      <c r="R8" s="66">
        <f>Calculations!R711</f>
        <v>0</v>
      </c>
      <c r="S8" s="65">
        <f>Calculations!S711</f>
        <v>0</v>
      </c>
      <c r="T8" s="65">
        <f>Calculations!T711</f>
        <v>0</v>
      </c>
      <c r="U8" s="204">
        <f>Calculations!U711</f>
        <v>0</v>
      </c>
      <c r="V8" s="65">
        <f>Calculations!V711</f>
        <v>0</v>
      </c>
      <c r="W8" s="266">
        <f>Calculations!W711</f>
        <v>0</v>
      </c>
      <c r="X8" s="266">
        <f>Calculations!X711</f>
        <v>0</v>
      </c>
      <c r="Y8" s="266" t="e">
        <f>Calculations!Y711</f>
        <v>#DIV/0!</v>
      </c>
      <c r="Z8" s="266" t="e">
        <f>Calculations!Z711</f>
        <v>#DIV/0!</v>
      </c>
      <c r="AA8" s="266" t="e">
        <f>Calculations!AA711</f>
        <v>#DIV/0!</v>
      </c>
    </row>
    <row r="9" spans="1:27">
      <c r="A9" s="3">
        <f>Calculations!A712</f>
        <v>5</v>
      </c>
      <c r="B9">
        <f>Calculations!B712</f>
        <v>0</v>
      </c>
      <c r="C9">
        <f>Calculations!C712</f>
        <v>0</v>
      </c>
      <c r="D9">
        <f>Calculations!D712</f>
        <v>0</v>
      </c>
      <c r="E9" s="265">
        <f>Calculations!E712</f>
        <v>0</v>
      </c>
      <c r="F9" s="265">
        <f>Calculations!F712</f>
        <v>0</v>
      </c>
      <c r="G9" s="265">
        <f>Calculations!G712</f>
        <v>0</v>
      </c>
      <c r="H9" s="197">
        <f>Calculations!H712</f>
        <v>0</v>
      </c>
      <c r="I9" s="197">
        <f>Calculations!I712</f>
        <v>0</v>
      </c>
      <c r="J9" s="137">
        <f>Calculations!J712</f>
        <v>0</v>
      </c>
      <c r="K9" s="66">
        <f>Calculations!K712</f>
        <v>0</v>
      </c>
      <c r="L9" s="66">
        <f>Calculations!L712</f>
        <v>0</v>
      </c>
      <c r="M9">
        <f>Calculations!M712</f>
        <v>0</v>
      </c>
      <c r="N9" s="66">
        <f>Calculations!N712</f>
        <v>0</v>
      </c>
      <c r="O9" s="66">
        <f>Calculations!O712</f>
        <v>0</v>
      </c>
      <c r="P9" s="66">
        <f>Calculations!P712</f>
        <v>0</v>
      </c>
      <c r="Q9" s="204">
        <f>Calculations!Q712</f>
        <v>0</v>
      </c>
      <c r="R9" s="66">
        <f>Calculations!R712</f>
        <v>0</v>
      </c>
      <c r="S9" s="65">
        <f>Calculations!S712</f>
        <v>0</v>
      </c>
      <c r="T9" s="65">
        <f>Calculations!T712</f>
        <v>0</v>
      </c>
      <c r="U9" s="204">
        <f>Calculations!U712</f>
        <v>0</v>
      </c>
      <c r="V9" s="65">
        <f>Calculations!V712</f>
        <v>0</v>
      </c>
      <c r="W9" s="266">
        <f>Calculations!W712</f>
        <v>0</v>
      </c>
      <c r="X9" s="266">
        <f>Calculations!X712</f>
        <v>0</v>
      </c>
      <c r="Y9" s="266" t="e">
        <f>Calculations!Y712</f>
        <v>#DIV/0!</v>
      </c>
      <c r="Z9" s="266" t="e">
        <f>Calculations!Z712</f>
        <v>#DIV/0!</v>
      </c>
      <c r="AA9" s="266" t="e">
        <f>Calculations!AA712</f>
        <v>#DIV/0!</v>
      </c>
    </row>
    <row r="10" spans="1:27">
      <c r="A10" s="3">
        <f>Calculations!A713</f>
        <v>6</v>
      </c>
      <c r="B10">
        <f>Calculations!B713</f>
        <v>0</v>
      </c>
      <c r="C10">
        <f>Calculations!C713</f>
        <v>0</v>
      </c>
      <c r="D10">
        <f>Calculations!D713</f>
        <v>0</v>
      </c>
      <c r="E10" s="265">
        <f>Calculations!E713</f>
        <v>0</v>
      </c>
      <c r="F10" s="265">
        <f>Calculations!F713</f>
        <v>0</v>
      </c>
      <c r="G10" s="265">
        <f>Calculations!G713</f>
        <v>0</v>
      </c>
      <c r="H10" s="197">
        <f>Calculations!H713</f>
        <v>0</v>
      </c>
      <c r="I10" s="197">
        <f>Calculations!I713</f>
        <v>0</v>
      </c>
      <c r="J10" s="137">
        <f>Calculations!J713</f>
        <v>0</v>
      </c>
      <c r="K10" s="66">
        <f>Calculations!K713</f>
        <v>0</v>
      </c>
      <c r="L10" s="66">
        <f>Calculations!L713</f>
        <v>0</v>
      </c>
      <c r="M10">
        <f>Calculations!M713</f>
        <v>0</v>
      </c>
      <c r="N10" s="66">
        <f>Calculations!N713</f>
        <v>0</v>
      </c>
      <c r="O10" s="66">
        <f>Calculations!O713</f>
        <v>0</v>
      </c>
      <c r="P10" s="66">
        <f>Calculations!P713</f>
        <v>0</v>
      </c>
      <c r="Q10" s="204">
        <f>Calculations!Q713</f>
        <v>0</v>
      </c>
      <c r="R10" s="66">
        <f>Calculations!R713</f>
        <v>0</v>
      </c>
      <c r="S10" s="65">
        <f>Calculations!S713</f>
        <v>0</v>
      </c>
      <c r="T10" s="65">
        <f>Calculations!T713</f>
        <v>0</v>
      </c>
      <c r="U10" s="204">
        <f>Calculations!U713</f>
        <v>0</v>
      </c>
      <c r="V10" s="65">
        <f>Calculations!V713</f>
        <v>0</v>
      </c>
      <c r="W10" s="266">
        <f>Calculations!W713</f>
        <v>0</v>
      </c>
      <c r="X10" s="266">
        <f>Calculations!X713</f>
        <v>0</v>
      </c>
      <c r="Y10" s="266" t="e">
        <f>Calculations!Y713</f>
        <v>#DIV/0!</v>
      </c>
      <c r="Z10" s="266" t="e">
        <f>Calculations!Z713</f>
        <v>#DIV/0!</v>
      </c>
      <c r="AA10" s="266" t="e">
        <f>Calculations!AA713</f>
        <v>#DIV/0!</v>
      </c>
    </row>
    <row r="11" spans="1:27">
      <c r="A11" s="3">
        <f>Calculations!A714</f>
        <v>7</v>
      </c>
      <c r="B11">
        <f>Calculations!B714</f>
        <v>0</v>
      </c>
      <c r="C11">
        <f>Calculations!C714</f>
        <v>0</v>
      </c>
      <c r="D11">
        <f>Calculations!D714</f>
        <v>0</v>
      </c>
      <c r="E11" s="265">
        <f>Calculations!E714</f>
        <v>0</v>
      </c>
      <c r="F11" s="265">
        <f>Calculations!F714</f>
        <v>0</v>
      </c>
      <c r="G11" s="265">
        <f>Calculations!G714</f>
        <v>0</v>
      </c>
      <c r="H11" s="197">
        <f>Calculations!H714</f>
        <v>0</v>
      </c>
      <c r="I11" s="197">
        <f>Calculations!I714</f>
        <v>0</v>
      </c>
      <c r="J11" s="137">
        <f>Calculations!J714</f>
        <v>0</v>
      </c>
      <c r="K11" s="66">
        <f>Calculations!K714</f>
        <v>0</v>
      </c>
      <c r="L11" s="66">
        <f>Calculations!L714</f>
        <v>0</v>
      </c>
      <c r="M11">
        <f>Calculations!M714</f>
        <v>0</v>
      </c>
      <c r="N11" s="66">
        <f>Calculations!N714</f>
        <v>0</v>
      </c>
      <c r="O11" s="66">
        <f>Calculations!O714</f>
        <v>0</v>
      </c>
      <c r="P11" s="66">
        <f>Calculations!P714</f>
        <v>0</v>
      </c>
      <c r="Q11" s="204">
        <f>Calculations!Q714</f>
        <v>0</v>
      </c>
      <c r="R11" s="66">
        <f>Calculations!R714</f>
        <v>0</v>
      </c>
      <c r="S11" s="65">
        <f>Calculations!S714</f>
        <v>0</v>
      </c>
      <c r="T11" s="65">
        <f>Calculations!T714</f>
        <v>0</v>
      </c>
      <c r="U11" s="204">
        <f>Calculations!U714</f>
        <v>0</v>
      </c>
      <c r="V11" s="65">
        <f>Calculations!V714</f>
        <v>0</v>
      </c>
      <c r="W11" s="266">
        <f>Calculations!W714</f>
        <v>0</v>
      </c>
      <c r="X11" s="266">
        <f>Calculations!X714</f>
        <v>0</v>
      </c>
      <c r="Y11" s="266" t="e">
        <f>Calculations!Y714</f>
        <v>#DIV/0!</v>
      </c>
      <c r="Z11" s="266" t="e">
        <f>Calculations!Z714</f>
        <v>#DIV/0!</v>
      </c>
      <c r="AA11" s="266" t="e">
        <f>Calculations!AA714</f>
        <v>#DIV/0!</v>
      </c>
    </row>
    <row r="12" spans="1:27">
      <c r="A12" s="3">
        <f>Calculations!A715</f>
        <v>8</v>
      </c>
      <c r="B12">
        <f>Calculations!B715</f>
        <v>0</v>
      </c>
      <c r="C12">
        <f>Calculations!C715</f>
        <v>0</v>
      </c>
      <c r="D12">
        <f>Calculations!D715</f>
        <v>0</v>
      </c>
      <c r="E12" s="265">
        <f>Calculations!E715</f>
        <v>0</v>
      </c>
      <c r="F12" s="265">
        <f>Calculations!F715</f>
        <v>0</v>
      </c>
      <c r="G12" s="265">
        <f>Calculations!G715</f>
        <v>0</v>
      </c>
      <c r="H12" s="197">
        <f>Calculations!H715</f>
        <v>0</v>
      </c>
      <c r="I12" s="197">
        <f>Calculations!I715</f>
        <v>0</v>
      </c>
      <c r="J12" s="137">
        <f>Calculations!J715</f>
        <v>0</v>
      </c>
      <c r="K12" s="66">
        <f>Calculations!K715</f>
        <v>0</v>
      </c>
      <c r="L12" s="66">
        <f>Calculations!L715</f>
        <v>0</v>
      </c>
      <c r="M12">
        <f>Calculations!M715</f>
        <v>0</v>
      </c>
      <c r="N12" s="66">
        <f>Calculations!N715</f>
        <v>0</v>
      </c>
      <c r="O12" s="66">
        <f>Calculations!O715</f>
        <v>0</v>
      </c>
      <c r="P12" s="66">
        <f>Calculations!P715</f>
        <v>0</v>
      </c>
      <c r="Q12" s="204">
        <f>Calculations!Q715</f>
        <v>0</v>
      </c>
      <c r="R12" s="66">
        <f>Calculations!R715</f>
        <v>0</v>
      </c>
      <c r="S12" s="65">
        <f>Calculations!S715</f>
        <v>0</v>
      </c>
      <c r="T12" s="65">
        <f>Calculations!T715</f>
        <v>0</v>
      </c>
      <c r="U12" s="204">
        <f>Calculations!U715</f>
        <v>0</v>
      </c>
      <c r="V12" s="65">
        <f>Calculations!V715</f>
        <v>0</v>
      </c>
      <c r="W12" s="266">
        <f>Calculations!W715</f>
        <v>0</v>
      </c>
      <c r="X12" s="266">
        <f>Calculations!X715</f>
        <v>0</v>
      </c>
      <c r="Y12" s="266" t="e">
        <f>Calculations!Y715</f>
        <v>#DIV/0!</v>
      </c>
      <c r="Z12" s="266" t="e">
        <f>Calculations!Z715</f>
        <v>#DIV/0!</v>
      </c>
      <c r="AA12" s="266" t="e">
        <f>Calculations!AA715</f>
        <v>#DIV/0!</v>
      </c>
    </row>
    <row r="13" spans="1:27">
      <c r="A13" s="3">
        <f>Calculations!A716</f>
        <v>9</v>
      </c>
      <c r="B13">
        <f>Calculations!B716</f>
        <v>0</v>
      </c>
      <c r="C13">
        <f>Calculations!C716</f>
        <v>0</v>
      </c>
      <c r="D13">
        <f>Calculations!D716</f>
        <v>0</v>
      </c>
      <c r="E13" s="265">
        <f>Calculations!E716</f>
        <v>0</v>
      </c>
      <c r="F13" s="265">
        <f>Calculations!F716</f>
        <v>0</v>
      </c>
      <c r="G13" s="265">
        <f>Calculations!G716</f>
        <v>0</v>
      </c>
      <c r="H13" s="197">
        <f>Calculations!H716</f>
        <v>0</v>
      </c>
      <c r="I13" s="197">
        <f>Calculations!I716</f>
        <v>0</v>
      </c>
      <c r="J13" s="137">
        <f>Calculations!J716</f>
        <v>0</v>
      </c>
      <c r="K13" s="66">
        <f>Calculations!K716</f>
        <v>0</v>
      </c>
      <c r="L13" s="66">
        <f>Calculations!L716</f>
        <v>0</v>
      </c>
      <c r="M13">
        <f>Calculations!M716</f>
        <v>0</v>
      </c>
      <c r="N13" s="66">
        <f>Calculations!N716</f>
        <v>0</v>
      </c>
      <c r="O13" s="66">
        <f>Calculations!O716</f>
        <v>0</v>
      </c>
      <c r="P13" s="66">
        <f>Calculations!P716</f>
        <v>0</v>
      </c>
      <c r="Q13" s="204">
        <f>Calculations!Q716</f>
        <v>0</v>
      </c>
      <c r="R13" s="66">
        <f>Calculations!R716</f>
        <v>0</v>
      </c>
      <c r="S13" s="65">
        <f>Calculations!S716</f>
        <v>0</v>
      </c>
      <c r="T13" s="65">
        <f>Calculations!T716</f>
        <v>0</v>
      </c>
      <c r="U13" s="204">
        <f>Calculations!U716</f>
        <v>0</v>
      </c>
      <c r="V13" s="65">
        <f>Calculations!V716</f>
        <v>0</v>
      </c>
      <c r="W13" s="266">
        <f>Calculations!W716</f>
        <v>0</v>
      </c>
      <c r="X13" s="266">
        <f>Calculations!X716</f>
        <v>0</v>
      </c>
      <c r="Y13" s="266" t="e">
        <f>Calculations!Y716</f>
        <v>#DIV/0!</v>
      </c>
      <c r="Z13" s="266" t="e">
        <f>Calculations!Z716</f>
        <v>#DIV/0!</v>
      </c>
      <c r="AA13" s="266" t="e">
        <f>Calculations!AA716</f>
        <v>#DIV/0!</v>
      </c>
    </row>
    <row r="14" spans="1:27">
      <c r="A14" s="3">
        <f>Calculations!A717</f>
        <v>10</v>
      </c>
      <c r="B14">
        <f>Calculations!B717</f>
        <v>0</v>
      </c>
      <c r="C14">
        <f>Calculations!C717</f>
        <v>0</v>
      </c>
      <c r="D14">
        <f>Calculations!D717</f>
        <v>0</v>
      </c>
      <c r="E14" s="265">
        <f>Calculations!E717</f>
        <v>0</v>
      </c>
      <c r="F14" s="265">
        <f>Calculations!F717</f>
        <v>0</v>
      </c>
      <c r="G14" s="265">
        <f>Calculations!G717</f>
        <v>0</v>
      </c>
      <c r="H14" s="197">
        <f>Calculations!H717</f>
        <v>0</v>
      </c>
      <c r="I14" s="197">
        <f>Calculations!I717</f>
        <v>0</v>
      </c>
      <c r="J14" s="137">
        <f>Calculations!J717</f>
        <v>0</v>
      </c>
      <c r="K14" s="66">
        <f>Calculations!K717</f>
        <v>0</v>
      </c>
      <c r="L14" s="66">
        <f>Calculations!L717</f>
        <v>0</v>
      </c>
      <c r="M14">
        <f>Calculations!M717</f>
        <v>0</v>
      </c>
      <c r="N14" s="66">
        <f>Calculations!N717</f>
        <v>0</v>
      </c>
      <c r="O14" s="66">
        <f>Calculations!O717</f>
        <v>0</v>
      </c>
      <c r="P14" s="66">
        <f>Calculations!P717</f>
        <v>0</v>
      </c>
      <c r="Q14" s="204">
        <f>Calculations!Q717</f>
        <v>0</v>
      </c>
      <c r="R14" s="66">
        <f>Calculations!R717</f>
        <v>0</v>
      </c>
      <c r="S14" s="65">
        <f>Calculations!S717</f>
        <v>0</v>
      </c>
      <c r="T14" s="65">
        <f>Calculations!T717</f>
        <v>0</v>
      </c>
      <c r="U14" s="204">
        <f>Calculations!U717</f>
        <v>0</v>
      </c>
      <c r="V14" s="65">
        <f>Calculations!V717</f>
        <v>0</v>
      </c>
      <c r="W14" s="266">
        <f>Calculations!W717</f>
        <v>0</v>
      </c>
      <c r="X14" s="266">
        <f>Calculations!X717</f>
        <v>0</v>
      </c>
      <c r="Y14" s="266" t="e">
        <f>Calculations!Y717</f>
        <v>#DIV/0!</v>
      </c>
      <c r="Z14" s="266" t="e">
        <f>Calculations!Z717</f>
        <v>#DIV/0!</v>
      </c>
      <c r="AA14" s="266" t="e">
        <f>Calculations!AA717</f>
        <v>#DIV/0!</v>
      </c>
    </row>
    <row r="15" spans="1:27">
      <c r="A15" s="3">
        <f>Calculations!A718</f>
        <v>11</v>
      </c>
      <c r="B15">
        <f>Calculations!B718</f>
        <v>0</v>
      </c>
      <c r="C15">
        <f>Calculations!C718</f>
        <v>0</v>
      </c>
      <c r="D15">
        <f>Calculations!D718</f>
        <v>0</v>
      </c>
      <c r="E15" s="265">
        <f>Calculations!E718</f>
        <v>0</v>
      </c>
      <c r="F15" s="265">
        <f>Calculations!F718</f>
        <v>0</v>
      </c>
      <c r="G15" s="265">
        <f>Calculations!G718</f>
        <v>0</v>
      </c>
      <c r="H15" s="197">
        <f>Calculations!H718</f>
        <v>0</v>
      </c>
      <c r="I15" s="197">
        <f>Calculations!I718</f>
        <v>0</v>
      </c>
      <c r="J15" s="137">
        <f>Calculations!J718</f>
        <v>0</v>
      </c>
      <c r="K15" s="66">
        <f>Calculations!K718</f>
        <v>0</v>
      </c>
      <c r="L15" s="66">
        <f>Calculations!L718</f>
        <v>0</v>
      </c>
      <c r="M15">
        <f>Calculations!M718</f>
        <v>0</v>
      </c>
      <c r="N15" s="66">
        <f>Calculations!N718</f>
        <v>0</v>
      </c>
      <c r="O15" s="66">
        <f>Calculations!O718</f>
        <v>0</v>
      </c>
      <c r="P15" s="66">
        <f>Calculations!P718</f>
        <v>0</v>
      </c>
      <c r="Q15" s="204">
        <f>Calculations!Q718</f>
        <v>0</v>
      </c>
      <c r="R15" s="66">
        <f>Calculations!R718</f>
        <v>0</v>
      </c>
      <c r="S15" s="65">
        <f>Calculations!S718</f>
        <v>0</v>
      </c>
      <c r="T15" s="65">
        <f>Calculations!T718</f>
        <v>0</v>
      </c>
      <c r="U15" s="204">
        <f>Calculations!U718</f>
        <v>0</v>
      </c>
      <c r="V15" s="65">
        <f>Calculations!V718</f>
        <v>0</v>
      </c>
      <c r="W15" s="266">
        <f>Calculations!W718</f>
        <v>0</v>
      </c>
      <c r="X15" s="266">
        <f>Calculations!X718</f>
        <v>0</v>
      </c>
      <c r="Y15" s="266" t="e">
        <f>Calculations!Y718</f>
        <v>#DIV/0!</v>
      </c>
      <c r="Z15" s="266" t="e">
        <f>Calculations!Z718</f>
        <v>#DIV/0!</v>
      </c>
      <c r="AA15" s="266" t="e">
        <f>Calculations!AA718</f>
        <v>#DIV/0!</v>
      </c>
    </row>
    <row r="16" spans="1:27">
      <c r="A16" s="3">
        <f>Calculations!A719</f>
        <v>12</v>
      </c>
      <c r="B16">
        <f>Calculations!B719</f>
        <v>0</v>
      </c>
      <c r="C16">
        <f>Calculations!C719</f>
        <v>0</v>
      </c>
      <c r="D16">
        <f>Calculations!D719</f>
        <v>0</v>
      </c>
      <c r="E16" s="265">
        <f>Calculations!E719</f>
        <v>0</v>
      </c>
      <c r="F16" s="265">
        <f>Calculations!F719</f>
        <v>0</v>
      </c>
      <c r="G16" s="265">
        <f>Calculations!G719</f>
        <v>0</v>
      </c>
      <c r="H16" s="197">
        <f>Calculations!H719</f>
        <v>0</v>
      </c>
      <c r="I16" s="197">
        <f>Calculations!I719</f>
        <v>0</v>
      </c>
      <c r="J16" s="137">
        <f>Calculations!J719</f>
        <v>0</v>
      </c>
      <c r="K16" s="66">
        <f>Calculations!K719</f>
        <v>0</v>
      </c>
      <c r="L16" s="66">
        <f>Calculations!L719</f>
        <v>0</v>
      </c>
      <c r="M16">
        <f>Calculations!M719</f>
        <v>0</v>
      </c>
      <c r="N16" s="66">
        <f>Calculations!N719</f>
        <v>0</v>
      </c>
      <c r="O16" s="66">
        <f>Calculations!O719</f>
        <v>0</v>
      </c>
      <c r="P16" s="66">
        <f>Calculations!P719</f>
        <v>0</v>
      </c>
      <c r="Q16" s="204">
        <f>Calculations!Q719</f>
        <v>0</v>
      </c>
      <c r="R16" s="66">
        <f>Calculations!R719</f>
        <v>0</v>
      </c>
      <c r="S16" s="65">
        <f>Calculations!S719</f>
        <v>0</v>
      </c>
      <c r="T16" s="65">
        <f>Calculations!T719</f>
        <v>0</v>
      </c>
      <c r="U16" s="204">
        <f>Calculations!U719</f>
        <v>0</v>
      </c>
      <c r="V16" s="65">
        <f>Calculations!V719</f>
        <v>0</v>
      </c>
      <c r="W16" s="266">
        <f>Calculations!W719</f>
        <v>0</v>
      </c>
      <c r="X16" s="266">
        <f>Calculations!X719</f>
        <v>0</v>
      </c>
      <c r="Y16" s="266" t="e">
        <f>Calculations!Y719</f>
        <v>#DIV/0!</v>
      </c>
      <c r="Z16" s="266" t="e">
        <f>Calculations!Z719</f>
        <v>#DIV/0!</v>
      </c>
      <c r="AA16" s="266" t="e">
        <f>Calculations!AA719</f>
        <v>#DIV/0!</v>
      </c>
    </row>
    <row r="17" spans="1:27">
      <c r="A17" s="3">
        <f>Calculations!A720</f>
        <v>13</v>
      </c>
      <c r="B17">
        <f>Calculations!B720</f>
        <v>0</v>
      </c>
      <c r="C17">
        <f>Calculations!C720</f>
        <v>0</v>
      </c>
      <c r="D17">
        <f>Calculations!D720</f>
        <v>0</v>
      </c>
      <c r="E17" s="265">
        <f>Calculations!E720</f>
        <v>0</v>
      </c>
      <c r="F17" s="265">
        <f>Calculations!F720</f>
        <v>0</v>
      </c>
      <c r="G17" s="265">
        <f>Calculations!G720</f>
        <v>0</v>
      </c>
      <c r="H17" s="197">
        <f>Calculations!H720</f>
        <v>0</v>
      </c>
      <c r="I17" s="197">
        <f>Calculations!I720</f>
        <v>0</v>
      </c>
      <c r="J17" s="137">
        <f>Calculations!J720</f>
        <v>0</v>
      </c>
      <c r="K17" s="66">
        <f>Calculations!K720</f>
        <v>0</v>
      </c>
      <c r="L17" s="66">
        <f>Calculations!L720</f>
        <v>0</v>
      </c>
      <c r="M17">
        <f>Calculations!M720</f>
        <v>0</v>
      </c>
      <c r="N17" s="66">
        <f>Calculations!N720</f>
        <v>0</v>
      </c>
      <c r="O17" s="66">
        <f>Calculations!O720</f>
        <v>0</v>
      </c>
      <c r="P17" s="66">
        <f>Calculations!P720</f>
        <v>0</v>
      </c>
      <c r="Q17" s="204">
        <f>Calculations!Q720</f>
        <v>0</v>
      </c>
      <c r="R17" s="66">
        <f>Calculations!R720</f>
        <v>0</v>
      </c>
      <c r="S17" s="65">
        <f>Calculations!S720</f>
        <v>0</v>
      </c>
      <c r="T17" s="65">
        <f>Calculations!T720</f>
        <v>0</v>
      </c>
      <c r="U17" s="204">
        <f>Calculations!U720</f>
        <v>0</v>
      </c>
      <c r="V17" s="65">
        <f>Calculations!V720</f>
        <v>0</v>
      </c>
      <c r="W17" s="266">
        <f>Calculations!W720</f>
        <v>0</v>
      </c>
      <c r="X17" s="266">
        <f>Calculations!X720</f>
        <v>0</v>
      </c>
      <c r="Y17" s="266" t="e">
        <f>Calculations!Y720</f>
        <v>#DIV/0!</v>
      </c>
      <c r="Z17" s="266" t="e">
        <f>Calculations!Z720</f>
        <v>#DIV/0!</v>
      </c>
      <c r="AA17" s="266" t="e">
        <f>Calculations!AA720</f>
        <v>#DIV/0!</v>
      </c>
    </row>
    <row r="18" spans="1:27">
      <c r="A18" s="3">
        <f>Calculations!A721</f>
        <v>14</v>
      </c>
      <c r="B18">
        <f>Calculations!B721</f>
        <v>0</v>
      </c>
      <c r="C18">
        <f>Calculations!C721</f>
        <v>0</v>
      </c>
      <c r="D18">
        <f>Calculations!D721</f>
        <v>0</v>
      </c>
      <c r="E18" s="265">
        <f>Calculations!E721</f>
        <v>0</v>
      </c>
      <c r="F18" s="265">
        <f>Calculations!F721</f>
        <v>0</v>
      </c>
      <c r="G18" s="265">
        <f>Calculations!G721</f>
        <v>0</v>
      </c>
      <c r="H18" s="197">
        <f>Calculations!H721</f>
        <v>0</v>
      </c>
      <c r="I18" s="197">
        <f>Calculations!I721</f>
        <v>0</v>
      </c>
      <c r="J18" s="137">
        <f>Calculations!J721</f>
        <v>0</v>
      </c>
      <c r="K18" s="66">
        <f>Calculations!K721</f>
        <v>0</v>
      </c>
      <c r="L18" s="66">
        <f>Calculations!L721</f>
        <v>0</v>
      </c>
      <c r="M18">
        <f>Calculations!M721</f>
        <v>0</v>
      </c>
      <c r="N18" s="66">
        <f>Calculations!N721</f>
        <v>0</v>
      </c>
      <c r="O18" s="66">
        <f>Calculations!O721</f>
        <v>0</v>
      </c>
      <c r="P18" s="66">
        <f>Calculations!P721</f>
        <v>0</v>
      </c>
      <c r="Q18" s="204">
        <f>Calculations!Q721</f>
        <v>0</v>
      </c>
      <c r="R18" s="66">
        <f>Calculations!R721</f>
        <v>0</v>
      </c>
      <c r="S18" s="65">
        <f>Calculations!S721</f>
        <v>0</v>
      </c>
      <c r="T18" s="65">
        <f>Calculations!T721</f>
        <v>0</v>
      </c>
      <c r="U18" s="204">
        <f>Calculations!U721</f>
        <v>0</v>
      </c>
      <c r="V18" s="65">
        <f>Calculations!V721</f>
        <v>0</v>
      </c>
      <c r="W18" s="266">
        <f>Calculations!W721</f>
        <v>0</v>
      </c>
      <c r="X18" s="266">
        <f>Calculations!X721</f>
        <v>0</v>
      </c>
      <c r="Y18" s="266" t="e">
        <f>Calculations!Y721</f>
        <v>#DIV/0!</v>
      </c>
      <c r="Z18" s="266" t="e">
        <f>Calculations!Z721</f>
        <v>#DIV/0!</v>
      </c>
      <c r="AA18" s="266" t="e">
        <f>Calculations!AA721</f>
        <v>#DIV/0!</v>
      </c>
    </row>
    <row r="19" spans="1:27">
      <c r="A19" s="3">
        <f>Calculations!A722</f>
        <v>15</v>
      </c>
      <c r="B19">
        <f>Calculations!B722</f>
        <v>0</v>
      </c>
      <c r="C19">
        <f>Calculations!C722</f>
        <v>0</v>
      </c>
      <c r="D19">
        <f>Calculations!D722</f>
        <v>0</v>
      </c>
      <c r="E19" s="265">
        <f>Calculations!E722</f>
        <v>0</v>
      </c>
      <c r="F19" s="265">
        <f>Calculations!F722</f>
        <v>0</v>
      </c>
      <c r="G19" s="265">
        <f>Calculations!G722</f>
        <v>0</v>
      </c>
      <c r="H19" s="197">
        <f>Calculations!H722</f>
        <v>0</v>
      </c>
      <c r="I19" s="197">
        <f>Calculations!I722</f>
        <v>0</v>
      </c>
      <c r="J19" s="137">
        <f>Calculations!J722</f>
        <v>0</v>
      </c>
      <c r="K19" s="66">
        <f>Calculations!K722</f>
        <v>0</v>
      </c>
      <c r="L19" s="66">
        <f>Calculations!L722</f>
        <v>0</v>
      </c>
      <c r="M19">
        <f>Calculations!M722</f>
        <v>0</v>
      </c>
      <c r="N19" s="66">
        <f>Calculations!N722</f>
        <v>0</v>
      </c>
      <c r="O19" s="66">
        <f>Calculations!O722</f>
        <v>0</v>
      </c>
      <c r="P19" s="66">
        <f>Calculations!P722</f>
        <v>0</v>
      </c>
      <c r="Q19" s="204">
        <f>Calculations!Q722</f>
        <v>0</v>
      </c>
      <c r="R19" s="66">
        <f>Calculations!R722</f>
        <v>0</v>
      </c>
      <c r="S19" s="65">
        <f>Calculations!S722</f>
        <v>0</v>
      </c>
      <c r="T19" s="65">
        <f>Calculations!T722</f>
        <v>0</v>
      </c>
      <c r="U19" s="204">
        <f>Calculations!U722</f>
        <v>0</v>
      </c>
      <c r="V19" s="65">
        <f>Calculations!V722</f>
        <v>0</v>
      </c>
      <c r="W19" s="266">
        <f>Calculations!W722</f>
        <v>0</v>
      </c>
      <c r="X19" s="266">
        <f>Calculations!X722</f>
        <v>0</v>
      </c>
      <c r="Y19" s="266" t="e">
        <f>Calculations!Y722</f>
        <v>#DIV/0!</v>
      </c>
      <c r="Z19" s="266" t="e">
        <f>Calculations!Z722</f>
        <v>#DIV/0!</v>
      </c>
      <c r="AA19" s="266" t="e">
        <f>Calculations!AA722</f>
        <v>#DIV/0!</v>
      </c>
    </row>
    <row r="20" spans="1:27">
      <c r="A20" s="3">
        <f>Calculations!A723</f>
        <v>16</v>
      </c>
      <c r="B20">
        <f>Calculations!B723</f>
        <v>0</v>
      </c>
      <c r="C20">
        <f>Calculations!C723</f>
        <v>0</v>
      </c>
      <c r="D20">
        <f>Calculations!D723</f>
        <v>0</v>
      </c>
      <c r="E20" s="265">
        <f>Calculations!E723</f>
        <v>0</v>
      </c>
      <c r="F20" s="265">
        <f>Calculations!F723</f>
        <v>0</v>
      </c>
      <c r="G20" s="265">
        <f>Calculations!G723</f>
        <v>0</v>
      </c>
      <c r="H20" s="197">
        <f>Calculations!H723</f>
        <v>0</v>
      </c>
      <c r="I20" s="197">
        <f>Calculations!I723</f>
        <v>0</v>
      </c>
      <c r="J20" s="137">
        <f>Calculations!J723</f>
        <v>0</v>
      </c>
      <c r="K20" s="66">
        <f>Calculations!K723</f>
        <v>0</v>
      </c>
      <c r="L20" s="66">
        <f>Calculations!L723</f>
        <v>0</v>
      </c>
      <c r="M20">
        <f>Calculations!M723</f>
        <v>0</v>
      </c>
      <c r="N20" s="66">
        <f>Calculations!N723</f>
        <v>0</v>
      </c>
      <c r="O20" s="66">
        <f>Calculations!O723</f>
        <v>0</v>
      </c>
      <c r="P20" s="66">
        <f>Calculations!P723</f>
        <v>0</v>
      </c>
      <c r="Q20" s="204">
        <f>Calculations!Q723</f>
        <v>0</v>
      </c>
      <c r="R20" s="66">
        <f>Calculations!R723</f>
        <v>0</v>
      </c>
      <c r="S20" s="65">
        <f>Calculations!S723</f>
        <v>0</v>
      </c>
      <c r="T20" s="65">
        <f>Calculations!T723</f>
        <v>0</v>
      </c>
      <c r="U20" s="204">
        <f>Calculations!U723</f>
        <v>0</v>
      </c>
      <c r="V20" s="65">
        <f>Calculations!V723</f>
        <v>0</v>
      </c>
      <c r="W20" s="266">
        <f>Calculations!W723</f>
        <v>0</v>
      </c>
      <c r="X20" s="266">
        <f>Calculations!X723</f>
        <v>0</v>
      </c>
      <c r="Y20" s="266" t="e">
        <f>Calculations!Y723</f>
        <v>#DIV/0!</v>
      </c>
      <c r="Z20" s="266" t="e">
        <f>Calculations!Z723</f>
        <v>#DIV/0!</v>
      </c>
      <c r="AA20" s="266" t="e">
        <f>Calculations!AA723</f>
        <v>#DIV/0!</v>
      </c>
    </row>
    <row r="21" spans="1:27">
      <c r="A21" s="3">
        <f>Calculations!A724</f>
        <v>17</v>
      </c>
      <c r="B21">
        <f>Calculations!B724</f>
        <v>0</v>
      </c>
      <c r="C21">
        <f>Calculations!C724</f>
        <v>0</v>
      </c>
      <c r="D21">
        <f>Calculations!D724</f>
        <v>0</v>
      </c>
      <c r="E21" s="265">
        <f>Calculations!E724</f>
        <v>0</v>
      </c>
      <c r="F21" s="265">
        <f>Calculations!F724</f>
        <v>0</v>
      </c>
      <c r="G21" s="265">
        <f>Calculations!G724</f>
        <v>0</v>
      </c>
      <c r="H21" s="197">
        <f>Calculations!H724</f>
        <v>0</v>
      </c>
      <c r="I21" s="197">
        <f>Calculations!I724</f>
        <v>0</v>
      </c>
      <c r="J21" s="137">
        <f>Calculations!J724</f>
        <v>0</v>
      </c>
      <c r="K21" s="66">
        <f>Calculations!K724</f>
        <v>0</v>
      </c>
      <c r="L21" s="66">
        <f>Calculations!L724</f>
        <v>0</v>
      </c>
      <c r="M21">
        <f>Calculations!M724</f>
        <v>0</v>
      </c>
      <c r="N21" s="66">
        <f>Calculations!N724</f>
        <v>0</v>
      </c>
      <c r="O21" s="66">
        <f>Calculations!O724</f>
        <v>0</v>
      </c>
      <c r="P21" s="66">
        <f>Calculations!P724</f>
        <v>0</v>
      </c>
      <c r="Q21" s="204">
        <f>Calculations!Q724</f>
        <v>0</v>
      </c>
      <c r="R21" s="66">
        <f>Calculations!R724</f>
        <v>0</v>
      </c>
      <c r="S21" s="65">
        <f>Calculations!S724</f>
        <v>0</v>
      </c>
      <c r="T21" s="65">
        <f>Calculations!T724</f>
        <v>0</v>
      </c>
      <c r="U21" s="204">
        <f>Calculations!U724</f>
        <v>0</v>
      </c>
      <c r="V21" s="65">
        <f>Calculations!V724</f>
        <v>0</v>
      </c>
      <c r="W21" s="266">
        <f>Calculations!W724</f>
        <v>0</v>
      </c>
      <c r="X21" s="266">
        <f>Calculations!X724</f>
        <v>0</v>
      </c>
      <c r="Y21" s="266" t="e">
        <f>Calculations!Y724</f>
        <v>#DIV/0!</v>
      </c>
      <c r="Z21" s="266" t="e">
        <f>Calculations!Z724</f>
        <v>#DIV/0!</v>
      </c>
      <c r="AA21" s="266" t="e">
        <f>Calculations!AA724</f>
        <v>#DIV/0!</v>
      </c>
    </row>
    <row r="22" spans="1:27">
      <c r="A22" s="3">
        <f>Calculations!A725</f>
        <v>18</v>
      </c>
      <c r="B22">
        <f>Calculations!B725</f>
        <v>0</v>
      </c>
      <c r="C22">
        <f>Calculations!C725</f>
        <v>0</v>
      </c>
      <c r="D22">
        <f>Calculations!D725</f>
        <v>0</v>
      </c>
      <c r="E22" s="265">
        <f>Calculations!E725</f>
        <v>0</v>
      </c>
      <c r="F22" s="265">
        <f>Calculations!F725</f>
        <v>0</v>
      </c>
      <c r="G22" s="265">
        <f>Calculations!G725</f>
        <v>0</v>
      </c>
      <c r="H22" s="197">
        <f>Calculations!H725</f>
        <v>0</v>
      </c>
      <c r="I22" s="197">
        <f>Calculations!I725</f>
        <v>0</v>
      </c>
      <c r="J22" s="137">
        <f>Calculations!J725</f>
        <v>0</v>
      </c>
      <c r="K22" s="66">
        <f>Calculations!K725</f>
        <v>0</v>
      </c>
      <c r="L22" s="66">
        <f>Calculations!L725</f>
        <v>0</v>
      </c>
      <c r="M22">
        <f>Calculations!M725</f>
        <v>0</v>
      </c>
      <c r="N22" s="66">
        <f>Calculations!N725</f>
        <v>0</v>
      </c>
      <c r="O22" s="66">
        <f>Calculations!O725</f>
        <v>0</v>
      </c>
      <c r="P22" s="66">
        <f>Calculations!P725</f>
        <v>0</v>
      </c>
      <c r="Q22" s="204">
        <f>Calculations!Q725</f>
        <v>0</v>
      </c>
      <c r="R22" s="66">
        <f>Calculations!R725</f>
        <v>0</v>
      </c>
      <c r="S22" s="65">
        <f>Calculations!S725</f>
        <v>0</v>
      </c>
      <c r="T22" s="65">
        <f>Calculations!T725</f>
        <v>0</v>
      </c>
      <c r="U22" s="204">
        <f>Calculations!U725</f>
        <v>0</v>
      </c>
      <c r="V22" s="65">
        <f>Calculations!V725</f>
        <v>0</v>
      </c>
      <c r="W22" s="266">
        <f>Calculations!W725</f>
        <v>0</v>
      </c>
      <c r="X22" s="266">
        <f>Calculations!X725</f>
        <v>0</v>
      </c>
      <c r="Y22" s="266" t="e">
        <f>Calculations!Y725</f>
        <v>#DIV/0!</v>
      </c>
      <c r="Z22" s="266" t="e">
        <f>Calculations!Z725</f>
        <v>#DIV/0!</v>
      </c>
      <c r="AA22" s="266" t="e">
        <f>Calculations!AA725</f>
        <v>#DIV/0!</v>
      </c>
    </row>
    <row r="23" spans="1:27">
      <c r="A23" s="3">
        <f>Calculations!A726</f>
        <v>19</v>
      </c>
      <c r="B23">
        <f>Calculations!B726</f>
        <v>0</v>
      </c>
      <c r="C23">
        <f>Calculations!C726</f>
        <v>0</v>
      </c>
      <c r="D23">
        <f>Calculations!D726</f>
        <v>0</v>
      </c>
      <c r="E23" s="265">
        <f>Calculations!E726</f>
        <v>0</v>
      </c>
      <c r="F23" s="265">
        <f>Calculations!F726</f>
        <v>0</v>
      </c>
      <c r="G23" s="265">
        <f>Calculations!G726</f>
        <v>0</v>
      </c>
      <c r="H23" s="197">
        <f>Calculations!H726</f>
        <v>0</v>
      </c>
      <c r="I23" s="197">
        <f>Calculations!I726</f>
        <v>0</v>
      </c>
      <c r="J23" s="137">
        <f>Calculations!J726</f>
        <v>0</v>
      </c>
      <c r="K23" s="66">
        <f>Calculations!K726</f>
        <v>0</v>
      </c>
      <c r="L23" s="66">
        <f>Calculations!L726</f>
        <v>0</v>
      </c>
      <c r="M23">
        <f>Calculations!M726</f>
        <v>0</v>
      </c>
      <c r="N23" s="66">
        <f>Calculations!N726</f>
        <v>0</v>
      </c>
      <c r="O23" s="66">
        <f>Calculations!O726</f>
        <v>0</v>
      </c>
      <c r="P23" s="66">
        <f>Calculations!P726</f>
        <v>0</v>
      </c>
      <c r="Q23" s="204">
        <f>Calculations!Q726</f>
        <v>0</v>
      </c>
      <c r="R23" s="66">
        <f>Calculations!R726</f>
        <v>0</v>
      </c>
      <c r="S23" s="65">
        <f>Calculations!S726</f>
        <v>0</v>
      </c>
      <c r="T23" s="65">
        <f>Calculations!T726</f>
        <v>0</v>
      </c>
      <c r="U23" s="204">
        <f>Calculations!U726</f>
        <v>0</v>
      </c>
      <c r="V23" s="65">
        <f>Calculations!V726</f>
        <v>0</v>
      </c>
      <c r="W23" s="266">
        <f>Calculations!W726</f>
        <v>0</v>
      </c>
      <c r="X23" s="266">
        <f>Calculations!X726</f>
        <v>0</v>
      </c>
      <c r="Y23" s="266" t="e">
        <f>Calculations!Y726</f>
        <v>#DIV/0!</v>
      </c>
      <c r="Z23" s="266" t="e">
        <f>Calculations!Z726</f>
        <v>#DIV/0!</v>
      </c>
      <c r="AA23" s="266" t="e">
        <f>Calculations!AA726</f>
        <v>#DIV/0!</v>
      </c>
    </row>
    <row r="24" spans="1:27">
      <c r="A24" s="3">
        <f>Calculations!A727</f>
        <v>20</v>
      </c>
      <c r="B24">
        <f>Calculations!B727</f>
        <v>0</v>
      </c>
      <c r="C24">
        <f>Calculations!C727</f>
        <v>0</v>
      </c>
      <c r="D24">
        <f>Calculations!D727</f>
        <v>0</v>
      </c>
      <c r="E24" s="265">
        <f>Calculations!E727</f>
        <v>0</v>
      </c>
      <c r="F24" s="265">
        <f>Calculations!F727</f>
        <v>0</v>
      </c>
      <c r="G24" s="265">
        <f>Calculations!G727</f>
        <v>0</v>
      </c>
      <c r="H24" s="197">
        <f>Calculations!H727</f>
        <v>0</v>
      </c>
      <c r="I24" s="197">
        <f>Calculations!I727</f>
        <v>0</v>
      </c>
      <c r="J24" s="137">
        <f>Calculations!J727</f>
        <v>0</v>
      </c>
      <c r="K24" s="66">
        <f>Calculations!K727</f>
        <v>0</v>
      </c>
      <c r="L24" s="66">
        <f>Calculations!L727</f>
        <v>0</v>
      </c>
      <c r="M24">
        <f>Calculations!M727</f>
        <v>0</v>
      </c>
      <c r="N24" s="66">
        <f>Calculations!N727</f>
        <v>0</v>
      </c>
      <c r="O24" s="66">
        <f>Calculations!O727</f>
        <v>0</v>
      </c>
      <c r="P24" s="66">
        <f>Calculations!P727</f>
        <v>0</v>
      </c>
      <c r="Q24" s="204">
        <f>Calculations!Q727</f>
        <v>0</v>
      </c>
      <c r="R24" s="66">
        <f>Calculations!R727</f>
        <v>0</v>
      </c>
      <c r="S24" s="65">
        <f>Calculations!S727</f>
        <v>0</v>
      </c>
      <c r="T24" s="65">
        <f>Calculations!T727</f>
        <v>0</v>
      </c>
      <c r="U24" s="204">
        <f>Calculations!U727</f>
        <v>0</v>
      </c>
      <c r="V24" s="65">
        <f>Calculations!V727</f>
        <v>0</v>
      </c>
      <c r="W24" s="266">
        <f>Calculations!W727</f>
        <v>0</v>
      </c>
      <c r="X24" s="266">
        <f>Calculations!X727</f>
        <v>0</v>
      </c>
      <c r="Y24" s="266" t="e">
        <f>Calculations!Y727</f>
        <v>#DIV/0!</v>
      </c>
      <c r="Z24" s="266" t="e">
        <f>Calculations!Z727</f>
        <v>#DIV/0!</v>
      </c>
      <c r="AA24" s="266" t="e">
        <f>Calculations!AA727</f>
        <v>#DIV/0!</v>
      </c>
    </row>
    <row r="25" spans="1:27">
      <c r="A25" s="3">
        <f>Calculations!A728</f>
        <v>21</v>
      </c>
      <c r="B25">
        <f>Calculations!B728</f>
        <v>0</v>
      </c>
      <c r="C25">
        <f>Calculations!C728</f>
        <v>0</v>
      </c>
      <c r="D25">
        <f>Calculations!D728</f>
        <v>0</v>
      </c>
      <c r="E25" s="265">
        <f>Calculations!E728</f>
        <v>0</v>
      </c>
      <c r="F25" s="265">
        <f>Calculations!F728</f>
        <v>0</v>
      </c>
      <c r="G25" s="265">
        <f>Calculations!G728</f>
        <v>0</v>
      </c>
      <c r="H25" s="197">
        <f>Calculations!H728</f>
        <v>0</v>
      </c>
      <c r="I25" s="197">
        <f>Calculations!I728</f>
        <v>0</v>
      </c>
      <c r="J25" s="137">
        <f>Calculations!J728</f>
        <v>0</v>
      </c>
      <c r="K25" s="66">
        <f>Calculations!K728</f>
        <v>0</v>
      </c>
      <c r="L25" s="66">
        <f>Calculations!L728</f>
        <v>0</v>
      </c>
      <c r="M25">
        <f>Calculations!M728</f>
        <v>0</v>
      </c>
      <c r="N25" s="66">
        <f>Calculations!N728</f>
        <v>0</v>
      </c>
      <c r="O25" s="66">
        <f>Calculations!O728</f>
        <v>0</v>
      </c>
      <c r="P25" s="66">
        <f>Calculations!P728</f>
        <v>0</v>
      </c>
      <c r="Q25" s="204">
        <f>Calculations!Q728</f>
        <v>0</v>
      </c>
      <c r="R25" s="66">
        <f>Calculations!R728</f>
        <v>0</v>
      </c>
      <c r="S25" s="65">
        <f>Calculations!S728</f>
        <v>0</v>
      </c>
      <c r="T25" s="65">
        <f>Calculations!T728</f>
        <v>0</v>
      </c>
      <c r="U25" s="204">
        <f>Calculations!U728</f>
        <v>0</v>
      </c>
      <c r="V25" s="65">
        <f>Calculations!V728</f>
        <v>0</v>
      </c>
      <c r="W25" s="266">
        <f>Calculations!W728</f>
        <v>0</v>
      </c>
      <c r="X25" s="266">
        <f>Calculations!X728</f>
        <v>0</v>
      </c>
      <c r="Y25" s="266" t="e">
        <f>Calculations!Y728</f>
        <v>#DIV/0!</v>
      </c>
      <c r="Z25" s="266" t="e">
        <f>Calculations!Z728</f>
        <v>#DIV/0!</v>
      </c>
      <c r="AA25" s="266" t="e">
        <f>Calculations!AA728</f>
        <v>#DIV/0!</v>
      </c>
    </row>
    <row r="26" spans="1:27">
      <c r="A26" s="3">
        <f>Calculations!A729</f>
        <v>22</v>
      </c>
      <c r="B26">
        <f>Calculations!B729</f>
        <v>0</v>
      </c>
      <c r="C26">
        <f>Calculations!C729</f>
        <v>0</v>
      </c>
      <c r="D26">
        <f>Calculations!D729</f>
        <v>0</v>
      </c>
      <c r="E26" s="265">
        <f>Calculations!E729</f>
        <v>0</v>
      </c>
      <c r="F26" s="265">
        <f>Calculations!F729</f>
        <v>0</v>
      </c>
      <c r="G26" s="265">
        <f>Calculations!G729</f>
        <v>0</v>
      </c>
      <c r="H26" s="197">
        <f>Calculations!H729</f>
        <v>0</v>
      </c>
      <c r="I26" s="197">
        <f>Calculations!I729</f>
        <v>0</v>
      </c>
      <c r="J26" s="137">
        <f>Calculations!J729</f>
        <v>0</v>
      </c>
      <c r="K26" s="66">
        <f>Calculations!K729</f>
        <v>0</v>
      </c>
      <c r="L26" s="66">
        <f>Calculations!L729</f>
        <v>0</v>
      </c>
      <c r="M26">
        <f>Calculations!M729</f>
        <v>0</v>
      </c>
      <c r="N26" s="66">
        <f>Calculations!N729</f>
        <v>0</v>
      </c>
      <c r="O26" s="66">
        <f>Calculations!O729</f>
        <v>0</v>
      </c>
      <c r="P26" s="66">
        <f>Calculations!P729</f>
        <v>0</v>
      </c>
      <c r="Q26" s="204">
        <f>Calculations!Q729</f>
        <v>0</v>
      </c>
      <c r="R26" s="66">
        <f>Calculations!R729</f>
        <v>0</v>
      </c>
      <c r="S26" s="65">
        <f>Calculations!S729</f>
        <v>0</v>
      </c>
      <c r="T26" s="65">
        <f>Calculations!T729</f>
        <v>0</v>
      </c>
      <c r="U26" s="204">
        <f>Calculations!U729</f>
        <v>0</v>
      </c>
      <c r="V26" s="65">
        <f>Calculations!V729</f>
        <v>0</v>
      </c>
      <c r="W26" s="266">
        <f>Calculations!W729</f>
        <v>0</v>
      </c>
      <c r="X26" s="266">
        <f>Calculations!X729</f>
        <v>0</v>
      </c>
      <c r="Y26" s="266" t="e">
        <f>Calculations!Y729</f>
        <v>#DIV/0!</v>
      </c>
      <c r="Z26" s="266" t="e">
        <f>Calculations!Z729</f>
        <v>#DIV/0!</v>
      </c>
      <c r="AA26" s="266" t="e">
        <f>Calculations!AA729</f>
        <v>#DIV/0!</v>
      </c>
    </row>
    <row r="27" spans="1:27">
      <c r="A27" s="3">
        <f>Calculations!A730</f>
        <v>23</v>
      </c>
      <c r="B27">
        <f>Calculations!B730</f>
        <v>0</v>
      </c>
      <c r="C27">
        <f>Calculations!C730</f>
        <v>0</v>
      </c>
      <c r="D27">
        <f>Calculations!D730</f>
        <v>0</v>
      </c>
      <c r="E27" s="265">
        <f>Calculations!E730</f>
        <v>0</v>
      </c>
      <c r="F27" s="265">
        <f>Calculations!F730</f>
        <v>0</v>
      </c>
      <c r="G27" s="265">
        <f>Calculations!G730</f>
        <v>0</v>
      </c>
      <c r="H27" s="197">
        <f>Calculations!H730</f>
        <v>0</v>
      </c>
      <c r="I27" s="197">
        <f>Calculations!I730</f>
        <v>0</v>
      </c>
      <c r="J27" s="137">
        <f>Calculations!J730</f>
        <v>0</v>
      </c>
      <c r="K27" s="66">
        <f>Calculations!K730</f>
        <v>0</v>
      </c>
      <c r="L27" s="66">
        <f>Calculations!L730</f>
        <v>0</v>
      </c>
      <c r="M27">
        <f>Calculations!M730</f>
        <v>0</v>
      </c>
      <c r="N27" s="66">
        <f>Calculations!N730</f>
        <v>0</v>
      </c>
      <c r="O27" s="66">
        <f>Calculations!O730</f>
        <v>0</v>
      </c>
      <c r="P27" s="66">
        <f>Calculations!P730</f>
        <v>0</v>
      </c>
      <c r="Q27" s="204">
        <f>Calculations!Q730</f>
        <v>0</v>
      </c>
      <c r="R27" s="66">
        <f>Calculations!R730</f>
        <v>0</v>
      </c>
      <c r="S27" s="65">
        <f>Calculations!S730</f>
        <v>0</v>
      </c>
      <c r="T27" s="65">
        <f>Calculations!T730</f>
        <v>0</v>
      </c>
      <c r="U27" s="204">
        <f>Calculations!U730</f>
        <v>0</v>
      </c>
      <c r="V27" s="65">
        <f>Calculations!V730</f>
        <v>0</v>
      </c>
      <c r="W27" s="266">
        <f>Calculations!W730</f>
        <v>0</v>
      </c>
      <c r="X27" s="266">
        <f>Calculations!X730</f>
        <v>0</v>
      </c>
      <c r="Y27" s="266" t="e">
        <f>Calculations!Y730</f>
        <v>#DIV/0!</v>
      </c>
      <c r="Z27" s="266" t="e">
        <f>Calculations!Z730</f>
        <v>#DIV/0!</v>
      </c>
      <c r="AA27" s="266" t="e">
        <f>Calculations!AA730</f>
        <v>#DIV/0!</v>
      </c>
    </row>
    <row r="28" spans="1:27">
      <c r="A28" s="3">
        <f>Calculations!A731</f>
        <v>24</v>
      </c>
      <c r="B28">
        <f>Calculations!B731</f>
        <v>0</v>
      </c>
      <c r="C28">
        <f>Calculations!C731</f>
        <v>0</v>
      </c>
      <c r="D28">
        <f>Calculations!D731</f>
        <v>0</v>
      </c>
      <c r="E28" s="265">
        <f>Calculations!E731</f>
        <v>0</v>
      </c>
      <c r="F28" s="265">
        <f>Calculations!F731</f>
        <v>0</v>
      </c>
      <c r="G28" s="265">
        <f>Calculations!G731</f>
        <v>0</v>
      </c>
      <c r="H28" s="197">
        <f>Calculations!H731</f>
        <v>0</v>
      </c>
      <c r="I28" s="197">
        <f>Calculations!I731</f>
        <v>0</v>
      </c>
      <c r="J28" s="137">
        <f>Calculations!J731</f>
        <v>0</v>
      </c>
      <c r="K28" s="66">
        <f>Calculations!K731</f>
        <v>0</v>
      </c>
      <c r="L28" s="66">
        <f>Calculations!L731</f>
        <v>0</v>
      </c>
      <c r="M28">
        <f>Calculations!M731</f>
        <v>0</v>
      </c>
      <c r="N28" s="66">
        <f>Calculations!N731</f>
        <v>0</v>
      </c>
      <c r="O28" s="66">
        <f>Calculations!O731</f>
        <v>0</v>
      </c>
      <c r="P28" s="66">
        <f>Calculations!P731</f>
        <v>0</v>
      </c>
      <c r="Q28" s="204">
        <f>Calculations!Q731</f>
        <v>0</v>
      </c>
      <c r="R28" s="66">
        <f>Calculations!R731</f>
        <v>0</v>
      </c>
      <c r="S28" s="65">
        <f>Calculations!S731</f>
        <v>0</v>
      </c>
      <c r="T28" s="65">
        <f>Calculations!T731</f>
        <v>0</v>
      </c>
      <c r="U28" s="204">
        <f>Calculations!U731</f>
        <v>0</v>
      </c>
      <c r="V28" s="65">
        <f>Calculations!V731</f>
        <v>0</v>
      </c>
      <c r="W28" s="266">
        <f>Calculations!W731</f>
        <v>0</v>
      </c>
      <c r="X28" s="266">
        <f>Calculations!X731</f>
        <v>0</v>
      </c>
      <c r="Y28" s="266" t="e">
        <f>Calculations!Y731</f>
        <v>#DIV/0!</v>
      </c>
      <c r="Z28" s="266" t="e">
        <f>Calculations!Z731</f>
        <v>#DIV/0!</v>
      </c>
      <c r="AA28" s="266" t="e">
        <f>Calculations!AA731</f>
        <v>#DIV/0!</v>
      </c>
    </row>
    <row r="29" spans="1:27">
      <c r="A29" s="3">
        <f>Calculations!A732</f>
        <v>25</v>
      </c>
      <c r="B29">
        <f>Calculations!B732</f>
        <v>0</v>
      </c>
      <c r="C29">
        <f>Calculations!C732</f>
        <v>0</v>
      </c>
      <c r="D29">
        <f>Calculations!D732</f>
        <v>0</v>
      </c>
      <c r="E29" s="265">
        <f>Calculations!E732</f>
        <v>0</v>
      </c>
      <c r="F29" s="265">
        <f>Calculations!F732</f>
        <v>0</v>
      </c>
      <c r="G29" s="265">
        <f>Calculations!G732</f>
        <v>0</v>
      </c>
      <c r="H29" s="197">
        <f>Calculations!H732</f>
        <v>0</v>
      </c>
      <c r="I29" s="197">
        <f>Calculations!I732</f>
        <v>0</v>
      </c>
      <c r="J29" s="137">
        <f>Calculations!J732</f>
        <v>0</v>
      </c>
      <c r="K29" s="66">
        <f>Calculations!K732</f>
        <v>0</v>
      </c>
      <c r="L29" s="66">
        <f>Calculations!L732</f>
        <v>0</v>
      </c>
      <c r="M29">
        <f>Calculations!M732</f>
        <v>0</v>
      </c>
      <c r="N29" s="66">
        <f>Calculations!N732</f>
        <v>0</v>
      </c>
      <c r="O29" s="66">
        <f>Calculations!O732</f>
        <v>0</v>
      </c>
      <c r="P29" s="66">
        <f>Calculations!P732</f>
        <v>0</v>
      </c>
      <c r="Q29" s="204">
        <f>Calculations!Q732</f>
        <v>0</v>
      </c>
      <c r="R29" s="66">
        <f>Calculations!R732</f>
        <v>0</v>
      </c>
      <c r="S29" s="65">
        <f>Calculations!S732</f>
        <v>0</v>
      </c>
      <c r="T29" s="65">
        <f>Calculations!T732</f>
        <v>0</v>
      </c>
      <c r="U29" s="204">
        <f>Calculations!U732</f>
        <v>0</v>
      </c>
      <c r="V29" s="65">
        <f>Calculations!V732</f>
        <v>0</v>
      </c>
      <c r="W29" s="266">
        <f>Calculations!W732</f>
        <v>0</v>
      </c>
      <c r="X29" s="266">
        <f>Calculations!X732</f>
        <v>0</v>
      </c>
      <c r="Y29" s="266" t="e">
        <f>Calculations!Y732</f>
        <v>#DIV/0!</v>
      </c>
      <c r="Z29" s="266" t="e">
        <f>Calculations!Z732</f>
        <v>#DIV/0!</v>
      </c>
      <c r="AA29" s="266" t="e">
        <f>Calculations!AA732</f>
        <v>#DIV/0!</v>
      </c>
    </row>
    <row r="30" spans="1:27">
      <c r="A30" s="3">
        <f>Calculations!A733</f>
        <v>26</v>
      </c>
      <c r="B30">
        <f>Calculations!B733</f>
        <v>0</v>
      </c>
      <c r="C30">
        <f>Calculations!C733</f>
        <v>0</v>
      </c>
      <c r="D30">
        <f>Calculations!D733</f>
        <v>0</v>
      </c>
      <c r="E30" s="265">
        <f>Calculations!E733</f>
        <v>0</v>
      </c>
      <c r="F30" s="265">
        <f>Calculations!F733</f>
        <v>0</v>
      </c>
      <c r="G30" s="265">
        <f>Calculations!G733</f>
        <v>0</v>
      </c>
      <c r="H30" s="197">
        <f>Calculations!H733</f>
        <v>0</v>
      </c>
      <c r="I30" s="197">
        <f>Calculations!I733</f>
        <v>0</v>
      </c>
      <c r="J30" s="137">
        <f>Calculations!J733</f>
        <v>0</v>
      </c>
      <c r="K30" s="66">
        <f>Calculations!K733</f>
        <v>0</v>
      </c>
      <c r="L30" s="66">
        <f>Calculations!L733</f>
        <v>0</v>
      </c>
      <c r="M30">
        <f>Calculations!M733</f>
        <v>0</v>
      </c>
      <c r="N30" s="66">
        <f>Calculations!N733</f>
        <v>0</v>
      </c>
      <c r="O30" s="66">
        <f>Calculations!O733</f>
        <v>0</v>
      </c>
      <c r="P30" s="66">
        <f>Calculations!P733</f>
        <v>0</v>
      </c>
      <c r="Q30" s="204">
        <f>Calculations!Q733</f>
        <v>0</v>
      </c>
      <c r="R30" s="66">
        <f>Calculations!R733</f>
        <v>0</v>
      </c>
      <c r="S30" s="65">
        <f>Calculations!S733</f>
        <v>0</v>
      </c>
      <c r="T30" s="65">
        <f>Calculations!T733</f>
        <v>0</v>
      </c>
      <c r="U30" s="204">
        <f>Calculations!U733</f>
        <v>0</v>
      </c>
      <c r="V30" s="65">
        <f>Calculations!V733</f>
        <v>0</v>
      </c>
      <c r="W30" s="266">
        <f>Calculations!W733</f>
        <v>0</v>
      </c>
      <c r="X30" s="266">
        <f>Calculations!X733</f>
        <v>0</v>
      </c>
      <c r="Y30" s="266" t="e">
        <f>Calculations!Y733</f>
        <v>#DIV/0!</v>
      </c>
      <c r="Z30" s="266" t="e">
        <f>Calculations!Z733</f>
        <v>#DIV/0!</v>
      </c>
      <c r="AA30" s="266" t="e">
        <f>Calculations!AA733</f>
        <v>#DIV/0!</v>
      </c>
    </row>
    <row r="31" spans="1:27">
      <c r="A31" s="3">
        <f>Calculations!A734</f>
        <v>27</v>
      </c>
      <c r="B31">
        <f>Calculations!B734</f>
        <v>0</v>
      </c>
      <c r="C31">
        <f>Calculations!C734</f>
        <v>0</v>
      </c>
      <c r="D31">
        <f>Calculations!D734</f>
        <v>0</v>
      </c>
      <c r="E31" s="265">
        <f>Calculations!E734</f>
        <v>0</v>
      </c>
      <c r="F31" s="265">
        <f>Calculations!F734</f>
        <v>0</v>
      </c>
      <c r="G31" s="265">
        <f>Calculations!G734</f>
        <v>0</v>
      </c>
      <c r="H31" s="197">
        <f>Calculations!H734</f>
        <v>0</v>
      </c>
      <c r="I31" s="197">
        <f>Calculations!I734</f>
        <v>0</v>
      </c>
      <c r="J31" s="137">
        <f>Calculations!J734</f>
        <v>0</v>
      </c>
      <c r="K31" s="66">
        <f>Calculations!K734</f>
        <v>0</v>
      </c>
      <c r="L31" s="66">
        <f>Calculations!L734</f>
        <v>0</v>
      </c>
      <c r="M31">
        <f>Calculations!M734</f>
        <v>0</v>
      </c>
      <c r="N31" s="66">
        <f>Calculations!N734</f>
        <v>0</v>
      </c>
      <c r="O31" s="66">
        <f>Calculations!O734</f>
        <v>0</v>
      </c>
      <c r="P31" s="66">
        <f>Calculations!P734</f>
        <v>0</v>
      </c>
      <c r="Q31" s="204">
        <f>Calculations!Q734</f>
        <v>0</v>
      </c>
      <c r="R31" s="66">
        <f>Calculations!R734</f>
        <v>0</v>
      </c>
      <c r="S31" s="65">
        <f>Calculations!S734</f>
        <v>0</v>
      </c>
      <c r="T31" s="65">
        <f>Calculations!T734</f>
        <v>0</v>
      </c>
      <c r="U31" s="204">
        <f>Calculations!U734</f>
        <v>0</v>
      </c>
      <c r="V31" s="65">
        <f>Calculations!V734</f>
        <v>0</v>
      </c>
      <c r="W31" s="266">
        <f>Calculations!W734</f>
        <v>0</v>
      </c>
      <c r="X31" s="266">
        <f>Calculations!X734</f>
        <v>0</v>
      </c>
      <c r="Y31" s="266" t="e">
        <f>Calculations!Y734</f>
        <v>#DIV/0!</v>
      </c>
      <c r="Z31" s="266" t="e">
        <f>Calculations!Z734</f>
        <v>#DIV/0!</v>
      </c>
      <c r="AA31" s="266" t="e">
        <f>Calculations!AA734</f>
        <v>#DIV/0!</v>
      </c>
    </row>
    <row r="32" spans="1:27">
      <c r="A32" s="3">
        <f>Calculations!A735</f>
        <v>28</v>
      </c>
      <c r="B32">
        <f>Calculations!B735</f>
        <v>0</v>
      </c>
      <c r="C32">
        <f>Calculations!C735</f>
        <v>0</v>
      </c>
      <c r="D32">
        <f>Calculations!D735</f>
        <v>0</v>
      </c>
      <c r="E32" s="265">
        <f>Calculations!E735</f>
        <v>0</v>
      </c>
      <c r="F32" s="265">
        <f>Calculations!F735</f>
        <v>0</v>
      </c>
      <c r="G32" s="265">
        <f>Calculations!G735</f>
        <v>0</v>
      </c>
      <c r="H32" s="197">
        <f>Calculations!H735</f>
        <v>0</v>
      </c>
      <c r="I32" s="197">
        <f>Calculations!I735</f>
        <v>0</v>
      </c>
      <c r="J32" s="137">
        <f>Calculations!J735</f>
        <v>0</v>
      </c>
      <c r="K32" s="66">
        <f>Calculations!K735</f>
        <v>0</v>
      </c>
      <c r="L32" s="66">
        <f>Calculations!L735</f>
        <v>0</v>
      </c>
      <c r="M32">
        <f>Calculations!M735</f>
        <v>0</v>
      </c>
      <c r="N32" s="66">
        <f>Calculations!N735</f>
        <v>0</v>
      </c>
      <c r="O32" s="66">
        <f>Calculations!O735</f>
        <v>0</v>
      </c>
      <c r="P32" s="66">
        <f>Calculations!P735</f>
        <v>0</v>
      </c>
      <c r="Q32" s="204">
        <f>Calculations!Q735</f>
        <v>0</v>
      </c>
      <c r="R32" s="66">
        <f>Calculations!R735</f>
        <v>0</v>
      </c>
      <c r="S32" s="65">
        <f>Calculations!S735</f>
        <v>0</v>
      </c>
      <c r="T32" s="65">
        <f>Calculations!T735</f>
        <v>0</v>
      </c>
      <c r="U32" s="204">
        <f>Calculations!U735</f>
        <v>0</v>
      </c>
      <c r="V32" s="65">
        <f>Calculations!V735</f>
        <v>0</v>
      </c>
      <c r="W32" s="266">
        <f>Calculations!W735</f>
        <v>0</v>
      </c>
      <c r="X32" s="266">
        <f>Calculations!X735</f>
        <v>0</v>
      </c>
      <c r="Y32" s="266" t="e">
        <f>Calculations!Y735</f>
        <v>#DIV/0!</v>
      </c>
      <c r="Z32" s="266" t="e">
        <f>Calculations!Z735</f>
        <v>#DIV/0!</v>
      </c>
      <c r="AA32" s="266" t="e">
        <f>Calculations!AA735</f>
        <v>#DIV/0!</v>
      </c>
    </row>
    <row r="33" spans="1:27">
      <c r="A33" s="3">
        <f>Calculations!A736</f>
        <v>29</v>
      </c>
      <c r="B33">
        <f>Calculations!B736</f>
        <v>0</v>
      </c>
      <c r="C33">
        <f>Calculations!C736</f>
        <v>0</v>
      </c>
      <c r="D33">
        <f>Calculations!D736</f>
        <v>0</v>
      </c>
      <c r="E33" s="265">
        <f>Calculations!E736</f>
        <v>0</v>
      </c>
      <c r="F33" s="265">
        <f>Calculations!F736</f>
        <v>0</v>
      </c>
      <c r="G33" s="265">
        <f>Calculations!G736</f>
        <v>0</v>
      </c>
      <c r="H33" s="197">
        <f>Calculations!H736</f>
        <v>0</v>
      </c>
      <c r="I33" s="197">
        <f>Calculations!I736</f>
        <v>0</v>
      </c>
      <c r="J33" s="137">
        <f>Calculations!J736</f>
        <v>0</v>
      </c>
      <c r="K33" s="66">
        <f>Calculations!K736</f>
        <v>0</v>
      </c>
      <c r="L33" s="66">
        <f>Calculations!L736</f>
        <v>0</v>
      </c>
      <c r="M33">
        <f>Calculations!M736</f>
        <v>0</v>
      </c>
      <c r="N33" s="66">
        <f>Calculations!N736</f>
        <v>0</v>
      </c>
      <c r="O33" s="66">
        <f>Calculations!O736</f>
        <v>0</v>
      </c>
      <c r="P33" s="66">
        <f>Calculations!P736</f>
        <v>0</v>
      </c>
      <c r="Q33" s="204">
        <f>Calculations!Q736</f>
        <v>0</v>
      </c>
      <c r="R33" s="66">
        <f>Calculations!R736</f>
        <v>0</v>
      </c>
      <c r="S33" s="65">
        <f>Calculations!S736</f>
        <v>0</v>
      </c>
      <c r="T33" s="65">
        <f>Calculations!T736</f>
        <v>0</v>
      </c>
      <c r="U33" s="204">
        <f>Calculations!U736</f>
        <v>0</v>
      </c>
      <c r="V33" s="65">
        <f>Calculations!V736</f>
        <v>0</v>
      </c>
      <c r="W33" s="266">
        <f>Calculations!W736</f>
        <v>0</v>
      </c>
      <c r="X33" s="266">
        <f>Calculations!X736</f>
        <v>0</v>
      </c>
      <c r="Y33" s="266" t="e">
        <f>Calculations!Y736</f>
        <v>#DIV/0!</v>
      </c>
      <c r="Z33" s="266" t="e">
        <f>Calculations!Z736</f>
        <v>#DIV/0!</v>
      </c>
      <c r="AA33" s="266" t="e">
        <f>Calculations!AA736</f>
        <v>#DIV/0!</v>
      </c>
    </row>
    <row r="34" spans="1:27">
      <c r="A34" s="3">
        <f>Calculations!A737</f>
        <v>30</v>
      </c>
      <c r="B34">
        <f>Calculations!B737</f>
        <v>0</v>
      </c>
      <c r="C34">
        <f>Calculations!C737</f>
        <v>0</v>
      </c>
      <c r="D34">
        <f>Calculations!D737</f>
        <v>0</v>
      </c>
      <c r="E34" s="265">
        <f>Calculations!E737</f>
        <v>0</v>
      </c>
      <c r="F34" s="265">
        <f>Calculations!F737</f>
        <v>0</v>
      </c>
      <c r="G34" s="265">
        <f>Calculations!G737</f>
        <v>0</v>
      </c>
      <c r="H34" s="197">
        <f>Calculations!H737</f>
        <v>0</v>
      </c>
      <c r="I34" s="197">
        <f>Calculations!I737</f>
        <v>0</v>
      </c>
      <c r="J34" s="137">
        <f>Calculations!J737</f>
        <v>0</v>
      </c>
      <c r="K34" s="66">
        <f>Calculations!K737</f>
        <v>0</v>
      </c>
      <c r="L34" s="66">
        <f>Calculations!L737</f>
        <v>0</v>
      </c>
      <c r="M34">
        <f>Calculations!M737</f>
        <v>0</v>
      </c>
      <c r="N34" s="66">
        <f>Calculations!N737</f>
        <v>0</v>
      </c>
      <c r="O34" s="66">
        <f>Calculations!O737</f>
        <v>0</v>
      </c>
      <c r="P34" s="66">
        <f>Calculations!P737</f>
        <v>0</v>
      </c>
      <c r="Q34" s="204">
        <f>Calculations!Q737</f>
        <v>0</v>
      </c>
      <c r="R34" s="66">
        <f>Calculations!R737</f>
        <v>0</v>
      </c>
      <c r="S34" s="65">
        <f>Calculations!S737</f>
        <v>0</v>
      </c>
      <c r="T34" s="65">
        <f>Calculations!T737</f>
        <v>0</v>
      </c>
      <c r="U34" s="204">
        <f>Calculations!U737</f>
        <v>0</v>
      </c>
      <c r="V34" s="65">
        <f>Calculations!V737</f>
        <v>0</v>
      </c>
      <c r="W34" s="266">
        <f>Calculations!W737</f>
        <v>0</v>
      </c>
      <c r="X34" s="266">
        <f>Calculations!X737</f>
        <v>0</v>
      </c>
      <c r="Y34" s="266" t="e">
        <f>Calculations!Y737</f>
        <v>#DIV/0!</v>
      </c>
      <c r="Z34" s="266" t="e">
        <f>Calculations!Z737</f>
        <v>#DIV/0!</v>
      </c>
      <c r="AA34" s="266" t="e">
        <f>Calculations!AA737</f>
        <v>#DIV/0!</v>
      </c>
    </row>
    <row r="35" spans="1:27">
      <c r="A35" s="3">
        <f>Calculations!A738</f>
        <v>31</v>
      </c>
      <c r="B35">
        <f>Calculations!B738</f>
        <v>0</v>
      </c>
      <c r="C35">
        <f>Calculations!C738</f>
        <v>0</v>
      </c>
      <c r="D35">
        <f>Calculations!D738</f>
        <v>0</v>
      </c>
      <c r="E35" s="265">
        <f>Calculations!E738</f>
        <v>0</v>
      </c>
      <c r="F35" s="265">
        <f>Calculations!F738</f>
        <v>0</v>
      </c>
      <c r="G35" s="265">
        <f>Calculations!G738</f>
        <v>0</v>
      </c>
      <c r="H35" s="197">
        <f>Calculations!H738</f>
        <v>0</v>
      </c>
      <c r="I35" s="197">
        <f>Calculations!I738</f>
        <v>0</v>
      </c>
      <c r="J35" s="137">
        <f>Calculations!J738</f>
        <v>0</v>
      </c>
      <c r="K35" s="66">
        <f>Calculations!K738</f>
        <v>0</v>
      </c>
      <c r="L35" s="66">
        <f>Calculations!L738</f>
        <v>0</v>
      </c>
      <c r="M35">
        <f>Calculations!M738</f>
        <v>0</v>
      </c>
      <c r="N35" s="66">
        <f>Calculations!N738</f>
        <v>0</v>
      </c>
      <c r="O35" s="66">
        <f>Calculations!O738</f>
        <v>0</v>
      </c>
      <c r="P35" s="66">
        <f>Calculations!P738</f>
        <v>0</v>
      </c>
      <c r="Q35" s="204">
        <f>Calculations!Q738</f>
        <v>0</v>
      </c>
      <c r="R35" s="66">
        <f>Calculations!R738</f>
        <v>0</v>
      </c>
      <c r="S35" s="65">
        <f>Calculations!S738</f>
        <v>0</v>
      </c>
      <c r="T35" s="65">
        <f>Calculations!T738</f>
        <v>0</v>
      </c>
      <c r="U35" s="204">
        <f>Calculations!U738</f>
        <v>0</v>
      </c>
      <c r="V35" s="65">
        <f>Calculations!V738</f>
        <v>0</v>
      </c>
      <c r="W35" s="266">
        <f>Calculations!W738</f>
        <v>0</v>
      </c>
      <c r="X35" s="266">
        <f>Calculations!X738</f>
        <v>0</v>
      </c>
      <c r="Y35" s="266" t="e">
        <f>Calculations!Y738</f>
        <v>#DIV/0!</v>
      </c>
      <c r="Z35" s="266" t="e">
        <f>Calculations!Z738</f>
        <v>#DIV/0!</v>
      </c>
      <c r="AA35" s="266" t="e">
        <f>Calculations!AA738</f>
        <v>#DIV/0!</v>
      </c>
    </row>
    <row r="36" spans="1:27">
      <c r="A36" s="3">
        <f>Calculations!A739</f>
        <v>32</v>
      </c>
      <c r="B36">
        <f>Calculations!B739</f>
        <v>0</v>
      </c>
      <c r="C36">
        <f>Calculations!C739</f>
        <v>0</v>
      </c>
      <c r="D36">
        <f>Calculations!D739</f>
        <v>0</v>
      </c>
      <c r="E36" s="265">
        <f>Calculations!E739</f>
        <v>0</v>
      </c>
      <c r="F36" s="265">
        <f>Calculations!F739</f>
        <v>0</v>
      </c>
      <c r="G36" s="265">
        <f>Calculations!G739</f>
        <v>0</v>
      </c>
      <c r="H36" s="197">
        <f>Calculations!H739</f>
        <v>0</v>
      </c>
      <c r="I36" s="197">
        <f>Calculations!I739</f>
        <v>0</v>
      </c>
      <c r="J36" s="137">
        <f>Calculations!J739</f>
        <v>0</v>
      </c>
      <c r="K36" s="66">
        <f>Calculations!K739</f>
        <v>0</v>
      </c>
      <c r="L36" s="66">
        <f>Calculations!L739</f>
        <v>0</v>
      </c>
      <c r="M36">
        <f>Calculations!M739</f>
        <v>0</v>
      </c>
      <c r="N36" s="66">
        <f>Calculations!N739</f>
        <v>0</v>
      </c>
      <c r="O36" s="66">
        <f>Calculations!O739</f>
        <v>0</v>
      </c>
      <c r="P36" s="66">
        <f>Calculations!P739</f>
        <v>0</v>
      </c>
      <c r="Q36" s="204">
        <f>Calculations!Q739</f>
        <v>0</v>
      </c>
      <c r="R36" s="66">
        <f>Calculations!R739</f>
        <v>0</v>
      </c>
      <c r="S36" s="65">
        <f>Calculations!S739</f>
        <v>0</v>
      </c>
      <c r="T36" s="65">
        <f>Calculations!T739</f>
        <v>0</v>
      </c>
      <c r="U36" s="204">
        <f>Calculations!U739</f>
        <v>0</v>
      </c>
      <c r="V36" s="65">
        <f>Calculations!V739</f>
        <v>0</v>
      </c>
      <c r="W36" s="266">
        <f>Calculations!W739</f>
        <v>0</v>
      </c>
      <c r="X36" s="266">
        <f>Calculations!X739</f>
        <v>0</v>
      </c>
      <c r="Y36" s="266" t="e">
        <f>Calculations!Y739</f>
        <v>#DIV/0!</v>
      </c>
      <c r="Z36" s="266" t="e">
        <f>Calculations!Z739</f>
        <v>#DIV/0!</v>
      </c>
      <c r="AA36" s="266" t="e">
        <f>Calculations!AA739</f>
        <v>#DIV/0!</v>
      </c>
    </row>
    <row r="37" spans="1:27">
      <c r="A37" s="3">
        <f>Calculations!A740</f>
        <v>33</v>
      </c>
      <c r="B37">
        <f>Calculations!B740</f>
        <v>0</v>
      </c>
      <c r="C37">
        <f>Calculations!C740</f>
        <v>0</v>
      </c>
      <c r="D37">
        <f>Calculations!D740</f>
        <v>0</v>
      </c>
      <c r="E37" s="265">
        <f>Calculations!E740</f>
        <v>0</v>
      </c>
      <c r="F37" s="265">
        <f>Calculations!F740</f>
        <v>0</v>
      </c>
      <c r="G37" s="265">
        <f>Calculations!G740</f>
        <v>0</v>
      </c>
      <c r="H37" s="197">
        <f>Calculations!H740</f>
        <v>0</v>
      </c>
      <c r="I37" s="197">
        <f>Calculations!I740</f>
        <v>0</v>
      </c>
      <c r="J37" s="137">
        <f>Calculations!J740</f>
        <v>0</v>
      </c>
      <c r="K37" s="66">
        <f>Calculations!K740</f>
        <v>0</v>
      </c>
      <c r="L37" s="66">
        <f>Calculations!L740</f>
        <v>0</v>
      </c>
      <c r="M37">
        <f>Calculations!M740</f>
        <v>0</v>
      </c>
      <c r="N37" s="66">
        <f>Calculations!N740</f>
        <v>0</v>
      </c>
      <c r="O37" s="66">
        <f>Calculations!O740</f>
        <v>0</v>
      </c>
      <c r="P37" s="66">
        <f>Calculations!P740</f>
        <v>0</v>
      </c>
      <c r="Q37" s="204">
        <f>Calculations!Q740</f>
        <v>0</v>
      </c>
      <c r="R37" s="66">
        <f>Calculations!R740</f>
        <v>0</v>
      </c>
      <c r="S37" s="65">
        <f>Calculations!S740</f>
        <v>0</v>
      </c>
      <c r="T37" s="65">
        <f>Calculations!T740</f>
        <v>0</v>
      </c>
      <c r="U37" s="204">
        <f>Calculations!U740</f>
        <v>0</v>
      </c>
      <c r="V37" s="65">
        <f>Calculations!V740</f>
        <v>0</v>
      </c>
      <c r="W37" s="266">
        <f>Calculations!W740</f>
        <v>0</v>
      </c>
      <c r="X37" s="266">
        <f>Calculations!X740</f>
        <v>0</v>
      </c>
      <c r="Y37" s="266" t="e">
        <f>Calculations!Y740</f>
        <v>#DIV/0!</v>
      </c>
      <c r="Z37" s="266" t="e">
        <f>Calculations!Z740</f>
        <v>#DIV/0!</v>
      </c>
      <c r="AA37" s="266" t="e">
        <f>Calculations!AA740</f>
        <v>#DIV/0!</v>
      </c>
    </row>
    <row r="38" spans="1:27">
      <c r="A38" s="3">
        <f>Calculations!A741</f>
        <v>34</v>
      </c>
      <c r="B38">
        <f>Calculations!B741</f>
        <v>0</v>
      </c>
      <c r="C38">
        <f>Calculations!C741</f>
        <v>0</v>
      </c>
      <c r="D38">
        <f>Calculations!D741</f>
        <v>0</v>
      </c>
      <c r="E38" s="265">
        <f>Calculations!E741</f>
        <v>0</v>
      </c>
      <c r="F38" s="265">
        <f>Calculations!F741</f>
        <v>0</v>
      </c>
      <c r="G38" s="265">
        <f>Calculations!G741</f>
        <v>0</v>
      </c>
      <c r="H38" s="197">
        <f>Calculations!H741</f>
        <v>0</v>
      </c>
      <c r="I38" s="197">
        <f>Calculations!I741</f>
        <v>0</v>
      </c>
      <c r="J38" s="137">
        <f>Calculations!J741</f>
        <v>0</v>
      </c>
      <c r="K38" s="66">
        <f>Calculations!K741</f>
        <v>0</v>
      </c>
      <c r="L38" s="66">
        <f>Calculations!L741</f>
        <v>0</v>
      </c>
      <c r="M38">
        <f>Calculations!M741</f>
        <v>0</v>
      </c>
      <c r="N38" s="66">
        <f>Calculations!N741</f>
        <v>0</v>
      </c>
      <c r="O38" s="66">
        <f>Calculations!O741</f>
        <v>0</v>
      </c>
      <c r="P38" s="66">
        <f>Calculations!P741</f>
        <v>0</v>
      </c>
      <c r="Q38" s="204">
        <f>Calculations!Q741</f>
        <v>0</v>
      </c>
      <c r="R38" s="66">
        <f>Calculations!R741</f>
        <v>0</v>
      </c>
      <c r="S38" s="65">
        <f>Calculations!S741</f>
        <v>0</v>
      </c>
      <c r="T38" s="65">
        <f>Calculations!T741</f>
        <v>0</v>
      </c>
      <c r="U38" s="204">
        <f>Calculations!U741</f>
        <v>0</v>
      </c>
      <c r="V38" s="65">
        <f>Calculations!V741</f>
        <v>0</v>
      </c>
      <c r="W38" s="266">
        <f>Calculations!W741</f>
        <v>0</v>
      </c>
      <c r="X38" s="266">
        <f>Calculations!X741</f>
        <v>0</v>
      </c>
      <c r="Y38" s="266" t="e">
        <f>Calculations!Y741</f>
        <v>#DIV/0!</v>
      </c>
      <c r="Z38" s="266" t="e">
        <f>Calculations!Z741</f>
        <v>#DIV/0!</v>
      </c>
      <c r="AA38" s="266" t="e">
        <f>Calculations!AA741</f>
        <v>#DIV/0!</v>
      </c>
    </row>
    <row r="39" spans="1:27">
      <c r="A39" s="3">
        <f>Calculations!A742</f>
        <v>35</v>
      </c>
      <c r="B39">
        <f>Calculations!B742</f>
        <v>0</v>
      </c>
      <c r="C39">
        <f>Calculations!C742</f>
        <v>0</v>
      </c>
      <c r="D39">
        <f>Calculations!D742</f>
        <v>0</v>
      </c>
      <c r="E39" s="265">
        <f>Calculations!E742</f>
        <v>0</v>
      </c>
      <c r="F39" s="265">
        <f>Calculations!F742</f>
        <v>0</v>
      </c>
      <c r="G39" s="265">
        <f>Calculations!G742</f>
        <v>0</v>
      </c>
      <c r="H39" s="197">
        <f>Calculations!H742</f>
        <v>0</v>
      </c>
      <c r="I39" s="197">
        <f>Calculations!I742</f>
        <v>0</v>
      </c>
      <c r="J39" s="137">
        <f>Calculations!J742</f>
        <v>0</v>
      </c>
      <c r="K39" s="66">
        <f>Calculations!K742</f>
        <v>0</v>
      </c>
      <c r="L39" s="66">
        <f>Calculations!L742</f>
        <v>0</v>
      </c>
      <c r="M39">
        <f>Calculations!M742</f>
        <v>0</v>
      </c>
      <c r="N39" s="66">
        <f>Calculations!N742</f>
        <v>0</v>
      </c>
      <c r="O39" s="66">
        <f>Calculations!O742</f>
        <v>0</v>
      </c>
      <c r="P39" s="66">
        <f>Calculations!P742</f>
        <v>0</v>
      </c>
      <c r="Q39" s="204">
        <f>Calculations!Q742</f>
        <v>0</v>
      </c>
      <c r="R39" s="66">
        <f>Calculations!R742</f>
        <v>0</v>
      </c>
      <c r="S39" s="65">
        <f>Calculations!S742</f>
        <v>0</v>
      </c>
      <c r="T39" s="65">
        <f>Calculations!T742</f>
        <v>0</v>
      </c>
      <c r="U39" s="204">
        <f>Calculations!U742</f>
        <v>0</v>
      </c>
      <c r="V39" s="65">
        <f>Calculations!V742</f>
        <v>0</v>
      </c>
      <c r="W39" s="266">
        <f>Calculations!W742</f>
        <v>0</v>
      </c>
      <c r="X39" s="266">
        <f>Calculations!X742</f>
        <v>0</v>
      </c>
      <c r="Y39" s="266" t="e">
        <f>Calculations!Y742</f>
        <v>#DIV/0!</v>
      </c>
      <c r="Z39" s="266" t="e">
        <f>Calculations!Z742</f>
        <v>#DIV/0!</v>
      </c>
      <c r="AA39" s="266" t="e">
        <f>Calculations!AA742</f>
        <v>#DIV/0!</v>
      </c>
    </row>
    <row r="40" spans="1:27">
      <c r="A40" s="3">
        <f>Calculations!A743</f>
        <v>36</v>
      </c>
      <c r="B40">
        <f>Calculations!B743</f>
        <v>0</v>
      </c>
      <c r="C40">
        <f>Calculations!C743</f>
        <v>0</v>
      </c>
      <c r="D40">
        <f>Calculations!D743</f>
        <v>0</v>
      </c>
      <c r="E40" s="265">
        <f>Calculations!E743</f>
        <v>0</v>
      </c>
      <c r="F40" s="265">
        <f>Calculations!F743</f>
        <v>0</v>
      </c>
      <c r="G40" s="265">
        <f>Calculations!G743</f>
        <v>0</v>
      </c>
      <c r="H40" s="197">
        <f>Calculations!H743</f>
        <v>0</v>
      </c>
      <c r="I40" s="197">
        <f>Calculations!I743</f>
        <v>0</v>
      </c>
      <c r="J40" s="137">
        <f>Calculations!J743</f>
        <v>0</v>
      </c>
      <c r="K40" s="66">
        <f>Calculations!K743</f>
        <v>0</v>
      </c>
      <c r="L40" s="66">
        <f>Calculations!L743</f>
        <v>0</v>
      </c>
      <c r="M40">
        <f>Calculations!M743</f>
        <v>0</v>
      </c>
      <c r="N40" s="66">
        <f>Calculations!N743</f>
        <v>0</v>
      </c>
      <c r="O40" s="66">
        <f>Calculations!O743</f>
        <v>0</v>
      </c>
      <c r="P40" s="66">
        <f>Calculations!P743</f>
        <v>0</v>
      </c>
      <c r="Q40" s="204">
        <f>Calculations!Q743</f>
        <v>0</v>
      </c>
      <c r="R40" s="66">
        <f>Calculations!R743</f>
        <v>0</v>
      </c>
      <c r="S40" s="65">
        <f>Calculations!S743</f>
        <v>0</v>
      </c>
      <c r="T40" s="65">
        <f>Calculations!T743</f>
        <v>0</v>
      </c>
      <c r="U40" s="204">
        <f>Calculations!U743</f>
        <v>0</v>
      </c>
      <c r="V40" s="65">
        <f>Calculations!V743</f>
        <v>0</v>
      </c>
      <c r="W40" s="266">
        <f>Calculations!W743</f>
        <v>0</v>
      </c>
      <c r="X40" s="266">
        <f>Calculations!X743</f>
        <v>0</v>
      </c>
      <c r="Y40" s="266" t="e">
        <f>Calculations!Y743</f>
        <v>#DIV/0!</v>
      </c>
      <c r="Z40" s="266" t="e">
        <f>Calculations!Z743</f>
        <v>#DIV/0!</v>
      </c>
      <c r="AA40" s="266" t="e">
        <f>Calculations!AA743</f>
        <v>#DIV/0!</v>
      </c>
    </row>
    <row r="41" spans="1:27">
      <c r="A41" s="3">
        <f>Calculations!A744</f>
        <v>37</v>
      </c>
      <c r="B41">
        <f>Calculations!B744</f>
        <v>0</v>
      </c>
      <c r="C41">
        <f>Calculations!C744</f>
        <v>0</v>
      </c>
      <c r="D41">
        <f>Calculations!D744</f>
        <v>0</v>
      </c>
      <c r="E41" s="265">
        <f>Calculations!E744</f>
        <v>0</v>
      </c>
      <c r="F41" s="265">
        <f>Calculations!F744</f>
        <v>0</v>
      </c>
      <c r="G41" s="265">
        <f>Calculations!G744</f>
        <v>0</v>
      </c>
      <c r="H41" s="197">
        <f>Calculations!H744</f>
        <v>0</v>
      </c>
      <c r="I41" s="197">
        <f>Calculations!I744</f>
        <v>0</v>
      </c>
      <c r="J41" s="137">
        <f>Calculations!J744</f>
        <v>0</v>
      </c>
      <c r="K41" s="66">
        <f>Calculations!K744</f>
        <v>0</v>
      </c>
      <c r="L41" s="66">
        <f>Calculations!L744</f>
        <v>0</v>
      </c>
      <c r="M41">
        <f>Calculations!M744</f>
        <v>0</v>
      </c>
      <c r="N41" s="66">
        <f>Calculations!N744</f>
        <v>0</v>
      </c>
      <c r="O41" s="66">
        <f>Calculations!O744</f>
        <v>0</v>
      </c>
      <c r="P41" s="66">
        <f>Calculations!P744</f>
        <v>0</v>
      </c>
      <c r="Q41" s="204">
        <f>Calculations!Q744</f>
        <v>0</v>
      </c>
      <c r="R41" s="66">
        <f>Calculations!R744</f>
        <v>0</v>
      </c>
      <c r="S41" s="65">
        <f>Calculations!S744</f>
        <v>0</v>
      </c>
      <c r="T41" s="65">
        <f>Calculations!T744</f>
        <v>0</v>
      </c>
      <c r="U41" s="204">
        <f>Calculations!U744</f>
        <v>0</v>
      </c>
      <c r="V41" s="65">
        <f>Calculations!V744</f>
        <v>0</v>
      </c>
      <c r="W41" s="266">
        <f>Calculations!W744</f>
        <v>0</v>
      </c>
      <c r="X41" s="266">
        <f>Calculations!X744</f>
        <v>0</v>
      </c>
      <c r="Y41" s="266" t="e">
        <f>Calculations!Y744</f>
        <v>#DIV/0!</v>
      </c>
      <c r="Z41" s="266" t="e">
        <f>Calculations!Z744</f>
        <v>#DIV/0!</v>
      </c>
      <c r="AA41" s="266" t="e">
        <f>Calculations!AA744</f>
        <v>#DIV/0!</v>
      </c>
    </row>
    <row r="42" spans="1:27">
      <c r="A42" s="3">
        <f>Calculations!A745</f>
        <v>38</v>
      </c>
      <c r="B42">
        <f>Calculations!B745</f>
        <v>0</v>
      </c>
      <c r="C42">
        <f>Calculations!C745</f>
        <v>0</v>
      </c>
      <c r="D42">
        <f>Calculations!D745</f>
        <v>0</v>
      </c>
      <c r="E42" s="265">
        <f>Calculations!E745</f>
        <v>0</v>
      </c>
      <c r="F42" s="265">
        <f>Calculations!F745</f>
        <v>0</v>
      </c>
      <c r="G42" s="265">
        <f>Calculations!G745</f>
        <v>0</v>
      </c>
      <c r="H42" s="197">
        <f>Calculations!H745</f>
        <v>0</v>
      </c>
      <c r="I42" s="197">
        <f>Calculations!I745</f>
        <v>0</v>
      </c>
      <c r="J42" s="137">
        <f>Calculations!J745</f>
        <v>0</v>
      </c>
      <c r="K42" s="66">
        <f>Calculations!K745</f>
        <v>0</v>
      </c>
      <c r="L42" s="66">
        <f>Calculations!L745</f>
        <v>0</v>
      </c>
      <c r="M42">
        <f>Calculations!M745</f>
        <v>0</v>
      </c>
      <c r="N42" s="66">
        <f>Calculations!N745</f>
        <v>0</v>
      </c>
      <c r="O42" s="66">
        <f>Calculations!O745</f>
        <v>0</v>
      </c>
      <c r="P42" s="66">
        <f>Calculations!P745</f>
        <v>0</v>
      </c>
      <c r="Q42" s="204">
        <f>Calculations!Q745</f>
        <v>0</v>
      </c>
      <c r="R42" s="66">
        <f>Calculations!R745</f>
        <v>0</v>
      </c>
      <c r="S42" s="65">
        <f>Calculations!S745</f>
        <v>0</v>
      </c>
      <c r="T42" s="65">
        <f>Calculations!T745</f>
        <v>0</v>
      </c>
      <c r="U42" s="204">
        <f>Calculations!U745</f>
        <v>0</v>
      </c>
      <c r="V42" s="65">
        <f>Calculations!V745</f>
        <v>0</v>
      </c>
      <c r="W42" s="266">
        <f>Calculations!W745</f>
        <v>0</v>
      </c>
      <c r="X42" s="266">
        <f>Calculations!X745</f>
        <v>0</v>
      </c>
      <c r="Y42" s="266" t="e">
        <f>Calculations!Y745</f>
        <v>#DIV/0!</v>
      </c>
      <c r="Z42" s="266" t="e">
        <f>Calculations!Z745</f>
        <v>#DIV/0!</v>
      </c>
      <c r="AA42" s="266" t="e">
        <f>Calculations!AA745</f>
        <v>#DIV/0!</v>
      </c>
    </row>
    <row r="43" spans="1:27">
      <c r="A43" s="3">
        <f>Calculations!A746</f>
        <v>39</v>
      </c>
      <c r="B43">
        <f>Calculations!B746</f>
        <v>0</v>
      </c>
      <c r="C43">
        <f>Calculations!C746</f>
        <v>0</v>
      </c>
      <c r="D43">
        <f>Calculations!D746</f>
        <v>0</v>
      </c>
      <c r="E43" s="265">
        <f>Calculations!E746</f>
        <v>0</v>
      </c>
      <c r="F43" s="265">
        <f>Calculations!F746</f>
        <v>0</v>
      </c>
      <c r="G43" s="265">
        <f>Calculations!G746</f>
        <v>0</v>
      </c>
      <c r="H43" s="197">
        <f>Calculations!H746</f>
        <v>0</v>
      </c>
      <c r="I43" s="197">
        <f>Calculations!I746</f>
        <v>0</v>
      </c>
      <c r="J43" s="137">
        <f>Calculations!J746</f>
        <v>0</v>
      </c>
      <c r="K43" s="66">
        <f>Calculations!K746</f>
        <v>0</v>
      </c>
      <c r="L43" s="66">
        <f>Calculations!L746</f>
        <v>0</v>
      </c>
      <c r="M43">
        <f>Calculations!M746</f>
        <v>0</v>
      </c>
      <c r="N43" s="66">
        <f>Calculations!N746</f>
        <v>0</v>
      </c>
      <c r="O43" s="66">
        <f>Calculations!O746</f>
        <v>0</v>
      </c>
      <c r="P43" s="66">
        <f>Calculations!P746</f>
        <v>0</v>
      </c>
      <c r="Q43" s="204">
        <f>Calculations!Q746</f>
        <v>0</v>
      </c>
      <c r="R43" s="66">
        <f>Calculations!R746</f>
        <v>0</v>
      </c>
      <c r="S43" s="65">
        <f>Calculations!S746</f>
        <v>0</v>
      </c>
      <c r="T43" s="65">
        <f>Calculations!T746</f>
        <v>0</v>
      </c>
      <c r="U43" s="204">
        <f>Calculations!U746</f>
        <v>0</v>
      </c>
      <c r="V43" s="65">
        <f>Calculations!V746</f>
        <v>0</v>
      </c>
      <c r="W43" s="266">
        <f>Calculations!W746</f>
        <v>0</v>
      </c>
      <c r="X43" s="266">
        <f>Calculations!X746</f>
        <v>0</v>
      </c>
      <c r="Y43" s="266" t="e">
        <f>Calculations!Y746</f>
        <v>#DIV/0!</v>
      </c>
      <c r="Z43" s="266" t="e">
        <f>Calculations!Z746</f>
        <v>#DIV/0!</v>
      </c>
      <c r="AA43" s="266" t="e">
        <f>Calculations!AA746</f>
        <v>#DIV/0!</v>
      </c>
    </row>
    <row r="44" spans="1:27">
      <c r="A44" s="3">
        <f>Calculations!A747</f>
        <v>40</v>
      </c>
      <c r="B44">
        <f>Calculations!B747</f>
        <v>0</v>
      </c>
      <c r="C44">
        <f>Calculations!C747</f>
        <v>0</v>
      </c>
      <c r="D44">
        <f>Calculations!D747</f>
        <v>0</v>
      </c>
      <c r="E44" s="265">
        <f>Calculations!E747</f>
        <v>0</v>
      </c>
      <c r="F44" s="265">
        <f>Calculations!F747</f>
        <v>0</v>
      </c>
      <c r="G44" s="265">
        <f>Calculations!G747</f>
        <v>0</v>
      </c>
      <c r="H44" s="197">
        <f>Calculations!H747</f>
        <v>0</v>
      </c>
      <c r="I44" s="197">
        <f>Calculations!I747</f>
        <v>0</v>
      </c>
      <c r="J44" s="137">
        <f>Calculations!J747</f>
        <v>0</v>
      </c>
      <c r="K44" s="66">
        <f>Calculations!K747</f>
        <v>0</v>
      </c>
      <c r="L44" s="66">
        <f>Calculations!L747</f>
        <v>0</v>
      </c>
      <c r="M44">
        <f>Calculations!M747</f>
        <v>0</v>
      </c>
      <c r="N44" s="66">
        <f>Calculations!N747</f>
        <v>0</v>
      </c>
      <c r="O44" s="66">
        <f>Calculations!O747</f>
        <v>0</v>
      </c>
      <c r="P44" s="66">
        <f>Calculations!P747</f>
        <v>0</v>
      </c>
      <c r="Q44" s="204">
        <f>Calculations!Q747</f>
        <v>0</v>
      </c>
      <c r="R44" s="66">
        <f>Calculations!R747</f>
        <v>0</v>
      </c>
      <c r="S44" s="65">
        <f>Calculations!S747</f>
        <v>0</v>
      </c>
      <c r="T44" s="65">
        <f>Calculations!T747</f>
        <v>0</v>
      </c>
      <c r="U44" s="204">
        <f>Calculations!U747</f>
        <v>0</v>
      </c>
      <c r="V44" s="65">
        <f>Calculations!V747</f>
        <v>0</v>
      </c>
      <c r="W44" s="266">
        <f>Calculations!W747</f>
        <v>0</v>
      </c>
      <c r="X44" s="266">
        <f>Calculations!X747</f>
        <v>0</v>
      </c>
      <c r="Y44" s="266" t="e">
        <f>Calculations!Y747</f>
        <v>#DIV/0!</v>
      </c>
      <c r="Z44" s="266" t="e">
        <f>Calculations!Z747</f>
        <v>#DIV/0!</v>
      </c>
      <c r="AA44" s="266" t="e">
        <f>Calculations!AA747</f>
        <v>#DIV/0!</v>
      </c>
    </row>
    <row r="45" spans="1:27">
      <c r="A45" s="3">
        <f>Calculations!A748</f>
        <v>41</v>
      </c>
      <c r="B45">
        <f>Calculations!B748</f>
        <v>0</v>
      </c>
      <c r="C45">
        <f>Calculations!C748</f>
        <v>0</v>
      </c>
      <c r="D45">
        <f>Calculations!D748</f>
        <v>0</v>
      </c>
      <c r="E45" s="265">
        <f>Calculations!E748</f>
        <v>0</v>
      </c>
      <c r="F45" s="265">
        <f>Calculations!F748</f>
        <v>0</v>
      </c>
      <c r="G45" s="265">
        <f>Calculations!G748</f>
        <v>0</v>
      </c>
      <c r="H45" s="197">
        <f>Calculations!H748</f>
        <v>0</v>
      </c>
      <c r="I45" s="197">
        <f>Calculations!I748</f>
        <v>0</v>
      </c>
      <c r="J45" s="137">
        <f>Calculations!J748</f>
        <v>0</v>
      </c>
      <c r="K45" s="66">
        <f>Calculations!K748</f>
        <v>0</v>
      </c>
      <c r="L45" s="66">
        <f>Calculations!L748</f>
        <v>0</v>
      </c>
      <c r="M45">
        <f>Calculations!M748</f>
        <v>0</v>
      </c>
      <c r="N45" s="66">
        <f>Calculations!N748</f>
        <v>0</v>
      </c>
      <c r="O45" s="66">
        <f>Calculations!O748</f>
        <v>0</v>
      </c>
      <c r="P45" s="66">
        <f>Calculations!P748</f>
        <v>0</v>
      </c>
      <c r="Q45" s="204">
        <f>Calculations!Q748</f>
        <v>0</v>
      </c>
      <c r="R45" s="66">
        <f>Calculations!R748</f>
        <v>0</v>
      </c>
      <c r="S45" s="65">
        <f>Calculations!S748</f>
        <v>0</v>
      </c>
      <c r="T45" s="65">
        <f>Calculations!T748</f>
        <v>0</v>
      </c>
      <c r="U45" s="204">
        <f>Calculations!U748</f>
        <v>0</v>
      </c>
      <c r="V45" s="65">
        <f>Calculations!V748</f>
        <v>0</v>
      </c>
      <c r="W45" s="266">
        <f>Calculations!W748</f>
        <v>0</v>
      </c>
      <c r="X45" s="266">
        <f>Calculations!X748</f>
        <v>0</v>
      </c>
      <c r="Y45" s="266" t="e">
        <f>Calculations!Y748</f>
        <v>#DIV/0!</v>
      </c>
      <c r="Z45" s="266" t="e">
        <f>Calculations!Z748</f>
        <v>#DIV/0!</v>
      </c>
      <c r="AA45" s="266" t="e">
        <f>Calculations!AA748</f>
        <v>#DIV/0!</v>
      </c>
    </row>
    <row r="46" spans="1:27">
      <c r="A46" s="3">
        <f>Calculations!A749</f>
        <v>42</v>
      </c>
      <c r="B46">
        <f>Calculations!B749</f>
        <v>0</v>
      </c>
      <c r="C46">
        <f>Calculations!C749</f>
        <v>0</v>
      </c>
      <c r="D46">
        <f>Calculations!D749</f>
        <v>0</v>
      </c>
      <c r="E46" s="265">
        <f>Calculations!E749</f>
        <v>0</v>
      </c>
      <c r="F46" s="265">
        <f>Calculations!F749</f>
        <v>0</v>
      </c>
      <c r="G46" s="265">
        <f>Calculations!G749</f>
        <v>0</v>
      </c>
      <c r="H46" s="197">
        <f>Calculations!H749</f>
        <v>0</v>
      </c>
      <c r="I46" s="197">
        <f>Calculations!I749</f>
        <v>0</v>
      </c>
      <c r="J46" s="137">
        <f>Calculations!J749</f>
        <v>0</v>
      </c>
      <c r="K46" s="66">
        <f>Calculations!K749</f>
        <v>0</v>
      </c>
      <c r="L46" s="66">
        <f>Calculations!L749</f>
        <v>0</v>
      </c>
      <c r="M46">
        <f>Calculations!M749</f>
        <v>0</v>
      </c>
      <c r="N46" s="66">
        <f>Calculations!N749</f>
        <v>0</v>
      </c>
      <c r="O46" s="66">
        <f>Calculations!O749</f>
        <v>0</v>
      </c>
      <c r="P46" s="66">
        <f>Calculations!P749</f>
        <v>0</v>
      </c>
      <c r="Q46" s="204">
        <f>Calculations!Q749</f>
        <v>0</v>
      </c>
      <c r="R46" s="66">
        <f>Calculations!R749</f>
        <v>0</v>
      </c>
      <c r="S46" s="65">
        <f>Calculations!S749</f>
        <v>0</v>
      </c>
      <c r="T46" s="65">
        <f>Calculations!T749</f>
        <v>0</v>
      </c>
      <c r="U46" s="204">
        <f>Calculations!U749</f>
        <v>0</v>
      </c>
      <c r="V46" s="65">
        <f>Calculations!V749</f>
        <v>0</v>
      </c>
      <c r="W46" s="266">
        <f>Calculations!W749</f>
        <v>0</v>
      </c>
      <c r="X46" s="266">
        <f>Calculations!X749</f>
        <v>0</v>
      </c>
      <c r="Y46" s="266" t="e">
        <f>Calculations!Y749</f>
        <v>#DIV/0!</v>
      </c>
      <c r="Z46" s="266" t="e">
        <f>Calculations!Z749</f>
        <v>#DIV/0!</v>
      </c>
      <c r="AA46" s="266" t="e">
        <f>Calculations!AA749</f>
        <v>#DIV/0!</v>
      </c>
    </row>
    <row r="47" spans="1:27">
      <c r="A47" s="3">
        <f>Calculations!A750</f>
        <v>43</v>
      </c>
      <c r="B47">
        <f>Calculations!B750</f>
        <v>0</v>
      </c>
      <c r="C47">
        <f>Calculations!C750</f>
        <v>0</v>
      </c>
      <c r="D47">
        <f>Calculations!D750</f>
        <v>0</v>
      </c>
      <c r="E47" s="265">
        <f>Calculations!E750</f>
        <v>0</v>
      </c>
      <c r="F47" s="265">
        <f>Calculations!F750</f>
        <v>0</v>
      </c>
      <c r="G47" s="265">
        <f>Calculations!G750</f>
        <v>0</v>
      </c>
      <c r="H47" s="197">
        <f>Calculations!H750</f>
        <v>0</v>
      </c>
      <c r="I47" s="197">
        <f>Calculations!I750</f>
        <v>0</v>
      </c>
      <c r="J47" s="137">
        <f>Calculations!J750</f>
        <v>0</v>
      </c>
      <c r="K47" s="66">
        <f>Calculations!K750</f>
        <v>0</v>
      </c>
      <c r="L47" s="66">
        <f>Calculations!L750</f>
        <v>0</v>
      </c>
      <c r="M47">
        <f>Calculations!M750</f>
        <v>0</v>
      </c>
      <c r="N47" s="66">
        <f>Calculations!N750</f>
        <v>0</v>
      </c>
      <c r="O47" s="66">
        <f>Calculations!O750</f>
        <v>0</v>
      </c>
      <c r="P47" s="66">
        <f>Calculations!P750</f>
        <v>0</v>
      </c>
      <c r="Q47" s="204">
        <f>Calculations!Q750</f>
        <v>0</v>
      </c>
      <c r="R47" s="66">
        <f>Calculations!R750</f>
        <v>0</v>
      </c>
      <c r="S47" s="65">
        <f>Calculations!S750</f>
        <v>0</v>
      </c>
      <c r="T47" s="65">
        <f>Calculations!T750</f>
        <v>0</v>
      </c>
      <c r="U47" s="204">
        <f>Calculations!U750</f>
        <v>0</v>
      </c>
      <c r="V47" s="65">
        <f>Calculations!V750</f>
        <v>0</v>
      </c>
      <c r="W47" s="266">
        <f>Calculations!W750</f>
        <v>0</v>
      </c>
      <c r="X47" s="266">
        <f>Calculations!X750</f>
        <v>0</v>
      </c>
      <c r="Y47" s="266" t="e">
        <f>Calculations!Y750</f>
        <v>#DIV/0!</v>
      </c>
      <c r="Z47" s="266" t="e">
        <f>Calculations!Z750</f>
        <v>#DIV/0!</v>
      </c>
      <c r="AA47" s="266" t="e">
        <f>Calculations!AA750</f>
        <v>#DIV/0!</v>
      </c>
    </row>
    <row r="48" spans="1:27">
      <c r="A48" s="3">
        <f>Calculations!A751</f>
        <v>44</v>
      </c>
      <c r="B48">
        <f>Calculations!B751</f>
        <v>0</v>
      </c>
      <c r="C48">
        <f>Calculations!C751</f>
        <v>0</v>
      </c>
      <c r="D48">
        <f>Calculations!D751</f>
        <v>0</v>
      </c>
      <c r="E48" s="265">
        <f>Calculations!E751</f>
        <v>0</v>
      </c>
      <c r="F48" s="265">
        <f>Calculations!F751</f>
        <v>0</v>
      </c>
      <c r="G48" s="265">
        <f>Calculations!G751</f>
        <v>0</v>
      </c>
      <c r="H48" s="197">
        <f>Calculations!H751</f>
        <v>0</v>
      </c>
      <c r="I48" s="197">
        <f>Calculations!I751</f>
        <v>0</v>
      </c>
      <c r="J48" s="137">
        <f>Calculations!J751</f>
        <v>0</v>
      </c>
      <c r="K48" s="66">
        <f>Calculations!K751</f>
        <v>0</v>
      </c>
      <c r="L48" s="66">
        <f>Calculations!L751</f>
        <v>0</v>
      </c>
      <c r="M48">
        <f>Calculations!M751</f>
        <v>0</v>
      </c>
      <c r="N48" s="66">
        <f>Calculations!N751</f>
        <v>0</v>
      </c>
      <c r="O48" s="66">
        <f>Calculations!O751</f>
        <v>0</v>
      </c>
      <c r="P48" s="66">
        <f>Calculations!P751</f>
        <v>0</v>
      </c>
      <c r="Q48" s="204">
        <f>Calculations!Q751</f>
        <v>0</v>
      </c>
      <c r="R48" s="66">
        <f>Calculations!R751</f>
        <v>0</v>
      </c>
      <c r="S48" s="65">
        <f>Calculations!S751</f>
        <v>0</v>
      </c>
      <c r="T48" s="65">
        <f>Calculations!T751</f>
        <v>0</v>
      </c>
      <c r="U48" s="204">
        <f>Calculations!U751</f>
        <v>0</v>
      </c>
      <c r="V48" s="65">
        <f>Calculations!V751</f>
        <v>0</v>
      </c>
      <c r="W48" s="266">
        <f>Calculations!W751</f>
        <v>0</v>
      </c>
      <c r="X48" s="266">
        <f>Calculations!X751</f>
        <v>0</v>
      </c>
      <c r="Y48" s="266" t="e">
        <f>Calculations!Y751</f>
        <v>#DIV/0!</v>
      </c>
      <c r="Z48" s="266" t="e">
        <f>Calculations!Z751</f>
        <v>#DIV/0!</v>
      </c>
      <c r="AA48" s="266" t="e">
        <f>Calculations!AA751</f>
        <v>#DIV/0!</v>
      </c>
    </row>
    <row r="49" spans="1:27">
      <c r="A49" s="3">
        <f>Calculations!A752</f>
        <v>45</v>
      </c>
      <c r="B49">
        <f>Calculations!B752</f>
        <v>0</v>
      </c>
      <c r="C49">
        <f>Calculations!C752</f>
        <v>0</v>
      </c>
      <c r="D49">
        <f>Calculations!D752</f>
        <v>0</v>
      </c>
      <c r="E49" s="265">
        <f>Calculations!E752</f>
        <v>0</v>
      </c>
      <c r="F49" s="265">
        <f>Calculations!F752</f>
        <v>0</v>
      </c>
      <c r="G49" s="265">
        <f>Calculations!G752</f>
        <v>0</v>
      </c>
      <c r="H49" s="197">
        <f>Calculations!H752</f>
        <v>0</v>
      </c>
      <c r="I49" s="197">
        <f>Calculations!I752</f>
        <v>0</v>
      </c>
      <c r="J49" s="137">
        <f>Calculations!J752</f>
        <v>0</v>
      </c>
      <c r="K49" s="66">
        <f>Calculations!K752</f>
        <v>0</v>
      </c>
      <c r="L49" s="66">
        <f>Calculations!L752</f>
        <v>0</v>
      </c>
      <c r="M49">
        <f>Calculations!M752</f>
        <v>0</v>
      </c>
      <c r="N49" s="66">
        <f>Calculations!N752</f>
        <v>0</v>
      </c>
      <c r="O49" s="66">
        <f>Calculations!O752</f>
        <v>0</v>
      </c>
      <c r="P49" s="66">
        <f>Calculations!P752</f>
        <v>0</v>
      </c>
      <c r="Q49" s="204">
        <f>Calculations!Q752</f>
        <v>0</v>
      </c>
      <c r="R49" s="66">
        <f>Calculations!R752</f>
        <v>0</v>
      </c>
      <c r="S49" s="65">
        <f>Calculations!S752</f>
        <v>0</v>
      </c>
      <c r="T49" s="65">
        <f>Calculations!T752</f>
        <v>0</v>
      </c>
      <c r="U49" s="204">
        <f>Calculations!U752</f>
        <v>0</v>
      </c>
      <c r="V49" s="65">
        <f>Calculations!V752</f>
        <v>0</v>
      </c>
      <c r="W49" s="266">
        <f>Calculations!W752</f>
        <v>0</v>
      </c>
      <c r="X49" s="266">
        <f>Calculations!X752</f>
        <v>0</v>
      </c>
      <c r="Y49" s="266" t="e">
        <f>Calculations!Y752</f>
        <v>#DIV/0!</v>
      </c>
      <c r="Z49" s="266" t="e">
        <f>Calculations!Z752</f>
        <v>#DIV/0!</v>
      </c>
      <c r="AA49" s="266" t="e">
        <f>Calculations!AA752</f>
        <v>#DIV/0!</v>
      </c>
    </row>
    <row r="50" spans="1:27">
      <c r="A50" s="3">
        <f>Calculations!A753</f>
        <v>46</v>
      </c>
      <c r="B50">
        <f>Calculations!B753</f>
        <v>0</v>
      </c>
      <c r="C50">
        <f>Calculations!C753</f>
        <v>0</v>
      </c>
      <c r="D50">
        <f>Calculations!D753</f>
        <v>0</v>
      </c>
      <c r="E50" s="265">
        <f>Calculations!E753</f>
        <v>0</v>
      </c>
      <c r="F50" s="265">
        <f>Calculations!F753</f>
        <v>0</v>
      </c>
      <c r="G50" s="265">
        <f>Calculations!G753</f>
        <v>0</v>
      </c>
      <c r="H50" s="197">
        <f>Calculations!H753</f>
        <v>0</v>
      </c>
      <c r="I50" s="197">
        <f>Calculations!I753</f>
        <v>0</v>
      </c>
      <c r="J50" s="137">
        <f>Calculations!J753</f>
        <v>0</v>
      </c>
      <c r="K50" s="66">
        <f>Calculations!K753</f>
        <v>0</v>
      </c>
      <c r="L50" s="66">
        <f>Calculations!L753</f>
        <v>0</v>
      </c>
      <c r="M50">
        <f>Calculations!M753</f>
        <v>0</v>
      </c>
      <c r="N50" s="66">
        <f>Calculations!N753</f>
        <v>0</v>
      </c>
      <c r="O50" s="66">
        <f>Calculations!O753</f>
        <v>0</v>
      </c>
      <c r="P50" s="66">
        <f>Calculations!P753</f>
        <v>0</v>
      </c>
      <c r="Q50" s="204">
        <f>Calculations!Q753</f>
        <v>0</v>
      </c>
      <c r="R50" s="66">
        <f>Calculations!R753</f>
        <v>0</v>
      </c>
      <c r="S50" s="65">
        <f>Calculations!S753</f>
        <v>0</v>
      </c>
      <c r="T50" s="65">
        <f>Calculations!T753</f>
        <v>0</v>
      </c>
      <c r="U50" s="204">
        <f>Calculations!U753</f>
        <v>0</v>
      </c>
      <c r="V50" s="65">
        <f>Calculations!V753</f>
        <v>0</v>
      </c>
      <c r="W50" s="266">
        <f>Calculations!W753</f>
        <v>0</v>
      </c>
      <c r="X50" s="266">
        <f>Calculations!X753</f>
        <v>0</v>
      </c>
      <c r="Y50" s="266" t="e">
        <f>Calculations!Y753</f>
        <v>#DIV/0!</v>
      </c>
      <c r="Z50" s="266" t="e">
        <f>Calculations!Z753</f>
        <v>#DIV/0!</v>
      </c>
      <c r="AA50" s="266" t="e">
        <f>Calculations!AA753</f>
        <v>#DIV/0!</v>
      </c>
    </row>
    <row r="51" spans="1:27">
      <c r="A51" s="3">
        <f>Calculations!A754</f>
        <v>47</v>
      </c>
      <c r="B51">
        <f>Calculations!B754</f>
        <v>0</v>
      </c>
      <c r="C51">
        <f>Calculations!C754</f>
        <v>0</v>
      </c>
      <c r="D51">
        <f>Calculations!D754</f>
        <v>0</v>
      </c>
      <c r="E51" s="265">
        <f>Calculations!E754</f>
        <v>0</v>
      </c>
      <c r="F51" s="265">
        <f>Calculations!F754</f>
        <v>0</v>
      </c>
      <c r="G51" s="265">
        <f>Calculations!G754</f>
        <v>0</v>
      </c>
      <c r="H51" s="197">
        <f>Calculations!H754</f>
        <v>0</v>
      </c>
      <c r="I51" s="197">
        <f>Calculations!I754</f>
        <v>0</v>
      </c>
      <c r="J51" s="137">
        <f>Calculations!J754</f>
        <v>0</v>
      </c>
      <c r="K51" s="66">
        <f>Calculations!K754</f>
        <v>0</v>
      </c>
      <c r="L51" s="66">
        <f>Calculations!L754</f>
        <v>0</v>
      </c>
      <c r="M51">
        <f>Calculations!M754</f>
        <v>0</v>
      </c>
      <c r="N51" s="66">
        <f>Calculations!N754</f>
        <v>0</v>
      </c>
      <c r="O51" s="66">
        <f>Calculations!O754</f>
        <v>0</v>
      </c>
      <c r="P51" s="66">
        <f>Calculations!P754</f>
        <v>0</v>
      </c>
      <c r="Q51" s="204">
        <f>Calculations!Q754</f>
        <v>0</v>
      </c>
      <c r="R51" s="66">
        <f>Calculations!R754</f>
        <v>0</v>
      </c>
      <c r="S51" s="65">
        <f>Calculations!S754</f>
        <v>0</v>
      </c>
      <c r="T51" s="65">
        <f>Calculations!T754</f>
        <v>0</v>
      </c>
      <c r="U51" s="204">
        <f>Calculations!U754</f>
        <v>0</v>
      </c>
      <c r="V51" s="65">
        <f>Calculations!V754</f>
        <v>0</v>
      </c>
      <c r="W51" s="266">
        <f>Calculations!W754</f>
        <v>0</v>
      </c>
      <c r="X51" s="266">
        <f>Calculations!X754</f>
        <v>0</v>
      </c>
      <c r="Y51" s="266" t="e">
        <f>Calculations!Y754</f>
        <v>#DIV/0!</v>
      </c>
      <c r="Z51" s="266" t="e">
        <f>Calculations!Z754</f>
        <v>#DIV/0!</v>
      </c>
      <c r="AA51" s="266" t="e">
        <f>Calculations!AA754</f>
        <v>#DIV/0!</v>
      </c>
    </row>
    <row r="52" spans="1:27">
      <c r="A52" s="3">
        <f>Calculations!A755</f>
        <v>48</v>
      </c>
      <c r="B52">
        <f>Calculations!B755</f>
        <v>0</v>
      </c>
      <c r="C52">
        <f>Calculations!C755</f>
        <v>0</v>
      </c>
      <c r="D52">
        <f>Calculations!D755</f>
        <v>0</v>
      </c>
      <c r="E52" s="265">
        <f>Calculations!E755</f>
        <v>0</v>
      </c>
      <c r="F52" s="265">
        <f>Calculations!F755</f>
        <v>0</v>
      </c>
      <c r="G52" s="265">
        <f>Calculations!G755</f>
        <v>0</v>
      </c>
      <c r="H52" s="197">
        <f>Calculations!H755</f>
        <v>0</v>
      </c>
      <c r="I52" s="197">
        <f>Calculations!I755</f>
        <v>0</v>
      </c>
      <c r="J52" s="137">
        <f>Calculations!J755</f>
        <v>0</v>
      </c>
      <c r="K52" s="66">
        <f>Calculations!K755</f>
        <v>0</v>
      </c>
      <c r="L52" s="66">
        <f>Calculations!L755</f>
        <v>0</v>
      </c>
      <c r="M52">
        <f>Calculations!M755</f>
        <v>0</v>
      </c>
      <c r="N52" s="66">
        <f>Calculations!N755</f>
        <v>0</v>
      </c>
      <c r="O52" s="66">
        <f>Calculations!O755</f>
        <v>0</v>
      </c>
      <c r="P52" s="66">
        <f>Calculations!P755</f>
        <v>0</v>
      </c>
      <c r="Q52" s="204">
        <f>Calculations!Q755</f>
        <v>0</v>
      </c>
      <c r="R52" s="66">
        <f>Calculations!R755</f>
        <v>0</v>
      </c>
      <c r="S52" s="65">
        <f>Calculations!S755</f>
        <v>0</v>
      </c>
      <c r="T52" s="65">
        <f>Calculations!T755</f>
        <v>0</v>
      </c>
      <c r="U52" s="204">
        <f>Calculations!U755</f>
        <v>0</v>
      </c>
      <c r="V52" s="65">
        <f>Calculations!V755</f>
        <v>0</v>
      </c>
      <c r="W52" s="266">
        <f>Calculations!W755</f>
        <v>0</v>
      </c>
      <c r="X52" s="266">
        <f>Calculations!X755</f>
        <v>0</v>
      </c>
      <c r="Y52" s="266" t="e">
        <f>Calculations!Y755</f>
        <v>#DIV/0!</v>
      </c>
      <c r="Z52" s="266" t="e">
        <f>Calculations!Z755</f>
        <v>#DIV/0!</v>
      </c>
      <c r="AA52" s="266" t="e">
        <f>Calculations!AA755</f>
        <v>#DIV/0!</v>
      </c>
    </row>
    <row r="53" spans="1:27">
      <c r="A53" s="3">
        <f>Calculations!A756</f>
        <v>49</v>
      </c>
      <c r="B53">
        <f>Calculations!B756</f>
        <v>0</v>
      </c>
      <c r="C53">
        <f>Calculations!C756</f>
        <v>0</v>
      </c>
      <c r="D53">
        <f>Calculations!D756</f>
        <v>0</v>
      </c>
      <c r="E53" s="265">
        <f>Calculations!E756</f>
        <v>0</v>
      </c>
      <c r="F53" s="265">
        <f>Calculations!F756</f>
        <v>0</v>
      </c>
      <c r="G53" s="265">
        <f>Calculations!G756</f>
        <v>0</v>
      </c>
      <c r="H53" s="197">
        <f>Calculations!H756</f>
        <v>0</v>
      </c>
      <c r="I53" s="197">
        <f>Calculations!I756</f>
        <v>0</v>
      </c>
      <c r="J53" s="137">
        <f>Calculations!J756</f>
        <v>0</v>
      </c>
      <c r="K53" s="66">
        <f>Calculations!K756</f>
        <v>0</v>
      </c>
      <c r="L53" s="66">
        <f>Calculations!L756</f>
        <v>0</v>
      </c>
      <c r="M53">
        <f>Calculations!M756</f>
        <v>0</v>
      </c>
      <c r="N53" s="66">
        <f>Calculations!N756</f>
        <v>0</v>
      </c>
      <c r="O53" s="66">
        <f>Calculations!O756</f>
        <v>0</v>
      </c>
      <c r="P53" s="66">
        <f>Calculations!P756</f>
        <v>0</v>
      </c>
      <c r="Q53" s="204">
        <f>Calculations!Q756</f>
        <v>0</v>
      </c>
      <c r="R53" s="66">
        <f>Calculations!R756</f>
        <v>0</v>
      </c>
      <c r="S53" s="65">
        <f>Calculations!S756</f>
        <v>0</v>
      </c>
      <c r="T53" s="65">
        <f>Calculations!T756</f>
        <v>0</v>
      </c>
      <c r="U53" s="204">
        <f>Calculations!U756</f>
        <v>0</v>
      </c>
      <c r="V53" s="65">
        <f>Calculations!V756</f>
        <v>0</v>
      </c>
      <c r="W53" s="266">
        <f>Calculations!W756</f>
        <v>0</v>
      </c>
      <c r="X53" s="266">
        <f>Calculations!X756</f>
        <v>0</v>
      </c>
      <c r="Y53" s="266" t="e">
        <f>Calculations!Y756</f>
        <v>#DIV/0!</v>
      </c>
      <c r="Z53" s="266" t="e">
        <f>Calculations!Z756</f>
        <v>#DIV/0!</v>
      </c>
      <c r="AA53" s="266" t="e">
        <f>Calculations!AA756</f>
        <v>#DIV/0!</v>
      </c>
    </row>
    <row r="54" spans="1:27">
      <c r="A54" s="3">
        <f>Calculations!A757</f>
        <v>50</v>
      </c>
      <c r="B54">
        <f>Calculations!B757</f>
        <v>0</v>
      </c>
      <c r="C54">
        <f>Calculations!C757</f>
        <v>0</v>
      </c>
      <c r="D54">
        <f>Calculations!D757</f>
        <v>0</v>
      </c>
      <c r="E54" s="265">
        <f>Calculations!E757</f>
        <v>0</v>
      </c>
      <c r="F54" s="265">
        <f>Calculations!F757</f>
        <v>0</v>
      </c>
      <c r="G54" s="265">
        <f>Calculations!G757</f>
        <v>0</v>
      </c>
      <c r="H54" s="197">
        <f>Calculations!H757</f>
        <v>0</v>
      </c>
      <c r="I54" s="197">
        <f>Calculations!I757</f>
        <v>0</v>
      </c>
      <c r="J54" s="137">
        <f>Calculations!J757</f>
        <v>0</v>
      </c>
      <c r="K54" s="66">
        <f>Calculations!K757</f>
        <v>0</v>
      </c>
      <c r="L54" s="66">
        <f>Calculations!L757</f>
        <v>0</v>
      </c>
      <c r="M54">
        <f>Calculations!M757</f>
        <v>0</v>
      </c>
      <c r="N54" s="66">
        <f>Calculations!N757</f>
        <v>0</v>
      </c>
      <c r="O54" s="66">
        <f>Calculations!O757</f>
        <v>0</v>
      </c>
      <c r="P54" s="66">
        <f>Calculations!P757</f>
        <v>0</v>
      </c>
      <c r="Q54" s="204">
        <f>Calculations!Q757</f>
        <v>0</v>
      </c>
      <c r="R54" s="66">
        <f>Calculations!R757</f>
        <v>0</v>
      </c>
      <c r="S54" s="65">
        <f>Calculations!S757</f>
        <v>0</v>
      </c>
      <c r="T54" s="65">
        <f>Calculations!T757</f>
        <v>0</v>
      </c>
      <c r="U54" s="204">
        <f>Calculations!U757</f>
        <v>0</v>
      </c>
      <c r="V54" s="65">
        <f>Calculations!V757</f>
        <v>0</v>
      </c>
      <c r="W54" s="266">
        <f>Calculations!W757</f>
        <v>0</v>
      </c>
      <c r="X54" s="266">
        <f>Calculations!X757</f>
        <v>0</v>
      </c>
      <c r="Y54" s="266" t="e">
        <f>Calculations!Y757</f>
        <v>#DIV/0!</v>
      </c>
      <c r="Z54" s="266" t="e">
        <f>Calculations!Z757</f>
        <v>#DIV/0!</v>
      </c>
      <c r="AA54" s="266" t="e">
        <f>Calculations!AA757</f>
        <v>#DIV/0!</v>
      </c>
    </row>
    <row r="55" spans="1:27">
      <c r="A55" s="3">
        <f>Calculations!A758</f>
        <v>51</v>
      </c>
      <c r="B55">
        <f>Calculations!B758</f>
        <v>0</v>
      </c>
      <c r="C55">
        <f>Calculations!C758</f>
        <v>0</v>
      </c>
      <c r="D55">
        <f>Calculations!D758</f>
        <v>0</v>
      </c>
      <c r="E55" s="265">
        <f>Calculations!E758</f>
        <v>0</v>
      </c>
      <c r="F55" s="265">
        <f>Calculations!F758</f>
        <v>0</v>
      </c>
      <c r="G55" s="265">
        <f>Calculations!G758</f>
        <v>0</v>
      </c>
      <c r="H55" s="197">
        <f>Calculations!H758</f>
        <v>0</v>
      </c>
      <c r="I55" s="197">
        <f>Calculations!I758</f>
        <v>0</v>
      </c>
      <c r="J55" s="137">
        <f>Calculations!J758</f>
        <v>0</v>
      </c>
      <c r="K55" s="66">
        <f>Calculations!K758</f>
        <v>0</v>
      </c>
      <c r="L55" s="66">
        <f>Calculations!L758</f>
        <v>0</v>
      </c>
      <c r="M55">
        <f>Calculations!M758</f>
        <v>0</v>
      </c>
      <c r="N55" s="66">
        <f>Calculations!N758</f>
        <v>0</v>
      </c>
      <c r="O55" s="66">
        <f>Calculations!O758</f>
        <v>0</v>
      </c>
      <c r="P55" s="66">
        <f>Calculations!P758</f>
        <v>0</v>
      </c>
      <c r="Q55" s="204">
        <f>Calculations!Q758</f>
        <v>0</v>
      </c>
      <c r="R55" s="66">
        <f>Calculations!R758</f>
        <v>0</v>
      </c>
      <c r="S55" s="65">
        <f>Calculations!S758</f>
        <v>0</v>
      </c>
      <c r="T55" s="65">
        <f>Calculations!T758</f>
        <v>0</v>
      </c>
      <c r="U55" s="204">
        <f>Calculations!U758</f>
        <v>0</v>
      </c>
      <c r="V55" s="65">
        <f>Calculations!V758</f>
        <v>0</v>
      </c>
      <c r="W55" s="266">
        <f>Calculations!W758</f>
        <v>0</v>
      </c>
      <c r="X55" s="266">
        <f>Calculations!X758</f>
        <v>0</v>
      </c>
      <c r="Y55" s="266" t="e">
        <f>Calculations!Y758</f>
        <v>#DIV/0!</v>
      </c>
      <c r="Z55" s="266" t="e">
        <f>Calculations!Z758</f>
        <v>#DIV/0!</v>
      </c>
      <c r="AA55" s="266" t="e">
        <f>Calculations!AA758</f>
        <v>#DIV/0!</v>
      </c>
    </row>
    <row r="56" spans="1:27">
      <c r="A56" s="3">
        <f>Calculations!A759</f>
        <v>52</v>
      </c>
      <c r="B56">
        <f>Calculations!B759</f>
        <v>0</v>
      </c>
      <c r="C56">
        <f>Calculations!C759</f>
        <v>0</v>
      </c>
      <c r="D56">
        <f>Calculations!D759</f>
        <v>0</v>
      </c>
      <c r="E56" s="265">
        <f>Calculations!E759</f>
        <v>0</v>
      </c>
      <c r="F56" s="265">
        <f>Calculations!F759</f>
        <v>0</v>
      </c>
      <c r="G56" s="265">
        <f>Calculations!G759</f>
        <v>0</v>
      </c>
      <c r="H56" s="197">
        <f>Calculations!H759</f>
        <v>0</v>
      </c>
      <c r="I56" s="197">
        <f>Calculations!I759</f>
        <v>0</v>
      </c>
      <c r="J56" s="137">
        <f>Calculations!J759</f>
        <v>0</v>
      </c>
      <c r="K56" s="66">
        <f>Calculations!K759</f>
        <v>0</v>
      </c>
      <c r="L56" s="66">
        <f>Calculations!L759</f>
        <v>0</v>
      </c>
      <c r="M56">
        <f>Calculations!M759</f>
        <v>0</v>
      </c>
      <c r="N56" s="66">
        <f>Calculations!N759</f>
        <v>0</v>
      </c>
      <c r="O56" s="66">
        <f>Calculations!O759</f>
        <v>0</v>
      </c>
      <c r="P56" s="66">
        <f>Calculations!P759</f>
        <v>0</v>
      </c>
      <c r="Q56" s="204">
        <f>Calculations!Q759</f>
        <v>0</v>
      </c>
      <c r="R56" s="66">
        <f>Calculations!R759</f>
        <v>0</v>
      </c>
      <c r="S56" s="65">
        <f>Calculations!S759</f>
        <v>0</v>
      </c>
      <c r="T56" s="65">
        <f>Calculations!T759</f>
        <v>0</v>
      </c>
      <c r="U56" s="204">
        <f>Calculations!U759</f>
        <v>0</v>
      </c>
      <c r="V56" s="65">
        <f>Calculations!V759</f>
        <v>0</v>
      </c>
      <c r="W56" s="266">
        <f>Calculations!W759</f>
        <v>0</v>
      </c>
      <c r="X56" s="266">
        <f>Calculations!X759</f>
        <v>0</v>
      </c>
      <c r="Y56" s="266" t="e">
        <f>Calculations!Y759</f>
        <v>#DIV/0!</v>
      </c>
      <c r="Z56" s="266" t="e">
        <f>Calculations!Z759</f>
        <v>#DIV/0!</v>
      </c>
      <c r="AA56" s="266" t="e">
        <f>Calculations!AA759</f>
        <v>#DIV/0!</v>
      </c>
    </row>
    <row r="57" spans="1:27">
      <c r="A57" s="3">
        <f>Calculations!A760</f>
        <v>53</v>
      </c>
      <c r="B57">
        <f>Calculations!B760</f>
        <v>0</v>
      </c>
      <c r="C57">
        <f>Calculations!C760</f>
        <v>0</v>
      </c>
      <c r="D57">
        <f>Calculations!D760</f>
        <v>0</v>
      </c>
      <c r="E57" s="265">
        <f>Calculations!E760</f>
        <v>0</v>
      </c>
      <c r="F57" s="265">
        <f>Calculations!F760</f>
        <v>0</v>
      </c>
      <c r="G57" s="265">
        <f>Calculations!G760</f>
        <v>0</v>
      </c>
      <c r="H57" s="197">
        <f>Calculations!H760</f>
        <v>0</v>
      </c>
      <c r="I57" s="197">
        <f>Calculations!I760</f>
        <v>0</v>
      </c>
      <c r="J57" s="137">
        <f>Calculations!J760</f>
        <v>0</v>
      </c>
      <c r="K57" s="66">
        <f>Calculations!K760</f>
        <v>0</v>
      </c>
      <c r="L57" s="66">
        <f>Calculations!L760</f>
        <v>0</v>
      </c>
      <c r="M57">
        <f>Calculations!M760</f>
        <v>0</v>
      </c>
      <c r="N57" s="66">
        <f>Calculations!N760</f>
        <v>0</v>
      </c>
      <c r="O57" s="66">
        <f>Calculations!O760</f>
        <v>0</v>
      </c>
      <c r="P57" s="66">
        <f>Calculations!P760</f>
        <v>0</v>
      </c>
      <c r="Q57" s="204">
        <f>Calculations!Q760</f>
        <v>0</v>
      </c>
      <c r="R57" s="66">
        <f>Calculations!R760</f>
        <v>0</v>
      </c>
      <c r="S57" s="65">
        <f>Calculations!S760</f>
        <v>0</v>
      </c>
      <c r="T57" s="65">
        <f>Calculations!T760</f>
        <v>0</v>
      </c>
      <c r="U57" s="204">
        <f>Calculations!U760</f>
        <v>0</v>
      </c>
      <c r="V57" s="65">
        <f>Calculations!V760</f>
        <v>0</v>
      </c>
      <c r="W57" s="266">
        <f>Calculations!W760</f>
        <v>0</v>
      </c>
      <c r="X57" s="266">
        <f>Calculations!X760</f>
        <v>0</v>
      </c>
      <c r="Y57" s="266" t="e">
        <f>Calculations!Y760</f>
        <v>#DIV/0!</v>
      </c>
      <c r="Z57" s="266" t="e">
        <f>Calculations!Z760</f>
        <v>#DIV/0!</v>
      </c>
      <c r="AA57" s="266" t="e">
        <f>Calculations!AA760</f>
        <v>#DIV/0!</v>
      </c>
    </row>
    <row r="58" spans="1:27">
      <c r="A58" s="3">
        <f>Calculations!A761</f>
        <v>54</v>
      </c>
      <c r="B58">
        <f>Calculations!B761</f>
        <v>0</v>
      </c>
      <c r="C58">
        <f>Calculations!C761</f>
        <v>0</v>
      </c>
      <c r="D58">
        <f>Calculations!D761</f>
        <v>0</v>
      </c>
      <c r="E58" s="265">
        <f>Calculations!E761</f>
        <v>0</v>
      </c>
      <c r="F58" s="265">
        <f>Calculations!F761</f>
        <v>0</v>
      </c>
      <c r="G58" s="265">
        <f>Calculations!G761</f>
        <v>0</v>
      </c>
      <c r="H58" s="197">
        <f>Calculations!H761</f>
        <v>0</v>
      </c>
      <c r="I58" s="197">
        <f>Calculations!I761</f>
        <v>0</v>
      </c>
      <c r="J58" s="137">
        <f>Calculations!J761</f>
        <v>0</v>
      </c>
      <c r="K58" s="66">
        <f>Calculations!K761</f>
        <v>0</v>
      </c>
      <c r="L58" s="66">
        <f>Calculations!L761</f>
        <v>0</v>
      </c>
      <c r="M58">
        <f>Calculations!M761</f>
        <v>0</v>
      </c>
      <c r="N58" s="66">
        <f>Calculations!N761</f>
        <v>0</v>
      </c>
      <c r="O58" s="66">
        <f>Calculations!O761</f>
        <v>0</v>
      </c>
      <c r="P58" s="66">
        <f>Calculations!P761</f>
        <v>0</v>
      </c>
      <c r="Q58" s="204">
        <f>Calculations!Q761</f>
        <v>0</v>
      </c>
      <c r="R58" s="66">
        <f>Calculations!R761</f>
        <v>0</v>
      </c>
      <c r="S58" s="65">
        <f>Calculations!S761</f>
        <v>0</v>
      </c>
      <c r="T58" s="65">
        <f>Calculations!T761</f>
        <v>0</v>
      </c>
      <c r="U58" s="204">
        <f>Calculations!U761</f>
        <v>0</v>
      </c>
      <c r="V58" s="65">
        <f>Calculations!V761</f>
        <v>0</v>
      </c>
      <c r="W58" s="266">
        <f>Calculations!W761</f>
        <v>0</v>
      </c>
      <c r="X58" s="266">
        <f>Calculations!X761</f>
        <v>0</v>
      </c>
      <c r="Y58" s="266" t="e">
        <f>Calculations!Y761</f>
        <v>#DIV/0!</v>
      </c>
      <c r="Z58" s="266" t="e">
        <f>Calculations!Z761</f>
        <v>#DIV/0!</v>
      </c>
      <c r="AA58" s="266" t="e">
        <f>Calculations!AA761</f>
        <v>#DIV/0!</v>
      </c>
    </row>
    <row r="59" spans="1:27">
      <c r="A59" s="3">
        <f>Calculations!A762</f>
        <v>55</v>
      </c>
      <c r="B59">
        <f>Calculations!B762</f>
        <v>0</v>
      </c>
      <c r="C59">
        <f>Calculations!C762</f>
        <v>0</v>
      </c>
      <c r="D59">
        <f>Calculations!D762</f>
        <v>0</v>
      </c>
      <c r="E59" s="265">
        <f>Calculations!E762</f>
        <v>0</v>
      </c>
      <c r="F59" s="265">
        <f>Calculations!F762</f>
        <v>0</v>
      </c>
      <c r="G59" s="265">
        <f>Calculations!G762</f>
        <v>0</v>
      </c>
      <c r="H59" s="197">
        <f>Calculations!H762</f>
        <v>0</v>
      </c>
      <c r="I59" s="197">
        <f>Calculations!I762</f>
        <v>0</v>
      </c>
      <c r="J59" s="137">
        <f>Calculations!J762</f>
        <v>0</v>
      </c>
      <c r="K59" s="66">
        <f>Calculations!K762</f>
        <v>0</v>
      </c>
      <c r="L59" s="66">
        <f>Calculations!L762</f>
        <v>0</v>
      </c>
      <c r="M59">
        <f>Calculations!M762</f>
        <v>0</v>
      </c>
      <c r="N59" s="66">
        <f>Calculations!N762</f>
        <v>0</v>
      </c>
      <c r="O59" s="66">
        <f>Calculations!O762</f>
        <v>0</v>
      </c>
      <c r="P59" s="66">
        <f>Calculations!P762</f>
        <v>0</v>
      </c>
      <c r="Q59" s="204">
        <f>Calculations!Q762</f>
        <v>0</v>
      </c>
      <c r="R59" s="66">
        <f>Calculations!R762</f>
        <v>0</v>
      </c>
      <c r="S59" s="65">
        <f>Calculations!S762</f>
        <v>0</v>
      </c>
      <c r="T59" s="65">
        <f>Calculations!T762</f>
        <v>0</v>
      </c>
      <c r="U59" s="204">
        <f>Calculations!U762</f>
        <v>0</v>
      </c>
      <c r="V59" s="65">
        <f>Calculations!V762</f>
        <v>0</v>
      </c>
      <c r="W59" s="266">
        <f>Calculations!W762</f>
        <v>0</v>
      </c>
      <c r="X59" s="266">
        <f>Calculations!X762</f>
        <v>0</v>
      </c>
      <c r="Y59" s="266" t="e">
        <f>Calculations!Y762</f>
        <v>#DIV/0!</v>
      </c>
      <c r="Z59" s="266" t="e">
        <f>Calculations!Z762</f>
        <v>#DIV/0!</v>
      </c>
      <c r="AA59" s="266" t="e">
        <f>Calculations!AA762</f>
        <v>#DIV/0!</v>
      </c>
    </row>
    <row r="60" spans="1:27">
      <c r="A60" s="3">
        <f>Calculations!A763</f>
        <v>56</v>
      </c>
      <c r="B60">
        <f>Calculations!B763</f>
        <v>0</v>
      </c>
      <c r="C60">
        <f>Calculations!C763</f>
        <v>0</v>
      </c>
      <c r="D60">
        <f>Calculations!D763</f>
        <v>0</v>
      </c>
      <c r="E60" s="265">
        <f>Calculations!E763</f>
        <v>0</v>
      </c>
      <c r="F60" s="265">
        <f>Calculations!F763</f>
        <v>0</v>
      </c>
      <c r="G60" s="265">
        <f>Calculations!G763</f>
        <v>0</v>
      </c>
      <c r="H60" s="197">
        <f>Calculations!H763</f>
        <v>0</v>
      </c>
      <c r="I60" s="197">
        <f>Calculations!I763</f>
        <v>0</v>
      </c>
      <c r="J60" s="137">
        <f>Calculations!J763</f>
        <v>0</v>
      </c>
      <c r="K60" s="66">
        <f>Calculations!K763</f>
        <v>0</v>
      </c>
      <c r="L60" s="66">
        <f>Calculations!L763</f>
        <v>0</v>
      </c>
      <c r="M60">
        <f>Calculations!M763</f>
        <v>0</v>
      </c>
      <c r="N60" s="66">
        <f>Calculations!N763</f>
        <v>0</v>
      </c>
      <c r="O60" s="66">
        <f>Calculations!O763</f>
        <v>0</v>
      </c>
      <c r="P60" s="66">
        <f>Calculations!P763</f>
        <v>0</v>
      </c>
      <c r="Q60" s="204">
        <f>Calculations!Q763</f>
        <v>0</v>
      </c>
      <c r="R60" s="66">
        <f>Calculations!R763</f>
        <v>0</v>
      </c>
      <c r="S60" s="65">
        <f>Calculations!S763</f>
        <v>0</v>
      </c>
      <c r="T60" s="65">
        <f>Calculations!T763</f>
        <v>0</v>
      </c>
      <c r="U60" s="204">
        <f>Calculations!U763</f>
        <v>0</v>
      </c>
      <c r="V60" s="65">
        <f>Calculations!V763</f>
        <v>0</v>
      </c>
      <c r="W60" s="266">
        <f>Calculations!W763</f>
        <v>0</v>
      </c>
      <c r="X60" s="266">
        <f>Calculations!X763</f>
        <v>0</v>
      </c>
      <c r="Y60" s="266" t="e">
        <f>Calculations!Y763</f>
        <v>#DIV/0!</v>
      </c>
      <c r="Z60" s="266" t="e">
        <f>Calculations!Z763</f>
        <v>#DIV/0!</v>
      </c>
      <c r="AA60" s="266" t="e">
        <f>Calculations!AA763</f>
        <v>#DIV/0!</v>
      </c>
    </row>
    <row r="61" spans="1:27">
      <c r="A61" s="3">
        <f>Calculations!A764</f>
        <v>57</v>
      </c>
      <c r="B61">
        <f>Calculations!B764</f>
        <v>0</v>
      </c>
      <c r="C61">
        <f>Calculations!C764</f>
        <v>0</v>
      </c>
      <c r="D61">
        <f>Calculations!D764</f>
        <v>0</v>
      </c>
      <c r="E61" s="265">
        <f>Calculations!E764</f>
        <v>0</v>
      </c>
      <c r="F61" s="265">
        <f>Calculations!F764</f>
        <v>0</v>
      </c>
      <c r="G61" s="265">
        <f>Calculations!G764</f>
        <v>0</v>
      </c>
      <c r="H61" s="197">
        <f>Calculations!H764</f>
        <v>0</v>
      </c>
      <c r="I61" s="197">
        <f>Calculations!I764</f>
        <v>0</v>
      </c>
      <c r="J61" s="137">
        <f>Calculations!J764</f>
        <v>0</v>
      </c>
      <c r="K61" s="66">
        <f>Calculations!K764</f>
        <v>0</v>
      </c>
      <c r="L61" s="66">
        <f>Calculations!L764</f>
        <v>0</v>
      </c>
      <c r="M61">
        <f>Calculations!M764</f>
        <v>0</v>
      </c>
      <c r="N61" s="66">
        <f>Calculations!N764</f>
        <v>0</v>
      </c>
      <c r="O61" s="66">
        <f>Calculations!O764</f>
        <v>0</v>
      </c>
      <c r="P61" s="66">
        <f>Calculations!P764</f>
        <v>0</v>
      </c>
      <c r="Q61" s="204">
        <f>Calculations!Q764</f>
        <v>0</v>
      </c>
      <c r="R61" s="66">
        <f>Calculations!R764</f>
        <v>0</v>
      </c>
      <c r="S61" s="65">
        <f>Calculations!S764</f>
        <v>0</v>
      </c>
      <c r="T61" s="65">
        <f>Calculations!T764</f>
        <v>0</v>
      </c>
      <c r="U61" s="204">
        <f>Calculations!U764</f>
        <v>0</v>
      </c>
      <c r="V61" s="65">
        <f>Calculations!V764</f>
        <v>0</v>
      </c>
      <c r="W61" s="266">
        <f>Calculations!W764</f>
        <v>0</v>
      </c>
      <c r="X61" s="266">
        <f>Calculations!X764</f>
        <v>0</v>
      </c>
      <c r="Y61" s="266" t="e">
        <f>Calculations!Y764</f>
        <v>#DIV/0!</v>
      </c>
      <c r="Z61" s="266" t="e">
        <f>Calculations!Z764</f>
        <v>#DIV/0!</v>
      </c>
      <c r="AA61" s="266" t="e">
        <f>Calculations!AA764</f>
        <v>#DIV/0!</v>
      </c>
    </row>
    <row r="62" spans="1:27">
      <c r="A62" s="3">
        <f>Calculations!A765</f>
        <v>58</v>
      </c>
      <c r="B62">
        <f>Calculations!B765</f>
        <v>0</v>
      </c>
      <c r="C62">
        <f>Calculations!C765</f>
        <v>0</v>
      </c>
      <c r="D62">
        <f>Calculations!D765</f>
        <v>0</v>
      </c>
      <c r="E62" s="265">
        <f>Calculations!E765</f>
        <v>0</v>
      </c>
      <c r="F62" s="265">
        <f>Calculations!F765</f>
        <v>0</v>
      </c>
      <c r="G62" s="265">
        <f>Calculations!G765</f>
        <v>0</v>
      </c>
      <c r="H62" s="197">
        <f>Calculations!H765</f>
        <v>0</v>
      </c>
      <c r="I62" s="197">
        <f>Calculations!I765</f>
        <v>0</v>
      </c>
      <c r="J62" s="137">
        <f>Calculations!J765</f>
        <v>0</v>
      </c>
      <c r="K62" s="66">
        <f>Calculations!K765</f>
        <v>0</v>
      </c>
      <c r="L62" s="66">
        <f>Calculations!L765</f>
        <v>0</v>
      </c>
      <c r="M62">
        <f>Calculations!M765</f>
        <v>0</v>
      </c>
      <c r="N62" s="66">
        <f>Calculations!N765</f>
        <v>0</v>
      </c>
      <c r="O62" s="66">
        <f>Calculations!O765</f>
        <v>0</v>
      </c>
      <c r="P62" s="66">
        <f>Calculations!P765</f>
        <v>0</v>
      </c>
      <c r="Q62" s="204">
        <f>Calculations!Q765</f>
        <v>0</v>
      </c>
      <c r="R62" s="66">
        <f>Calculations!R765</f>
        <v>0</v>
      </c>
      <c r="S62" s="65">
        <f>Calculations!S765</f>
        <v>0</v>
      </c>
      <c r="T62" s="65">
        <f>Calculations!T765</f>
        <v>0</v>
      </c>
      <c r="U62" s="204">
        <f>Calculations!U765</f>
        <v>0</v>
      </c>
      <c r="V62" s="65">
        <f>Calculations!V765</f>
        <v>0</v>
      </c>
      <c r="W62" s="266">
        <f>Calculations!W765</f>
        <v>0</v>
      </c>
      <c r="X62" s="266">
        <f>Calculations!X765</f>
        <v>0</v>
      </c>
      <c r="Y62" s="266" t="e">
        <f>Calculations!Y765</f>
        <v>#DIV/0!</v>
      </c>
      <c r="Z62" s="266" t="e">
        <f>Calculations!Z765</f>
        <v>#DIV/0!</v>
      </c>
      <c r="AA62" s="266" t="e">
        <f>Calculations!AA765</f>
        <v>#DIV/0!</v>
      </c>
    </row>
    <row r="63" spans="1:27">
      <c r="A63" s="3">
        <f>Calculations!A766</f>
        <v>59</v>
      </c>
      <c r="B63">
        <f>Calculations!B766</f>
        <v>0</v>
      </c>
      <c r="C63">
        <f>Calculations!C766</f>
        <v>0</v>
      </c>
      <c r="D63">
        <f>Calculations!D766</f>
        <v>0</v>
      </c>
      <c r="E63" s="265">
        <f>Calculations!E766</f>
        <v>0</v>
      </c>
      <c r="F63" s="265">
        <f>Calculations!F766</f>
        <v>0</v>
      </c>
      <c r="G63" s="265">
        <f>Calculations!G766</f>
        <v>0</v>
      </c>
      <c r="H63" s="197">
        <f>Calculations!H766</f>
        <v>0</v>
      </c>
      <c r="I63" s="197">
        <f>Calculations!I766</f>
        <v>0</v>
      </c>
      <c r="J63" s="137">
        <f>Calculations!J766</f>
        <v>0</v>
      </c>
      <c r="K63" s="66">
        <f>Calculations!K766</f>
        <v>0</v>
      </c>
      <c r="L63" s="66">
        <f>Calculations!L766</f>
        <v>0</v>
      </c>
      <c r="M63">
        <f>Calculations!M766</f>
        <v>0</v>
      </c>
      <c r="N63" s="66">
        <f>Calculations!N766</f>
        <v>0</v>
      </c>
      <c r="O63" s="66">
        <f>Calculations!O766</f>
        <v>0</v>
      </c>
      <c r="P63" s="66">
        <f>Calculations!P766</f>
        <v>0</v>
      </c>
      <c r="Q63" s="204">
        <f>Calculations!Q766</f>
        <v>0</v>
      </c>
      <c r="R63" s="66">
        <f>Calculations!R766</f>
        <v>0</v>
      </c>
      <c r="S63" s="65">
        <f>Calculations!S766</f>
        <v>0</v>
      </c>
      <c r="T63" s="65">
        <f>Calculations!T766</f>
        <v>0</v>
      </c>
      <c r="U63" s="204">
        <f>Calculations!U766</f>
        <v>0</v>
      </c>
      <c r="V63" s="65">
        <f>Calculations!V766</f>
        <v>0</v>
      </c>
      <c r="W63" s="266">
        <f>Calculations!W766</f>
        <v>0</v>
      </c>
      <c r="X63" s="266">
        <f>Calculations!X766</f>
        <v>0</v>
      </c>
      <c r="Y63" s="266" t="e">
        <f>Calculations!Y766</f>
        <v>#DIV/0!</v>
      </c>
      <c r="Z63" s="266" t="e">
        <f>Calculations!Z766</f>
        <v>#DIV/0!</v>
      </c>
      <c r="AA63" s="266" t="e">
        <f>Calculations!AA766</f>
        <v>#DIV/0!</v>
      </c>
    </row>
    <row r="64" spans="1:27">
      <c r="A64" s="3">
        <f>Calculations!A767</f>
        <v>60</v>
      </c>
      <c r="B64">
        <f>Calculations!B767</f>
        <v>0</v>
      </c>
      <c r="C64">
        <f>Calculations!C767</f>
        <v>0</v>
      </c>
      <c r="D64">
        <f>Calculations!D767</f>
        <v>0</v>
      </c>
      <c r="E64" s="265">
        <f>Calculations!E767</f>
        <v>0</v>
      </c>
      <c r="F64" s="265">
        <f>Calculations!F767</f>
        <v>0</v>
      </c>
      <c r="G64" s="265">
        <f>Calculations!G767</f>
        <v>0</v>
      </c>
      <c r="H64" s="197">
        <f>Calculations!H767</f>
        <v>0</v>
      </c>
      <c r="I64" s="197">
        <f>Calculations!I767</f>
        <v>0</v>
      </c>
      <c r="J64" s="137">
        <f>Calculations!J767</f>
        <v>0</v>
      </c>
      <c r="K64" s="66">
        <f>Calculations!K767</f>
        <v>0</v>
      </c>
      <c r="L64" s="66">
        <f>Calculations!L767</f>
        <v>0</v>
      </c>
      <c r="M64">
        <f>Calculations!M767</f>
        <v>0</v>
      </c>
      <c r="N64" s="66">
        <f>Calculations!N767</f>
        <v>0</v>
      </c>
      <c r="O64" s="66">
        <f>Calculations!O767</f>
        <v>0</v>
      </c>
      <c r="P64" s="66">
        <f>Calculations!P767</f>
        <v>0</v>
      </c>
      <c r="Q64" s="204">
        <f>Calculations!Q767</f>
        <v>0</v>
      </c>
      <c r="R64" s="66">
        <f>Calculations!R767</f>
        <v>0</v>
      </c>
      <c r="S64" s="65">
        <f>Calculations!S767</f>
        <v>0</v>
      </c>
      <c r="T64" s="65">
        <f>Calculations!T767</f>
        <v>0</v>
      </c>
      <c r="U64" s="204">
        <f>Calculations!U767</f>
        <v>0</v>
      </c>
      <c r="V64" s="65">
        <f>Calculations!V767</f>
        <v>0</v>
      </c>
      <c r="W64" s="266">
        <f>Calculations!W767</f>
        <v>0</v>
      </c>
      <c r="X64" s="266">
        <f>Calculations!X767</f>
        <v>0</v>
      </c>
      <c r="Y64" s="266" t="e">
        <f>Calculations!Y767</f>
        <v>#DIV/0!</v>
      </c>
      <c r="Z64" s="266" t="e">
        <f>Calculations!Z767</f>
        <v>#DIV/0!</v>
      </c>
      <c r="AA64" s="266" t="e">
        <f>Calculations!AA767</f>
        <v>#DIV/0!</v>
      </c>
    </row>
    <row r="65" spans="1:27">
      <c r="A65" s="3">
        <f>Calculations!A768</f>
        <v>61</v>
      </c>
      <c r="B65">
        <f>Calculations!B768</f>
        <v>0</v>
      </c>
      <c r="C65">
        <f>Calculations!C768</f>
        <v>0</v>
      </c>
      <c r="D65">
        <f>Calculations!D768</f>
        <v>0</v>
      </c>
      <c r="E65" s="265">
        <f>Calculations!E768</f>
        <v>0</v>
      </c>
      <c r="F65" s="265">
        <f>Calculations!F768</f>
        <v>0</v>
      </c>
      <c r="G65" s="265">
        <f>Calculations!G768</f>
        <v>0</v>
      </c>
      <c r="H65" s="197">
        <f>Calculations!H768</f>
        <v>0</v>
      </c>
      <c r="I65" s="197">
        <f>Calculations!I768</f>
        <v>0</v>
      </c>
      <c r="J65" s="137">
        <f>Calculations!J768</f>
        <v>0</v>
      </c>
      <c r="K65" s="66">
        <f>Calculations!K768</f>
        <v>0</v>
      </c>
      <c r="L65" s="66">
        <f>Calculations!L768</f>
        <v>0</v>
      </c>
      <c r="M65">
        <f>Calculations!M768</f>
        <v>0</v>
      </c>
      <c r="N65" s="66">
        <f>Calculations!N768</f>
        <v>0</v>
      </c>
      <c r="O65" s="66">
        <f>Calculations!O768</f>
        <v>0</v>
      </c>
      <c r="P65" s="66">
        <f>Calculations!P768</f>
        <v>0</v>
      </c>
      <c r="Q65" s="204">
        <f>Calculations!Q768</f>
        <v>0</v>
      </c>
      <c r="R65" s="66">
        <f>Calculations!R768</f>
        <v>0</v>
      </c>
      <c r="S65" s="65">
        <f>Calculations!S768</f>
        <v>0</v>
      </c>
      <c r="T65" s="65">
        <f>Calculations!T768</f>
        <v>0</v>
      </c>
      <c r="U65" s="204">
        <f>Calculations!U768</f>
        <v>0</v>
      </c>
      <c r="V65" s="65">
        <f>Calculations!V768</f>
        <v>0</v>
      </c>
      <c r="W65" s="266">
        <f>Calculations!W768</f>
        <v>0</v>
      </c>
      <c r="X65" s="266">
        <f>Calculations!X768</f>
        <v>0</v>
      </c>
      <c r="Y65" s="266" t="e">
        <f>Calculations!Y768</f>
        <v>#DIV/0!</v>
      </c>
      <c r="Z65" s="266" t="e">
        <f>Calculations!Z768</f>
        <v>#DIV/0!</v>
      </c>
      <c r="AA65" s="266" t="e">
        <f>Calculations!AA768</f>
        <v>#DIV/0!</v>
      </c>
    </row>
    <row r="66" spans="1:27">
      <c r="A66" s="3">
        <f>Calculations!A769</f>
        <v>62</v>
      </c>
      <c r="B66">
        <f>Calculations!B769</f>
        <v>0</v>
      </c>
      <c r="C66">
        <f>Calculations!C769</f>
        <v>0</v>
      </c>
      <c r="D66">
        <f>Calculations!D769</f>
        <v>0</v>
      </c>
      <c r="E66" s="265">
        <f>Calculations!E769</f>
        <v>0</v>
      </c>
      <c r="F66" s="265">
        <f>Calculations!F769</f>
        <v>0</v>
      </c>
      <c r="G66" s="265">
        <f>Calculations!G769</f>
        <v>0</v>
      </c>
      <c r="H66" s="197">
        <f>Calculations!H769</f>
        <v>0</v>
      </c>
      <c r="I66" s="197">
        <f>Calculations!I769</f>
        <v>0</v>
      </c>
      <c r="J66" s="137">
        <f>Calculations!J769</f>
        <v>0</v>
      </c>
      <c r="K66" s="66">
        <f>Calculations!K769</f>
        <v>0</v>
      </c>
      <c r="L66" s="66">
        <f>Calculations!L769</f>
        <v>0</v>
      </c>
      <c r="M66">
        <f>Calculations!M769</f>
        <v>0</v>
      </c>
      <c r="N66" s="66">
        <f>Calculations!N769</f>
        <v>0</v>
      </c>
      <c r="O66" s="66">
        <f>Calculations!O769</f>
        <v>0</v>
      </c>
      <c r="P66" s="66">
        <f>Calculations!P769</f>
        <v>0</v>
      </c>
      <c r="Q66" s="204">
        <f>Calculations!Q769</f>
        <v>0</v>
      </c>
      <c r="R66" s="66">
        <f>Calculations!R769</f>
        <v>0</v>
      </c>
      <c r="S66" s="65">
        <f>Calculations!S769</f>
        <v>0</v>
      </c>
      <c r="T66" s="65">
        <f>Calculations!T769</f>
        <v>0</v>
      </c>
      <c r="U66" s="204">
        <f>Calculations!U769</f>
        <v>0</v>
      </c>
      <c r="V66" s="65">
        <f>Calculations!V769</f>
        <v>0</v>
      </c>
      <c r="W66" s="266">
        <f>Calculations!W769</f>
        <v>0</v>
      </c>
      <c r="X66" s="266">
        <f>Calculations!X769</f>
        <v>0</v>
      </c>
      <c r="Y66" s="266" t="e">
        <f>Calculations!Y769</f>
        <v>#DIV/0!</v>
      </c>
      <c r="Z66" s="266" t="e">
        <f>Calculations!Z769</f>
        <v>#DIV/0!</v>
      </c>
      <c r="AA66" s="266" t="e">
        <f>Calculations!AA769</f>
        <v>#DIV/0!</v>
      </c>
    </row>
    <row r="67" spans="1:27">
      <c r="A67" s="3">
        <f>Calculations!A770</f>
        <v>63</v>
      </c>
      <c r="B67">
        <f>Calculations!B770</f>
        <v>0</v>
      </c>
      <c r="C67">
        <f>Calculations!C770</f>
        <v>0</v>
      </c>
      <c r="D67">
        <f>Calculations!D770</f>
        <v>0</v>
      </c>
      <c r="E67" s="265">
        <f>Calculations!E770</f>
        <v>0</v>
      </c>
      <c r="F67" s="265">
        <f>Calculations!F770</f>
        <v>0</v>
      </c>
      <c r="G67" s="265">
        <f>Calculations!G770</f>
        <v>0</v>
      </c>
      <c r="H67" s="197">
        <f>Calculations!H770</f>
        <v>0</v>
      </c>
      <c r="I67" s="197">
        <f>Calculations!I770</f>
        <v>0</v>
      </c>
      <c r="J67" s="137">
        <f>Calculations!J770</f>
        <v>0</v>
      </c>
      <c r="K67" s="66">
        <f>Calculations!K770</f>
        <v>0</v>
      </c>
      <c r="L67" s="66">
        <f>Calculations!L770</f>
        <v>0</v>
      </c>
      <c r="M67">
        <f>Calculations!M770</f>
        <v>0</v>
      </c>
      <c r="N67" s="66">
        <f>Calculations!N770</f>
        <v>0</v>
      </c>
      <c r="O67" s="66">
        <f>Calculations!O770</f>
        <v>0</v>
      </c>
      <c r="P67" s="66">
        <f>Calculations!P770</f>
        <v>0</v>
      </c>
      <c r="Q67" s="204">
        <f>Calculations!Q770</f>
        <v>0</v>
      </c>
      <c r="R67" s="66">
        <f>Calculations!R770</f>
        <v>0</v>
      </c>
      <c r="S67" s="65">
        <f>Calculations!S770</f>
        <v>0</v>
      </c>
      <c r="T67" s="65">
        <f>Calculations!T770</f>
        <v>0</v>
      </c>
      <c r="U67" s="204">
        <f>Calculations!U770</f>
        <v>0</v>
      </c>
      <c r="V67" s="65">
        <f>Calculations!V770</f>
        <v>0</v>
      </c>
      <c r="W67" s="266">
        <f>Calculations!W770</f>
        <v>0</v>
      </c>
      <c r="X67" s="266">
        <f>Calculations!X770</f>
        <v>0</v>
      </c>
      <c r="Y67" s="266" t="e">
        <f>Calculations!Y770</f>
        <v>#DIV/0!</v>
      </c>
      <c r="Z67" s="266" t="e">
        <f>Calculations!Z770</f>
        <v>#DIV/0!</v>
      </c>
      <c r="AA67" s="266" t="e">
        <f>Calculations!AA770</f>
        <v>#DIV/0!</v>
      </c>
    </row>
    <row r="68" spans="1:27">
      <c r="A68" s="3">
        <f>Calculations!A771</f>
        <v>64</v>
      </c>
      <c r="B68">
        <f>Calculations!B771</f>
        <v>0</v>
      </c>
      <c r="C68">
        <f>Calculations!C771</f>
        <v>0</v>
      </c>
      <c r="D68">
        <f>Calculations!D771</f>
        <v>0</v>
      </c>
      <c r="E68" s="265">
        <f>Calculations!E771</f>
        <v>0</v>
      </c>
      <c r="F68" s="265">
        <f>Calculations!F771</f>
        <v>0</v>
      </c>
      <c r="G68" s="265">
        <f>Calculations!G771</f>
        <v>0</v>
      </c>
      <c r="H68" s="197">
        <f>Calculations!H771</f>
        <v>0</v>
      </c>
      <c r="I68" s="197">
        <f>Calculations!I771</f>
        <v>0</v>
      </c>
      <c r="J68" s="137">
        <f>Calculations!J771</f>
        <v>0</v>
      </c>
      <c r="K68" s="66">
        <f>Calculations!K771</f>
        <v>0</v>
      </c>
      <c r="L68" s="66">
        <f>Calculations!L771</f>
        <v>0</v>
      </c>
      <c r="M68">
        <f>Calculations!M771</f>
        <v>0</v>
      </c>
      <c r="N68" s="66">
        <f>Calculations!N771</f>
        <v>0</v>
      </c>
      <c r="O68" s="66">
        <f>Calculations!O771</f>
        <v>0</v>
      </c>
      <c r="P68" s="66">
        <f>Calculations!P771</f>
        <v>0</v>
      </c>
      <c r="Q68" s="204">
        <f>Calculations!Q771</f>
        <v>0</v>
      </c>
      <c r="R68" s="66">
        <f>Calculations!R771</f>
        <v>0</v>
      </c>
      <c r="S68" s="65">
        <f>Calculations!S771</f>
        <v>0</v>
      </c>
      <c r="T68" s="65">
        <f>Calculations!T771</f>
        <v>0</v>
      </c>
      <c r="U68" s="204">
        <f>Calculations!U771</f>
        <v>0</v>
      </c>
      <c r="V68" s="65">
        <f>Calculations!V771</f>
        <v>0</v>
      </c>
      <c r="W68" s="266">
        <f>Calculations!W771</f>
        <v>0</v>
      </c>
      <c r="X68" s="266">
        <f>Calculations!X771</f>
        <v>0</v>
      </c>
      <c r="Y68" s="266" t="e">
        <f>Calculations!Y771</f>
        <v>#DIV/0!</v>
      </c>
      <c r="Z68" s="266" t="e">
        <f>Calculations!Z771</f>
        <v>#DIV/0!</v>
      </c>
      <c r="AA68" s="266" t="e">
        <f>Calculations!AA771</f>
        <v>#DIV/0!</v>
      </c>
    </row>
    <row r="69" spans="1:27">
      <c r="A69" s="3">
        <f>Calculations!A772</f>
        <v>65</v>
      </c>
      <c r="B69">
        <f>Calculations!B772</f>
        <v>0</v>
      </c>
      <c r="C69">
        <f>Calculations!C772</f>
        <v>0</v>
      </c>
      <c r="D69">
        <f>Calculations!D772</f>
        <v>0</v>
      </c>
      <c r="E69" s="265">
        <f>Calculations!E772</f>
        <v>0</v>
      </c>
      <c r="F69" s="265">
        <f>Calculations!F772</f>
        <v>0</v>
      </c>
      <c r="G69" s="265">
        <f>Calculations!G772</f>
        <v>0</v>
      </c>
      <c r="H69" s="197">
        <f>Calculations!H772</f>
        <v>0</v>
      </c>
      <c r="I69" s="197">
        <f>Calculations!I772</f>
        <v>0</v>
      </c>
      <c r="J69" s="137">
        <f>Calculations!J772</f>
        <v>0</v>
      </c>
      <c r="K69" s="66">
        <f>Calculations!K772</f>
        <v>0</v>
      </c>
      <c r="L69" s="66">
        <f>Calculations!L772</f>
        <v>0</v>
      </c>
      <c r="M69">
        <f>Calculations!M772</f>
        <v>0</v>
      </c>
      <c r="N69" s="66">
        <f>Calculations!N772</f>
        <v>0</v>
      </c>
      <c r="O69" s="66">
        <f>Calculations!O772</f>
        <v>0</v>
      </c>
      <c r="P69" s="66">
        <f>Calculations!P772</f>
        <v>0</v>
      </c>
      <c r="Q69" s="204">
        <f>Calculations!Q772</f>
        <v>0</v>
      </c>
      <c r="R69" s="66">
        <f>Calculations!R772</f>
        <v>0</v>
      </c>
      <c r="S69" s="65">
        <f>Calculations!S772</f>
        <v>0</v>
      </c>
      <c r="T69" s="65">
        <f>Calculations!T772</f>
        <v>0</v>
      </c>
      <c r="U69" s="204">
        <f>Calculations!U772</f>
        <v>0</v>
      </c>
      <c r="V69" s="65">
        <f>Calculations!V772</f>
        <v>0</v>
      </c>
      <c r="W69" s="266">
        <f>Calculations!W772</f>
        <v>0</v>
      </c>
      <c r="X69" s="266">
        <f>Calculations!X772</f>
        <v>0</v>
      </c>
      <c r="Y69" s="266" t="e">
        <f>Calculations!Y772</f>
        <v>#DIV/0!</v>
      </c>
      <c r="Z69" s="266" t="e">
        <f>Calculations!Z772</f>
        <v>#DIV/0!</v>
      </c>
      <c r="AA69" s="266" t="e">
        <f>Calculations!AA772</f>
        <v>#DIV/0!</v>
      </c>
    </row>
    <row r="70" spans="1:27">
      <c r="A70" s="3">
        <f>Calculations!A773</f>
        <v>66</v>
      </c>
      <c r="B70">
        <f>Calculations!B773</f>
        <v>0</v>
      </c>
      <c r="C70">
        <f>Calculations!C773</f>
        <v>0</v>
      </c>
      <c r="D70">
        <f>Calculations!D773</f>
        <v>0</v>
      </c>
      <c r="E70" s="265">
        <f>Calculations!E773</f>
        <v>0</v>
      </c>
      <c r="F70" s="265">
        <f>Calculations!F773</f>
        <v>0</v>
      </c>
      <c r="G70" s="265">
        <f>Calculations!G773</f>
        <v>0</v>
      </c>
      <c r="H70" s="197">
        <f>Calculations!H773</f>
        <v>0</v>
      </c>
      <c r="I70" s="197">
        <f>Calculations!I773</f>
        <v>0</v>
      </c>
      <c r="J70" s="137">
        <f>Calculations!J773</f>
        <v>0</v>
      </c>
      <c r="K70" s="66">
        <f>Calculations!K773</f>
        <v>0</v>
      </c>
      <c r="L70" s="66">
        <f>Calculations!L773</f>
        <v>0</v>
      </c>
      <c r="M70">
        <f>Calculations!M773</f>
        <v>0</v>
      </c>
      <c r="N70" s="66">
        <f>Calculations!N773</f>
        <v>0</v>
      </c>
      <c r="O70" s="66">
        <f>Calculations!O773</f>
        <v>0</v>
      </c>
      <c r="P70" s="66">
        <f>Calculations!P773</f>
        <v>0</v>
      </c>
      <c r="Q70" s="204">
        <f>Calculations!Q773</f>
        <v>0</v>
      </c>
      <c r="R70" s="66">
        <f>Calculations!R773</f>
        <v>0</v>
      </c>
      <c r="S70" s="65">
        <f>Calculations!S773</f>
        <v>0</v>
      </c>
      <c r="T70" s="65">
        <f>Calculations!T773</f>
        <v>0</v>
      </c>
      <c r="U70" s="204">
        <f>Calculations!U773</f>
        <v>0</v>
      </c>
      <c r="V70" s="65">
        <f>Calculations!V773</f>
        <v>0</v>
      </c>
      <c r="W70" s="266">
        <f>Calculations!W773</f>
        <v>0</v>
      </c>
      <c r="X70" s="266">
        <f>Calculations!X773</f>
        <v>0</v>
      </c>
      <c r="Y70" s="266" t="e">
        <f>Calculations!Y773</f>
        <v>#DIV/0!</v>
      </c>
      <c r="Z70" s="266" t="e">
        <f>Calculations!Z773</f>
        <v>#DIV/0!</v>
      </c>
      <c r="AA70" s="266" t="e">
        <f>Calculations!AA773</f>
        <v>#DIV/0!</v>
      </c>
    </row>
    <row r="71" spans="1:27">
      <c r="A71" s="3">
        <f>Calculations!A774</f>
        <v>67</v>
      </c>
      <c r="B71">
        <f>Calculations!B774</f>
        <v>0</v>
      </c>
      <c r="C71">
        <f>Calculations!C774</f>
        <v>0</v>
      </c>
      <c r="D71">
        <f>Calculations!D774</f>
        <v>0</v>
      </c>
      <c r="E71" s="265">
        <f>Calculations!E774</f>
        <v>0</v>
      </c>
      <c r="F71" s="265">
        <f>Calculations!F774</f>
        <v>0</v>
      </c>
      <c r="G71" s="265">
        <f>Calculations!G774</f>
        <v>0</v>
      </c>
      <c r="H71" s="197">
        <f>Calculations!H774</f>
        <v>0</v>
      </c>
      <c r="I71" s="197">
        <f>Calculations!I774</f>
        <v>0</v>
      </c>
      <c r="J71" s="137">
        <f>Calculations!J774</f>
        <v>0</v>
      </c>
      <c r="K71" s="66">
        <f>Calculations!K774</f>
        <v>0</v>
      </c>
      <c r="L71" s="66">
        <f>Calculations!L774</f>
        <v>0</v>
      </c>
      <c r="M71">
        <f>Calculations!M774</f>
        <v>0</v>
      </c>
      <c r="N71" s="66">
        <f>Calculations!N774</f>
        <v>0</v>
      </c>
      <c r="O71" s="66">
        <f>Calculations!O774</f>
        <v>0</v>
      </c>
      <c r="P71" s="66">
        <f>Calculations!P774</f>
        <v>0</v>
      </c>
      <c r="Q71" s="204">
        <f>Calculations!Q774</f>
        <v>0</v>
      </c>
      <c r="R71" s="66">
        <f>Calculations!R774</f>
        <v>0</v>
      </c>
      <c r="S71" s="65">
        <f>Calculations!S774</f>
        <v>0</v>
      </c>
      <c r="T71" s="65">
        <f>Calculations!T774</f>
        <v>0</v>
      </c>
      <c r="U71" s="204">
        <f>Calculations!U774</f>
        <v>0</v>
      </c>
      <c r="V71" s="65">
        <f>Calculations!V774</f>
        <v>0</v>
      </c>
      <c r="W71" s="266">
        <f>Calculations!W774</f>
        <v>0</v>
      </c>
      <c r="X71" s="266">
        <f>Calculations!X774</f>
        <v>0</v>
      </c>
      <c r="Y71" s="266" t="e">
        <f>Calculations!Y774</f>
        <v>#DIV/0!</v>
      </c>
      <c r="Z71" s="266" t="e">
        <f>Calculations!Z774</f>
        <v>#DIV/0!</v>
      </c>
      <c r="AA71" s="266" t="e">
        <f>Calculations!AA774</f>
        <v>#DIV/0!</v>
      </c>
    </row>
    <row r="72" spans="1:27">
      <c r="A72" s="3">
        <f>Calculations!A775</f>
        <v>68</v>
      </c>
      <c r="B72">
        <f>Calculations!B775</f>
        <v>0</v>
      </c>
      <c r="C72">
        <f>Calculations!C775</f>
        <v>0</v>
      </c>
      <c r="D72">
        <f>Calculations!D775</f>
        <v>0</v>
      </c>
      <c r="E72" s="265">
        <f>Calculations!E775</f>
        <v>0</v>
      </c>
      <c r="F72" s="265">
        <f>Calculations!F775</f>
        <v>0</v>
      </c>
      <c r="G72" s="265">
        <f>Calculations!G775</f>
        <v>0</v>
      </c>
      <c r="H72" s="197">
        <f>Calculations!H775</f>
        <v>0</v>
      </c>
      <c r="I72" s="197">
        <f>Calculations!I775</f>
        <v>0</v>
      </c>
      <c r="J72" s="137">
        <f>Calculations!J775</f>
        <v>0</v>
      </c>
      <c r="K72" s="66">
        <f>Calculations!K775</f>
        <v>0</v>
      </c>
      <c r="L72" s="66">
        <f>Calculations!L775</f>
        <v>0</v>
      </c>
      <c r="M72">
        <f>Calculations!M775</f>
        <v>0</v>
      </c>
      <c r="N72" s="66">
        <f>Calculations!N775</f>
        <v>0</v>
      </c>
      <c r="O72" s="66">
        <f>Calculations!O775</f>
        <v>0</v>
      </c>
      <c r="P72" s="66">
        <f>Calculations!P775</f>
        <v>0</v>
      </c>
      <c r="Q72" s="204">
        <f>Calculations!Q775</f>
        <v>0</v>
      </c>
      <c r="R72" s="66">
        <f>Calculations!R775</f>
        <v>0</v>
      </c>
      <c r="S72" s="65">
        <f>Calculations!S775</f>
        <v>0</v>
      </c>
      <c r="T72" s="65">
        <f>Calculations!T775</f>
        <v>0</v>
      </c>
      <c r="U72" s="204">
        <f>Calculations!U775</f>
        <v>0</v>
      </c>
      <c r="V72" s="65">
        <f>Calculations!V775</f>
        <v>0</v>
      </c>
      <c r="W72" s="266">
        <f>Calculations!W775</f>
        <v>0</v>
      </c>
      <c r="X72" s="266">
        <f>Calculations!X775</f>
        <v>0</v>
      </c>
      <c r="Y72" s="266" t="e">
        <f>Calculations!Y775</f>
        <v>#DIV/0!</v>
      </c>
      <c r="Z72" s="266" t="e">
        <f>Calculations!Z775</f>
        <v>#DIV/0!</v>
      </c>
      <c r="AA72" s="266" t="e">
        <f>Calculations!AA775</f>
        <v>#DIV/0!</v>
      </c>
    </row>
    <row r="73" spans="1:27">
      <c r="A73" s="3">
        <f>Calculations!A776</f>
        <v>69</v>
      </c>
      <c r="B73">
        <f>Calculations!B776</f>
        <v>0</v>
      </c>
      <c r="C73">
        <f>Calculations!C776</f>
        <v>0</v>
      </c>
      <c r="D73">
        <f>Calculations!D776</f>
        <v>0</v>
      </c>
      <c r="E73" s="265">
        <f>Calculations!E776</f>
        <v>0</v>
      </c>
      <c r="F73" s="265">
        <f>Calculations!F776</f>
        <v>0</v>
      </c>
      <c r="G73" s="265">
        <f>Calculations!G776</f>
        <v>0</v>
      </c>
      <c r="H73" s="197">
        <f>Calculations!H776</f>
        <v>0</v>
      </c>
      <c r="I73" s="197">
        <f>Calculations!I776</f>
        <v>0</v>
      </c>
      <c r="J73" s="137">
        <f>Calculations!J776</f>
        <v>0</v>
      </c>
      <c r="K73" s="66">
        <f>Calculations!K776</f>
        <v>0</v>
      </c>
      <c r="L73" s="66">
        <f>Calculations!L776</f>
        <v>0</v>
      </c>
      <c r="M73">
        <f>Calculations!M776</f>
        <v>0</v>
      </c>
      <c r="N73" s="66">
        <f>Calculations!N776</f>
        <v>0</v>
      </c>
      <c r="O73" s="66">
        <f>Calculations!O776</f>
        <v>0</v>
      </c>
      <c r="P73" s="66">
        <f>Calculations!P776</f>
        <v>0</v>
      </c>
      <c r="Q73" s="204">
        <f>Calculations!Q776</f>
        <v>0</v>
      </c>
      <c r="R73" s="66">
        <f>Calculations!R776</f>
        <v>0</v>
      </c>
      <c r="S73" s="65">
        <f>Calculations!S776</f>
        <v>0</v>
      </c>
      <c r="T73" s="65">
        <f>Calculations!T776</f>
        <v>0</v>
      </c>
      <c r="U73" s="204">
        <f>Calculations!U776</f>
        <v>0</v>
      </c>
      <c r="V73" s="65">
        <f>Calculations!V776</f>
        <v>0</v>
      </c>
      <c r="W73" s="266">
        <f>Calculations!W776</f>
        <v>0</v>
      </c>
      <c r="X73" s="266">
        <f>Calculations!X776</f>
        <v>0</v>
      </c>
      <c r="Y73" s="266" t="e">
        <f>Calculations!Y776</f>
        <v>#DIV/0!</v>
      </c>
      <c r="Z73" s="266" t="e">
        <f>Calculations!Z776</f>
        <v>#DIV/0!</v>
      </c>
      <c r="AA73" s="266" t="e">
        <f>Calculations!AA776</f>
        <v>#DIV/0!</v>
      </c>
    </row>
    <row r="74" spans="1:27">
      <c r="A74" s="3">
        <f>Calculations!A777</f>
        <v>70</v>
      </c>
      <c r="B74">
        <f>Calculations!B777</f>
        <v>0</v>
      </c>
      <c r="C74">
        <f>Calculations!C777</f>
        <v>0</v>
      </c>
      <c r="D74">
        <f>Calculations!D777</f>
        <v>0</v>
      </c>
      <c r="E74" s="265">
        <f>Calculations!E777</f>
        <v>0</v>
      </c>
      <c r="F74" s="265">
        <f>Calculations!F777</f>
        <v>0</v>
      </c>
      <c r="G74" s="265">
        <f>Calculations!G777</f>
        <v>0</v>
      </c>
      <c r="H74" s="197">
        <f>Calculations!H777</f>
        <v>0</v>
      </c>
      <c r="I74" s="197">
        <f>Calculations!I777</f>
        <v>0</v>
      </c>
      <c r="J74" s="137">
        <f>Calculations!J777</f>
        <v>0</v>
      </c>
      <c r="K74" s="66">
        <f>Calculations!K777</f>
        <v>0</v>
      </c>
      <c r="L74" s="66">
        <f>Calculations!L777</f>
        <v>0</v>
      </c>
      <c r="M74">
        <f>Calculations!M777</f>
        <v>0</v>
      </c>
      <c r="N74" s="66">
        <f>Calculations!N777</f>
        <v>0</v>
      </c>
      <c r="O74" s="66">
        <f>Calculations!O777</f>
        <v>0</v>
      </c>
      <c r="P74" s="66">
        <f>Calculations!P777</f>
        <v>0</v>
      </c>
      <c r="Q74" s="204">
        <f>Calculations!Q777</f>
        <v>0</v>
      </c>
      <c r="R74" s="66">
        <f>Calculations!R777</f>
        <v>0</v>
      </c>
      <c r="S74" s="65">
        <f>Calculations!S777</f>
        <v>0</v>
      </c>
      <c r="T74" s="65">
        <f>Calculations!T777</f>
        <v>0</v>
      </c>
      <c r="U74" s="204">
        <f>Calculations!U777</f>
        <v>0</v>
      </c>
      <c r="V74" s="65">
        <f>Calculations!V777</f>
        <v>0</v>
      </c>
      <c r="W74" s="266">
        <f>Calculations!W777</f>
        <v>0</v>
      </c>
      <c r="X74" s="266">
        <f>Calculations!X777</f>
        <v>0</v>
      </c>
      <c r="Y74" s="266" t="e">
        <f>Calculations!Y777</f>
        <v>#DIV/0!</v>
      </c>
      <c r="Z74" s="266" t="e">
        <f>Calculations!Z777</f>
        <v>#DIV/0!</v>
      </c>
      <c r="AA74" s="266" t="e">
        <f>Calculations!AA777</f>
        <v>#DIV/0!</v>
      </c>
    </row>
    <row r="75" spans="1:27">
      <c r="A75" s="3">
        <f>Calculations!A778</f>
        <v>71</v>
      </c>
      <c r="B75">
        <f>Calculations!B778</f>
        <v>0</v>
      </c>
      <c r="C75">
        <f>Calculations!C778</f>
        <v>0</v>
      </c>
      <c r="D75">
        <f>Calculations!D778</f>
        <v>0</v>
      </c>
      <c r="E75" s="265">
        <f>Calculations!E778</f>
        <v>0</v>
      </c>
      <c r="F75" s="265">
        <f>Calculations!F778</f>
        <v>0</v>
      </c>
      <c r="G75" s="265">
        <f>Calculations!G778</f>
        <v>0</v>
      </c>
      <c r="H75" s="197">
        <f>Calculations!H778</f>
        <v>0</v>
      </c>
      <c r="I75" s="197">
        <f>Calculations!I778</f>
        <v>0</v>
      </c>
      <c r="J75" s="137">
        <f>Calculations!J778</f>
        <v>0</v>
      </c>
      <c r="K75" s="66">
        <f>Calculations!K778</f>
        <v>0</v>
      </c>
      <c r="L75" s="66">
        <f>Calculations!L778</f>
        <v>0</v>
      </c>
      <c r="M75">
        <f>Calculations!M778</f>
        <v>0</v>
      </c>
      <c r="N75" s="66">
        <f>Calculations!N778</f>
        <v>0</v>
      </c>
      <c r="O75" s="66">
        <f>Calculations!O778</f>
        <v>0</v>
      </c>
      <c r="P75" s="66">
        <f>Calculations!P778</f>
        <v>0</v>
      </c>
      <c r="Q75" s="204">
        <f>Calculations!Q778</f>
        <v>0</v>
      </c>
      <c r="R75" s="66">
        <f>Calculations!R778</f>
        <v>0</v>
      </c>
      <c r="S75" s="65">
        <f>Calculations!S778</f>
        <v>0</v>
      </c>
      <c r="T75" s="65">
        <f>Calculations!T778</f>
        <v>0</v>
      </c>
      <c r="U75" s="204">
        <f>Calculations!U778</f>
        <v>0</v>
      </c>
      <c r="V75" s="65">
        <f>Calculations!V778</f>
        <v>0</v>
      </c>
      <c r="W75" s="266">
        <f>Calculations!W778</f>
        <v>0</v>
      </c>
      <c r="X75" s="266">
        <f>Calculations!X778</f>
        <v>0</v>
      </c>
      <c r="Y75" s="266" t="e">
        <f>Calculations!Y778</f>
        <v>#DIV/0!</v>
      </c>
      <c r="Z75" s="266" t="e">
        <f>Calculations!Z778</f>
        <v>#DIV/0!</v>
      </c>
      <c r="AA75" s="266" t="e">
        <f>Calculations!AA778</f>
        <v>#DIV/0!</v>
      </c>
    </row>
    <row r="76" spans="1:27">
      <c r="A76" s="3">
        <f>Calculations!A779</f>
        <v>72</v>
      </c>
      <c r="B76">
        <f>Calculations!B779</f>
        <v>0</v>
      </c>
      <c r="C76">
        <f>Calculations!C779</f>
        <v>0</v>
      </c>
      <c r="D76">
        <f>Calculations!D779</f>
        <v>0</v>
      </c>
      <c r="E76" s="265">
        <f>Calculations!E779</f>
        <v>0</v>
      </c>
      <c r="F76" s="265">
        <f>Calculations!F779</f>
        <v>0</v>
      </c>
      <c r="G76" s="265">
        <f>Calculations!G779</f>
        <v>0</v>
      </c>
      <c r="H76" s="197">
        <f>Calculations!H779</f>
        <v>0</v>
      </c>
      <c r="I76" s="197">
        <f>Calculations!I779</f>
        <v>0</v>
      </c>
      <c r="J76" s="137">
        <f>Calculations!J779</f>
        <v>0</v>
      </c>
      <c r="K76" s="66">
        <f>Calculations!K779</f>
        <v>0</v>
      </c>
      <c r="L76" s="66">
        <f>Calculations!L779</f>
        <v>0</v>
      </c>
      <c r="M76">
        <f>Calculations!M779</f>
        <v>0</v>
      </c>
      <c r="N76" s="66">
        <f>Calculations!N779</f>
        <v>0</v>
      </c>
      <c r="O76" s="66">
        <f>Calculations!O779</f>
        <v>0</v>
      </c>
      <c r="P76" s="66">
        <f>Calculations!P779</f>
        <v>0</v>
      </c>
      <c r="Q76" s="204">
        <f>Calculations!Q779</f>
        <v>0</v>
      </c>
      <c r="R76" s="66">
        <f>Calculations!R779</f>
        <v>0</v>
      </c>
      <c r="S76" s="65">
        <f>Calculations!S779</f>
        <v>0</v>
      </c>
      <c r="T76" s="65">
        <f>Calculations!T779</f>
        <v>0</v>
      </c>
      <c r="U76" s="204">
        <f>Calculations!U779</f>
        <v>0</v>
      </c>
      <c r="V76" s="65">
        <f>Calculations!V779</f>
        <v>0</v>
      </c>
      <c r="W76" s="266">
        <f>Calculations!W779</f>
        <v>0</v>
      </c>
      <c r="X76" s="266">
        <f>Calculations!X779</f>
        <v>0</v>
      </c>
      <c r="Y76" s="266" t="e">
        <f>Calculations!Y779</f>
        <v>#DIV/0!</v>
      </c>
      <c r="Z76" s="266" t="e">
        <f>Calculations!Z779</f>
        <v>#DIV/0!</v>
      </c>
      <c r="AA76" s="266" t="e">
        <f>Calculations!AA779</f>
        <v>#DIV/0!</v>
      </c>
    </row>
    <row r="77" spans="1:27">
      <c r="A77" s="3">
        <f>Calculations!A780</f>
        <v>73</v>
      </c>
      <c r="B77">
        <f>Calculations!B780</f>
        <v>0</v>
      </c>
      <c r="C77">
        <f>Calculations!C780</f>
        <v>0</v>
      </c>
      <c r="D77">
        <f>Calculations!D780</f>
        <v>0</v>
      </c>
      <c r="E77" s="265">
        <f>Calculations!E780</f>
        <v>0</v>
      </c>
      <c r="F77" s="265">
        <f>Calculations!F780</f>
        <v>0</v>
      </c>
      <c r="G77" s="265">
        <f>Calculations!G780</f>
        <v>0</v>
      </c>
      <c r="H77" s="197">
        <f>Calculations!H780</f>
        <v>0</v>
      </c>
      <c r="I77" s="197">
        <f>Calculations!I780</f>
        <v>0</v>
      </c>
      <c r="J77" s="137">
        <f>Calculations!J780</f>
        <v>0</v>
      </c>
      <c r="K77" s="66">
        <f>Calculations!K780</f>
        <v>0</v>
      </c>
      <c r="L77" s="66">
        <f>Calculations!L780</f>
        <v>0</v>
      </c>
      <c r="M77">
        <f>Calculations!M780</f>
        <v>0</v>
      </c>
      <c r="N77" s="66">
        <f>Calculations!N780</f>
        <v>0</v>
      </c>
      <c r="O77" s="66">
        <f>Calculations!O780</f>
        <v>0</v>
      </c>
      <c r="P77" s="66">
        <f>Calculations!P780</f>
        <v>0</v>
      </c>
      <c r="Q77" s="204">
        <f>Calculations!Q780</f>
        <v>0</v>
      </c>
      <c r="R77" s="66">
        <f>Calculations!R780</f>
        <v>0</v>
      </c>
      <c r="S77" s="65">
        <f>Calculations!S780</f>
        <v>0</v>
      </c>
      <c r="T77" s="65">
        <f>Calculations!T780</f>
        <v>0</v>
      </c>
      <c r="U77" s="204">
        <f>Calculations!U780</f>
        <v>0</v>
      </c>
      <c r="V77" s="65">
        <f>Calculations!V780</f>
        <v>0</v>
      </c>
      <c r="W77" s="266">
        <f>Calculations!W780</f>
        <v>0</v>
      </c>
      <c r="X77" s="266">
        <f>Calculations!X780</f>
        <v>0</v>
      </c>
      <c r="Y77" s="266" t="e">
        <f>Calculations!Y780</f>
        <v>#DIV/0!</v>
      </c>
      <c r="Z77" s="266" t="e">
        <f>Calculations!Z780</f>
        <v>#DIV/0!</v>
      </c>
      <c r="AA77" s="266" t="e">
        <f>Calculations!AA780</f>
        <v>#DIV/0!</v>
      </c>
    </row>
    <row r="78" spans="1:27">
      <c r="A78" s="3">
        <f>Calculations!A781</f>
        <v>74</v>
      </c>
      <c r="B78">
        <f>Calculations!B781</f>
        <v>0</v>
      </c>
      <c r="C78">
        <f>Calculations!C781</f>
        <v>0</v>
      </c>
      <c r="D78">
        <f>Calculations!D781</f>
        <v>0</v>
      </c>
      <c r="E78" s="265">
        <f>Calculations!E781</f>
        <v>0</v>
      </c>
      <c r="F78" s="265">
        <f>Calculations!F781</f>
        <v>0</v>
      </c>
      <c r="G78" s="265">
        <f>Calculations!G781</f>
        <v>0</v>
      </c>
      <c r="H78" s="197">
        <f>Calculations!H781</f>
        <v>0</v>
      </c>
      <c r="I78" s="197">
        <f>Calculations!I781</f>
        <v>0</v>
      </c>
      <c r="J78" s="137">
        <f>Calculations!J781</f>
        <v>0</v>
      </c>
      <c r="K78" s="66">
        <f>Calculations!K781</f>
        <v>0</v>
      </c>
      <c r="L78" s="66">
        <f>Calculations!L781</f>
        <v>0</v>
      </c>
      <c r="M78">
        <f>Calculations!M781</f>
        <v>0</v>
      </c>
      <c r="N78" s="66">
        <f>Calculations!N781</f>
        <v>0</v>
      </c>
      <c r="O78" s="66">
        <f>Calculations!O781</f>
        <v>0</v>
      </c>
      <c r="P78" s="66">
        <f>Calculations!P781</f>
        <v>0</v>
      </c>
      <c r="Q78" s="204">
        <f>Calculations!Q781</f>
        <v>0</v>
      </c>
      <c r="R78" s="66">
        <f>Calculations!R781</f>
        <v>0</v>
      </c>
      <c r="S78" s="65">
        <f>Calculations!S781</f>
        <v>0</v>
      </c>
      <c r="T78" s="65">
        <f>Calculations!T781</f>
        <v>0</v>
      </c>
      <c r="U78" s="204">
        <f>Calculations!U781</f>
        <v>0</v>
      </c>
      <c r="V78" s="65">
        <f>Calculations!V781</f>
        <v>0</v>
      </c>
      <c r="W78" s="266">
        <f>Calculations!W781</f>
        <v>0</v>
      </c>
      <c r="X78" s="266">
        <f>Calculations!X781</f>
        <v>0</v>
      </c>
      <c r="Y78" s="266" t="e">
        <f>Calculations!Y781</f>
        <v>#DIV/0!</v>
      </c>
      <c r="Z78" s="266" t="e">
        <f>Calculations!Z781</f>
        <v>#DIV/0!</v>
      </c>
      <c r="AA78" s="266" t="e">
        <f>Calculations!AA781</f>
        <v>#DIV/0!</v>
      </c>
    </row>
    <row r="79" spans="1:27">
      <c r="A79" s="3">
        <f>Calculations!A782</f>
        <v>75</v>
      </c>
      <c r="B79">
        <f>Calculations!B782</f>
        <v>0</v>
      </c>
      <c r="C79">
        <f>Calculations!C782</f>
        <v>0</v>
      </c>
      <c r="D79">
        <f>Calculations!D782</f>
        <v>0</v>
      </c>
      <c r="E79" s="265">
        <f>Calculations!E782</f>
        <v>0</v>
      </c>
      <c r="F79" s="265">
        <f>Calculations!F782</f>
        <v>0</v>
      </c>
      <c r="G79" s="265">
        <f>Calculations!G782</f>
        <v>0</v>
      </c>
      <c r="H79" s="197">
        <f>Calculations!H782</f>
        <v>0</v>
      </c>
      <c r="I79" s="197">
        <f>Calculations!I782</f>
        <v>0</v>
      </c>
      <c r="J79" s="137">
        <f>Calculations!J782</f>
        <v>0</v>
      </c>
      <c r="K79" s="66">
        <f>Calculations!K782</f>
        <v>0</v>
      </c>
      <c r="L79" s="66">
        <f>Calculations!L782</f>
        <v>0</v>
      </c>
      <c r="M79">
        <f>Calculations!M782</f>
        <v>0</v>
      </c>
      <c r="N79" s="66">
        <f>Calculations!N782</f>
        <v>0</v>
      </c>
      <c r="O79" s="66">
        <f>Calculations!O782</f>
        <v>0</v>
      </c>
      <c r="P79" s="66">
        <f>Calculations!P782</f>
        <v>0</v>
      </c>
      <c r="Q79" s="204">
        <f>Calculations!Q782</f>
        <v>0</v>
      </c>
      <c r="R79" s="66">
        <f>Calculations!R782</f>
        <v>0</v>
      </c>
      <c r="S79" s="65">
        <f>Calculations!S782</f>
        <v>0</v>
      </c>
      <c r="T79" s="65">
        <f>Calculations!T782</f>
        <v>0</v>
      </c>
      <c r="U79" s="204">
        <f>Calculations!U782</f>
        <v>0</v>
      </c>
      <c r="V79" s="65">
        <f>Calculations!V782</f>
        <v>0</v>
      </c>
      <c r="W79" s="266">
        <f>Calculations!W782</f>
        <v>0</v>
      </c>
      <c r="X79" s="266">
        <f>Calculations!X782</f>
        <v>0</v>
      </c>
      <c r="Y79" s="266" t="e">
        <f>Calculations!Y782</f>
        <v>#DIV/0!</v>
      </c>
      <c r="Z79" s="266" t="e">
        <f>Calculations!Z782</f>
        <v>#DIV/0!</v>
      </c>
      <c r="AA79" s="266" t="e">
        <f>Calculations!AA782</f>
        <v>#DIV/0!</v>
      </c>
    </row>
    <row r="80" spans="1:27">
      <c r="A80" s="3">
        <f>Calculations!A783</f>
        <v>76</v>
      </c>
      <c r="B80">
        <f>Calculations!B783</f>
        <v>0</v>
      </c>
      <c r="C80">
        <f>Calculations!C783</f>
        <v>0</v>
      </c>
      <c r="D80">
        <f>Calculations!D783</f>
        <v>0</v>
      </c>
      <c r="E80" s="265">
        <f>Calculations!E783</f>
        <v>0</v>
      </c>
      <c r="F80" s="265">
        <f>Calculations!F783</f>
        <v>0</v>
      </c>
      <c r="G80" s="265">
        <f>Calculations!G783</f>
        <v>0</v>
      </c>
      <c r="H80" s="197">
        <f>Calculations!H783</f>
        <v>0</v>
      </c>
      <c r="I80" s="197">
        <f>Calculations!I783</f>
        <v>0</v>
      </c>
      <c r="J80" s="137">
        <f>Calculations!J783</f>
        <v>0</v>
      </c>
      <c r="K80" s="66">
        <f>Calculations!K783</f>
        <v>0</v>
      </c>
      <c r="L80" s="66">
        <f>Calculations!L783</f>
        <v>0</v>
      </c>
      <c r="M80">
        <f>Calculations!M783</f>
        <v>0</v>
      </c>
      <c r="N80" s="66">
        <f>Calculations!N783</f>
        <v>0</v>
      </c>
      <c r="O80" s="66">
        <f>Calculations!O783</f>
        <v>0</v>
      </c>
      <c r="P80" s="66">
        <f>Calculations!P783</f>
        <v>0</v>
      </c>
      <c r="Q80" s="204">
        <f>Calculations!Q783</f>
        <v>0</v>
      </c>
      <c r="R80" s="66">
        <f>Calculations!R783</f>
        <v>0</v>
      </c>
      <c r="S80" s="65">
        <f>Calculations!S783</f>
        <v>0</v>
      </c>
      <c r="T80" s="65">
        <f>Calculations!T783</f>
        <v>0</v>
      </c>
      <c r="U80" s="204">
        <f>Calculations!U783</f>
        <v>0</v>
      </c>
      <c r="V80" s="65">
        <f>Calculations!V783</f>
        <v>0</v>
      </c>
      <c r="W80" s="266">
        <f>Calculations!W783</f>
        <v>0</v>
      </c>
      <c r="X80" s="266">
        <f>Calculations!X783</f>
        <v>0</v>
      </c>
      <c r="Y80" s="266" t="e">
        <f>Calculations!Y783</f>
        <v>#DIV/0!</v>
      </c>
      <c r="Z80" s="266" t="e">
        <f>Calculations!Z783</f>
        <v>#DIV/0!</v>
      </c>
      <c r="AA80" s="266" t="e">
        <f>Calculations!AA783</f>
        <v>#DIV/0!</v>
      </c>
    </row>
    <row r="81" spans="1:27">
      <c r="A81" s="3">
        <f>Calculations!A784</f>
        <v>77</v>
      </c>
      <c r="B81">
        <f>Calculations!B784</f>
        <v>0</v>
      </c>
      <c r="C81">
        <f>Calculations!C784</f>
        <v>0</v>
      </c>
      <c r="D81">
        <f>Calculations!D784</f>
        <v>0</v>
      </c>
      <c r="E81" s="265">
        <f>Calculations!E784</f>
        <v>0</v>
      </c>
      <c r="F81" s="265">
        <f>Calculations!F784</f>
        <v>0</v>
      </c>
      <c r="G81" s="265">
        <f>Calculations!G784</f>
        <v>0</v>
      </c>
      <c r="H81" s="197">
        <f>Calculations!H784</f>
        <v>0</v>
      </c>
      <c r="I81" s="197">
        <f>Calculations!I784</f>
        <v>0</v>
      </c>
      <c r="J81" s="137">
        <f>Calculations!J784</f>
        <v>0</v>
      </c>
      <c r="K81" s="66">
        <f>Calculations!K784</f>
        <v>0</v>
      </c>
      <c r="L81" s="66">
        <f>Calculations!L784</f>
        <v>0</v>
      </c>
      <c r="M81">
        <f>Calculations!M784</f>
        <v>0</v>
      </c>
      <c r="N81" s="66">
        <f>Calculations!N784</f>
        <v>0</v>
      </c>
      <c r="O81" s="66">
        <f>Calculations!O784</f>
        <v>0</v>
      </c>
      <c r="P81" s="66">
        <f>Calculations!P784</f>
        <v>0</v>
      </c>
      <c r="Q81" s="204">
        <f>Calculations!Q784</f>
        <v>0</v>
      </c>
      <c r="R81" s="66">
        <f>Calculations!R784</f>
        <v>0</v>
      </c>
      <c r="S81" s="65">
        <f>Calculations!S784</f>
        <v>0</v>
      </c>
      <c r="T81" s="65">
        <f>Calculations!T784</f>
        <v>0</v>
      </c>
      <c r="U81" s="204">
        <f>Calculations!U784</f>
        <v>0</v>
      </c>
      <c r="V81" s="65">
        <f>Calculations!V784</f>
        <v>0</v>
      </c>
      <c r="W81" s="266">
        <f>Calculations!W784</f>
        <v>0</v>
      </c>
      <c r="X81" s="266">
        <f>Calculations!X784</f>
        <v>0</v>
      </c>
      <c r="Y81" s="266" t="e">
        <f>Calculations!Y784</f>
        <v>#DIV/0!</v>
      </c>
      <c r="Z81" s="266" t="e">
        <f>Calculations!Z784</f>
        <v>#DIV/0!</v>
      </c>
      <c r="AA81" s="266" t="e">
        <f>Calculations!AA784</f>
        <v>#DIV/0!</v>
      </c>
    </row>
    <row r="82" spans="1:27">
      <c r="A82" s="3">
        <f>Calculations!A785</f>
        <v>78</v>
      </c>
      <c r="B82">
        <f>Calculations!B785</f>
        <v>0</v>
      </c>
      <c r="C82">
        <f>Calculations!C785</f>
        <v>0</v>
      </c>
      <c r="D82">
        <f>Calculations!D785</f>
        <v>0</v>
      </c>
      <c r="E82" s="265">
        <f>Calculations!E785</f>
        <v>0</v>
      </c>
      <c r="F82" s="265">
        <f>Calculations!F785</f>
        <v>0</v>
      </c>
      <c r="G82" s="265">
        <f>Calculations!G785</f>
        <v>0</v>
      </c>
      <c r="H82" s="197">
        <f>Calculations!H785</f>
        <v>0</v>
      </c>
      <c r="I82" s="197">
        <f>Calculations!I785</f>
        <v>0</v>
      </c>
      <c r="J82" s="137">
        <f>Calculations!J785</f>
        <v>0</v>
      </c>
      <c r="K82" s="66">
        <f>Calculations!K785</f>
        <v>0</v>
      </c>
      <c r="L82" s="66">
        <f>Calculations!L785</f>
        <v>0</v>
      </c>
      <c r="M82">
        <f>Calculations!M785</f>
        <v>0</v>
      </c>
      <c r="N82" s="66">
        <f>Calculations!N785</f>
        <v>0</v>
      </c>
      <c r="O82" s="66">
        <f>Calculations!O785</f>
        <v>0</v>
      </c>
      <c r="P82" s="66">
        <f>Calculations!P785</f>
        <v>0</v>
      </c>
      <c r="Q82" s="204">
        <f>Calculations!Q785</f>
        <v>0</v>
      </c>
      <c r="R82" s="66">
        <f>Calculations!R785</f>
        <v>0</v>
      </c>
      <c r="S82" s="65">
        <f>Calculations!S785</f>
        <v>0</v>
      </c>
      <c r="T82" s="65">
        <f>Calculations!T785</f>
        <v>0</v>
      </c>
      <c r="U82" s="204">
        <f>Calculations!U785</f>
        <v>0</v>
      </c>
      <c r="V82" s="65">
        <f>Calculations!V785</f>
        <v>0</v>
      </c>
      <c r="W82" s="266">
        <f>Calculations!W785</f>
        <v>0</v>
      </c>
      <c r="X82" s="266">
        <f>Calculations!X785</f>
        <v>0</v>
      </c>
      <c r="Y82" s="266" t="e">
        <f>Calculations!Y785</f>
        <v>#DIV/0!</v>
      </c>
      <c r="Z82" s="266" t="e">
        <f>Calculations!Z785</f>
        <v>#DIV/0!</v>
      </c>
      <c r="AA82" s="266" t="e">
        <f>Calculations!AA785</f>
        <v>#DIV/0!</v>
      </c>
    </row>
    <row r="83" spans="1:27">
      <c r="A83" s="3">
        <f>Calculations!A786</f>
        <v>79</v>
      </c>
      <c r="B83">
        <f>Calculations!B786</f>
        <v>0</v>
      </c>
      <c r="C83">
        <f>Calculations!C786</f>
        <v>0</v>
      </c>
      <c r="D83">
        <f>Calculations!D786</f>
        <v>0</v>
      </c>
      <c r="E83" s="265">
        <f>Calculations!E786</f>
        <v>0</v>
      </c>
      <c r="F83" s="265">
        <f>Calculations!F786</f>
        <v>0</v>
      </c>
      <c r="G83" s="265">
        <f>Calculations!G786</f>
        <v>0</v>
      </c>
      <c r="H83" s="197">
        <f>Calculations!H786</f>
        <v>0</v>
      </c>
      <c r="I83" s="197">
        <f>Calculations!I786</f>
        <v>0</v>
      </c>
      <c r="J83" s="137">
        <f>Calculations!J786</f>
        <v>0</v>
      </c>
      <c r="K83" s="66">
        <f>Calculations!K786</f>
        <v>0</v>
      </c>
      <c r="L83" s="66">
        <f>Calculations!L786</f>
        <v>0</v>
      </c>
      <c r="M83">
        <f>Calculations!M786</f>
        <v>0</v>
      </c>
      <c r="N83" s="66">
        <f>Calculations!N786</f>
        <v>0</v>
      </c>
      <c r="O83" s="66">
        <f>Calculations!O786</f>
        <v>0</v>
      </c>
      <c r="P83" s="66">
        <f>Calculations!P786</f>
        <v>0</v>
      </c>
      <c r="Q83" s="204">
        <f>Calculations!Q786</f>
        <v>0</v>
      </c>
      <c r="R83" s="66">
        <f>Calculations!R786</f>
        <v>0</v>
      </c>
      <c r="S83" s="65">
        <f>Calculations!S786</f>
        <v>0</v>
      </c>
      <c r="T83" s="65">
        <f>Calculations!T786</f>
        <v>0</v>
      </c>
      <c r="U83" s="204">
        <f>Calculations!U786</f>
        <v>0</v>
      </c>
      <c r="V83" s="65">
        <f>Calculations!V786</f>
        <v>0</v>
      </c>
      <c r="W83" s="266">
        <f>Calculations!W786</f>
        <v>0</v>
      </c>
      <c r="X83" s="266">
        <f>Calculations!X786</f>
        <v>0</v>
      </c>
      <c r="Y83" s="266" t="e">
        <f>Calculations!Y786</f>
        <v>#DIV/0!</v>
      </c>
      <c r="Z83" s="266" t="e">
        <f>Calculations!Z786</f>
        <v>#DIV/0!</v>
      </c>
      <c r="AA83" s="266" t="e">
        <f>Calculations!AA786</f>
        <v>#DIV/0!</v>
      </c>
    </row>
    <row r="84" spans="1:27">
      <c r="A84" s="3">
        <f>Calculations!A787</f>
        <v>80</v>
      </c>
      <c r="B84">
        <f>Calculations!B787</f>
        <v>0</v>
      </c>
      <c r="C84">
        <f>Calculations!C787</f>
        <v>0</v>
      </c>
      <c r="D84">
        <f>Calculations!D787</f>
        <v>0</v>
      </c>
      <c r="E84" s="265">
        <f>Calculations!E787</f>
        <v>0</v>
      </c>
      <c r="F84" s="265">
        <f>Calculations!F787</f>
        <v>0</v>
      </c>
      <c r="G84" s="265">
        <f>Calculations!G787</f>
        <v>0</v>
      </c>
      <c r="H84" s="197">
        <f>Calculations!H787</f>
        <v>0</v>
      </c>
      <c r="I84" s="197">
        <f>Calculations!I787</f>
        <v>0</v>
      </c>
      <c r="J84" s="137">
        <f>Calculations!J787</f>
        <v>0</v>
      </c>
      <c r="K84" s="66">
        <f>Calculations!K787</f>
        <v>0</v>
      </c>
      <c r="L84" s="66">
        <f>Calculations!L787</f>
        <v>0</v>
      </c>
      <c r="M84">
        <f>Calculations!M787</f>
        <v>0</v>
      </c>
      <c r="N84" s="66">
        <f>Calculations!N787</f>
        <v>0</v>
      </c>
      <c r="O84" s="66">
        <f>Calculations!O787</f>
        <v>0</v>
      </c>
      <c r="P84" s="66">
        <f>Calculations!P787</f>
        <v>0</v>
      </c>
      <c r="Q84" s="204">
        <f>Calculations!Q787</f>
        <v>0</v>
      </c>
      <c r="R84" s="66">
        <f>Calculations!R787</f>
        <v>0</v>
      </c>
      <c r="S84" s="65">
        <f>Calculations!S787</f>
        <v>0</v>
      </c>
      <c r="T84" s="65">
        <f>Calculations!T787</f>
        <v>0</v>
      </c>
      <c r="U84" s="204">
        <f>Calculations!U787</f>
        <v>0</v>
      </c>
      <c r="V84" s="65">
        <f>Calculations!V787</f>
        <v>0</v>
      </c>
      <c r="W84" s="266">
        <f>Calculations!W787</f>
        <v>0</v>
      </c>
      <c r="X84" s="266">
        <f>Calculations!X787</f>
        <v>0</v>
      </c>
      <c r="Y84" s="266" t="e">
        <f>Calculations!Y787</f>
        <v>#DIV/0!</v>
      </c>
      <c r="Z84" s="266" t="e">
        <f>Calculations!Z787</f>
        <v>#DIV/0!</v>
      </c>
      <c r="AA84" s="266" t="e">
        <f>Calculations!AA787</f>
        <v>#DIV/0!</v>
      </c>
    </row>
    <row r="85" spans="1:27">
      <c r="A85" s="3">
        <f>Calculations!A788</f>
        <v>81</v>
      </c>
      <c r="B85">
        <f>Calculations!B788</f>
        <v>0</v>
      </c>
      <c r="C85">
        <f>Calculations!C788</f>
        <v>0</v>
      </c>
      <c r="D85">
        <f>Calculations!D788</f>
        <v>0</v>
      </c>
      <c r="E85" s="265">
        <f>Calculations!E788</f>
        <v>0</v>
      </c>
      <c r="F85" s="265">
        <f>Calculations!F788</f>
        <v>0</v>
      </c>
      <c r="G85" s="265">
        <f>Calculations!G788</f>
        <v>0</v>
      </c>
      <c r="H85" s="197">
        <f>Calculations!H788</f>
        <v>0</v>
      </c>
      <c r="I85" s="197">
        <f>Calculations!I788</f>
        <v>0</v>
      </c>
      <c r="J85" s="137">
        <f>Calculations!J788</f>
        <v>0</v>
      </c>
      <c r="K85" s="66">
        <f>Calculations!K788</f>
        <v>0</v>
      </c>
      <c r="L85" s="66">
        <f>Calculations!L788</f>
        <v>0</v>
      </c>
      <c r="M85">
        <f>Calculations!M788</f>
        <v>0</v>
      </c>
      <c r="N85" s="66">
        <f>Calculations!N788</f>
        <v>0</v>
      </c>
      <c r="O85" s="66">
        <f>Calculations!O788</f>
        <v>0</v>
      </c>
      <c r="P85" s="66">
        <f>Calculations!P788</f>
        <v>0</v>
      </c>
      <c r="Q85" s="204">
        <f>Calculations!Q788</f>
        <v>0</v>
      </c>
      <c r="R85" s="66">
        <f>Calculations!R788</f>
        <v>0</v>
      </c>
      <c r="S85" s="65">
        <f>Calculations!S788</f>
        <v>0</v>
      </c>
      <c r="T85" s="65">
        <f>Calculations!T788</f>
        <v>0</v>
      </c>
      <c r="U85" s="204">
        <f>Calculations!U788</f>
        <v>0</v>
      </c>
      <c r="V85" s="65">
        <f>Calculations!V788</f>
        <v>0</v>
      </c>
      <c r="W85" s="266">
        <f>Calculations!W788</f>
        <v>0</v>
      </c>
      <c r="X85" s="266">
        <f>Calculations!X788</f>
        <v>0</v>
      </c>
      <c r="Y85" s="266" t="e">
        <f>Calculations!Y788</f>
        <v>#DIV/0!</v>
      </c>
      <c r="Z85" s="266" t="e">
        <f>Calculations!Z788</f>
        <v>#DIV/0!</v>
      </c>
      <c r="AA85" s="266" t="e">
        <f>Calculations!AA788</f>
        <v>#DIV/0!</v>
      </c>
    </row>
    <row r="86" spans="1:27">
      <c r="A86" s="3">
        <f>Calculations!A789</f>
        <v>82</v>
      </c>
      <c r="B86">
        <f>Calculations!B789</f>
        <v>0</v>
      </c>
      <c r="C86">
        <f>Calculations!C789</f>
        <v>0</v>
      </c>
      <c r="D86">
        <f>Calculations!D789</f>
        <v>0</v>
      </c>
      <c r="E86" s="265">
        <f>Calculations!E789</f>
        <v>0</v>
      </c>
      <c r="F86" s="265">
        <f>Calculations!F789</f>
        <v>0</v>
      </c>
      <c r="G86" s="265">
        <f>Calculations!G789</f>
        <v>0</v>
      </c>
      <c r="H86" s="197">
        <f>Calculations!H789</f>
        <v>0</v>
      </c>
      <c r="I86" s="197">
        <f>Calculations!I789</f>
        <v>0</v>
      </c>
      <c r="J86" s="137">
        <f>Calculations!J789</f>
        <v>0</v>
      </c>
      <c r="K86" s="66">
        <f>Calculations!K789</f>
        <v>0</v>
      </c>
      <c r="L86" s="66">
        <f>Calculations!L789</f>
        <v>0</v>
      </c>
      <c r="M86">
        <f>Calculations!M789</f>
        <v>0</v>
      </c>
      <c r="N86" s="66">
        <f>Calculations!N789</f>
        <v>0</v>
      </c>
      <c r="O86" s="66">
        <f>Calculations!O789</f>
        <v>0</v>
      </c>
      <c r="P86" s="66">
        <f>Calculations!P789</f>
        <v>0</v>
      </c>
      <c r="Q86" s="204">
        <f>Calculations!Q789</f>
        <v>0</v>
      </c>
      <c r="R86" s="66">
        <f>Calculations!R789</f>
        <v>0</v>
      </c>
      <c r="S86" s="65">
        <f>Calculations!S789</f>
        <v>0</v>
      </c>
      <c r="T86" s="65">
        <f>Calculations!T789</f>
        <v>0</v>
      </c>
      <c r="U86" s="204">
        <f>Calculations!U789</f>
        <v>0</v>
      </c>
      <c r="V86" s="65">
        <f>Calculations!V789</f>
        <v>0</v>
      </c>
      <c r="W86" s="266">
        <f>Calculations!W789</f>
        <v>0</v>
      </c>
      <c r="X86" s="266">
        <f>Calculations!X789</f>
        <v>0</v>
      </c>
      <c r="Y86" s="266" t="e">
        <f>Calculations!Y789</f>
        <v>#DIV/0!</v>
      </c>
      <c r="Z86" s="266" t="e">
        <f>Calculations!Z789</f>
        <v>#DIV/0!</v>
      </c>
      <c r="AA86" s="266" t="e">
        <f>Calculations!AA789</f>
        <v>#DIV/0!</v>
      </c>
    </row>
    <row r="87" spans="1:27">
      <c r="A87" s="3">
        <f>Calculations!A790</f>
        <v>83</v>
      </c>
      <c r="B87">
        <f>Calculations!B790</f>
        <v>0</v>
      </c>
      <c r="C87">
        <f>Calculations!C790</f>
        <v>0</v>
      </c>
      <c r="D87">
        <f>Calculations!D790</f>
        <v>0</v>
      </c>
      <c r="E87" s="265">
        <f>Calculations!E790</f>
        <v>0</v>
      </c>
      <c r="F87" s="265">
        <f>Calculations!F790</f>
        <v>0</v>
      </c>
      <c r="G87" s="265">
        <f>Calculations!G790</f>
        <v>0</v>
      </c>
      <c r="H87" s="197">
        <f>Calculations!H790</f>
        <v>0</v>
      </c>
      <c r="I87" s="197">
        <f>Calculations!I790</f>
        <v>0</v>
      </c>
      <c r="J87" s="137">
        <f>Calculations!J790</f>
        <v>0</v>
      </c>
      <c r="K87" s="66">
        <f>Calculations!K790</f>
        <v>0</v>
      </c>
      <c r="L87" s="66">
        <f>Calculations!L790</f>
        <v>0</v>
      </c>
      <c r="M87">
        <f>Calculations!M790</f>
        <v>0</v>
      </c>
      <c r="N87" s="66">
        <f>Calculations!N790</f>
        <v>0</v>
      </c>
      <c r="O87" s="66">
        <f>Calculations!O790</f>
        <v>0</v>
      </c>
      <c r="P87" s="66">
        <f>Calculations!P790</f>
        <v>0</v>
      </c>
      <c r="Q87" s="204">
        <f>Calculations!Q790</f>
        <v>0</v>
      </c>
      <c r="R87" s="66">
        <f>Calculations!R790</f>
        <v>0</v>
      </c>
      <c r="S87" s="65">
        <f>Calculations!S790</f>
        <v>0</v>
      </c>
      <c r="T87" s="65">
        <f>Calculations!T790</f>
        <v>0</v>
      </c>
      <c r="U87" s="204">
        <f>Calculations!U790</f>
        <v>0</v>
      </c>
      <c r="V87" s="65">
        <f>Calculations!V790</f>
        <v>0</v>
      </c>
      <c r="W87" s="266">
        <f>Calculations!W790</f>
        <v>0</v>
      </c>
      <c r="X87" s="266">
        <f>Calculations!X790</f>
        <v>0</v>
      </c>
      <c r="Y87" s="266" t="e">
        <f>Calculations!Y790</f>
        <v>#DIV/0!</v>
      </c>
      <c r="Z87" s="266" t="e">
        <f>Calculations!Z790</f>
        <v>#DIV/0!</v>
      </c>
      <c r="AA87" s="266" t="e">
        <f>Calculations!AA790</f>
        <v>#DIV/0!</v>
      </c>
    </row>
    <row r="88" spans="1:27">
      <c r="A88" s="3">
        <f>Calculations!A791</f>
        <v>84</v>
      </c>
      <c r="B88">
        <f>Calculations!B791</f>
        <v>0</v>
      </c>
      <c r="C88">
        <f>Calculations!C791</f>
        <v>0</v>
      </c>
      <c r="D88">
        <f>Calculations!D791</f>
        <v>0</v>
      </c>
      <c r="E88" s="265">
        <f>Calculations!E791</f>
        <v>0</v>
      </c>
      <c r="F88" s="265">
        <f>Calculations!F791</f>
        <v>0</v>
      </c>
      <c r="G88" s="265">
        <f>Calculations!G791</f>
        <v>0</v>
      </c>
      <c r="H88" s="197">
        <f>Calculations!H791</f>
        <v>0</v>
      </c>
      <c r="I88" s="197">
        <f>Calculations!I791</f>
        <v>0</v>
      </c>
      <c r="J88" s="137">
        <f>Calculations!J791</f>
        <v>0</v>
      </c>
      <c r="K88" s="66">
        <f>Calculations!K791</f>
        <v>0</v>
      </c>
      <c r="L88" s="66">
        <f>Calculations!L791</f>
        <v>0</v>
      </c>
      <c r="M88">
        <f>Calculations!M791</f>
        <v>0</v>
      </c>
      <c r="N88" s="66">
        <f>Calculations!N791</f>
        <v>0</v>
      </c>
      <c r="O88" s="66">
        <f>Calculations!O791</f>
        <v>0</v>
      </c>
      <c r="P88" s="66">
        <f>Calculations!P791</f>
        <v>0</v>
      </c>
      <c r="Q88" s="204">
        <f>Calculations!Q791</f>
        <v>0</v>
      </c>
      <c r="R88" s="66">
        <f>Calculations!R791</f>
        <v>0</v>
      </c>
      <c r="S88" s="65">
        <f>Calculations!S791</f>
        <v>0</v>
      </c>
      <c r="T88" s="65">
        <f>Calculations!T791</f>
        <v>0</v>
      </c>
      <c r="U88" s="204">
        <f>Calculations!U791</f>
        <v>0</v>
      </c>
      <c r="V88" s="65">
        <f>Calculations!V791</f>
        <v>0</v>
      </c>
      <c r="W88" s="266">
        <f>Calculations!W791</f>
        <v>0</v>
      </c>
      <c r="X88" s="266">
        <f>Calculations!X791</f>
        <v>0</v>
      </c>
      <c r="Y88" s="266" t="e">
        <f>Calculations!Y791</f>
        <v>#DIV/0!</v>
      </c>
      <c r="Z88" s="266" t="e">
        <f>Calculations!Z791</f>
        <v>#DIV/0!</v>
      </c>
      <c r="AA88" s="266" t="e">
        <f>Calculations!AA791</f>
        <v>#DIV/0!</v>
      </c>
    </row>
    <row r="89" spans="1:27">
      <c r="A89" s="3">
        <f>Calculations!A792</f>
        <v>85</v>
      </c>
      <c r="B89">
        <f>Calculations!B792</f>
        <v>0</v>
      </c>
      <c r="C89">
        <f>Calculations!C792</f>
        <v>0</v>
      </c>
      <c r="D89">
        <f>Calculations!D792</f>
        <v>0</v>
      </c>
      <c r="E89" s="265">
        <f>Calculations!E792</f>
        <v>0</v>
      </c>
      <c r="F89" s="265">
        <f>Calculations!F792</f>
        <v>0</v>
      </c>
      <c r="G89" s="265">
        <f>Calculations!G792</f>
        <v>0</v>
      </c>
      <c r="H89" s="197">
        <f>Calculations!H792</f>
        <v>0</v>
      </c>
      <c r="I89" s="197">
        <f>Calculations!I792</f>
        <v>0</v>
      </c>
      <c r="J89" s="137">
        <f>Calculations!J792</f>
        <v>0</v>
      </c>
      <c r="K89" s="66">
        <f>Calculations!K792</f>
        <v>0</v>
      </c>
      <c r="L89" s="66">
        <f>Calculations!L792</f>
        <v>0</v>
      </c>
      <c r="M89">
        <f>Calculations!M792</f>
        <v>0</v>
      </c>
      <c r="N89" s="66">
        <f>Calculations!N792</f>
        <v>0</v>
      </c>
      <c r="O89" s="66">
        <f>Calculations!O792</f>
        <v>0</v>
      </c>
      <c r="P89" s="66">
        <f>Calculations!P792</f>
        <v>0</v>
      </c>
      <c r="Q89" s="204">
        <f>Calculations!Q792</f>
        <v>0</v>
      </c>
      <c r="R89" s="66">
        <f>Calculations!R792</f>
        <v>0</v>
      </c>
      <c r="S89" s="65">
        <f>Calculations!S792</f>
        <v>0</v>
      </c>
      <c r="T89" s="65">
        <f>Calculations!T792</f>
        <v>0</v>
      </c>
      <c r="U89" s="204">
        <f>Calculations!U792</f>
        <v>0</v>
      </c>
      <c r="V89" s="65">
        <f>Calculations!V792</f>
        <v>0</v>
      </c>
      <c r="W89" s="266">
        <f>Calculations!W792</f>
        <v>0</v>
      </c>
      <c r="X89" s="266">
        <f>Calculations!X792</f>
        <v>0</v>
      </c>
      <c r="Y89" s="266" t="e">
        <f>Calculations!Y792</f>
        <v>#DIV/0!</v>
      </c>
      <c r="Z89" s="266" t="e">
        <f>Calculations!Z792</f>
        <v>#DIV/0!</v>
      </c>
      <c r="AA89" s="266" t="e">
        <f>Calculations!AA792</f>
        <v>#DIV/0!</v>
      </c>
    </row>
    <row r="90" spans="1:27">
      <c r="A90" s="3">
        <f>Calculations!A793</f>
        <v>86</v>
      </c>
      <c r="B90">
        <f>Calculations!B793</f>
        <v>0</v>
      </c>
      <c r="C90">
        <f>Calculations!C793</f>
        <v>0</v>
      </c>
      <c r="D90">
        <f>Calculations!D793</f>
        <v>0</v>
      </c>
      <c r="E90" s="265">
        <f>Calculations!E793</f>
        <v>0</v>
      </c>
      <c r="F90" s="265">
        <f>Calculations!F793</f>
        <v>0</v>
      </c>
      <c r="G90" s="265">
        <f>Calculations!G793</f>
        <v>0</v>
      </c>
      <c r="H90" s="197">
        <f>Calculations!H793</f>
        <v>0</v>
      </c>
      <c r="I90" s="197">
        <f>Calculations!I793</f>
        <v>0</v>
      </c>
      <c r="J90" s="137">
        <f>Calculations!J793</f>
        <v>0</v>
      </c>
      <c r="K90" s="66">
        <f>Calculations!K793</f>
        <v>0</v>
      </c>
      <c r="L90" s="66">
        <f>Calculations!L793</f>
        <v>0</v>
      </c>
      <c r="M90">
        <f>Calculations!M793</f>
        <v>0</v>
      </c>
      <c r="N90" s="66">
        <f>Calculations!N793</f>
        <v>0</v>
      </c>
      <c r="O90" s="66">
        <f>Calculations!O793</f>
        <v>0</v>
      </c>
      <c r="P90" s="66">
        <f>Calculations!P793</f>
        <v>0</v>
      </c>
      <c r="Q90" s="204">
        <f>Calculations!Q793</f>
        <v>0</v>
      </c>
      <c r="R90" s="66">
        <f>Calculations!R793</f>
        <v>0</v>
      </c>
      <c r="S90" s="65">
        <f>Calculations!S793</f>
        <v>0</v>
      </c>
      <c r="T90" s="65">
        <f>Calculations!T793</f>
        <v>0</v>
      </c>
      <c r="U90" s="204">
        <f>Calculations!U793</f>
        <v>0</v>
      </c>
      <c r="V90" s="65">
        <f>Calculations!V793</f>
        <v>0</v>
      </c>
      <c r="W90" s="266">
        <f>Calculations!W793</f>
        <v>0</v>
      </c>
      <c r="X90" s="266">
        <f>Calculations!X793</f>
        <v>0</v>
      </c>
      <c r="Y90" s="266" t="e">
        <f>Calculations!Y793</f>
        <v>#DIV/0!</v>
      </c>
      <c r="Z90" s="266" t="e">
        <f>Calculations!Z793</f>
        <v>#DIV/0!</v>
      </c>
      <c r="AA90" s="266" t="e">
        <f>Calculations!AA793</f>
        <v>#DIV/0!</v>
      </c>
    </row>
    <row r="91" spans="1:27">
      <c r="A91" s="3">
        <f>Calculations!A794</f>
        <v>87</v>
      </c>
      <c r="B91">
        <f>Calculations!B794</f>
        <v>0</v>
      </c>
      <c r="C91">
        <f>Calculations!C794</f>
        <v>0</v>
      </c>
      <c r="D91">
        <f>Calculations!D794</f>
        <v>0</v>
      </c>
      <c r="E91" s="265">
        <f>Calculations!E794</f>
        <v>0</v>
      </c>
      <c r="F91" s="265">
        <f>Calculations!F794</f>
        <v>0</v>
      </c>
      <c r="G91" s="265">
        <f>Calculations!G794</f>
        <v>0</v>
      </c>
      <c r="H91" s="197">
        <f>Calculations!H794</f>
        <v>0</v>
      </c>
      <c r="I91" s="197">
        <f>Calculations!I794</f>
        <v>0</v>
      </c>
      <c r="J91" s="137">
        <f>Calculations!J794</f>
        <v>0</v>
      </c>
      <c r="K91" s="66">
        <f>Calculations!K794</f>
        <v>0</v>
      </c>
      <c r="L91" s="66">
        <f>Calculations!L794</f>
        <v>0</v>
      </c>
      <c r="M91">
        <f>Calculations!M794</f>
        <v>0</v>
      </c>
      <c r="N91" s="66">
        <f>Calculations!N794</f>
        <v>0</v>
      </c>
      <c r="O91" s="66">
        <f>Calculations!O794</f>
        <v>0</v>
      </c>
      <c r="P91" s="66">
        <f>Calculations!P794</f>
        <v>0</v>
      </c>
      <c r="Q91" s="204">
        <f>Calculations!Q794</f>
        <v>0</v>
      </c>
      <c r="R91" s="66">
        <f>Calculations!R794</f>
        <v>0</v>
      </c>
      <c r="S91" s="65">
        <f>Calculations!S794</f>
        <v>0</v>
      </c>
      <c r="T91" s="65">
        <f>Calculations!T794</f>
        <v>0</v>
      </c>
      <c r="U91" s="204">
        <f>Calculations!U794</f>
        <v>0</v>
      </c>
      <c r="V91" s="65">
        <f>Calculations!V794</f>
        <v>0</v>
      </c>
      <c r="W91" s="266">
        <f>Calculations!W794</f>
        <v>0</v>
      </c>
      <c r="X91" s="266">
        <f>Calculations!X794</f>
        <v>0</v>
      </c>
      <c r="Y91" s="266" t="e">
        <f>Calculations!Y794</f>
        <v>#DIV/0!</v>
      </c>
      <c r="Z91" s="266" t="e">
        <f>Calculations!Z794</f>
        <v>#DIV/0!</v>
      </c>
      <c r="AA91" s="266" t="e">
        <f>Calculations!AA794</f>
        <v>#DIV/0!</v>
      </c>
    </row>
    <row r="92" spans="1:27">
      <c r="A92" s="3">
        <f>Calculations!A795</f>
        <v>88</v>
      </c>
      <c r="B92">
        <f>Calculations!B795</f>
        <v>0</v>
      </c>
      <c r="C92">
        <f>Calculations!C795</f>
        <v>0</v>
      </c>
      <c r="D92">
        <f>Calculations!D795</f>
        <v>0</v>
      </c>
      <c r="E92" s="265">
        <f>Calculations!E795</f>
        <v>0</v>
      </c>
      <c r="F92" s="265">
        <f>Calculations!F795</f>
        <v>0</v>
      </c>
      <c r="G92" s="265">
        <f>Calculations!G795</f>
        <v>0</v>
      </c>
      <c r="H92" s="197">
        <f>Calculations!H795</f>
        <v>0</v>
      </c>
      <c r="I92" s="197">
        <f>Calculations!I795</f>
        <v>0</v>
      </c>
      <c r="J92" s="137">
        <f>Calculations!J795</f>
        <v>0</v>
      </c>
      <c r="K92" s="66">
        <f>Calculations!K795</f>
        <v>0</v>
      </c>
      <c r="L92" s="66">
        <f>Calculations!L795</f>
        <v>0</v>
      </c>
      <c r="M92">
        <f>Calculations!M795</f>
        <v>0</v>
      </c>
      <c r="N92" s="66">
        <f>Calculations!N795</f>
        <v>0</v>
      </c>
      <c r="O92" s="66">
        <f>Calculations!O795</f>
        <v>0</v>
      </c>
      <c r="P92" s="66">
        <f>Calculations!P795</f>
        <v>0</v>
      </c>
      <c r="Q92" s="204">
        <f>Calculations!Q795</f>
        <v>0</v>
      </c>
      <c r="R92" s="66">
        <f>Calculations!R795</f>
        <v>0</v>
      </c>
      <c r="S92" s="65">
        <f>Calculations!S795</f>
        <v>0</v>
      </c>
      <c r="T92" s="65">
        <f>Calculations!T795</f>
        <v>0</v>
      </c>
      <c r="U92" s="204">
        <f>Calculations!U795</f>
        <v>0</v>
      </c>
      <c r="V92" s="65">
        <f>Calculations!V795</f>
        <v>0</v>
      </c>
      <c r="W92" s="266">
        <f>Calculations!W795</f>
        <v>0</v>
      </c>
      <c r="X92" s="266">
        <f>Calculations!X795</f>
        <v>0</v>
      </c>
      <c r="Y92" s="266" t="e">
        <f>Calculations!Y795</f>
        <v>#DIV/0!</v>
      </c>
      <c r="Z92" s="266" t="e">
        <f>Calculations!Z795</f>
        <v>#DIV/0!</v>
      </c>
      <c r="AA92" s="266" t="e">
        <f>Calculations!AA795</f>
        <v>#DIV/0!</v>
      </c>
    </row>
    <row r="93" spans="1:27">
      <c r="A93" s="3">
        <f>Calculations!A796</f>
        <v>89</v>
      </c>
      <c r="B93">
        <f>Calculations!B796</f>
        <v>0</v>
      </c>
      <c r="C93">
        <f>Calculations!C796</f>
        <v>0</v>
      </c>
      <c r="D93">
        <f>Calculations!D796</f>
        <v>0</v>
      </c>
      <c r="E93" s="265">
        <f>Calculations!E796</f>
        <v>0</v>
      </c>
      <c r="F93" s="265">
        <f>Calculations!F796</f>
        <v>0</v>
      </c>
      <c r="G93" s="265">
        <f>Calculations!G796</f>
        <v>0</v>
      </c>
      <c r="H93" s="197">
        <f>Calculations!H796</f>
        <v>0</v>
      </c>
      <c r="I93" s="197">
        <f>Calculations!I796</f>
        <v>0</v>
      </c>
      <c r="J93" s="137">
        <f>Calculations!J796</f>
        <v>0</v>
      </c>
      <c r="K93" s="66">
        <f>Calculations!K796</f>
        <v>0</v>
      </c>
      <c r="L93" s="66">
        <f>Calculations!L796</f>
        <v>0</v>
      </c>
      <c r="M93">
        <f>Calculations!M796</f>
        <v>0</v>
      </c>
      <c r="N93" s="66">
        <f>Calculations!N796</f>
        <v>0</v>
      </c>
      <c r="O93" s="66">
        <f>Calculations!O796</f>
        <v>0</v>
      </c>
      <c r="P93" s="66">
        <f>Calculations!P796</f>
        <v>0</v>
      </c>
      <c r="Q93" s="204">
        <f>Calculations!Q796</f>
        <v>0</v>
      </c>
      <c r="R93" s="66">
        <f>Calculations!R796</f>
        <v>0</v>
      </c>
      <c r="S93" s="65">
        <f>Calculations!S796</f>
        <v>0</v>
      </c>
      <c r="T93" s="65">
        <f>Calculations!T796</f>
        <v>0</v>
      </c>
      <c r="U93" s="204">
        <f>Calculations!U796</f>
        <v>0</v>
      </c>
      <c r="V93" s="65">
        <f>Calculations!V796</f>
        <v>0</v>
      </c>
      <c r="W93" s="266">
        <f>Calculations!W796</f>
        <v>0</v>
      </c>
      <c r="X93" s="266">
        <f>Calculations!X796</f>
        <v>0</v>
      </c>
      <c r="Y93" s="266" t="e">
        <f>Calculations!Y796</f>
        <v>#DIV/0!</v>
      </c>
      <c r="Z93" s="266" t="e">
        <f>Calculations!Z796</f>
        <v>#DIV/0!</v>
      </c>
      <c r="AA93" s="266" t="e">
        <f>Calculations!AA796</f>
        <v>#DIV/0!</v>
      </c>
    </row>
    <row r="94" spans="1:27">
      <c r="A94" s="3">
        <f>Calculations!A797</f>
        <v>90</v>
      </c>
      <c r="B94">
        <f>Calculations!B797</f>
        <v>0</v>
      </c>
      <c r="C94">
        <f>Calculations!C797</f>
        <v>0</v>
      </c>
      <c r="D94">
        <f>Calculations!D797</f>
        <v>0</v>
      </c>
      <c r="E94" s="265">
        <f>Calculations!E797</f>
        <v>0</v>
      </c>
      <c r="F94" s="265">
        <f>Calculations!F797</f>
        <v>0</v>
      </c>
      <c r="G94" s="265">
        <f>Calculations!G797</f>
        <v>0</v>
      </c>
      <c r="H94" s="197">
        <f>Calculations!H797</f>
        <v>0</v>
      </c>
      <c r="I94" s="197">
        <f>Calculations!I797</f>
        <v>0</v>
      </c>
      <c r="J94" s="137">
        <f>Calculations!J797</f>
        <v>0</v>
      </c>
      <c r="K94" s="66">
        <f>Calculations!K797</f>
        <v>0</v>
      </c>
      <c r="L94" s="66">
        <f>Calculations!L797</f>
        <v>0</v>
      </c>
      <c r="M94">
        <f>Calculations!M797</f>
        <v>0</v>
      </c>
      <c r="N94" s="66">
        <f>Calculations!N797</f>
        <v>0</v>
      </c>
      <c r="O94" s="66">
        <f>Calculations!O797</f>
        <v>0</v>
      </c>
      <c r="P94" s="66">
        <f>Calculations!P797</f>
        <v>0</v>
      </c>
      <c r="Q94" s="204">
        <f>Calculations!Q797</f>
        <v>0</v>
      </c>
      <c r="R94" s="66">
        <f>Calculations!R797</f>
        <v>0</v>
      </c>
      <c r="S94" s="65">
        <f>Calculations!S797</f>
        <v>0</v>
      </c>
      <c r="T94" s="65">
        <f>Calculations!T797</f>
        <v>0</v>
      </c>
      <c r="U94" s="204">
        <f>Calculations!U797</f>
        <v>0</v>
      </c>
      <c r="V94" s="65">
        <f>Calculations!V797</f>
        <v>0</v>
      </c>
      <c r="W94" s="266">
        <f>Calculations!W797</f>
        <v>0</v>
      </c>
      <c r="X94" s="266">
        <f>Calculations!X797</f>
        <v>0</v>
      </c>
      <c r="Y94" s="266" t="e">
        <f>Calculations!Y797</f>
        <v>#DIV/0!</v>
      </c>
      <c r="Z94" s="266" t="e">
        <f>Calculations!Z797</f>
        <v>#DIV/0!</v>
      </c>
      <c r="AA94" s="266" t="e">
        <f>Calculations!AA797</f>
        <v>#DIV/0!</v>
      </c>
    </row>
    <row r="95" spans="1:27">
      <c r="A95" s="3">
        <f>Calculations!A798</f>
        <v>91</v>
      </c>
      <c r="B95">
        <f>Calculations!B798</f>
        <v>0</v>
      </c>
      <c r="C95">
        <f>Calculations!C798</f>
        <v>0</v>
      </c>
      <c r="D95">
        <f>Calculations!D798</f>
        <v>0</v>
      </c>
      <c r="E95" s="265">
        <f>Calculations!E798</f>
        <v>0</v>
      </c>
      <c r="F95" s="265">
        <f>Calculations!F798</f>
        <v>0</v>
      </c>
      <c r="G95" s="265">
        <f>Calculations!G798</f>
        <v>0</v>
      </c>
      <c r="H95" s="197">
        <f>Calculations!H798</f>
        <v>0</v>
      </c>
      <c r="I95" s="197">
        <f>Calculations!I798</f>
        <v>0</v>
      </c>
      <c r="J95" s="137">
        <f>Calculations!J798</f>
        <v>0</v>
      </c>
      <c r="K95" s="66">
        <f>Calculations!K798</f>
        <v>0</v>
      </c>
      <c r="L95" s="66">
        <f>Calculations!L798</f>
        <v>0</v>
      </c>
      <c r="M95">
        <f>Calculations!M798</f>
        <v>0</v>
      </c>
      <c r="N95" s="66">
        <f>Calculations!N798</f>
        <v>0</v>
      </c>
      <c r="O95" s="66">
        <f>Calculations!O798</f>
        <v>0</v>
      </c>
      <c r="P95" s="66">
        <f>Calculations!P798</f>
        <v>0</v>
      </c>
      <c r="Q95" s="204">
        <f>Calculations!Q798</f>
        <v>0</v>
      </c>
      <c r="R95" s="66">
        <f>Calculations!R798</f>
        <v>0</v>
      </c>
      <c r="S95" s="65">
        <f>Calculations!S798</f>
        <v>0</v>
      </c>
      <c r="T95" s="65">
        <f>Calculations!T798</f>
        <v>0</v>
      </c>
      <c r="U95" s="204">
        <f>Calculations!U798</f>
        <v>0</v>
      </c>
      <c r="V95" s="65">
        <f>Calculations!V798</f>
        <v>0</v>
      </c>
      <c r="W95" s="266">
        <f>Calculations!W798</f>
        <v>0</v>
      </c>
      <c r="X95" s="266">
        <f>Calculations!X798</f>
        <v>0</v>
      </c>
      <c r="Y95" s="266" t="e">
        <f>Calculations!Y798</f>
        <v>#DIV/0!</v>
      </c>
      <c r="Z95" s="266" t="e">
        <f>Calculations!Z798</f>
        <v>#DIV/0!</v>
      </c>
      <c r="AA95" s="266" t="e">
        <f>Calculations!AA798</f>
        <v>#DIV/0!</v>
      </c>
    </row>
    <row r="96" spans="1:27">
      <c r="A96" s="3">
        <f>Calculations!A799</f>
        <v>92</v>
      </c>
      <c r="B96">
        <f>Calculations!B799</f>
        <v>0</v>
      </c>
      <c r="C96">
        <f>Calculations!C799</f>
        <v>0</v>
      </c>
      <c r="D96">
        <f>Calculations!D799</f>
        <v>0</v>
      </c>
      <c r="E96" s="265">
        <f>Calculations!E799</f>
        <v>0</v>
      </c>
      <c r="F96" s="265">
        <f>Calculations!F799</f>
        <v>0</v>
      </c>
      <c r="G96" s="265">
        <f>Calculations!G799</f>
        <v>0</v>
      </c>
      <c r="H96" s="197">
        <f>Calculations!H799</f>
        <v>0</v>
      </c>
      <c r="I96" s="197">
        <f>Calculations!I799</f>
        <v>0</v>
      </c>
      <c r="J96" s="137">
        <f>Calculations!J799</f>
        <v>0</v>
      </c>
      <c r="K96" s="66">
        <f>Calculations!K799</f>
        <v>0</v>
      </c>
      <c r="L96" s="66">
        <f>Calculations!L799</f>
        <v>0</v>
      </c>
      <c r="M96">
        <f>Calculations!M799</f>
        <v>0</v>
      </c>
      <c r="N96" s="66">
        <f>Calculations!N799</f>
        <v>0</v>
      </c>
      <c r="O96" s="66">
        <f>Calculations!O799</f>
        <v>0</v>
      </c>
      <c r="P96" s="66">
        <f>Calculations!P799</f>
        <v>0</v>
      </c>
      <c r="Q96" s="204">
        <f>Calculations!Q799</f>
        <v>0</v>
      </c>
      <c r="R96" s="66">
        <f>Calculations!R799</f>
        <v>0</v>
      </c>
      <c r="S96" s="65">
        <f>Calculations!S799</f>
        <v>0</v>
      </c>
      <c r="T96" s="65">
        <f>Calculations!T799</f>
        <v>0</v>
      </c>
      <c r="U96" s="204">
        <f>Calculations!U799</f>
        <v>0</v>
      </c>
      <c r="V96" s="65">
        <f>Calculations!V799</f>
        <v>0</v>
      </c>
      <c r="W96" s="266">
        <f>Calculations!W799</f>
        <v>0</v>
      </c>
      <c r="X96" s="266">
        <f>Calculations!X799</f>
        <v>0</v>
      </c>
      <c r="Y96" s="266" t="e">
        <f>Calculations!Y799</f>
        <v>#DIV/0!</v>
      </c>
      <c r="Z96" s="266" t="e">
        <f>Calculations!Z799</f>
        <v>#DIV/0!</v>
      </c>
      <c r="AA96" s="266" t="e">
        <f>Calculations!AA799</f>
        <v>#DIV/0!</v>
      </c>
    </row>
    <row r="97" spans="1:27">
      <c r="A97" s="3">
        <f>Calculations!A800</f>
        <v>93</v>
      </c>
      <c r="B97">
        <f>Calculations!B800</f>
        <v>0</v>
      </c>
      <c r="C97">
        <f>Calculations!C800</f>
        <v>0</v>
      </c>
      <c r="D97">
        <f>Calculations!D800</f>
        <v>0</v>
      </c>
      <c r="E97" s="265">
        <f>Calculations!E800</f>
        <v>0</v>
      </c>
      <c r="F97" s="265">
        <f>Calculations!F800</f>
        <v>0</v>
      </c>
      <c r="G97" s="265">
        <f>Calculations!G800</f>
        <v>0</v>
      </c>
      <c r="H97" s="197">
        <f>Calculations!H800</f>
        <v>0</v>
      </c>
      <c r="I97" s="197">
        <f>Calculations!I800</f>
        <v>0</v>
      </c>
      <c r="J97" s="137">
        <f>Calculations!J800</f>
        <v>0</v>
      </c>
      <c r="K97" s="66">
        <f>Calculations!K800</f>
        <v>0</v>
      </c>
      <c r="L97" s="66">
        <f>Calculations!L800</f>
        <v>0</v>
      </c>
      <c r="M97">
        <f>Calculations!M800</f>
        <v>0</v>
      </c>
      <c r="N97" s="66">
        <f>Calculations!N800</f>
        <v>0</v>
      </c>
      <c r="O97" s="66">
        <f>Calculations!O800</f>
        <v>0</v>
      </c>
      <c r="P97" s="66">
        <f>Calculations!P800</f>
        <v>0</v>
      </c>
      <c r="Q97" s="204">
        <f>Calculations!Q800</f>
        <v>0</v>
      </c>
      <c r="R97" s="66">
        <f>Calculations!R800</f>
        <v>0</v>
      </c>
      <c r="S97" s="65">
        <f>Calculations!S800</f>
        <v>0</v>
      </c>
      <c r="T97" s="65">
        <f>Calculations!T800</f>
        <v>0</v>
      </c>
      <c r="U97" s="204">
        <f>Calculations!U800</f>
        <v>0</v>
      </c>
      <c r="V97" s="65">
        <f>Calculations!V800</f>
        <v>0</v>
      </c>
      <c r="W97" s="266">
        <f>Calculations!W800</f>
        <v>0</v>
      </c>
      <c r="X97" s="266">
        <f>Calculations!X800</f>
        <v>0</v>
      </c>
      <c r="Y97" s="266" t="e">
        <f>Calculations!Y800</f>
        <v>#DIV/0!</v>
      </c>
      <c r="Z97" s="266" t="e">
        <f>Calculations!Z800</f>
        <v>#DIV/0!</v>
      </c>
      <c r="AA97" s="266" t="e">
        <f>Calculations!AA800</f>
        <v>#DIV/0!</v>
      </c>
    </row>
    <row r="98" spans="1:27">
      <c r="A98" s="3">
        <f>Calculations!A801</f>
        <v>94</v>
      </c>
      <c r="B98">
        <f>Calculations!B801</f>
        <v>0</v>
      </c>
      <c r="C98">
        <f>Calculations!C801</f>
        <v>0</v>
      </c>
      <c r="D98">
        <f>Calculations!D801</f>
        <v>0</v>
      </c>
      <c r="E98" s="265">
        <f>Calculations!E801</f>
        <v>0</v>
      </c>
      <c r="F98" s="265">
        <f>Calculations!F801</f>
        <v>0</v>
      </c>
      <c r="G98" s="265">
        <f>Calculations!G801</f>
        <v>0</v>
      </c>
      <c r="H98" s="197">
        <f>Calculations!H801</f>
        <v>0</v>
      </c>
      <c r="I98" s="197">
        <f>Calculations!I801</f>
        <v>0</v>
      </c>
      <c r="J98" s="137">
        <f>Calculations!J801</f>
        <v>0</v>
      </c>
      <c r="K98" s="66">
        <f>Calculations!K801</f>
        <v>0</v>
      </c>
      <c r="L98" s="66">
        <f>Calculations!L801</f>
        <v>0</v>
      </c>
      <c r="M98">
        <f>Calculations!M801</f>
        <v>0</v>
      </c>
      <c r="N98" s="66">
        <f>Calculations!N801</f>
        <v>0</v>
      </c>
      <c r="O98" s="66">
        <f>Calculations!O801</f>
        <v>0</v>
      </c>
      <c r="P98" s="66">
        <f>Calculations!P801</f>
        <v>0</v>
      </c>
      <c r="Q98" s="204">
        <f>Calculations!Q801</f>
        <v>0</v>
      </c>
      <c r="R98" s="66">
        <f>Calculations!R801</f>
        <v>0</v>
      </c>
      <c r="S98" s="65">
        <f>Calculations!S801</f>
        <v>0</v>
      </c>
      <c r="T98" s="65">
        <f>Calculations!T801</f>
        <v>0</v>
      </c>
      <c r="U98" s="204">
        <f>Calculations!U801</f>
        <v>0</v>
      </c>
      <c r="V98" s="65">
        <f>Calculations!V801</f>
        <v>0</v>
      </c>
      <c r="W98" s="266">
        <f>Calculations!W801</f>
        <v>0</v>
      </c>
      <c r="X98" s="266">
        <f>Calculations!X801</f>
        <v>0</v>
      </c>
      <c r="Y98" s="266" t="e">
        <f>Calculations!Y801</f>
        <v>#DIV/0!</v>
      </c>
      <c r="Z98" s="266" t="e">
        <f>Calculations!Z801</f>
        <v>#DIV/0!</v>
      </c>
      <c r="AA98" s="266" t="e">
        <f>Calculations!AA801</f>
        <v>#DIV/0!</v>
      </c>
    </row>
    <row r="99" spans="1:27">
      <c r="A99" s="3">
        <f>Calculations!A802</f>
        <v>95</v>
      </c>
      <c r="B99">
        <f>Calculations!B802</f>
        <v>0</v>
      </c>
      <c r="C99">
        <f>Calculations!C802</f>
        <v>0</v>
      </c>
      <c r="D99">
        <f>Calculations!D802</f>
        <v>0</v>
      </c>
      <c r="E99" s="265">
        <f>Calculations!E802</f>
        <v>0</v>
      </c>
      <c r="F99" s="265">
        <f>Calculations!F802</f>
        <v>0</v>
      </c>
      <c r="G99" s="265">
        <f>Calculations!G802</f>
        <v>0</v>
      </c>
      <c r="H99" s="197">
        <f>Calculations!H802</f>
        <v>0</v>
      </c>
      <c r="I99" s="197">
        <f>Calculations!I802</f>
        <v>0</v>
      </c>
      <c r="J99" s="137">
        <f>Calculations!J802</f>
        <v>0</v>
      </c>
      <c r="K99" s="66">
        <f>Calculations!K802</f>
        <v>0</v>
      </c>
      <c r="L99" s="66">
        <f>Calculations!L802</f>
        <v>0</v>
      </c>
      <c r="M99">
        <f>Calculations!M802</f>
        <v>0</v>
      </c>
      <c r="N99" s="66">
        <f>Calculations!N802</f>
        <v>0</v>
      </c>
      <c r="O99" s="66">
        <f>Calculations!O802</f>
        <v>0</v>
      </c>
      <c r="P99" s="66">
        <f>Calculations!P802</f>
        <v>0</v>
      </c>
      <c r="Q99" s="204">
        <f>Calculations!Q802</f>
        <v>0</v>
      </c>
      <c r="R99" s="66">
        <f>Calculations!R802</f>
        <v>0</v>
      </c>
      <c r="S99" s="65">
        <f>Calculations!S802</f>
        <v>0</v>
      </c>
      <c r="T99" s="65">
        <f>Calculations!T802</f>
        <v>0</v>
      </c>
      <c r="U99" s="204">
        <f>Calculations!U802</f>
        <v>0</v>
      </c>
      <c r="V99" s="65">
        <f>Calculations!V802</f>
        <v>0</v>
      </c>
      <c r="W99" s="266">
        <f>Calculations!W802</f>
        <v>0</v>
      </c>
      <c r="X99" s="266">
        <f>Calculations!X802</f>
        <v>0</v>
      </c>
      <c r="Y99" s="266" t="e">
        <f>Calculations!Y802</f>
        <v>#DIV/0!</v>
      </c>
      <c r="Z99" s="266" t="e">
        <f>Calculations!Z802</f>
        <v>#DIV/0!</v>
      </c>
      <c r="AA99" s="266" t="e">
        <f>Calculations!AA802</f>
        <v>#DIV/0!</v>
      </c>
    </row>
    <row r="100" spans="1:27">
      <c r="A100" s="3">
        <f>Calculations!A803</f>
        <v>96</v>
      </c>
      <c r="B100">
        <f>Calculations!B803</f>
        <v>0</v>
      </c>
      <c r="C100">
        <f>Calculations!C803</f>
        <v>0</v>
      </c>
      <c r="D100">
        <f>Calculations!D803</f>
        <v>0</v>
      </c>
      <c r="E100" s="265">
        <f>Calculations!E803</f>
        <v>0</v>
      </c>
      <c r="F100" s="265">
        <f>Calculations!F803</f>
        <v>0</v>
      </c>
      <c r="G100" s="265">
        <f>Calculations!G803</f>
        <v>0</v>
      </c>
      <c r="H100" s="197">
        <f>Calculations!H803</f>
        <v>0</v>
      </c>
      <c r="I100" s="197">
        <f>Calculations!I803</f>
        <v>0</v>
      </c>
      <c r="J100" s="137">
        <f>Calculations!J803</f>
        <v>0</v>
      </c>
      <c r="K100" s="66">
        <f>Calculations!K803</f>
        <v>0</v>
      </c>
      <c r="L100" s="66">
        <f>Calculations!L803</f>
        <v>0</v>
      </c>
      <c r="M100">
        <f>Calculations!M803</f>
        <v>0</v>
      </c>
      <c r="N100" s="66">
        <f>Calculations!N803</f>
        <v>0</v>
      </c>
      <c r="O100" s="66">
        <f>Calculations!O803</f>
        <v>0</v>
      </c>
      <c r="P100" s="66">
        <f>Calculations!P803</f>
        <v>0</v>
      </c>
      <c r="Q100" s="204">
        <f>Calculations!Q803</f>
        <v>0</v>
      </c>
      <c r="R100" s="66">
        <f>Calculations!R803</f>
        <v>0</v>
      </c>
      <c r="S100" s="65">
        <f>Calculations!S803</f>
        <v>0</v>
      </c>
      <c r="T100" s="65">
        <f>Calculations!T803</f>
        <v>0</v>
      </c>
      <c r="U100" s="204">
        <f>Calculations!U803</f>
        <v>0</v>
      </c>
      <c r="V100" s="65">
        <f>Calculations!V803</f>
        <v>0</v>
      </c>
      <c r="W100" s="266">
        <f>Calculations!W803</f>
        <v>0</v>
      </c>
      <c r="X100" s="266">
        <f>Calculations!X803</f>
        <v>0</v>
      </c>
      <c r="Y100" s="266" t="e">
        <f>Calculations!Y803</f>
        <v>#DIV/0!</v>
      </c>
      <c r="Z100" s="266" t="e">
        <f>Calculations!Z803</f>
        <v>#DIV/0!</v>
      </c>
      <c r="AA100" s="266" t="e">
        <f>Calculations!AA803</f>
        <v>#DIV/0!</v>
      </c>
    </row>
    <row r="101" spans="1:27">
      <c r="A101" s="3">
        <f>Calculations!A804</f>
        <v>97</v>
      </c>
      <c r="B101">
        <f>Calculations!B804</f>
        <v>0</v>
      </c>
      <c r="C101">
        <f>Calculations!C804</f>
        <v>0</v>
      </c>
      <c r="D101">
        <f>Calculations!D804</f>
        <v>0</v>
      </c>
      <c r="E101" s="265">
        <f>Calculations!E804</f>
        <v>0</v>
      </c>
      <c r="F101" s="265">
        <f>Calculations!F804</f>
        <v>0</v>
      </c>
      <c r="G101" s="265">
        <f>Calculations!G804</f>
        <v>0</v>
      </c>
      <c r="H101" s="197">
        <f>Calculations!H804</f>
        <v>0</v>
      </c>
      <c r="I101" s="197">
        <f>Calculations!I804</f>
        <v>0</v>
      </c>
      <c r="J101" s="137">
        <f>Calculations!J804</f>
        <v>0</v>
      </c>
      <c r="K101" s="66">
        <f>Calculations!K804</f>
        <v>0</v>
      </c>
      <c r="L101" s="66">
        <f>Calculations!L804</f>
        <v>0</v>
      </c>
      <c r="M101">
        <f>Calculations!M804</f>
        <v>0</v>
      </c>
      <c r="N101" s="66">
        <f>Calculations!N804</f>
        <v>0</v>
      </c>
      <c r="O101" s="66">
        <f>Calculations!O804</f>
        <v>0</v>
      </c>
      <c r="P101" s="66">
        <f>Calculations!P804</f>
        <v>0</v>
      </c>
      <c r="Q101" s="204">
        <f>Calculations!Q804</f>
        <v>0</v>
      </c>
      <c r="R101" s="66">
        <f>Calculations!R804</f>
        <v>0</v>
      </c>
      <c r="S101" s="65">
        <f>Calculations!S804</f>
        <v>0</v>
      </c>
      <c r="T101" s="65">
        <f>Calculations!T804</f>
        <v>0</v>
      </c>
      <c r="U101" s="204">
        <f>Calculations!U804</f>
        <v>0</v>
      </c>
      <c r="V101" s="65">
        <f>Calculations!V804</f>
        <v>0</v>
      </c>
      <c r="W101" s="266">
        <f>Calculations!W804</f>
        <v>0</v>
      </c>
      <c r="X101" s="266">
        <f>Calculations!X804</f>
        <v>0</v>
      </c>
      <c r="Y101" s="266" t="e">
        <f>Calculations!Y804</f>
        <v>#DIV/0!</v>
      </c>
      <c r="Z101" s="266" t="e">
        <f>Calculations!Z804</f>
        <v>#DIV/0!</v>
      </c>
      <c r="AA101" s="266" t="e">
        <f>Calculations!AA804</f>
        <v>#DIV/0!</v>
      </c>
    </row>
    <row r="102" spans="1:27">
      <c r="A102" s="3">
        <f>Calculations!A805</f>
        <v>98</v>
      </c>
      <c r="B102">
        <f>Calculations!B805</f>
        <v>0</v>
      </c>
      <c r="C102">
        <f>Calculations!C805</f>
        <v>0</v>
      </c>
      <c r="D102">
        <f>Calculations!D805</f>
        <v>0</v>
      </c>
      <c r="E102" s="265">
        <f>Calculations!E805</f>
        <v>0</v>
      </c>
      <c r="F102" s="265">
        <f>Calculations!F805</f>
        <v>0</v>
      </c>
      <c r="G102" s="265">
        <f>Calculations!G805</f>
        <v>0</v>
      </c>
      <c r="H102" s="197">
        <f>Calculations!H805</f>
        <v>0</v>
      </c>
      <c r="I102" s="197">
        <f>Calculations!I805</f>
        <v>0</v>
      </c>
      <c r="J102" s="137">
        <f>Calculations!J805</f>
        <v>0</v>
      </c>
      <c r="K102" s="66">
        <f>Calculations!K805</f>
        <v>0</v>
      </c>
      <c r="L102" s="66">
        <f>Calculations!L805</f>
        <v>0</v>
      </c>
      <c r="M102">
        <f>Calculations!M805</f>
        <v>0</v>
      </c>
      <c r="N102" s="66">
        <f>Calculations!N805</f>
        <v>0</v>
      </c>
      <c r="O102" s="66">
        <f>Calculations!O805</f>
        <v>0</v>
      </c>
      <c r="P102" s="66">
        <f>Calculations!P805</f>
        <v>0</v>
      </c>
      <c r="Q102" s="204">
        <f>Calculations!Q805</f>
        <v>0</v>
      </c>
      <c r="R102" s="66">
        <f>Calculations!R805</f>
        <v>0</v>
      </c>
      <c r="S102" s="65">
        <f>Calculations!S805</f>
        <v>0</v>
      </c>
      <c r="T102" s="65">
        <f>Calculations!T805</f>
        <v>0</v>
      </c>
      <c r="U102" s="204">
        <f>Calculations!U805</f>
        <v>0</v>
      </c>
      <c r="V102" s="65">
        <f>Calculations!V805</f>
        <v>0</v>
      </c>
      <c r="W102" s="266">
        <f>Calculations!W805</f>
        <v>0</v>
      </c>
      <c r="X102" s="266">
        <f>Calculations!X805</f>
        <v>0</v>
      </c>
      <c r="Y102" s="266" t="e">
        <f>Calculations!Y805</f>
        <v>#DIV/0!</v>
      </c>
      <c r="Z102" s="266" t="e">
        <f>Calculations!Z805</f>
        <v>#DIV/0!</v>
      </c>
      <c r="AA102" s="266" t="e">
        <f>Calculations!AA805</f>
        <v>#DIV/0!</v>
      </c>
    </row>
    <row r="103" spans="1:27" ht="15.75" thickBot="1">
      <c r="A103" s="3">
        <f>Calculations!A806</f>
        <v>99</v>
      </c>
      <c r="B103">
        <f>Calculations!B806</f>
        <v>0</v>
      </c>
      <c r="C103">
        <f>Calculations!C806</f>
        <v>0</v>
      </c>
      <c r="D103">
        <f>Calculations!D806</f>
        <v>0</v>
      </c>
      <c r="E103" s="265">
        <f>Calculations!E806</f>
        <v>0</v>
      </c>
      <c r="F103" s="265">
        <f>Calculations!F806</f>
        <v>0</v>
      </c>
      <c r="G103" s="265">
        <f>Calculations!G806</f>
        <v>0</v>
      </c>
      <c r="H103" s="197">
        <f>Calculations!H806</f>
        <v>0</v>
      </c>
      <c r="I103" s="197">
        <f>Calculations!I806</f>
        <v>0</v>
      </c>
      <c r="J103" s="137">
        <f>Calculations!J806</f>
        <v>0</v>
      </c>
      <c r="K103" s="66">
        <f>Calculations!K806</f>
        <v>0</v>
      </c>
      <c r="L103" s="66">
        <f>Calculations!L806</f>
        <v>0</v>
      </c>
      <c r="M103">
        <f>Calculations!M806</f>
        <v>0</v>
      </c>
      <c r="N103" s="66">
        <f>Calculations!N806</f>
        <v>0</v>
      </c>
      <c r="O103" s="66">
        <f>Calculations!O806</f>
        <v>0</v>
      </c>
      <c r="P103" s="66">
        <f>Calculations!P806</f>
        <v>0</v>
      </c>
      <c r="Q103" s="204">
        <f>Calculations!Q806</f>
        <v>0</v>
      </c>
      <c r="R103" s="66">
        <f>Calculations!R806</f>
        <v>0</v>
      </c>
      <c r="S103" s="65">
        <f>Calculations!S806</f>
        <v>0</v>
      </c>
      <c r="T103" s="65">
        <f>Calculations!T806</f>
        <v>0</v>
      </c>
      <c r="U103" s="204">
        <f>Calculations!U806</f>
        <v>0</v>
      </c>
      <c r="V103" s="65">
        <f>Calculations!V806</f>
        <v>0</v>
      </c>
      <c r="W103" s="266">
        <f>Calculations!W806</f>
        <v>0</v>
      </c>
      <c r="X103" s="266">
        <f>Calculations!X806</f>
        <v>0</v>
      </c>
      <c r="Y103" s="266" t="e">
        <f>Calculations!Y806</f>
        <v>#DIV/0!</v>
      </c>
      <c r="Z103" s="266" t="e">
        <f>Calculations!Z806</f>
        <v>#DIV/0!</v>
      </c>
      <c r="AA103" s="266" t="e">
        <f>Calculations!AA806</f>
        <v>#DIV/0!</v>
      </c>
    </row>
    <row r="104" spans="1:27" ht="15.75" thickTop="1">
      <c r="A104" s="68" t="str">
        <f>Calculations!A807</f>
        <v>Total</v>
      </c>
      <c r="H104" s="197"/>
      <c r="I104" s="197"/>
      <c r="K104" s="448">
        <f>Calculations!K807</f>
        <v>0</v>
      </c>
      <c r="M104" s="448">
        <f>Calculations!M807</f>
        <v>0</v>
      </c>
      <c r="O104" s="448">
        <f>Calculations!O807</f>
        <v>0</v>
      </c>
      <c r="P104" s="448">
        <f>Calculations!P807</f>
        <v>0</v>
      </c>
      <c r="Q104" s="66"/>
      <c r="R104" s="448">
        <f>Calculations!R807</f>
        <v>0</v>
      </c>
      <c r="S104" s="448">
        <f>Calculations!S807</f>
        <v>0</v>
      </c>
      <c r="T104" s="448">
        <f>Calculations!T807</f>
        <v>0</v>
      </c>
      <c r="U104" s="66"/>
      <c r="V104" s="448">
        <f>Calculations!V807</f>
        <v>0</v>
      </c>
    </row>
  </sheetData>
  <sheetProtection algorithmName="SHA-512" hashValue="Y6Q0goQb4ShGUM0HkOZpH+8s9y7je5C9VxwYePiz77LswY0hR4vY8Cmmog0zhryZsinJw8viSJnol5V1cw7+og==" saltValue="cCUGtlLkQPFz20agJ14FWg==" spinCount="100000" sheet="1" objects="1" scenarios="1"/>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7030A0"/>
  </sheetPr>
  <dimension ref="A1:S217"/>
  <sheetViews>
    <sheetView showGridLines="0" zoomScaleNormal="100" zoomScaleSheetLayoutView="100" workbookViewId="0">
      <selection sqref="A1:L1"/>
    </sheetView>
  </sheetViews>
  <sheetFormatPr defaultColWidth="9" defaultRowHeight="12.75"/>
  <cols>
    <col min="1" max="1" width="0.5703125" style="212" customWidth="1"/>
    <col min="2" max="2" width="26" style="212" customWidth="1"/>
    <col min="3" max="12" width="14.5703125" style="212" customWidth="1"/>
    <col min="13" max="16" width="11.140625" style="212" customWidth="1"/>
    <col min="17" max="22" width="12" style="212" customWidth="1"/>
    <col min="23" max="16384" width="9" style="212"/>
  </cols>
  <sheetData>
    <row r="1" spans="1:12" customFormat="1" ht="15">
      <c r="A1" s="928" t="s">
        <v>63</v>
      </c>
      <c r="B1" s="928"/>
      <c r="C1" s="928"/>
      <c r="D1" s="928"/>
      <c r="E1" s="928"/>
      <c r="F1" s="928"/>
      <c r="G1" s="928"/>
      <c r="H1" s="928"/>
      <c r="I1" s="928"/>
      <c r="J1" s="928"/>
      <c r="K1" s="928"/>
      <c r="L1" s="928"/>
    </row>
    <row r="2" spans="1:12" customFormat="1" ht="15"/>
    <row r="3" spans="1:12" customFormat="1" ht="15">
      <c r="B3" s="1" t="s">
        <v>839</v>
      </c>
      <c r="D3" s="73">
        <f>Application!B29</f>
        <v>0</v>
      </c>
      <c r="K3" s="1"/>
    </row>
    <row r="4" spans="1:12" customFormat="1" ht="15">
      <c r="B4" s="1" t="s">
        <v>219</v>
      </c>
      <c r="D4" s="73">
        <f>Application!B6</f>
        <v>0</v>
      </c>
      <c r="K4" s="1"/>
    </row>
    <row r="5" spans="1:12" customFormat="1" ht="15">
      <c r="B5" s="1" t="s">
        <v>225</v>
      </c>
      <c r="D5" s="73">
        <f>Application!B10</f>
        <v>0</v>
      </c>
      <c r="K5" s="1"/>
    </row>
    <row r="6" spans="1:12" customFormat="1" ht="15">
      <c r="B6" s="1" t="s">
        <v>228</v>
      </c>
      <c r="D6" s="73">
        <f>Application!B13</f>
        <v>0</v>
      </c>
      <c r="I6" s="1"/>
      <c r="J6" s="152"/>
      <c r="K6" s="1"/>
    </row>
    <row r="7" spans="1:12" customFormat="1" ht="15">
      <c r="B7" s="1"/>
      <c r="D7" s="73"/>
      <c r="I7" s="1"/>
      <c r="J7" s="152"/>
      <c r="K7" s="1"/>
    </row>
    <row r="8" spans="1:12" ht="15" customHeight="1">
      <c r="A8" s="928" t="s">
        <v>1302</v>
      </c>
      <c r="B8" s="928"/>
      <c r="C8" s="928"/>
      <c r="D8" s="928"/>
      <c r="E8" s="928"/>
      <c r="F8" s="928"/>
      <c r="G8" s="928"/>
      <c r="H8" s="928"/>
      <c r="I8" s="928"/>
      <c r="J8" s="928"/>
      <c r="K8" s="928"/>
      <c r="L8" s="928"/>
    </row>
    <row r="9" spans="1:12" ht="15.75" customHeight="1" thickBot="1">
      <c r="B9" s="954" t="s">
        <v>1303</v>
      </c>
      <c r="C9" s="954"/>
      <c r="D9" s="954"/>
      <c r="E9" s="954"/>
      <c r="F9" s="954"/>
      <c r="G9" s="954"/>
      <c r="H9" s="954"/>
      <c r="I9" s="954"/>
      <c r="J9" s="954"/>
      <c r="K9" s="954"/>
      <c r="L9" s="954"/>
    </row>
    <row r="10" spans="1:12">
      <c r="B10" s="213" t="s">
        <v>901</v>
      </c>
      <c r="C10" s="214">
        <v>1</v>
      </c>
      <c r="D10" s="214">
        <v>2</v>
      </c>
      <c r="E10" s="214">
        <v>3</v>
      </c>
      <c r="F10" s="214">
        <v>4</v>
      </c>
      <c r="G10" s="214">
        <v>5</v>
      </c>
      <c r="H10" s="214">
        <v>6</v>
      </c>
      <c r="I10" s="214">
        <v>7</v>
      </c>
      <c r="J10" s="214">
        <v>8</v>
      </c>
      <c r="K10" s="214">
        <v>9</v>
      </c>
      <c r="L10" s="215">
        <v>10</v>
      </c>
    </row>
    <row r="11" spans="1:12">
      <c r="B11" s="216" t="s">
        <v>1304</v>
      </c>
      <c r="C11" s="217">
        <f>Calculations!B362</f>
        <v>0</v>
      </c>
      <c r="D11" s="217">
        <f>C11*1.02</f>
        <v>0</v>
      </c>
      <c r="E11" s="217">
        <f t="shared" ref="E11:L11" si="0">D11*1.02</f>
        <v>0</v>
      </c>
      <c r="F11" s="217">
        <f t="shared" si="0"/>
        <v>0</v>
      </c>
      <c r="G11" s="217">
        <f t="shared" si="0"/>
        <v>0</v>
      </c>
      <c r="H11" s="217">
        <f t="shared" si="0"/>
        <v>0</v>
      </c>
      <c r="I11" s="217">
        <f t="shared" si="0"/>
        <v>0</v>
      </c>
      <c r="J11" s="217">
        <f t="shared" si="0"/>
        <v>0</v>
      </c>
      <c r="K11" s="217">
        <f t="shared" si="0"/>
        <v>0</v>
      </c>
      <c r="L11" s="218">
        <f t="shared" si="0"/>
        <v>0</v>
      </c>
    </row>
    <row r="12" spans="1:12">
      <c r="B12" s="216" t="s">
        <v>1305</v>
      </c>
      <c r="C12" s="219">
        <f>-Calculations!B351</f>
        <v>0</v>
      </c>
      <c r="D12" s="219">
        <f t="shared" ref="D12:L12" si="1">C12*1.03</f>
        <v>0</v>
      </c>
      <c r="E12" s="219">
        <f t="shared" si="1"/>
        <v>0</v>
      </c>
      <c r="F12" s="219">
        <f t="shared" si="1"/>
        <v>0</v>
      </c>
      <c r="G12" s="219">
        <f t="shared" si="1"/>
        <v>0</v>
      </c>
      <c r="H12" s="219">
        <f t="shared" si="1"/>
        <v>0</v>
      </c>
      <c r="I12" s="219">
        <f t="shared" si="1"/>
        <v>0</v>
      </c>
      <c r="J12" s="219">
        <f t="shared" si="1"/>
        <v>0</v>
      </c>
      <c r="K12" s="219">
        <f t="shared" si="1"/>
        <v>0</v>
      </c>
      <c r="L12" s="219">
        <f t="shared" si="1"/>
        <v>0</v>
      </c>
    </row>
    <row r="13" spans="1:12">
      <c r="B13" s="216" t="s">
        <v>1306</v>
      </c>
      <c r="C13" s="217">
        <f>SUM(C11:C12)</f>
        <v>0</v>
      </c>
      <c r="D13" s="217">
        <f t="shared" ref="D13:L13" si="2">SUM(D11:D12)</f>
        <v>0</v>
      </c>
      <c r="E13" s="217">
        <f t="shared" si="2"/>
        <v>0</v>
      </c>
      <c r="F13" s="217">
        <f t="shared" si="2"/>
        <v>0</v>
      </c>
      <c r="G13" s="217">
        <f t="shared" si="2"/>
        <v>0</v>
      </c>
      <c r="H13" s="217">
        <f t="shared" si="2"/>
        <v>0</v>
      </c>
      <c r="I13" s="217">
        <f t="shared" si="2"/>
        <v>0</v>
      </c>
      <c r="J13" s="217">
        <f t="shared" si="2"/>
        <v>0</v>
      </c>
      <c r="K13" s="217">
        <f t="shared" si="2"/>
        <v>0</v>
      </c>
      <c r="L13" s="218">
        <f t="shared" si="2"/>
        <v>0</v>
      </c>
    </row>
    <row r="14" spans="1:12">
      <c r="B14" s="216" t="s">
        <v>1307</v>
      </c>
      <c r="C14" s="219">
        <f>-Calculations!E126</f>
        <v>0</v>
      </c>
      <c r="D14" s="219">
        <f>C14</f>
        <v>0</v>
      </c>
      <c r="E14" s="219">
        <f t="shared" ref="E14:L14" si="3">D14</f>
        <v>0</v>
      </c>
      <c r="F14" s="219">
        <f t="shared" si="3"/>
        <v>0</v>
      </c>
      <c r="G14" s="219">
        <f t="shared" si="3"/>
        <v>0</v>
      </c>
      <c r="H14" s="219">
        <f t="shared" si="3"/>
        <v>0</v>
      </c>
      <c r="I14" s="219">
        <f t="shared" si="3"/>
        <v>0</v>
      </c>
      <c r="J14" s="219">
        <f t="shared" si="3"/>
        <v>0</v>
      </c>
      <c r="K14" s="219">
        <f t="shared" si="3"/>
        <v>0</v>
      </c>
      <c r="L14" s="220">
        <f t="shared" si="3"/>
        <v>0</v>
      </c>
    </row>
    <row r="15" spans="1:12">
      <c r="B15" s="216" t="s">
        <v>1308</v>
      </c>
      <c r="C15" s="217">
        <f>SUM(C13:C14)</f>
        <v>0</v>
      </c>
      <c r="D15" s="217">
        <f>SUM(D13:D14)</f>
        <v>0</v>
      </c>
      <c r="E15" s="217">
        <f t="shared" ref="E15:L15" si="4">SUM(E13:E14)</f>
        <v>0</v>
      </c>
      <c r="F15" s="217">
        <f t="shared" si="4"/>
        <v>0</v>
      </c>
      <c r="G15" s="217">
        <f t="shared" si="4"/>
        <v>0</v>
      </c>
      <c r="H15" s="217">
        <f t="shared" si="4"/>
        <v>0</v>
      </c>
      <c r="I15" s="217">
        <f t="shared" si="4"/>
        <v>0</v>
      </c>
      <c r="J15" s="217">
        <f t="shared" si="4"/>
        <v>0</v>
      </c>
      <c r="K15" s="217">
        <f t="shared" si="4"/>
        <v>0</v>
      </c>
      <c r="L15" s="218">
        <f t="shared" si="4"/>
        <v>0</v>
      </c>
    </row>
    <row r="16" spans="1:12">
      <c r="B16" s="216"/>
      <c r="C16" s="221"/>
      <c r="D16" s="221"/>
      <c r="E16" s="221"/>
      <c r="F16" s="221"/>
      <c r="G16" s="221"/>
      <c r="H16" s="221"/>
      <c r="I16" s="221"/>
      <c r="J16" s="221"/>
      <c r="K16" s="221"/>
      <c r="L16" s="222"/>
    </row>
    <row r="17" spans="2:13" ht="13.5" thickBot="1">
      <c r="B17" s="804" t="s">
        <v>1309</v>
      </c>
      <c r="C17" s="805" t="e">
        <f>C15/C11</f>
        <v>#DIV/0!</v>
      </c>
      <c r="D17" s="805" t="e">
        <f>D15/D11</f>
        <v>#DIV/0!</v>
      </c>
      <c r="E17" s="805" t="e">
        <f t="shared" ref="E17:L17" si="5">E15/E11</f>
        <v>#DIV/0!</v>
      </c>
      <c r="F17" s="805" t="e">
        <f t="shared" si="5"/>
        <v>#DIV/0!</v>
      </c>
      <c r="G17" s="805" t="e">
        <f t="shared" si="5"/>
        <v>#DIV/0!</v>
      </c>
      <c r="H17" s="805" t="e">
        <f t="shared" si="5"/>
        <v>#DIV/0!</v>
      </c>
      <c r="I17" s="805" t="e">
        <f t="shared" si="5"/>
        <v>#DIV/0!</v>
      </c>
      <c r="J17" s="805" t="e">
        <f t="shared" si="5"/>
        <v>#DIV/0!</v>
      </c>
      <c r="K17" s="805" t="e">
        <f t="shared" si="5"/>
        <v>#DIV/0!</v>
      </c>
      <c r="L17" s="806" t="e">
        <f t="shared" si="5"/>
        <v>#DIV/0!</v>
      </c>
    </row>
    <row r="18" spans="2:13">
      <c r="B18" s="223"/>
      <c r="L18" s="224"/>
    </row>
    <row r="19" spans="2:13">
      <c r="B19" s="520"/>
      <c r="C19" s="780">
        <v>11</v>
      </c>
      <c r="D19" s="780">
        <v>12</v>
      </c>
      <c r="E19" s="780">
        <v>13</v>
      </c>
      <c r="F19" s="780">
        <v>14</v>
      </c>
      <c r="G19" s="780">
        <v>15</v>
      </c>
      <c r="H19" s="225"/>
      <c r="I19" s="225"/>
      <c r="J19" s="225"/>
      <c r="K19" s="225"/>
      <c r="L19" s="226"/>
    </row>
    <row r="20" spans="2:13">
      <c r="B20" s="216" t="s">
        <v>1304</v>
      </c>
      <c r="C20" s="217">
        <f>L11*1.02</f>
        <v>0</v>
      </c>
      <c r="D20" s="217">
        <f>C20*1.02</f>
        <v>0</v>
      </c>
      <c r="E20" s="217">
        <f>D20*1.02</f>
        <v>0</v>
      </c>
      <c r="F20" s="217">
        <f>E20*1.02</f>
        <v>0</v>
      </c>
      <c r="G20" s="217">
        <f>F20*1.02</f>
        <v>0</v>
      </c>
      <c r="H20" s="227"/>
      <c r="I20" s="227"/>
      <c r="J20" s="227"/>
      <c r="K20" s="227"/>
      <c r="L20" s="228"/>
    </row>
    <row r="21" spans="2:13">
      <c r="B21" s="216" t="s">
        <v>1305</v>
      </c>
      <c r="C21" s="219">
        <f>L12*1.03</f>
        <v>0</v>
      </c>
      <c r="D21" s="219">
        <f>C21*1.03</f>
        <v>0</v>
      </c>
      <c r="E21" s="219">
        <f>D21*1.03</f>
        <v>0</v>
      </c>
      <c r="F21" s="219">
        <f>E21*1.03</f>
        <v>0</v>
      </c>
      <c r="G21" s="219">
        <f>F21*1.03</f>
        <v>0</v>
      </c>
      <c r="H21" s="227"/>
      <c r="I21" s="227"/>
      <c r="J21" s="227"/>
      <c r="K21" s="227"/>
      <c r="L21" s="228"/>
    </row>
    <row r="22" spans="2:13">
      <c r="B22" s="216" t="s">
        <v>1306</v>
      </c>
      <c r="C22" s="217">
        <f>SUM(C20:C21)</f>
        <v>0</v>
      </c>
      <c r="D22" s="217">
        <f>SUM(D20:D21)</f>
        <v>0</v>
      </c>
      <c r="E22" s="217">
        <f>SUM(E20:E21)</f>
        <v>0</v>
      </c>
      <c r="F22" s="217">
        <f>SUM(F20:F21)</f>
        <v>0</v>
      </c>
      <c r="G22" s="217">
        <f>SUM(G20:G21)</f>
        <v>0</v>
      </c>
      <c r="H22" s="229"/>
      <c r="I22" s="229"/>
      <c r="J22" s="229"/>
      <c r="K22" s="229"/>
      <c r="L22" s="230"/>
    </row>
    <row r="23" spans="2:13">
      <c r="B23" s="216" t="s">
        <v>1307</v>
      </c>
      <c r="C23" s="219">
        <f>L14</f>
        <v>0</v>
      </c>
      <c r="D23" s="219">
        <f>C23</f>
        <v>0</v>
      </c>
      <c r="E23" s="219">
        <f>D23</f>
        <v>0</v>
      </c>
      <c r="F23" s="219">
        <f>E23</f>
        <v>0</v>
      </c>
      <c r="G23" s="219">
        <f>F23</f>
        <v>0</v>
      </c>
      <c r="H23" s="227"/>
      <c r="I23" s="227"/>
      <c r="J23" s="227"/>
      <c r="K23" s="227"/>
      <c r="L23" s="228"/>
    </row>
    <row r="24" spans="2:13">
      <c r="B24" s="216" t="s">
        <v>1308</v>
      </c>
      <c r="C24" s="217">
        <f>SUM(C22:C23)</f>
        <v>0</v>
      </c>
      <c r="D24" s="217">
        <f>SUM(D22:D23)</f>
        <v>0</v>
      </c>
      <c r="E24" s="217">
        <f>SUM(E22:E23)</f>
        <v>0</v>
      </c>
      <c r="F24" s="217">
        <f>SUM(F22:F23)</f>
        <v>0</v>
      </c>
      <c r="G24" s="217">
        <f>SUM(G22:G23)</f>
        <v>0</v>
      </c>
      <c r="H24" s="227"/>
      <c r="I24" s="227"/>
      <c r="J24" s="227"/>
      <c r="K24" s="227"/>
      <c r="L24" s="228"/>
    </row>
    <row r="25" spans="2:13">
      <c r="B25" s="223"/>
      <c r="C25" s="221"/>
      <c r="D25" s="221"/>
      <c r="E25" s="221"/>
      <c r="F25" s="221"/>
      <c r="G25" s="221"/>
      <c r="H25" s="227"/>
      <c r="I25" s="227"/>
      <c r="J25" s="227"/>
      <c r="K25" s="227"/>
      <c r="L25" s="228"/>
    </row>
    <row r="26" spans="2:13" ht="13.5" thickBot="1">
      <c r="B26" s="804" t="s">
        <v>1309</v>
      </c>
      <c r="C26" s="807" t="e">
        <f>C24/C20</f>
        <v>#DIV/0!</v>
      </c>
      <c r="D26" s="807" t="e">
        <f>D24/D20</f>
        <v>#DIV/0!</v>
      </c>
      <c r="E26" s="807" t="e">
        <f>E24/E20</f>
        <v>#DIV/0!</v>
      </c>
      <c r="F26" s="807" t="e">
        <f>F24/F20</f>
        <v>#DIV/0!</v>
      </c>
      <c r="G26" s="807" t="e">
        <f>G24/G20</f>
        <v>#DIV/0!</v>
      </c>
      <c r="H26" s="467"/>
      <c r="I26" s="467"/>
      <c r="J26" s="467"/>
      <c r="K26" s="467"/>
      <c r="L26" s="808"/>
    </row>
    <row r="27" spans="2:13">
      <c r="H27" s="231"/>
      <c r="I27" s="231"/>
      <c r="J27" s="231"/>
      <c r="K27" s="231"/>
      <c r="L27" s="231"/>
    </row>
    <row r="28" spans="2:13" ht="15.75" customHeight="1" thickBot="1">
      <c r="B28" s="954" t="s">
        <v>1310</v>
      </c>
      <c r="C28" s="954"/>
      <c r="D28" s="954"/>
      <c r="E28" s="954"/>
      <c r="F28" s="954"/>
      <c r="G28" s="954"/>
      <c r="H28" s="954"/>
      <c r="I28" s="954"/>
      <c r="J28" s="954"/>
      <c r="K28" s="954"/>
      <c r="L28" s="954"/>
    </row>
    <row r="29" spans="2:13">
      <c r="B29" s="213" t="s">
        <v>901</v>
      </c>
      <c r="C29" s="214">
        <v>1</v>
      </c>
      <c r="D29" s="214">
        <v>2</v>
      </c>
      <c r="E29" s="214">
        <v>3</v>
      </c>
      <c r="F29" s="214">
        <v>4</v>
      </c>
      <c r="G29" s="214">
        <v>5</v>
      </c>
      <c r="H29" s="214">
        <v>6</v>
      </c>
      <c r="I29" s="214">
        <v>7</v>
      </c>
      <c r="J29" s="214">
        <v>8</v>
      </c>
      <c r="K29" s="214">
        <v>9</v>
      </c>
      <c r="L29" s="215">
        <v>10</v>
      </c>
    </row>
    <row r="30" spans="2:13">
      <c r="B30" s="216" t="s">
        <v>1311</v>
      </c>
      <c r="C30" s="217">
        <f>Calculations!B365</f>
        <v>0</v>
      </c>
      <c r="D30" s="217">
        <f>C30*1.02</f>
        <v>0</v>
      </c>
      <c r="E30" s="217">
        <f t="shared" ref="E30:L30" si="6">D30*1.02</f>
        <v>0</v>
      </c>
      <c r="F30" s="217">
        <f t="shared" si="6"/>
        <v>0</v>
      </c>
      <c r="G30" s="217">
        <f t="shared" si="6"/>
        <v>0</v>
      </c>
      <c r="H30" s="217">
        <f t="shared" si="6"/>
        <v>0</v>
      </c>
      <c r="I30" s="217">
        <f t="shared" si="6"/>
        <v>0</v>
      </c>
      <c r="J30" s="217">
        <f t="shared" si="6"/>
        <v>0</v>
      </c>
      <c r="K30" s="217">
        <f t="shared" si="6"/>
        <v>0</v>
      </c>
      <c r="L30" s="217">
        <f t="shared" si="6"/>
        <v>0</v>
      </c>
      <c r="M30" s="227"/>
    </row>
    <row r="31" spans="2:13">
      <c r="B31" s="216" t="s">
        <v>1305</v>
      </c>
      <c r="C31" s="219">
        <f>C12</f>
        <v>0</v>
      </c>
      <c r="D31" s="219">
        <f>C31*1.03</f>
        <v>0</v>
      </c>
      <c r="E31" s="219">
        <f t="shared" ref="E31:L31" si="7">D31*1.03</f>
        <v>0</v>
      </c>
      <c r="F31" s="219">
        <f t="shared" si="7"/>
        <v>0</v>
      </c>
      <c r="G31" s="219">
        <f t="shared" si="7"/>
        <v>0</v>
      </c>
      <c r="H31" s="219">
        <f t="shared" si="7"/>
        <v>0</v>
      </c>
      <c r="I31" s="219">
        <f t="shared" si="7"/>
        <v>0</v>
      </c>
      <c r="J31" s="219">
        <f t="shared" si="7"/>
        <v>0</v>
      </c>
      <c r="K31" s="219">
        <f t="shared" si="7"/>
        <v>0</v>
      </c>
      <c r="L31" s="219">
        <f t="shared" si="7"/>
        <v>0</v>
      </c>
      <c r="M31" s="227"/>
    </row>
    <row r="32" spans="2:13">
      <c r="B32" s="216" t="s">
        <v>1307</v>
      </c>
      <c r="C32" s="219">
        <f>C14</f>
        <v>0</v>
      </c>
      <c r="D32" s="219">
        <f>D14</f>
        <v>0</v>
      </c>
      <c r="E32" s="219">
        <f t="shared" ref="E32:L32" si="8">E14</f>
        <v>0</v>
      </c>
      <c r="F32" s="219">
        <f t="shared" si="8"/>
        <v>0</v>
      </c>
      <c r="G32" s="219">
        <f t="shared" si="8"/>
        <v>0</v>
      </c>
      <c r="H32" s="219">
        <f t="shared" si="8"/>
        <v>0</v>
      </c>
      <c r="I32" s="219">
        <f t="shared" si="8"/>
        <v>0</v>
      </c>
      <c r="J32" s="219">
        <f t="shared" si="8"/>
        <v>0</v>
      </c>
      <c r="K32" s="219">
        <f t="shared" si="8"/>
        <v>0</v>
      </c>
      <c r="L32" s="219">
        <f t="shared" si="8"/>
        <v>0</v>
      </c>
      <c r="M32" s="227"/>
    </row>
    <row r="33" spans="2:13">
      <c r="B33" s="216" t="s">
        <v>1308</v>
      </c>
      <c r="C33" s="217">
        <f>SUM(C30:C32)</f>
        <v>0</v>
      </c>
      <c r="D33" s="217">
        <f>SUM(D30:D32)</f>
        <v>0</v>
      </c>
      <c r="E33" s="217">
        <f t="shared" ref="E33:L33" si="9">SUM(E30:E32)</f>
        <v>0</v>
      </c>
      <c r="F33" s="217">
        <f t="shared" si="9"/>
        <v>0</v>
      </c>
      <c r="G33" s="217">
        <f t="shared" si="9"/>
        <v>0</v>
      </c>
      <c r="H33" s="217">
        <f t="shared" si="9"/>
        <v>0</v>
      </c>
      <c r="I33" s="217">
        <f t="shared" si="9"/>
        <v>0</v>
      </c>
      <c r="J33" s="217">
        <f t="shared" si="9"/>
        <v>0</v>
      </c>
      <c r="K33" s="217">
        <f t="shared" si="9"/>
        <v>0</v>
      </c>
      <c r="L33" s="217">
        <f t="shared" si="9"/>
        <v>0</v>
      </c>
      <c r="M33" s="227"/>
    </row>
    <row r="34" spans="2:13">
      <c r="B34" s="216"/>
      <c r="C34" s="217"/>
      <c r="D34" s="356"/>
      <c r="E34" s="217"/>
      <c r="F34" s="217"/>
      <c r="G34" s="217"/>
      <c r="H34" s="217"/>
      <c r="I34" s="217"/>
      <c r="J34" s="217"/>
      <c r="K34" s="217"/>
      <c r="L34" s="218"/>
      <c r="M34" s="227"/>
    </row>
    <row r="35" spans="2:13">
      <c r="B35" s="232" t="s">
        <v>1312</v>
      </c>
      <c r="C35" s="233"/>
      <c r="D35" s="357"/>
      <c r="E35" s="233"/>
      <c r="F35" s="233"/>
      <c r="G35" s="233"/>
      <c r="H35" s="233"/>
      <c r="I35" s="233"/>
      <c r="J35" s="233"/>
      <c r="K35" s="233"/>
      <c r="L35" s="234"/>
      <c r="M35" s="227"/>
    </row>
    <row r="36" spans="2:13" ht="13.5" thickBot="1">
      <c r="B36" s="235" t="s">
        <v>1313</v>
      </c>
      <c r="C36" s="809" t="e">
        <f>C33/12/Calculations!$H$41</f>
        <v>#DIV/0!</v>
      </c>
      <c r="D36" s="809" t="e">
        <f>D33/12/Calculations!$H$41</f>
        <v>#DIV/0!</v>
      </c>
      <c r="E36" s="809" t="e">
        <f>E33/12/Calculations!$H$41</f>
        <v>#DIV/0!</v>
      </c>
      <c r="F36" s="809" t="e">
        <f>F33/12/Calculations!$H$41</f>
        <v>#DIV/0!</v>
      </c>
      <c r="G36" s="809" t="e">
        <f>G33/12/Calculations!$H$41</f>
        <v>#DIV/0!</v>
      </c>
      <c r="H36" s="809" t="e">
        <f>H33/12/Calculations!$H$41</f>
        <v>#DIV/0!</v>
      </c>
      <c r="I36" s="809" t="e">
        <f>I33/12/Calculations!$H$41</f>
        <v>#DIV/0!</v>
      </c>
      <c r="J36" s="809" t="e">
        <f>J33/12/Calculations!$H$41</f>
        <v>#DIV/0!</v>
      </c>
      <c r="K36" s="809" t="e">
        <f>K33/12/Calculations!$H$41</f>
        <v>#DIV/0!</v>
      </c>
      <c r="L36" s="809" t="e">
        <f>L33/12/Calculations!$H$41</f>
        <v>#DIV/0!</v>
      </c>
      <c r="M36" s="227"/>
    </row>
    <row r="37" spans="2:13" ht="13.5" thickBot="1">
      <c r="B37" s="804" t="s">
        <v>1314</v>
      </c>
      <c r="C37" s="810" t="e">
        <f>C36/SUM(Calculations!$H$56/Calculations!$H$41)</f>
        <v>#DIV/0!</v>
      </c>
      <c r="D37" s="810" t="e">
        <f>D36/SUM(Calculations!$H$56/Calculations!$H$41)</f>
        <v>#DIV/0!</v>
      </c>
      <c r="E37" s="811" t="e">
        <f>E36/SUM(Calculations!$H$56/Calculations!$H$41)</f>
        <v>#DIV/0!</v>
      </c>
      <c r="F37" s="811" t="e">
        <f>F36/SUM(Calculations!$H$56/Calculations!$H$41)</f>
        <v>#DIV/0!</v>
      </c>
      <c r="G37" s="811" t="e">
        <f>G36/SUM(Calculations!$H$56/Calculations!$H$41)</f>
        <v>#DIV/0!</v>
      </c>
      <c r="H37" s="811" t="e">
        <f>H36/SUM(Calculations!$H$56/Calculations!$H$41)</f>
        <v>#DIV/0!</v>
      </c>
      <c r="I37" s="811" t="e">
        <f>I36/SUM(Calculations!$H$56/Calculations!$H$41)</f>
        <v>#DIV/0!</v>
      </c>
      <c r="J37" s="811" t="e">
        <f>J36/SUM(Calculations!$H$56/Calculations!$H$41)</f>
        <v>#DIV/0!</v>
      </c>
      <c r="K37" s="811" t="e">
        <f>K36/SUM(Calculations!$H$56/Calculations!$H$41)</f>
        <v>#DIV/0!</v>
      </c>
      <c r="L37" s="811" t="e">
        <f>L36/SUM(Calculations!$H$56/Calculations!$H$41)</f>
        <v>#DIV/0!</v>
      </c>
    </row>
    <row r="38" spans="2:13">
      <c r="B38" s="223"/>
      <c r="C38" s="236"/>
      <c r="D38" s="236"/>
      <c r="E38" s="236"/>
      <c r="F38" s="236"/>
      <c r="G38" s="236"/>
      <c r="H38" s="236"/>
      <c r="I38" s="236"/>
      <c r="J38" s="236"/>
      <c r="K38" s="236"/>
      <c r="L38" s="237"/>
    </row>
    <row r="39" spans="2:13">
      <c r="B39" s="781" t="s">
        <v>901</v>
      </c>
      <c r="C39" s="780">
        <v>11</v>
      </c>
      <c r="D39" s="780">
        <v>12</v>
      </c>
      <c r="E39" s="780">
        <v>13</v>
      </c>
      <c r="F39" s="780">
        <v>14</v>
      </c>
      <c r="G39" s="780">
        <v>15</v>
      </c>
      <c r="H39" s="225"/>
      <c r="I39" s="225"/>
      <c r="J39" s="225"/>
      <c r="K39" s="225"/>
      <c r="L39" s="226"/>
    </row>
    <row r="40" spans="2:13">
      <c r="B40" s="216" t="s">
        <v>1311</v>
      </c>
      <c r="C40" s="217">
        <f>L30*1.02</f>
        <v>0</v>
      </c>
      <c r="D40" s="217">
        <f>C40*1.02</f>
        <v>0</v>
      </c>
      <c r="E40" s="217">
        <f>D40*1.02</f>
        <v>0</v>
      </c>
      <c r="F40" s="217">
        <f>E40*1.02</f>
        <v>0</v>
      </c>
      <c r="G40" s="217">
        <f>F40*1.02</f>
        <v>0</v>
      </c>
      <c r="H40" s="229"/>
      <c r="I40" s="229"/>
      <c r="J40" s="229"/>
      <c r="K40" s="229"/>
      <c r="L40" s="230"/>
      <c r="M40" s="227"/>
    </row>
    <row r="41" spans="2:13">
      <c r="B41" s="216" t="s">
        <v>1305</v>
      </c>
      <c r="C41" s="219">
        <f>L31*1.03</f>
        <v>0</v>
      </c>
      <c r="D41" s="219">
        <f>C41*1.03</f>
        <v>0</v>
      </c>
      <c r="E41" s="219">
        <f>D41*1.03</f>
        <v>0</v>
      </c>
      <c r="F41" s="219">
        <f>E41*1.03</f>
        <v>0</v>
      </c>
      <c r="G41" s="219">
        <f>F41*1.03</f>
        <v>0</v>
      </c>
      <c r="H41" s="227"/>
      <c r="I41" s="227"/>
      <c r="J41" s="227"/>
      <c r="K41" s="227"/>
      <c r="L41" s="228"/>
      <c r="M41" s="227"/>
    </row>
    <row r="42" spans="2:13">
      <c r="B42" s="216" t="s">
        <v>1307</v>
      </c>
      <c r="C42" s="219">
        <f>C32</f>
        <v>0</v>
      </c>
      <c r="D42" s="219">
        <f>C42</f>
        <v>0</v>
      </c>
      <c r="E42" s="219">
        <f>D42</f>
        <v>0</v>
      </c>
      <c r="F42" s="219">
        <f>E42</f>
        <v>0</v>
      </c>
      <c r="G42" s="219">
        <f>F42</f>
        <v>0</v>
      </c>
      <c r="H42" s="227"/>
      <c r="I42" s="227"/>
      <c r="J42" s="227"/>
      <c r="K42" s="227"/>
      <c r="L42" s="228"/>
      <c r="M42" s="227"/>
    </row>
    <row r="43" spans="2:13">
      <c r="B43" s="216" t="s">
        <v>1308</v>
      </c>
      <c r="C43" s="217">
        <f>SUM(C40:C42)</f>
        <v>0</v>
      </c>
      <c r="D43" s="217">
        <f>SUM(D40:D42)</f>
        <v>0</v>
      </c>
      <c r="E43" s="217">
        <f>SUM(E40:E42)</f>
        <v>0</v>
      </c>
      <c r="F43" s="217">
        <f>SUM(F40:F42)</f>
        <v>0</v>
      </c>
      <c r="G43" s="217">
        <f>SUM(G40:G42)</f>
        <v>0</v>
      </c>
      <c r="H43" s="227"/>
      <c r="I43" s="227"/>
      <c r="J43" s="227"/>
      <c r="K43" s="227"/>
      <c r="L43" s="228"/>
      <c r="M43" s="227"/>
    </row>
    <row r="44" spans="2:13">
      <c r="B44" s="216"/>
      <c r="C44" s="217"/>
      <c r="D44" s="217"/>
      <c r="E44" s="217"/>
      <c r="F44" s="217"/>
      <c r="G44" s="217"/>
      <c r="H44" s="227"/>
      <c r="I44" s="227"/>
      <c r="J44" s="227"/>
      <c r="K44" s="227"/>
      <c r="L44" s="228"/>
      <c r="M44" s="227"/>
    </row>
    <row r="45" spans="2:13">
      <c r="B45" s="232" t="s">
        <v>1312</v>
      </c>
      <c r="C45" s="233"/>
      <c r="D45" s="233"/>
      <c r="E45" s="233"/>
      <c r="F45" s="233"/>
      <c r="G45" s="233"/>
      <c r="H45" s="238"/>
      <c r="I45" s="238"/>
      <c r="J45" s="238"/>
      <c r="K45" s="238"/>
      <c r="L45" s="239"/>
      <c r="M45" s="227"/>
    </row>
    <row r="46" spans="2:13" ht="13.5" thickBot="1">
      <c r="B46" s="235" t="s">
        <v>1313</v>
      </c>
      <c r="C46" s="812" t="e">
        <f>C43/12/Calculations!$H$41</f>
        <v>#DIV/0!</v>
      </c>
      <c r="D46" s="812" t="e">
        <f>D43/12/Calculations!$H$41</f>
        <v>#DIV/0!</v>
      </c>
      <c r="E46" s="812" t="e">
        <f>E43/12/Calculations!$H$41</f>
        <v>#DIV/0!</v>
      </c>
      <c r="F46" s="812" t="e">
        <f>F43/12/Calculations!$H$41</f>
        <v>#DIV/0!</v>
      </c>
      <c r="G46" s="812" t="e">
        <f>G43/12/Calculations!$H$41</f>
        <v>#DIV/0!</v>
      </c>
      <c r="H46" s="240"/>
      <c r="I46" s="240"/>
      <c r="J46" s="240"/>
      <c r="K46" s="240"/>
      <c r="L46" s="241"/>
      <c r="M46" s="227"/>
    </row>
    <row r="47" spans="2:13" ht="13.5" thickBot="1">
      <c r="B47" s="804" t="s">
        <v>1314</v>
      </c>
      <c r="C47" s="811" t="e">
        <f>C46/SUM(Calculations!$H$56/Calculations!$H$41)</f>
        <v>#DIV/0!</v>
      </c>
      <c r="D47" s="811" t="e">
        <f>D46/SUM(Calculations!$H$56/Calculations!$H$41)</f>
        <v>#DIV/0!</v>
      </c>
      <c r="E47" s="811" t="e">
        <f>E46/SUM(Calculations!$H$56/Calculations!$H$41)</f>
        <v>#DIV/0!</v>
      </c>
      <c r="F47" s="811" t="e">
        <f>F46/SUM(Calculations!$H$56/Calculations!$H$41)</f>
        <v>#DIV/0!</v>
      </c>
      <c r="G47" s="811" t="e">
        <f>G46/SUM(Calculations!$H$56/Calculations!$H$41)</f>
        <v>#DIV/0!</v>
      </c>
      <c r="H47" s="468"/>
      <c r="I47" s="468"/>
      <c r="J47" s="468"/>
      <c r="K47" s="468"/>
      <c r="L47" s="813"/>
    </row>
    <row r="49" spans="1:12" customFormat="1" ht="15" customHeight="1">
      <c r="A49" s="928" t="s">
        <v>365</v>
      </c>
      <c r="B49" s="928"/>
      <c r="C49" s="928"/>
      <c r="D49" s="928"/>
      <c r="E49" s="928"/>
      <c r="F49" s="928"/>
      <c r="G49" s="928"/>
      <c r="H49" s="928"/>
      <c r="I49" s="928"/>
      <c r="J49" s="928"/>
      <c r="K49" s="928"/>
      <c r="L49" s="928"/>
    </row>
    <row r="50" spans="1:12" customFormat="1" ht="15" customHeight="1">
      <c r="B50" s="1"/>
      <c r="E50" s="134"/>
      <c r="F50" s="134"/>
      <c r="G50" s="134"/>
      <c r="H50" s="133"/>
    </row>
    <row r="51" spans="1:12" customFormat="1" ht="30" customHeight="1">
      <c r="B51" s="136"/>
      <c r="C51" s="104" t="s">
        <v>934</v>
      </c>
      <c r="D51" s="135" t="s">
        <v>935</v>
      </c>
      <c r="E51" s="135" t="s">
        <v>936</v>
      </c>
      <c r="F51" s="134"/>
      <c r="G51" s="134"/>
      <c r="H51" s="133"/>
    </row>
    <row r="52" spans="1:12" customFormat="1" ht="15" customHeight="1">
      <c r="B52" s="1"/>
      <c r="C52" s="67" t="s">
        <v>938</v>
      </c>
      <c r="D52" s="106">
        <f>Calculations!B138</f>
        <v>0</v>
      </c>
      <c r="E52" s="106">
        <f>Calculations!C138</f>
        <v>0</v>
      </c>
      <c r="F52" s="134"/>
      <c r="G52" s="129" t="s">
        <v>952</v>
      </c>
      <c r="H52" s="133"/>
      <c r="J52" s="149"/>
      <c r="K52" s="955" t="e">
        <f>Calculations!B426</f>
        <v>#N/A</v>
      </c>
      <c r="L52" s="955"/>
    </row>
    <row r="53" spans="1:12" customFormat="1" ht="15" customHeight="1">
      <c r="C53" s="67" t="s">
        <v>939</v>
      </c>
      <c r="D53" s="106">
        <f>Calculations!B139</f>
        <v>0</v>
      </c>
      <c r="G53" s="129" t="s">
        <v>953</v>
      </c>
      <c r="K53" s="955">
        <f>Calculations!E429</f>
        <v>0</v>
      </c>
      <c r="L53" s="955"/>
    </row>
    <row r="54" spans="1:12" customFormat="1" ht="15" customHeight="1">
      <c r="C54" s="67" t="s">
        <v>382</v>
      </c>
      <c r="D54" s="106">
        <f>Calculations!B140</f>
        <v>0</v>
      </c>
      <c r="G54" s="129" t="s">
        <v>1315</v>
      </c>
      <c r="J54" s="274"/>
      <c r="K54" s="137">
        <f>Calculations!B884</f>
        <v>0</v>
      </c>
    </row>
    <row r="55" spans="1:12" customFormat="1" ht="15" customHeight="1">
      <c r="C55" s="67" t="s">
        <v>383</v>
      </c>
      <c r="D55" s="106">
        <f>Calculations!B141</f>
        <v>0</v>
      </c>
      <c r="F55" s="274"/>
      <c r="G55" s="129"/>
    </row>
    <row r="56" spans="1:12" customFormat="1" ht="30" customHeight="1">
      <c r="B56" s="937" t="s">
        <v>1316</v>
      </c>
      <c r="C56" s="937"/>
      <c r="D56" s="132">
        <f>Calculations!B145</f>
        <v>0</v>
      </c>
      <c r="G56" s="73" t="e">
        <f>Calculations!E561</f>
        <v>#N/A</v>
      </c>
    </row>
    <row r="57" spans="1:12" customFormat="1" ht="15" customHeight="1">
      <c r="B57" s="102"/>
      <c r="C57" s="121"/>
      <c r="D57" s="131"/>
      <c r="E57" s="119"/>
      <c r="F57" s="275" t="e">
        <f>Calculations!B561</f>
        <v>#N/A</v>
      </c>
      <c r="G57" s="129" t="s">
        <v>1317</v>
      </c>
      <c r="I57" s="118"/>
    </row>
    <row r="58" spans="1:12" customFormat="1" ht="15" customHeight="1">
      <c r="C58" s="67" t="s">
        <v>942</v>
      </c>
      <c r="D58" s="106">
        <f>Calculations!E617</f>
        <v>0</v>
      </c>
      <c r="E58" s="119"/>
      <c r="F58" s="130">
        <f>Calculations!B628</f>
        <v>0</v>
      </c>
      <c r="G58" s="129" t="s">
        <v>1318</v>
      </c>
    </row>
    <row r="59" spans="1:12" customFormat="1" ht="15" customHeight="1">
      <c r="C59" s="67" t="s">
        <v>4227</v>
      </c>
      <c r="D59" s="106">
        <f>Calculations!C630</f>
        <v>0</v>
      </c>
      <c r="E59" s="119"/>
      <c r="F59" s="130">
        <f>Calculations!C628</f>
        <v>0</v>
      </c>
      <c r="G59" s="129" t="s">
        <v>4244</v>
      </c>
    </row>
    <row r="60" spans="1:12" customFormat="1" ht="15" customHeight="1">
      <c r="C60" s="67" t="s">
        <v>943</v>
      </c>
      <c r="D60" s="106" t="e">
        <f>Calculations!E618</f>
        <v>#N/A</v>
      </c>
      <c r="E60" s="119"/>
      <c r="F60" s="130">
        <f>Calculations!B617</f>
        <v>0</v>
      </c>
      <c r="G60" s="129" t="s">
        <v>1319</v>
      </c>
    </row>
    <row r="61" spans="1:12" customFormat="1" ht="15" customHeight="1">
      <c r="C61" s="67" t="s">
        <v>944</v>
      </c>
      <c r="D61" s="106">
        <f>Calculations!E619</f>
        <v>0</v>
      </c>
      <c r="E61" s="119"/>
      <c r="F61" s="130"/>
      <c r="G61" s="129"/>
      <c r="I61" s="129"/>
    </row>
    <row r="62" spans="1:12" customFormat="1" ht="15" customHeight="1">
      <c r="B62" s="128"/>
      <c r="C62" s="127" t="s">
        <v>1320</v>
      </c>
      <c r="D62" s="126" t="e">
        <f>Calculations!E620</f>
        <v>#N/A</v>
      </c>
      <c r="E62" s="119"/>
      <c r="F62" s="118"/>
    </row>
    <row r="63" spans="1:12" customFormat="1" ht="15" customHeight="1">
      <c r="C63" s="121" t="s">
        <v>993</v>
      </c>
      <c r="D63" s="126">
        <f>Calculations!E621</f>
        <v>0</v>
      </c>
      <c r="E63" s="119"/>
      <c r="F63" s="118"/>
    </row>
    <row r="64" spans="1:12" customFormat="1" ht="15" customHeight="1">
      <c r="B64" s="128"/>
      <c r="C64" s="127" t="s">
        <v>948</v>
      </c>
      <c r="D64" s="126" t="e">
        <f>Calculations!E622</f>
        <v>#N/A</v>
      </c>
      <c r="E64" s="119"/>
      <c r="F64" s="125"/>
    </row>
    <row r="65" spans="1:12" customFormat="1" ht="15" customHeight="1">
      <c r="B65" s="102"/>
      <c r="C65" s="121"/>
      <c r="D65" s="106"/>
      <c r="E65" s="119"/>
      <c r="F65" s="118"/>
    </row>
    <row r="66" spans="1:12" customFormat="1" ht="15">
      <c r="B66" s="114"/>
      <c r="C66" s="124" t="s">
        <v>950</v>
      </c>
      <c r="D66" s="106">
        <f>Calculations!H129</f>
        <v>0</v>
      </c>
      <c r="F66" s="118"/>
    </row>
    <row r="67" spans="1:12" customFormat="1" ht="15">
      <c r="C67" s="124" t="s">
        <v>951</v>
      </c>
      <c r="D67" s="106">
        <f>Calculations!H130</f>
        <v>0</v>
      </c>
      <c r="E67" s="122"/>
      <c r="F67" s="283" t="str">
        <f>Calculations!K130</f>
        <v>Construction interest actual exceeds construction interest test</v>
      </c>
      <c r="G67" s="431"/>
    </row>
    <row r="68" spans="1:12" customFormat="1" ht="15">
      <c r="C68" s="121"/>
    </row>
    <row r="69" spans="1:12" customFormat="1" ht="15">
      <c r="A69" s="928" t="s">
        <v>861</v>
      </c>
      <c r="B69" s="928"/>
      <c r="C69" s="928"/>
      <c r="D69" s="928"/>
      <c r="E69" s="928"/>
      <c r="F69" s="928"/>
      <c r="G69" s="928"/>
      <c r="H69" s="928"/>
      <c r="I69" s="928"/>
      <c r="J69" s="928"/>
      <c r="K69" s="928"/>
      <c r="L69" s="928"/>
    </row>
    <row r="70" spans="1:12" customFormat="1" ht="15"/>
    <row r="71" spans="1:12" customFormat="1" ht="15">
      <c r="E71" s="174" t="s">
        <v>863</v>
      </c>
      <c r="F71" s="174" t="s">
        <v>127</v>
      </c>
      <c r="I71" s="896"/>
      <c r="J71" s="896"/>
    </row>
    <row r="72" spans="1:12" customFormat="1" ht="15">
      <c r="B72" s="136" t="s">
        <v>928</v>
      </c>
      <c r="C72" s="336"/>
      <c r="E72" s="512" t="s">
        <v>885</v>
      </c>
      <c r="F72" s="512" t="s">
        <v>885</v>
      </c>
      <c r="I72" s="368"/>
      <c r="J72" s="368"/>
    </row>
    <row r="73" spans="1:12" customFormat="1" ht="15">
      <c r="B73" s="209" t="s">
        <v>929</v>
      </c>
      <c r="D73" s="147"/>
      <c r="E73" s="146" t="e">
        <f>Calculations!B473</f>
        <v>#N/A</v>
      </c>
      <c r="F73" s="146" t="str">
        <f>Calculations!C526</f>
        <v/>
      </c>
      <c r="I73" s="146"/>
      <c r="J73" s="146"/>
    </row>
    <row r="74" spans="1:12" customFormat="1" ht="15">
      <c r="B74" s="209" t="s">
        <v>930</v>
      </c>
      <c r="E74" s="149">
        <f>Calculations!B480</f>
        <v>0</v>
      </c>
      <c r="F74" s="149" t="str">
        <f>Calculations!C534</f>
        <v/>
      </c>
      <c r="I74" s="146"/>
    </row>
    <row r="75" spans="1:12" customFormat="1" ht="15">
      <c r="B75" s="209" t="s">
        <v>931</v>
      </c>
      <c r="E75" s="149">
        <f>Calculations!B501</f>
        <v>0</v>
      </c>
      <c r="F75" s="149" t="str">
        <f>Calculations!C555</f>
        <v/>
      </c>
      <c r="G75" s="283" t="str">
        <f>Calculations!$D$501</f>
        <v/>
      </c>
      <c r="I75" s="114" t="s">
        <v>871</v>
      </c>
      <c r="J75" s="70">
        <f>Calculations!K74</f>
        <v>0</v>
      </c>
    </row>
    <row r="76" spans="1:12" customFormat="1" ht="15">
      <c r="B76" s="209"/>
      <c r="E76" s="149"/>
      <c r="F76" s="149"/>
    </row>
    <row r="77" spans="1:12" customFormat="1" ht="15">
      <c r="B77" s="1" t="s">
        <v>888</v>
      </c>
      <c r="E77" s="512" t="s">
        <v>863</v>
      </c>
      <c r="F77" s="512" t="s">
        <v>127</v>
      </c>
      <c r="G77" s="512" t="str">
        <f>IF(Calculations!H517, "TOC Credit", "")</f>
        <v/>
      </c>
    </row>
    <row r="78" spans="1:12" customFormat="1" ht="15">
      <c r="D78" s="121" t="s">
        <v>889</v>
      </c>
      <c r="E78" s="149" t="e">
        <f>Calculations!B506</f>
        <v>#N/A</v>
      </c>
      <c r="F78" s="149">
        <f>Calculations!B627</f>
        <v>0</v>
      </c>
      <c r="G78" s="149" t="str">
        <f>IF(Calculations!H517, Calculations!C627, "")</f>
        <v/>
      </c>
    </row>
    <row r="79" spans="1:12" customFormat="1" ht="15">
      <c r="D79" s="121" t="s">
        <v>890</v>
      </c>
      <c r="E79" s="149">
        <f>Calculations!B507</f>
        <v>0</v>
      </c>
      <c r="F79" s="150" t="s">
        <v>891</v>
      </c>
      <c r="G79" s="150" t="str">
        <f>IF(Calculations!H517, "N/A", "")</f>
        <v/>
      </c>
    </row>
    <row r="80" spans="1:12" customFormat="1" ht="15">
      <c r="C80" s="147"/>
      <c r="D80" s="127" t="s">
        <v>888</v>
      </c>
      <c r="E80" s="146" t="e">
        <f>Calculations!B510</f>
        <v>#N/A</v>
      </c>
      <c r="F80" s="146">
        <f>Calculations!B627</f>
        <v>0</v>
      </c>
      <c r="G80" s="146" t="str">
        <f>IF(Calculations!H517,Calculations!C627,"")</f>
        <v/>
      </c>
    </row>
    <row r="81" spans="1:12" customFormat="1" ht="15"/>
    <row r="82" spans="1:12" customFormat="1" ht="15">
      <c r="B82" s="1" t="s">
        <v>932</v>
      </c>
      <c r="D82" s="503" t="str">
        <f>CONCATENATE(Calculations!C18," ",Calculations!C19," ",Calculations!C20)</f>
        <v xml:space="preserve">  </v>
      </c>
      <c r="E82" s="431"/>
      <c r="F82" s="149"/>
    </row>
    <row r="83" spans="1:12" customFormat="1" ht="15">
      <c r="B83" s="1"/>
      <c r="D83" s="151"/>
      <c r="E83" s="149"/>
      <c r="F83" s="149"/>
    </row>
    <row r="84" spans="1:12" s="88" customFormat="1" ht="15">
      <c r="A84" s="928" t="s">
        <v>974</v>
      </c>
      <c r="B84" s="928"/>
      <c r="C84" s="928"/>
      <c r="D84" s="928"/>
      <c r="E84" s="928"/>
      <c r="F84" s="928"/>
      <c r="G84" s="928"/>
      <c r="H84" s="928"/>
      <c r="I84" s="928"/>
      <c r="J84" s="928"/>
      <c r="K84" s="928"/>
      <c r="L84" s="928"/>
    </row>
    <row r="85" spans="1:12" s="88" customFormat="1" ht="15">
      <c r="A85" s="936" t="s">
        <v>975</v>
      </c>
      <c r="B85" s="936"/>
      <c r="C85" s="936"/>
      <c r="D85" s="936"/>
      <c r="E85" s="936"/>
      <c r="F85" s="936"/>
      <c r="G85" s="936"/>
      <c r="H85" s="936"/>
      <c r="I85" s="936"/>
      <c r="J85" s="936"/>
      <c r="K85" s="936"/>
      <c r="L85" s="936"/>
    </row>
    <row r="86" spans="1:12" s="88" customFormat="1" ht="15">
      <c r="C86" s="74" t="s">
        <v>537</v>
      </c>
      <c r="D86" s="74" t="s">
        <v>976</v>
      </c>
      <c r="E86" s="74" t="s">
        <v>539</v>
      </c>
      <c r="F86" s="74" t="s">
        <v>540</v>
      </c>
      <c r="G86" s="74" t="s">
        <v>541</v>
      </c>
      <c r="H86" s="74" t="s">
        <v>542</v>
      </c>
      <c r="I86" s="74" t="s">
        <v>543</v>
      </c>
      <c r="J86" s="74" t="s">
        <v>544</v>
      </c>
    </row>
    <row r="87" spans="1:12" s="88" customFormat="1" ht="15">
      <c r="B87" s="187" t="str">
        <f>Calculations!A378</f>
        <v>Effective Gross Income</v>
      </c>
      <c r="C87" s="343">
        <f>Calculations!B378</f>
        <v>0</v>
      </c>
      <c r="D87" s="343">
        <f>Calculations!C378</f>
        <v>0</v>
      </c>
      <c r="E87" s="343">
        <f>Calculations!D378</f>
        <v>0</v>
      </c>
      <c r="F87" s="343">
        <f>Calculations!E378</f>
        <v>0</v>
      </c>
      <c r="G87" s="343">
        <f>Calculations!F378</f>
        <v>0</v>
      </c>
      <c r="H87" s="343">
        <f>Calculations!G378</f>
        <v>0</v>
      </c>
      <c r="I87" s="343">
        <f>Calculations!H378</f>
        <v>0</v>
      </c>
      <c r="J87" s="343">
        <f>Calculations!I378</f>
        <v>0</v>
      </c>
    </row>
    <row r="88" spans="1:12" s="88" customFormat="1" ht="15">
      <c r="B88" s="187" t="str">
        <f>Calculations!A379</f>
        <v>Total Project Expenses</v>
      </c>
      <c r="C88" s="343">
        <f>Calculations!B379</f>
        <v>0</v>
      </c>
      <c r="D88" s="343">
        <f>Calculations!C379</f>
        <v>0</v>
      </c>
      <c r="E88" s="343">
        <f>Calculations!D379</f>
        <v>0</v>
      </c>
      <c r="F88" s="343">
        <f>Calculations!E379</f>
        <v>0</v>
      </c>
      <c r="G88" s="343">
        <f>Calculations!F379</f>
        <v>0</v>
      </c>
      <c r="H88" s="343">
        <f>Calculations!G379</f>
        <v>0</v>
      </c>
      <c r="I88" s="343">
        <f>Calculations!H379</f>
        <v>0</v>
      </c>
      <c r="J88" s="343">
        <f>Calculations!I379</f>
        <v>0</v>
      </c>
    </row>
    <row r="89" spans="1:12" s="88" customFormat="1" ht="15">
      <c r="B89" s="187" t="str">
        <f>Calculations!A380</f>
        <v>Net Operating Income</v>
      </c>
      <c r="C89" s="343">
        <f>Calculations!B380</f>
        <v>0</v>
      </c>
      <c r="D89" s="343">
        <f>Calculations!C380</f>
        <v>0</v>
      </c>
      <c r="E89" s="343">
        <f>Calculations!D380</f>
        <v>0</v>
      </c>
      <c r="F89" s="343">
        <f>Calculations!E380</f>
        <v>0</v>
      </c>
      <c r="G89" s="343">
        <f>Calculations!F380</f>
        <v>0</v>
      </c>
      <c r="H89" s="343">
        <f>Calculations!G380</f>
        <v>0</v>
      </c>
      <c r="I89" s="343">
        <f>Calculations!H380</f>
        <v>0</v>
      </c>
      <c r="J89" s="343">
        <f>Calculations!I380</f>
        <v>0</v>
      </c>
    </row>
    <row r="90" spans="1:12" s="88" customFormat="1" ht="15">
      <c r="B90" s="187" t="str">
        <f>Calculations!A381</f>
        <v>First Mortgage</v>
      </c>
      <c r="C90" s="343">
        <f>Calculations!B381</f>
        <v>0</v>
      </c>
      <c r="D90" s="343">
        <f>Calculations!C381</f>
        <v>0</v>
      </c>
      <c r="E90" s="343">
        <f>Calculations!D381</f>
        <v>0</v>
      </c>
      <c r="F90" s="343">
        <f>Calculations!E381</f>
        <v>0</v>
      </c>
      <c r="G90" s="343">
        <f>Calculations!F381</f>
        <v>0</v>
      </c>
      <c r="H90" s="343">
        <f>Calculations!G381</f>
        <v>0</v>
      </c>
      <c r="I90" s="343">
        <f>Calculations!H381</f>
        <v>0</v>
      </c>
      <c r="J90" s="343">
        <f>Calculations!I381</f>
        <v>0</v>
      </c>
    </row>
    <row r="91" spans="1:12" s="88" customFormat="1" ht="15">
      <c r="B91" s="187" t="str">
        <f>Calculations!A382</f>
        <v>Second Mortgage</v>
      </c>
      <c r="C91" s="343">
        <f>Calculations!B382</f>
        <v>0</v>
      </c>
      <c r="D91" s="343">
        <f>Calculations!C382</f>
        <v>0</v>
      </c>
      <c r="E91" s="343">
        <f>Calculations!D382</f>
        <v>0</v>
      </c>
      <c r="F91" s="343">
        <f>Calculations!E382</f>
        <v>0</v>
      </c>
      <c r="G91" s="343">
        <f>Calculations!F382</f>
        <v>0</v>
      </c>
      <c r="H91" s="343">
        <f>Calculations!G382</f>
        <v>0</v>
      </c>
      <c r="I91" s="343">
        <f>Calculations!H382</f>
        <v>0</v>
      </c>
      <c r="J91" s="343">
        <f>Calculations!I382</f>
        <v>0</v>
      </c>
    </row>
    <row r="92" spans="1:12" s="88" customFormat="1" ht="15">
      <c r="B92" s="187" t="str">
        <f>Calculations!A383</f>
        <v>Third Mortgage</v>
      </c>
      <c r="C92" s="343">
        <f>Calculations!B383</f>
        <v>0</v>
      </c>
      <c r="D92" s="343">
        <f>Calculations!C383</f>
        <v>0</v>
      </c>
      <c r="E92" s="343">
        <f>Calculations!D383</f>
        <v>0</v>
      </c>
      <c r="F92" s="343">
        <f>Calculations!E383</f>
        <v>0</v>
      </c>
      <c r="G92" s="343">
        <f>Calculations!F383</f>
        <v>0</v>
      </c>
      <c r="H92" s="343">
        <f>Calculations!G383</f>
        <v>0</v>
      </c>
      <c r="I92" s="343">
        <f>Calculations!H383</f>
        <v>0</v>
      </c>
      <c r="J92" s="343">
        <f>Calculations!I383</f>
        <v>0</v>
      </c>
    </row>
    <row r="93" spans="1:12" s="88" customFormat="1" ht="15">
      <c r="B93" s="187" t="str">
        <f>Calculations!A384</f>
        <v>Net Project Cash Flow</v>
      </c>
      <c r="C93" s="343">
        <f>Calculations!B384</f>
        <v>0</v>
      </c>
      <c r="D93" s="343">
        <f>Calculations!C384</f>
        <v>0</v>
      </c>
      <c r="E93" s="343">
        <f>Calculations!D384</f>
        <v>0</v>
      </c>
      <c r="F93" s="343">
        <f>Calculations!E384</f>
        <v>0</v>
      </c>
      <c r="G93" s="343">
        <f>Calculations!F384</f>
        <v>0</v>
      </c>
      <c r="H93" s="343">
        <f>Calculations!G384</f>
        <v>0</v>
      </c>
      <c r="I93" s="343">
        <f>Calculations!H384</f>
        <v>0</v>
      </c>
      <c r="J93" s="343">
        <f>Calculations!I384</f>
        <v>0</v>
      </c>
    </row>
    <row r="94" spans="1:12" s="88" customFormat="1" ht="15">
      <c r="B94" s="187" t="str">
        <f>Calculations!A385</f>
        <v>Debt Coverage Ratio</v>
      </c>
      <c r="C94" s="346" t="str">
        <f>Calculations!B385</f>
        <v>Loans Missing</v>
      </c>
      <c r="D94" s="346" t="str">
        <f>Calculations!C385</f>
        <v>Loans Missing</v>
      </c>
      <c r="E94" s="346" t="str">
        <f>Calculations!D385</f>
        <v>Loans Missing</v>
      </c>
      <c r="F94" s="346" t="str">
        <f>Calculations!E385</f>
        <v>Loans Missing</v>
      </c>
      <c r="G94" s="346" t="str">
        <f>Calculations!F385</f>
        <v>Loans Missing</v>
      </c>
      <c r="H94" s="346" t="str">
        <f>Calculations!G385</f>
        <v>Loans Missing</v>
      </c>
      <c r="I94" s="346" t="str">
        <f>Calculations!H385</f>
        <v>Loans Missing</v>
      </c>
      <c r="J94" s="346" t="str">
        <f>Calculations!I385</f>
        <v>Loans Missing</v>
      </c>
    </row>
    <row r="95" spans="1:12" s="88" customFormat="1" ht="30">
      <c r="B95" s="849" t="str">
        <f>Calculations!A387</f>
        <v>Cash Flow Available for Distribution</v>
      </c>
      <c r="C95" s="113">
        <f>Calculations!B387</f>
        <v>0</v>
      </c>
      <c r="D95" s="113">
        <f>Calculations!C387</f>
        <v>0</v>
      </c>
      <c r="E95" s="113">
        <f>Calculations!D387</f>
        <v>0</v>
      </c>
      <c r="F95" s="113">
        <f>Calculations!E387</f>
        <v>0</v>
      </c>
      <c r="G95" s="113">
        <f>Calculations!F387</f>
        <v>0</v>
      </c>
      <c r="H95" s="113">
        <f>Calculations!G387</f>
        <v>0</v>
      </c>
      <c r="I95" s="113">
        <f>Calculations!H387</f>
        <v>0</v>
      </c>
      <c r="J95" s="113">
        <f>Calculations!I387</f>
        <v>0</v>
      </c>
    </row>
    <row r="96" spans="1:12" s="88" customFormat="1" ht="15">
      <c r="B96" s="850" t="str">
        <f>Calculations!A388</f>
        <v>Partnership/Asset Mgt. Fees</v>
      </c>
      <c r="C96" s="113">
        <f>Calculations!B388</f>
        <v>0</v>
      </c>
      <c r="D96" s="113">
        <f>Calculations!C388</f>
        <v>0</v>
      </c>
      <c r="E96" s="113">
        <f>Calculations!D388</f>
        <v>0</v>
      </c>
      <c r="F96" s="113">
        <f>Calculations!E388</f>
        <v>0</v>
      </c>
      <c r="G96" s="113">
        <f>Calculations!F388</f>
        <v>0</v>
      </c>
      <c r="H96" s="113">
        <f>Calculations!G388</f>
        <v>0</v>
      </c>
      <c r="I96" s="113">
        <f>Calculations!H388</f>
        <v>0</v>
      </c>
      <c r="J96" s="113">
        <f>Calculations!I388</f>
        <v>0</v>
      </c>
    </row>
    <row r="97" spans="2:10" s="88" customFormat="1" ht="15" hidden="1">
      <c r="B97" s="850" t="str">
        <f>Calculations!A389</f>
        <v>Bond Fees (if applicable)</v>
      </c>
      <c r="C97" s="113">
        <f>Calculations!B389</f>
        <v>0</v>
      </c>
      <c r="D97" s="113">
        <f>Calculations!C389</f>
        <v>0</v>
      </c>
      <c r="E97" s="113">
        <f>Calculations!D389</f>
        <v>0</v>
      </c>
      <c r="F97" s="113">
        <f>Calculations!E389</f>
        <v>0</v>
      </c>
      <c r="G97" s="113">
        <f>Calculations!F389</f>
        <v>0</v>
      </c>
      <c r="H97" s="113">
        <f>Calculations!G389</f>
        <v>0</v>
      </c>
      <c r="I97" s="113">
        <f>Calculations!H389</f>
        <v>0</v>
      </c>
      <c r="J97" s="113">
        <f>Calculations!I389</f>
        <v>0</v>
      </c>
    </row>
    <row r="98" spans="2:10" s="88" customFormat="1" ht="15">
      <c r="B98" s="850" t="str">
        <f>Calculations!A390</f>
        <v>Deferred Developer Fee Repayment*</v>
      </c>
      <c r="C98" s="113">
        <f>Calculations!B390</f>
        <v>0</v>
      </c>
      <c r="D98" s="113">
        <f>Calculations!C390</f>
        <v>0</v>
      </c>
      <c r="E98" s="113">
        <f>Calculations!D390</f>
        <v>0</v>
      </c>
      <c r="F98" s="113">
        <f>Calculations!E390</f>
        <v>0</v>
      </c>
      <c r="G98" s="113">
        <f>Calculations!F390</f>
        <v>0</v>
      </c>
      <c r="H98" s="113">
        <f>Calculations!G390</f>
        <v>0</v>
      </c>
      <c r="I98" s="113">
        <f>Calculations!H390</f>
        <v>0</v>
      </c>
      <c r="J98" s="113">
        <f>Calculations!I390</f>
        <v>0</v>
      </c>
    </row>
    <row r="99" spans="2:10" s="88" customFormat="1" ht="15">
      <c r="B99" s="850" t="str">
        <f>Calculations!A391</f>
        <v>Other (Specify)</v>
      </c>
      <c r="C99" s="113">
        <f>Calculations!B391</f>
        <v>0</v>
      </c>
      <c r="D99" s="113">
        <f>Calculations!C391</f>
        <v>0</v>
      </c>
      <c r="E99" s="113">
        <f>Calculations!D391</f>
        <v>0</v>
      </c>
      <c r="F99" s="113">
        <f>Calculations!E391</f>
        <v>0</v>
      </c>
      <c r="G99" s="113">
        <f>Calculations!F391</f>
        <v>0</v>
      </c>
      <c r="H99" s="113">
        <f>Calculations!G391</f>
        <v>0</v>
      </c>
      <c r="I99" s="113">
        <f>Calculations!H391</f>
        <v>0</v>
      </c>
      <c r="J99" s="113">
        <f>Calculations!I391</f>
        <v>0</v>
      </c>
    </row>
    <row r="100" spans="2:10" s="88" customFormat="1" ht="15">
      <c r="B100" s="849" t="str">
        <f>Calculations!A392</f>
        <v>Cash Flow Paid for Services</v>
      </c>
      <c r="C100" s="113">
        <f>Calculations!B392</f>
        <v>0</v>
      </c>
      <c r="D100" s="113">
        <f>Calculations!C392</f>
        <v>0</v>
      </c>
      <c r="E100" s="113">
        <f>Calculations!D392</f>
        <v>0</v>
      </c>
      <c r="F100" s="113">
        <f>Calculations!E392</f>
        <v>0</v>
      </c>
      <c r="G100" s="113">
        <f>Calculations!F392</f>
        <v>0</v>
      </c>
      <c r="H100" s="113">
        <f>Calculations!G392</f>
        <v>0</v>
      </c>
      <c r="I100" s="113">
        <f>Calculations!H392</f>
        <v>0</v>
      </c>
      <c r="J100" s="113">
        <f>Calculations!I392</f>
        <v>0</v>
      </c>
    </row>
    <row r="101" spans="2:10" s="88" customFormat="1" ht="30">
      <c r="B101" s="849" t="str">
        <f>Calculations!A393</f>
        <v>Cash Flow Available after above obligations</v>
      </c>
      <c r="C101" s="113">
        <f>Calculations!B393</f>
        <v>0</v>
      </c>
      <c r="D101" s="113">
        <f>Calculations!C393</f>
        <v>0</v>
      </c>
      <c r="E101" s="113">
        <f>Calculations!D393</f>
        <v>0</v>
      </c>
      <c r="F101" s="113">
        <f>Calculations!E393</f>
        <v>0</v>
      </c>
      <c r="G101" s="113">
        <f>Calculations!F393</f>
        <v>0</v>
      </c>
      <c r="H101" s="113">
        <f>Calculations!G393</f>
        <v>0</v>
      </c>
      <c r="I101" s="113">
        <f>Calculations!H393</f>
        <v>0</v>
      </c>
      <c r="J101" s="113">
        <f>Calculations!I393</f>
        <v>0</v>
      </c>
    </row>
    <row r="102" spans="2:10" s="88" customFormat="1" ht="15"/>
    <row r="103" spans="2:10" s="88" customFormat="1" ht="15">
      <c r="C103" s="74" t="s">
        <v>545</v>
      </c>
      <c r="D103" s="74" t="s">
        <v>546</v>
      </c>
      <c r="E103" s="74" t="s">
        <v>547</v>
      </c>
      <c r="F103" s="74" t="s">
        <v>548</v>
      </c>
      <c r="G103" s="74" t="s">
        <v>549</v>
      </c>
      <c r="H103" s="74" t="s">
        <v>550</v>
      </c>
      <c r="I103" s="74" t="s">
        <v>551</v>
      </c>
      <c r="J103" s="182"/>
    </row>
    <row r="104" spans="2:10" s="88" customFormat="1" ht="15">
      <c r="B104" s="187" t="str">
        <f>Calculations!A378</f>
        <v>Effective Gross Income</v>
      </c>
      <c r="C104" s="436">
        <f>Calculations!J378</f>
        <v>0</v>
      </c>
      <c r="D104" s="436">
        <f>Calculations!K378</f>
        <v>0</v>
      </c>
      <c r="E104" s="436">
        <f>Calculations!L378</f>
        <v>0</v>
      </c>
      <c r="F104" s="436">
        <f>Calculations!M378</f>
        <v>0</v>
      </c>
      <c r="G104" s="436">
        <f>Calculations!N378</f>
        <v>0</v>
      </c>
      <c r="H104" s="436">
        <f>Calculations!O378</f>
        <v>0</v>
      </c>
      <c r="I104" s="436">
        <f>Calculations!P378</f>
        <v>0</v>
      </c>
    </row>
    <row r="105" spans="2:10" s="88" customFormat="1" ht="15">
      <c r="B105" s="187" t="str">
        <f>Calculations!A379</f>
        <v>Total Project Expenses</v>
      </c>
      <c r="C105" s="436">
        <f>Calculations!J379</f>
        <v>0</v>
      </c>
      <c r="D105" s="436">
        <f>Calculations!K379</f>
        <v>0</v>
      </c>
      <c r="E105" s="436">
        <f>Calculations!L379</f>
        <v>0</v>
      </c>
      <c r="F105" s="436">
        <f>Calculations!M379</f>
        <v>0</v>
      </c>
      <c r="G105" s="436">
        <f>Calculations!N379</f>
        <v>0</v>
      </c>
      <c r="H105" s="436">
        <f>Calculations!O379</f>
        <v>0</v>
      </c>
      <c r="I105" s="436">
        <f>Calculations!P379</f>
        <v>0</v>
      </c>
    </row>
    <row r="106" spans="2:10" s="88" customFormat="1" ht="15">
      <c r="B106" s="187" t="str">
        <f>Calculations!A380</f>
        <v>Net Operating Income</v>
      </c>
      <c r="C106" s="436">
        <f>Calculations!J380</f>
        <v>0</v>
      </c>
      <c r="D106" s="436">
        <f>Calculations!K380</f>
        <v>0</v>
      </c>
      <c r="E106" s="436">
        <f>Calculations!L380</f>
        <v>0</v>
      </c>
      <c r="F106" s="436">
        <f>Calculations!M380</f>
        <v>0</v>
      </c>
      <c r="G106" s="436">
        <f>Calculations!N380</f>
        <v>0</v>
      </c>
      <c r="H106" s="436">
        <f>Calculations!O380</f>
        <v>0</v>
      </c>
      <c r="I106" s="436">
        <f>Calculations!P380</f>
        <v>0</v>
      </c>
    </row>
    <row r="107" spans="2:10" s="88" customFormat="1" ht="15">
      <c r="B107" s="187" t="str">
        <f>Calculations!A381</f>
        <v>First Mortgage</v>
      </c>
      <c r="C107" s="436">
        <f>Calculations!J381</f>
        <v>0</v>
      </c>
      <c r="D107" s="436">
        <f>Calculations!K381</f>
        <v>0</v>
      </c>
      <c r="E107" s="436">
        <f>Calculations!L381</f>
        <v>0</v>
      </c>
      <c r="F107" s="436">
        <f>Calculations!M381</f>
        <v>0</v>
      </c>
      <c r="G107" s="436">
        <f>Calculations!N381</f>
        <v>0</v>
      </c>
      <c r="H107" s="436">
        <f>Calculations!O381</f>
        <v>0</v>
      </c>
      <c r="I107" s="436">
        <f>Calculations!P381</f>
        <v>0</v>
      </c>
    </row>
    <row r="108" spans="2:10" s="88" customFormat="1" ht="15">
      <c r="B108" s="187" t="str">
        <f>Calculations!A382</f>
        <v>Second Mortgage</v>
      </c>
      <c r="C108" s="436">
        <f>Calculations!J382</f>
        <v>0</v>
      </c>
      <c r="D108" s="436">
        <f>Calculations!K382</f>
        <v>0</v>
      </c>
      <c r="E108" s="436">
        <f>Calculations!L382</f>
        <v>0</v>
      </c>
      <c r="F108" s="436">
        <f>Calculations!M382</f>
        <v>0</v>
      </c>
      <c r="G108" s="436">
        <f>Calculations!N382</f>
        <v>0</v>
      </c>
      <c r="H108" s="436">
        <f>Calculations!O382</f>
        <v>0</v>
      </c>
      <c r="I108" s="436">
        <f>Calculations!P382</f>
        <v>0</v>
      </c>
    </row>
    <row r="109" spans="2:10" s="88" customFormat="1" ht="15">
      <c r="B109" s="187" t="str">
        <f>Calculations!A383</f>
        <v>Third Mortgage</v>
      </c>
      <c r="C109" s="436">
        <f>Calculations!J383</f>
        <v>0</v>
      </c>
      <c r="D109" s="436">
        <f>Calculations!K383</f>
        <v>0</v>
      </c>
      <c r="E109" s="436">
        <f>Calculations!L383</f>
        <v>0</v>
      </c>
      <c r="F109" s="436">
        <f>Calculations!M383</f>
        <v>0</v>
      </c>
      <c r="G109" s="436">
        <f>Calculations!N383</f>
        <v>0</v>
      </c>
      <c r="H109" s="436">
        <f>Calculations!O383</f>
        <v>0</v>
      </c>
      <c r="I109" s="436">
        <f>Calculations!P383</f>
        <v>0</v>
      </c>
    </row>
    <row r="110" spans="2:10" s="88" customFormat="1" ht="15">
      <c r="B110" s="187" t="str">
        <f>Calculations!A384</f>
        <v>Net Project Cash Flow</v>
      </c>
      <c r="C110" s="436">
        <f>Calculations!J384</f>
        <v>0</v>
      </c>
      <c r="D110" s="436">
        <f>Calculations!K384</f>
        <v>0</v>
      </c>
      <c r="E110" s="436">
        <f>Calculations!L384</f>
        <v>0</v>
      </c>
      <c r="F110" s="436">
        <f>Calculations!M384</f>
        <v>0</v>
      </c>
      <c r="G110" s="436">
        <f>Calculations!N384</f>
        <v>0</v>
      </c>
      <c r="H110" s="436">
        <f>Calculations!O384</f>
        <v>0</v>
      </c>
      <c r="I110" s="436">
        <f>Calculations!P384</f>
        <v>0</v>
      </c>
    </row>
    <row r="111" spans="2:10" s="88" customFormat="1" ht="15">
      <c r="B111" s="187" t="str">
        <f>Calculations!A385</f>
        <v>Debt Coverage Ratio</v>
      </c>
      <c r="C111" s="435" t="str">
        <f>Calculations!J385</f>
        <v>Loans Missing</v>
      </c>
      <c r="D111" s="435" t="str">
        <f>Calculations!K385</f>
        <v>Loans Missing</v>
      </c>
      <c r="E111" s="435" t="str">
        <f>Calculations!L385</f>
        <v>Loans Missing</v>
      </c>
      <c r="F111" s="435" t="str">
        <f>Calculations!M385</f>
        <v>Loans Missing</v>
      </c>
      <c r="G111" s="435" t="str">
        <f>Calculations!N385</f>
        <v>Loans Missing</v>
      </c>
      <c r="H111" s="435" t="str">
        <f>Calculations!O385</f>
        <v>Loans Missing</v>
      </c>
      <c r="I111" s="435" t="str">
        <f>Calculations!P385</f>
        <v>Loans Missing</v>
      </c>
    </row>
    <row r="112" spans="2:10" s="88" customFormat="1" ht="30">
      <c r="B112" s="849" t="str">
        <f>Calculations!A387</f>
        <v>Cash Flow Available for Distribution</v>
      </c>
      <c r="C112" s="848">
        <f>Calculations!J387</f>
        <v>0</v>
      </c>
      <c r="D112" s="848">
        <f>Calculations!K387</f>
        <v>0</v>
      </c>
      <c r="E112" s="848">
        <f>Calculations!L387</f>
        <v>0</v>
      </c>
      <c r="F112" s="848">
        <f>Calculations!M387</f>
        <v>0</v>
      </c>
      <c r="G112" s="848">
        <f>Calculations!N387</f>
        <v>0</v>
      </c>
      <c r="H112" s="848">
        <f>Calculations!O387</f>
        <v>0</v>
      </c>
      <c r="I112" s="848">
        <f>Calculations!P387</f>
        <v>0</v>
      </c>
    </row>
    <row r="113" spans="1:11" s="88" customFormat="1" ht="30">
      <c r="B113" s="849" t="str">
        <f>Calculations!A388</f>
        <v>Partnership/Asset Mgt. Fees</v>
      </c>
      <c r="C113" s="848">
        <f>Calculations!J388</f>
        <v>0</v>
      </c>
      <c r="D113" s="848">
        <f>Calculations!K388</f>
        <v>0</v>
      </c>
      <c r="E113" s="848">
        <f>Calculations!L388</f>
        <v>0</v>
      </c>
      <c r="F113" s="848">
        <f>Calculations!M388</f>
        <v>0</v>
      </c>
      <c r="G113" s="848">
        <f>Calculations!N388</f>
        <v>0</v>
      </c>
      <c r="H113" s="848">
        <f>Calculations!O388</f>
        <v>0</v>
      </c>
      <c r="I113" s="848">
        <f>Calculations!P388</f>
        <v>0</v>
      </c>
    </row>
    <row r="114" spans="1:11" s="88" customFormat="1" ht="15" hidden="1">
      <c r="B114" s="849" t="str">
        <f>Calculations!A389</f>
        <v>Bond Fees (if applicable)</v>
      </c>
      <c r="C114" s="848">
        <f>Calculations!J389</f>
        <v>0</v>
      </c>
      <c r="D114" s="848">
        <f>Calculations!K389</f>
        <v>0</v>
      </c>
      <c r="E114" s="848">
        <f>Calculations!L389</f>
        <v>0</v>
      </c>
      <c r="F114" s="848">
        <f>Calculations!M389</f>
        <v>0</v>
      </c>
      <c r="G114" s="848">
        <f>Calculations!N389</f>
        <v>0</v>
      </c>
      <c r="H114" s="848">
        <f>Calculations!O389</f>
        <v>0</v>
      </c>
      <c r="I114" s="848">
        <f>Calculations!P389</f>
        <v>0</v>
      </c>
    </row>
    <row r="115" spans="1:11" s="88" customFormat="1" ht="30">
      <c r="B115" s="849" t="str">
        <f>Calculations!A390</f>
        <v>Deferred Developer Fee Repayment*</v>
      </c>
      <c r="C115" s="848">
        <f>Calculations!J390</f>
        <v>0</v>
      </c>
      <c r="D115" s="848">
        <f>Calculations!K390</f>
        <v>0</v>
      </c>
      <c r="E115" s="848">
        <f>Calculations!L390</f>
        <v>0</v>
      </c>
      <c r="F115" s="848">
        <f>Calculations!M390</f>
        <v>0</v>
      </c>
      <c r="G115" s="848">
        <f>Calculations!N390</f>
        <v>0</v>
      </c>
      <c r="H115" s="848">
        <f>Calculations!O390</f>
        <v>0</v>
      </c>
      <c r="I115" s="848">
        <f>Calculations!P390</f>
        <v>0</v>
      </c>
    </row>
    <row r="116" spans="1:11" s="88" customFormat="1" ht="15">
      <c r="B116" s="849" t="str">
        <f>Calculations!A391</f>
        <v>Other (Specify)</v>
      </c>
      <c r="C116" s="848">
        <f>Calculations!J391</f>
        <v>0</v>
      </c>
      <c r="D116" s="848">
        <f>Calculations!K391</f>
        <v>0</v>
      </c>
      <c r="E116" s="848">
        <f>Calculations!L391</f>
        <v>0</v>
      </c>
      <c r="F116" s="848">
        <f>Calculations!M391</f>
        <v>0</v>
      </c>
      <c r="G116" s="848">
        <f>Calculations!N391</f>
        <v>0</v>
      </c>
      <c r="H116" s="848">
        <f>Calculations!O391</f>
        <v>0</v>
      </c>
      <c r="I116" s="848">
        <f>Calculations!P391</f>
        <v>0</v>
      </c>
    </row>
    <row r="117" spans="1:11" s="88" customFormat="1" ht="15">
      <c r="B117" s="849" t="str">
        <f>Calculations!A392</f>
        <v>Cash Flow Paid for Services</v>
      </c>
      <c r="C117" s="848">
        <f>Calculations!J392</f>
        <v>0</v>
      </c>
      <c r="D117" s="848">
        <f>Calculations!K392</f>
        <v>0</v>
      </c>
      <c r="E117" s="848">
        <f>Calculations!L392</f>
        <v>0</v>
      </c>
      <c r="F117" s="848">
        <f>Calculations!M392</f>
        <v>0</v>
      </c>
      <c r="G117" s="848">
        <f>Calculations!N392</f>
        <v>0</v>
      </c>
      <c r="H117" s="848">
        <f>Calculations!O392</f>
        <v>0</v>
      </c>
      <c r="I117" s="848">
        <f>Calculations!P392</f>
        <v>0</v>
      </c>
    </row>
    <row r="118" spans="1:11" s="88" customFormat="1" ht="30">
      <c r="B118" s="849" t="str">
        <f>Calculations!A393</f>
        <v>Cash Flow Available after above obligations</v>
      </c>
      <c r="C118" s="848">
        <f>Calculations!J393</f>
        <v>0</v>
      </c>
      <c r="D118" s="848">
        <f>Calculations!K393</f>
        <v>0</v>
      </c>
      <c r="E118" s="848">
        <f>Calculations!L393</f>
        <v>0</v>
      </c>
      <c r="F118" s="848">
        <f>Calculations!M393</f>
        <v>0</v>
      </c>
      <c r="G118" s="848">
        <f>Calculations!N393</f>
        <v>0</v>
      </c>
      <c r="H118" s="848">
        <f>Calculations!O393</f>
        <v>0</v>
      </c>
      <c r="I118" s="848">
        <f>Calculations!P393</f>
        <v>0</v>
      </c>
    </row>
    <row r="119" spans="1:11" s="88" customFormat="1" ht="15">
      <c r="B119" s="188"/>
      <c r="C119" s="335"/>
      <c r="D119" s="335"/>
      <c r="E119" s="335"/>
      <c r="F119" s="335"/>
      <c r="G119" s="335"/>
      <c r="H119" s="335"/>
      <c r="I119" s="335"/>
    </row>
    <row r="120" spans="1:11" s="88" customFormat="1" ht="15">
      <c r="B120" s="188"/>
      <c r="C120" s="114" t="s">
        <v>382</v>
      </c>
      <c r="D120" s="335">
        <f>Calculations!B140</f>
        <v>0</v>
      </c>
      <c r="E120" s="335"/>
      <c r="F120" t="str">
        <f>Calculations!C395</f>
        <v>DDF Paid off</v>
      </c>
      <c r="G120" s="152" t="str">
        <f>Calculations!D395</f>
        <v>IN YEAR 1</v>
      </c>
    </row>
    <row r="121" spans="1:11" ht="15">
      <c r="C121" s="114" t="s">
        <v>977</v>
      </c>
      <c r="D121" s="335">
        <f>Calculations!B396</f>
        <v>0</v>
      </c>
      <c r="F121" s="283" t="str">
        <f>Calculations!G396</f>
        <v>The 10 Year cash flow available after obligations payable test has been met</v>
      </c>
      <c r="H121" s="335"/>
      <c r="I121" s="335"/>
    </row>
    <row r="122" spans="1:11" ht="15">
      <c r="C122" s="114" t="s">
        <v>978</v>
      </c>
      <c r="D122" s="335">
        <f>Calculations!B397</f>
        <v>0</v>
      </c>
      <c r="F122" s="283" t="str">
        <f>Calculations!G397</f>
        <v>The 15 Year cash flow available after obligations payable test has been met</v>
      </c>
      <c r="H122" s="335"/>
      <c r="I122" s="335"/>
    </row>
    <row r="123" spans="1:11" customFormat="1" ht="15" customHeight="1">
      <c r="A123" s="928" t="s">
        <v>1003</v>
      </c>
      <c r="B123" s="928"/>
      <c r="C123" s="928"/>
      <c r="D123" s="928"/>
      <c r="E123" s="928"/>
      <c r="F123" s="928"/>
      <c r="G123" s="928"/>
      <c r="H123" s="928"/>
      <c r="I123" s="928"/>
      <c r="J123" s="928"/>
      <c r="K123" s="928"/>
    </row>
    <row r="124" spans="1:11" customFormat="1" ht="15"/>
    <row r="125" spans="1:11" customFormat="1" ht="30">
      <c r="B125" s="145" t="s">
        <v>892</v>
      </c>
      <c r="C125" s="74" t="s">
        <v>893</v>
      </c>
      <c r="D125" s="74"/>
      <c r="E125" s="74" t="str">
        <f>Calculations!B33</f>
        <v>0 Bed*</v>
      </c>
      <c r="F125" s="74" t="str">
        <f>Calculations!C33</f>
        <v>1 Bed*</v>
      </c>
      <c r="G125" s="74" t="str">
        <f>Calculations!D33</f>
        <v>2 Bed*</v>
      </c>
      <c r="H125" s="74" t="str">
        <f>Calculations!E33</f>
        <v>3 Bed*</v>
      </c>
      <c r="I125" s="74" t="str">
        <f>Calculations!F33</f>
        <v>4 Bed*</v>
      </c>
      <c r="J125" s="74" t="str">
        <f>Calculations!G33</f>
        <v>5 Bed*</v>
      </c>
      <c r="K125" s="74" t="str">
        <f>Calculations!H33</f>
        <v>Total Units</v>
      </c>
    </row>
    <row r="126" spans="1:11" customFormat="1" ht="15">
      <c r="B126" s="143" t="s">
        <v>1004</v>
      </c>
      <c r="C126" s="182">
        <f>Calculations!H34</f>
        <v>0</v>
      </c>
      <c r="D126" s="182"/>
      <c r="E126" s="74">
        <f>Calculations!B34</f>
        <v>0</v>
      </c>
      <c r="F126" s="74">
        <f>Calculations!C34</f>
        <v>0</v>
      </c>
      <c r="G126" s="74">
        <f>Calculations!D34</f>
        <v>0</v>
      </c>
      <c r="H126" s="74">
        <f>Calculations!E34</f>
        <v>0</v>
      </c>
      <c r="I126" s="74">
        <f>Calculations!F34</f>
        <v>0</v>
      </c>
      <c r="J126" s="74">
        <f>Calculations!G34</f>
        <v>0</v>
      </c>
      <c r="K126" s="74">
        <f>Calculations!H34</f>
        <v>0</v>
      </c>
    </row>
    <row r="127" spans="1:11" customFormat="1" ht="15">
      <c r="B127" s="143" t="s">
        <v>1005</v>
      </c>
      <c r="C127" s="182">
        <f>Calculations!H35</f>
        <v>0</v>
      </c>
      <c r="D127" s="80"/>
      <c r="E127" s="74">
        <f>Calculations!B35</f>
        <v>0</v>
      </c>
      <c r="F127" s="74">
        <f>Calculations!C35</f>
        <v>0</v>
      </c>
      <c r="G127" s="74">
        <f>Calculations!D35</f>
        <v>0</v>
      </c>
      <c r="H127" s="74">
        <f>Calculations!E35</f>
        <v>0</v>
      </c>
      <c r="I127" s="74">
        <f>Calculations!F35</f>
        <v>0</v>
      </c>
      <c r="J127" s="74">
        <f>Calculations!G35</f>
        <v>0</v>
      </c>
      <c r="K127" s="74">
        <f>Calculations!H35</f>
        <v>0</v>
      </c>
    </row>
    <row r="128" spans="1:11" customFormat="1" ht="15">
      <c r="B128" s="143" t="s">
        <v>1006</v>
      </c>
      <c r="C128" s="182">
        <f>Calculations!H36</f>
        <v>0</v>
      </c>
      <c r="D128" s="80"/>
      <c r="E128" s="74">
        <f>Calculations!B36</f>
        <v>0</v>
      </c>
      <c r="F128" s="74">
        <f>Calculations!C36</f>
        <v>0</v>
      </c>
      <c r="G128" s="74">
        <f>Calculations!D36</f>
        <v>0</v>
      </c>
      <c r="H128" s="74">
        <f>Calculations!E36</f>
        <v>0</v>
      </c>
      <c r="I128" s="74">
        <f>Calculations!F36</f>
        <v>0</v>
      </c>
      <c r="J128" s="74">
        <f>Calculations!G36</f>
        <v>0</v>
      </c>
      <c r="K128" s="74">
        <f>Calculations!H36</f>
        <v>0</v>
      </c>
    </row>
    <row r="129" spans="2:11" customFormat="1" ht="15">
      <c r="B129" s="143" t="s">
        <v>1007</v>
      </c>
      <c r="C129" s="182">
        <f>Calculations!H37</f>
        <v>0</v>
      </c>
      <c r="D129" s="80"/>
      <c r="E129" s="74">
        <f>Calculations!B37</f>
        <v>0</v>
      </c>
      <c r="F129" s="74">
        <f>Calculations!C37</f>
        <v>0</v>
      </c>
      <c r="G129" s="74">
        <f>Calculations!D37</f>
        <v>0</v>
      </c>
      <c r="H129" s="74">
        <f>Calculations!E37</f>
        <v>0</v>
      </c>
      <c r="I129" s="74">
        <f>Calculations!F37</f>
        <v>0</v>
      </c>
      <c r="J129" s="74">
        <f>Calculations!G37</f>
        <v>0</v>
      </c>
      <c r="K129" s="74">
        <f>Calculations!H37</f>
        <v>0</v>
      </c>
    </row>
    <row r="130" spans="2:11" customFormat="1" ht="15">
      <c r="B130" s="143" t="s">
        <v>1008</v>
      </c>
      <c r="C130" s="182">
        <f>Calculations!H38</f>
        <v>0</v>
      </c>
      <c r="D130" s="80"/>
      <c r="E130" s="74">
        <f>Calculations!B38</f>
        <v>0</v>
      </c>
      <c r="F130" s="74">
        <f>Calculations!C38</f>
        <v>0</v>
      </c>
      <c r="G130" s="74">
        <f>Calculations!D38</f>
        <v>0</v>
      </c>
      <c r="H130" s="74">
        <f>Calculations!E38</f>
        <v>0</v>
      </c>
      <c r="I130" s="74">
        <f>Calculations!F38</f>
        <v>0</v>
      </c>
      <c r="J130" s="74">
        <f>Calculations!G38</f>
        <v>0</v>
      </c>
      <c r="K130" s="74">
        <f>Calculations!H38</f>
        <v>0</v>
      </c>
    </row>
    <row r="131" spans="2:11" customFormat="1" ht="15">
      <c r="B131" s="143" t="s">
        <v>1009</v>
      </c>
      <c r="C131" s="182">
        <f>Calculations!H39</f>
        <v>0</v>
      </c>
      <c r="D131" s="80"/>
      <c r="E131" s="74">
        <f>Calculations!B39</f>
        <v>0</v>
      </c>
      <c r="F131" s="74">
        <f>Calculations!C39</f>
        <v>0</v>
      </c>
      <c r="G131" s="74">
        <f>Calculations!D39</f>
        <v>0</v>
      </c>
      <c r="H131" s="74">
        <f>Calculations!E39</f>
        <v>0</v>
      </c>
      <c r="I131" s="74">
        <f>Calculations!F39</f>
        <v>0</v>
      </c>
      <c r="J131" s="74">
        <f>Calculations!G39</f>
        <v>0</v>
      </c>
      <c r="K131" s="74">
        <f>Calculations!H39</f>
        <v>0</v>
      </c>
    </row>
    <row r="132" spans="2:11" customFormat="1" ht="15">
      <c r="B132" s="143" t="s">
        <v>1010</v>
      </c>
      <c r="C132" s="182">
        <f>Calculations!H40</f>
        <v>0</v>
      </c>
      <c r="D132" s="79"/>
      <c r="E132" s="74">
        <f>Calculations!B40</f>
        <v>0</v>
      </c>
      <c r="F132" s="74">
        <f>Calculations!C40</f>
        <v>0</v>
      </c>
      <c r="G132" s="74">
        <f>Calculations!D40</f>
        <v>0</v>
      </c>
      <c r="H132" s="74">
        <f>Calculations!E40</f>
        <v>0</v>
      </c>
      <c r="I132" s="74">
        <f>Calculations!F40</f>
        <v>0</v>
      </c>
      <c r="J132" s="74">
        <f>Calculations!G40</f>
        <v>0</v>
      </c>
      <c r="K132" s="74">
        <f>Calculations!H40</f>
        <v>0</v>
      </c>
    </row>
    <row r="133" spans="2:11" customFormat="1" ht="15">
      <c r="B133" s="144" t="s">
        <v>1011</v>
      </c>
      <c r="C133" s="182">
        <f>Calculations!H41</f>
        <v>0</v>
      </c>
      <c r="D133" s="80"/>
      <c r="E133" s="74">
        <f>Calculations!B41</f>
        <v>0</v>
      </c>
      <c r="F133" s="74">
        <f>Calculations!C41</f>
        <v>0</v>
      </c>
      <c r="G133" s="74">
        <f>Calculations!D41</f>
        <v>0</v>
      </c>
      <c r="H133" s="74">
        <f>Calculations!E41</f>
        <v>0</v>
      </c>
      <c r="I133" s="74">
        <f>Calculations!F41</f>
        <v>0</v>
      </c>
      <c r="J133" s="74">
        <f>Calculations!G41</f>
        <v>0</v>
      </c>
      <c r="K133" s="74">
        <f>Calculations!H41</f>
        <v>0</v>
      </c>
    </row>
    <row r="134" spans="2:11" customFormat="1" ht="15">
      <c r="B134" s="143" t="s">
        <v>1012</v>
      </c>
      <c r="C134" s="182">
        <f>Calculations!H43</f>
        <v>0</v>
      </c>
      <c r="D134" s="80"/>
      <c r="E134" s="139"/>
    </row>
    <row r="135" spans="2:11" customFormat="1" ht="15" customHeight="1">
      <c r="B135" s="142" t="s">
        <v>1321</v>
      </c>
      <c r="C135" s="182">
        <f>Calculations!H44</f>
        <v>0</v>
      </c>
      <c r="D135" s="79"/>
      <c r="E135" s="141"/>
    </row>
    <row r="136" spans="2:11" customFormat="1" ht="15">
      <c r="B136" s="1" t="s">
        <v>1014</v>
      </c>
      <c r="C136" s="182">
        <f>Calculations!H45</f>
        <v>0</v>
      </c>
      <c r="D136" s="80"/>
      <c r="E136" s="140"/>
    </row>
    <row r="137" spans="2:11" customFormat="1" ht="30" customHeight="1">
      <c r="B137" s="1" t="s">
        <v>1015</v>
      </c>
      <c r="C137" s="74"/>
      <c r="D137" s="74" t="s">
        <v>1016</v>
      </c>
      <c r="E137" s="115" t="s">
        <v>1017</v>
      </c>
    </row>
    <row r="138" spans="2:11" customFormat="1" ht="15" customHeight="1">
      <c r="B138" s="76" t="s">
        <v>1018</v>
      </c>
      <c r="D138" s="80">
        <f>Calculations!M53</f>
        <v>0</v>
      </c>
      <c r="E138" s="375" t="e">
        <f>Calculations!O53</f>
        <v>#DIV/0!</v>
      </c>
    </row>
    <row r="139" spans="2:11" customFormat="1" ht="15" customHeight="1">
      <c r="B139" s="78" t="s">
        <v>1019</v>
      </c>
      <c r="C139" s="78"/>
      <c r="D139" s="80">
        <f>Calculations!M54</f>
        <v>0</v>
      </c>
      <c r="E139" s="375" t="e">
        <f>Calculations!O54</f>
        <v>#DIV/0!</v>
      </c>
    </row>
    <row r="140" spans="2:11" customFormat="1" ht="15" customHeight="1">
      <c r="B140" s="1" t="s">
        <v>1020</v>
      </c>
      <c r="C140" s="1"/>
      <c r="D140" s="80">
        <f>Calculations!M55</f>
        <v>0</v>
      </c>
      <c r="E140" s="375" t="e">
        <f>Calculations!O55</f>
        <v>#DIV/0!</v>
      </c>
    </row>
    <row r="141" spans="2:11" customFormat="1" ht="15" customHeight="1">
      <c r="B141" s="78" t="s">
        <v>1014</v>
      </c>
      <c r="C141" s="78"/>
      <c r="D141" s="80">
        <f>Calculations!H60</f>
        <v>0</v>
      </c>
      <c r="E141" s="375" t="e">
        <f>Calculations!O49</f>
        <v>#DIV/0!</v>
      </c>
    </row>
    <row r="142" spans="2:11" customFormat="1" ht="15" customHeight="1">
      <c r="B142" s="1" t="s">
        <v>1021</v>
      </c>
      <c r="C142" s="1"/>
      <c r="D142" s="80">
        <f>Calculations!M56</f>
        <v>0</v>
      </c>
      <c r="E142" s="80"/>
    </row>
    <row r="143" spans="2:11" customFormat="1" ht="15" customHeight="1">
      <c r="D143" s="77"/>
    </row>
    <row r="144" spans="2:11" customFormat="1" ht="28.5" customHeight="1">
      <c r="C144" s="74" t="s">
        <v>893</v>
      </c>
      <c r="D144" s="74" t="s">
        <v>1016</v>
      </c>
    </row>
    <row r="145" spans="1:12" customFormat="1" ht="15">
      <c r="B145" s="515" t="s">
        <v>871</v>
      </c>
      <c r="C145" s="137">
        <f>Calculations!K73</f>
        <v>0</v>
      </c>
      <c r="D145" s="137">
        <f>Calculations!L73</f>
        <v>0</v>
      </c>
    </row>
    <row r="146" spans="1:12" customFormat="1" ht="28.5" customHeight="1">
      <c r="B146" s="933" t="s">
        <v>1023</v>
      </c>
      <c r="C146" s="933"/>
      <c r="D146" s="391">
        <f>Calculations!K74</f>
        <v>0</v>
      </c>
      <c r="H146" s="121" t="s">
        <v>1322</v>
      </c>
      <c r="I146" s="137">
        <f>Calculations!L41</f>
        <v>0</v>
      </c>
    </row>
    <row r="147" spans="1:12" customFormat="1" ht="15" customHeight="1">
      <c r="B147" s="138"/>
      <c r="D147" s="137"/>
    </row>
    <row r="148" spans="1:12" s="88" customFormat="1" ht="15">
      <c r="A148" s="928" t="s">
        <v>1024</v>
      </c>
      <c r="B148" s="928"/>
      <c r="C148" s="928"/>
      <c r="D148" s="928"/>
      <c r="E148" s="928"/>
      <c r="F148" s="928"/>
      <c r="G148" s="928"/>
      <c r="H148" s="928"/>
      <c r="I148" s="928"/>
      <c r="J148" s="928"/>
      <c r="K148" s="928"/>
      <c r="L148" s="928"/>
    </row>
    <row r="149" spans="1:12" s="88" customFormat="1" ht="15">
      <c r="A149" s="936" t="s">
        <v>1323</v>
      </c>
      <c r="B149" s="936"/>
      <c r="C149" s="936"/>
      <c r="D149" s="936"/>
      <c r="E149" s="936"/>
      <c r="F149" s="936"/>
      <c r="G149" s="936"/>
      <c r="H149" s="936"/>
      <c r="I149" s="936"/>
      <c r="J149" s="936"/>
      <c r="K149" s="936"/>
      <c r="L149" s="936"/>
    </row>
    <row r="150" spans="1:12" s="88" customFormat="1" ht="15"/>
    <row r="151" spans="1:12" s="88" customFormat="1" ht="45" customHeight="1">
      <c r="B151" s="115" t="s">
        <v>110</v>
      </c>
      <c r="C151" s="953" t="s">
        <v>111</v>
      </c>
      <c r="D151" s="953"/>
      <c r="E151" s="115" t="s">
        <v>1324</v>
      </c>
      <c r="F151" s="115" t="s">
        <v>883</v>
      </c>
      <c r="G151" s="115" t="s">
        <v>114</v>
      </c>
      <c r="H151" s="433" t="s">
        <v>1026</v>
      </c>
      <c r="I151" s="115" t="s">
        <v>1325</v>
      </c>
      <c r="K151" s="182"/>
    </row>
    <row r="152" spans="1:12" s="88" customFormat="1" ht="15" customHeight="1">
      <c r="B152" s="412">
        <f>Calculations!A888</f>
        <v>0</v>
      </c>
      <c r="C152" s="952">
        <f>Calculations!B888</f>
        <v>0</v>
      </c>
      <c r="D152" s="952"/>
      <c r="E152" s="479">
        <f>Calculations!C888</f>
        <v>0</v>
      </c>
      <c r="F152" s="480">
        <f>Calculations!D888</f>
        <v>0</v>
      </c>
      <c r="G152" s="410">
        <f>Calculations!E888</f>
        <v>0</v>
      </c>
      <c r="H152" s="434">
        <f>Calculations!F888</f>
        <v>0</v>
      </c>
      <c r="I152" s="410">
        <f>Calculations!G888</f>
        <v>0</v>
      </c>
      <c r="J152" s="413" t="str">
        <f>Calculations!H888</f>
        <v/>
      </c>
      <c r="K152" s="182"/>
    </row>
    <row r="153" spans="1:12" s="88" customFormat="1" ht="15" customHeight="1">
      <c r="B153" s="412">
        <f>Calculations!A889</f>
        <v>0</v>
      </c>
      <c r="C153" s="952">
        <f>Calculations!B889</f>
        <v>0</v>
      </c>
      <c r="D153" s="952"/>
      <c r="E153" s="411">
        <f>Calculations!C889</f>
        <v>0</v>
      </c>
      <c r="F153" s="408">
        <f>Calculations!D889</f>
        <v>0</v>
      </c>
      <c r="G153" s="410">
        <f>Calculations!E889</f>
        <v>0</v>
      </c>
      <c r="H153" s="434">
        <f>Calculations!F889</f>
        <v>0</v>
      </c>
      <c r="I153" s="410">
        <f>Calculations!G889</f>
        <v>0</v>
      </c>
      <c r="J153" s="413" t="str">
        <f>Calculations!H889</f>
        <v/>
      </c>
      <c r="K153" s="183"/>
    </row>
    <row r="154" spans="1:12" s="88" customFormat="1" ht="15" customHeight="1">
      <c r="B154" s="412">
        <f>Calculations!A890</f>
        <v>0</v>
      </c>
      <c r="C154" s="952">
        <f>Calculations!B890</f>
        <v>0</v>
      </c>
      <c r="D154" s="952"/>
      <c r="E154" s="411">
        <f>Calculations!C890</f>
        <v>0</v>
      </c>
      <c r="F154" s="408">
        <f>Calculations!D890</f>
        <v>0</v>
      </c>
      <c r="G154" s="410">
        <f>Calculations!E890</f>
        <v>0</v>
      </c>
      <c r="H154" s="434">
        <f>Calculations!F890</f>
        <v>0</v>
      </c>
      <c r="I154" s="410">
        <f>Calculations!G890</f>
        <v>0</v>
      </c>
      <c r="J154" s="413" t="str">
        <f>Calculations!H890</f>
        <v/>
      </c>
      <c r="K154" s="183"/>
    </row>
    <row r="155" spans="1:12" s="88" customFormat="1" ht="15" customHeight="1">
      <c r="B155" s="412">
        <f>Calculations!A891</f>
        <v>0</v>
      </c>
      <c r="C155" s="952">
        <f>Calculations!B891</f>
        <v>0</v>
      </c>
      <c r="D155" s="952"/>
      <c r="E155" s="411">
        <f>Calculations!C891</f>
        <v>0</v>
      </c>
      <c r="F155" s="408">
        <f>Calculations!D891</f>
        <v>0</v>
      </c>
      <c r="G155" s="410">
        <f>Calculations!E891</f>
        <v>0</v>
      </c>
      <c r="H155" s="434">
        <f>Calculations!F891</f>
        <v>0</v>
      </c>
      <c r="I155" s="410">
        <f>Calculations!G891</f>
        <v>0</v>
      </c>
      <c r="J155" s="413" t="str">
        <f>Calculations!H891</f>
        <v/>
      </c>
      <c r="K155" s="183"/>
    </row>
    <row r="156" spans="1:12" s="88" customFormat="1" ht="15" customHeight="1">
      <c r="B156" s="412">
        <f>Calculations!A892</f>
        <v>0</v>
      </c>
      <c r="C156" s="952">
        <f>Calculations!B892</f>
        <v>0</v>
      </c>
      <c r="D156" s="952"/>
      <c r="E156" s="411">
        <f>Calculations!C892</f>
        <v>0</v>
      </c>
      <c r="F156" s="408">
        <f>Calculations!D892</f>
        <v>0</v>
      </c>
      <c r="G156" s="410">
        <f>Calculations!E892</f>
        <v>0</v>
      </c>
      <c r="H156" s="434">
        <f>Calculations!F892</f>
        <v>0</v>
      </c>
      <c r="I156" s="410">
        <f>Calculations!G892</f>
        <v>0</v>
      </c>
      <c r="J156" s="413" t="str">
        <f>Calculations!H892</f>
        <v/>
      </c>
      <c r="K156" s="183"/>
    </row>
    <row r="157" spans="1:12" s="88" customFormat="1" ht="15" customHeight="1">
      <c r="B157" s="412">
        <f>Calculations!A893</f>
        <v>0</v>
      </c>
      <c r="C157" s="952">
        <f>Calculations!B893</f>
        <v>0</v>
      </c>
      <c r="D157" s="952"/>
      <c r="E157" s="479">
        <f>Calculations!C893</f>
        <v>0</v>
      </c>
      <c r="F157" s="480">
        <f>Calculations!D893</f>
        <v>0</v>
      </c>
      <c r="G157" s="410">
        <f>Calculations!E893</f>
        <v>0</v>
      </c>
      <c r="H157" s="434">
        <f>Calculations!F893</f>
        <v>0</v>
      </c>
      <c r="I157" s="410">
        <f>Calculations!G893</f>
        <v>0</v>
      </c>
      <c r="J157" s="413" t="str">
        <f>Calculations!H893</f>
        <v/>
      </c>
      <c r="K157" s="481"/>
    </row>
    <row r="158" spans="1:12" s="88" customFormat="1" ht="15" customHeight="1">
      <c r="B158" s="412">
        <f>Calculations!A894</f>
        <v>0</v>
      </c>
      <c r="C158" s="952">
        <f>Calculations!B894</f>
        <v>0</v>
      </c>
      <c r="D158" s="952"/>
      <c r="E158" s="479">
        <f>Calculations!C894</f>
        <v>0</v>
      </c>
      <c r="F158" s="480">
        <f>Calculations!D894</f>
        <v>0</v>
      </c>
      <c r="G158" s="410">
        <f>Calculations!E894</f>
        <v>0</v>
      </c>
      <c r="H158" s="434">
        <f>Calculations!F894</f>
        <v>0</v>
      </c>
      <c r="I158" s="410">
        <f>Calculations!G894</f>
        <v>0</v>
      </c>
      <c r="J158" s="413" t="str">
        <f>Calculations!H894</f>
        <v/>
      </c>
      <c r="K158" s="481"/>
    </row>
    <row r="159" spans="1:12" s="88" customFormat="1" ht="15" customHeight="1">
      <c r="B159" s="412">
        <f>Calculations!A895</f>
        <v>0</v>
      </c>
      <c r="C159" s="952">
        <f>Calculations!B895</f>
        <v>0</v>
      </c>
      <c r="D159" s="952"/>
      <c r="E159" s="411">
        <f>Calculations!C895</f>
        <v>0</v>
      </c>
      <c r="F159" s="408">
        <f>Calculations!D895</f>
        <v>0</v>
      </c>
      <c r="G159" s="410">
        <f>Calculations!E895</f>
        <v>0</v>
      </c>
      <c r="H159" s="434">
        <f>Calculations!F895</f>
        <v>0</v>
      </c>
      <c r="I159" s="410">
        <f>Calculations!G895</f>
        <v>0</v>
      </c>
      <c r="J159" s="413" t="str">
        <f>Calculations!H895</f>
        <v/>
      </c>
      <c r="K159" s="183"/>
    </row>
    <row r="160" spans="1:12" s="88" customFormat="1" ht="15" customHeight="1">
      <c r="B160" s="412">
        <f>Calculations!A896</f>
        <v>0</v>
      </c>
      <c r="C160" s="952">
        <f>Calculations!B896</f>
        <v>0</v>
      </c>
      <c r="D160" s="952"/>
      <c r="E160" s="411">
        <f>Calculations!C896</f>
        <v>0</v>
      </c>
      <c r="F160" s="408">
        <f>Calculations!D896</f>
        <v>0</v>
      </c>
      <c r="G160" s="410">
        <f>Calculations!E896</f>
        <v>0</v>
      </c>
      <c r="H160" s="434">
        <f>Calculations!F896</f>
        <v>0</v>
      </c>
      <c r="I160" s="410">
        <f>Calculations!G896</f>
        <v>0</v>
      </c>
      <c r="J160" s="413" t="str">
        <f>Calculations!H896</f>
        <v/>
      </c>
    </row>
    <row r="161" spans="2:19" s="88" customFormat="1" ht="15" customHeight="1">
      <c r="B161" s="412">
        <f>Calculations!A897</f>
        <v>0</v>
      </c>
      <c r="C161" s="952">
        <f>Calculations!B897</f>
        <v>0</v>
      </c>
      <c r="D161" s="952"/>
      <c r="E161" s="411">
        <f>Calculations!C897</f>
        <v>0</v>
      </c>
      <c r="F161" s="408">
        <f>Calculations!D897</f>
        <v>0</v>
      </c>
      <c r="G161" s="410">
        <f>Calculations!E897</f>
        <v>0</v>
      </c>
      <c r="H161" s="434">
        <f>Calculations!F897</f>
        <v>0</v>
      </c>
      <c r="I161" s="410">
        <f>Calculations!G897</f>
        <v>0</v>
      </c>
      <c r="J161" s="413" t="str">
        <f>Calculations!H897</f>
        <v/>
      </c>
    </row>
    <row r="162" spans="2:19" s="88" customFormat="1" ht="15" customHeight="1">
      <c r="B162" s="412">
        <f>Calculations!A898</f>
        <v>0</v>
      </c>
      <c r="C162" s="952">
        <f>Calculations!B898</f>
        <v>0</v>
      </c>
      <c r="D162" s="952"/>
      <c r="E162" s="411">
        <f>Calculations!C898</f>
        <v>0</v>
      </c>
      <c r="F162" s="408">
        <f>Calculations!D898</f>
        <v>0</v>
      </c>
      <c r="G162" s="410">
        <f>Calculations!E898</f>
        <v>0</v>
      </c>
      <c r="H162" s="434">
        <f>Calculations!F898</f>
        <v>0</v>
      </c>
      <c r="I162" s="410">
        <f>Calculations!G898</f>
        <v>0</v>
      </c>
      <c r="J162" s="413" t="str">
        <f>Calculations!H898</f>
        <v/>
      </c>
      <c r="K162" s="183"/>
    </row>
    <row r="163" spans="2:19" s="88" customFormat="1" ht="15">
      <c r="B163" s="412">
        <f>Calculations!A899</f>
        <v>0</v>
      </c>
      <c r="C163" s="952">
        <f>Calculations!B899</f>
        <v>0</v>
      </c>
      <c r="D163" s="952"/>
      <c r="E163" s="411">
        <f>Calculations!C899</f>
        <v>0</v>
      </c>
      <c r="F163" s="408">
        <f>Calculations!D899</f>
        <v>0</v>
      </c>
      <c r="G163" s="410">
        <f>Calculations!E899</f>
        <v>0</v>
      </c>
      <c r="H163" s="434">
        <f>Calculations!F899</f>
        <v>0</v>
      </c>
      <c r="I163" s="410">
        <f>Calculations!G899</f>
        <v>0</v>
      </c>
      <c r="J163" s="413" t="str">
        <f>Calculations!H899</f>
        <v/>
      </c>
      <c r="K163" s="183"/>
    </row>
    <row r="164" spans="2:19" s="88" customFormat="1" ht="15">
      <c r="B164" s="412">
        <f>Calculations!A900</f>
        <v>0</v>
      </c>
      <c r="C164" s="952">
        <f>Calculations!B900</f>
        <v>0</v>
      </c>
      <c r="D164" s="952"/>
      <c r="E164" s="411">
        <f>Calculations!C900</f>
        <v>0</v>
      </c>
      <c r="F164" s="408">
        <f>Calculations!D900</f>
        <v>0</v>
      </c>
      <c r="G164" s="410">
        <f>Calculations!E900</f>
        <v>0</v>
      </c>
      <c r="H164" s="434">
        <f>Calculations!F900</f>
        <v>0</v>
      </c>
      <c r="I164" s="410">
        <f>Calculations!G900</f>
        <v>0</v>
      </c>
      <c r="J164" s="413" t="str">
        <f>Calculations!H900</f>
        <v/>
      </c>
    </row>
    <row r="165" spans="2:19" ht="15">
      <c r="B165" s="412">
        <f>Calculations!A901</f>
        <v>0</v>
      </c>
      <c r="C165" s="952">
        <f>Calculations!B901</f>
        <v>0</v>
      </c>
      <c r="D165" s="952"/>
      <c r="E165" s="411">
        <f>Calculations!C901</f>
        <v>0</v>
      </c>
      <c r="F165" s="408">
        <f>Calculations!D901</f>
        <v>0</v>
      </c>
      <c r="G165" s="410">
        <f>Calculations!E901</f>
        <v>0</v>
      </c>
      <c r="H165" s="434">
        <f>Calculations!F901</f>
        <v>0</v>
      </c>
      <c r="I165" s="410">
        <f>Calculations!G901</f>
        <v>0</v>
      </c>
      <c r="J165" s="413" t="str">
        <f>Calculations!H901</f>
        <v/>
      </c>
      <c r="K165" s="242"/>
      <c r="L165" s="242"/>
      <c r="M165" s="242"/>
      <c r="N165" s="242"/>
      <c r="O165" s="242"/>
      <c r="P165" s="242"/>
      <c r="Q165" s="242"/>
      <c r="R165" s="242"/>
      <c r="S165" s="242"/>
    </row>
    <row r="166" spans="2:19" ht="15">
      <c r="B166" s="412">
        <f>Calculations!A902</f>
        <v>0</v>
      </c>
      <c r="C166" s="952">
        <f>Calculations!B902</f>
        <v>0</v>
      </c>
      <c r="D166" s="952"/>
      <c r="E166" s="411">
        <f>Calculations!C902</f>
        <v>0</v>
      </c>
      <c r="F166" s="408">
        <f>Calculations!D902</f>
        <v>0</v>
      </c>
      <c r="G166" s="410">
        <f>Calculations!E902</f>
        <v>0</v>
      </c>
      <c r="H166" s="434">
        <f>Calculations!F902</f>
        <v>0</v>
      </c>
      <c r="I166" s="410">
        <f>Calculations!G902</f>
        <v>0</v>
      </c>
      <c r="J166" s="413" t="str">
        <f>Calculations!H902</f>
        <v/>
      </c>
      <c r="K166" s="242"/>
      <c r="L166" s="242"/>
      <c r="M166" s="242"/>
      <c r="N166" s="242"/>
      <c r="O166" s="242"/>
      <c r="P166" s="242"/>
      <c r="Q166" s="242"/>
      <c r="R166" s="242"/>
      <c r="S166" s="242"/>
    </row>
    <row r="167" spans="2:19" ht="15">
      <c r="B167" s="412">
        <f>Calculations!A903</f>
        <v>0</v>
      </c>
      <c r="C167" s="952">
        <f>Calculations!B903</f>
        <v>0</v>
      </c>
      <c r="D167" s="952"/>
      <c r="E167" s="411">
        <f>Calculations!C903</f>
        <v>0</v>
      </c>
      <c r="F167" s="408">
        <f>Calculations!D903</f>
        <v>0</v>
      </c>
      <c r="G167" s="410">
        <f>Calculations!E903</f>
        <v>0</v>
      </c>
      <c r="H167" s="434">
        <f>Calculations!F903</f>
        <v>0</v>
      </c>
      <c r="I167" s="410">
        <f>Calculations!G903</f>
        <v>0</v>
      </c>
      <c r="J167" s="413" t="str">
        <f>Calculations!H903</f>
        <v/>
      </c>
      <c r="K167" s="242"/>
      <c r="L167" s="242"/>
      <c r="M167" s="242"/>
      <c r="N167" s="242"/>
      <c r="O167" s="242"/>
      <c r="P167" s="242"/>
      <c r="Q167" s="242"/>
      <c r="R167" s="242"/>
      <c r="S167" s="242"/>
    </row>
    <row r="168" spans="2:19" ht="15">
      <c r="B168" s="412">
        <f>Calculations!A904</f>
        <v>0</v>
      </c>
      <c r="C168" s="952">
        <f>Calculations!B904</f>
        <v>0</v>
      </c>
      <c r="D168" s="952"/>
      <c r="E168" s="411">
        <f>Calculations!C904</f>
        <v>0</v>
      </c>
      <c r="F168" s="408">
        <f>Calculations!D904</f>
        <v>0</v>
      </c>
      <c r="G168" s="410">
        <f>Calculations!E904</f>
        <v>0</v>
      </c>
      <c r="H168" s="434">
        <f>Calculations!F904</f>
        <v>0</v>
      </c>
      <c r="I168" s="410">
        <f>Calculations!G904</f>
        <v>0</v>
      </c>
      <c r="J168" s="413" t="str">
        <f>Calculations!H904</f>
        <v/>
      </c>
      <c r="K168" s="242"/>
      <c r="L168" s="242"/>
      <c r="M168" s="242"/>
      <c r="N168" s="242"/>
      <c r="O168" s="242"/>
      <c r="P168" s="242"/>
      <c r="Q168" s="242"/>
      <c r="R168" s="242"/>
      <c r="S168" s="242"/>
    </row>
    <row r="169" spans="2:19" ht="15">
      <c r="B169" s="412">
        <f>Calculations!A905</f>
        <v>0</v>
      </c>
      <c r="C169" s="952">
        <f>Calculations!B905</f>
        <v>0</v>
      </c>
      <c r="D169" s="952"/>
      <c r="E169" s="411">
        <f>Calculations!C905</f>
        <v>0</v>
      </c>
      <c r="F169" s="408">
        <f>Calculations!D905</f>
        <v>0</v>
      </c>
      <c r="G169" s="410">
        <f>Calculations!E905</f>
        <v>0</v>
      </c>
      <c r="H169" s="434">
        <f>Calculations!F905</f>
        <v>0</v>
      </c>
      <c r="I169" s="410">
        <f>Calculations!G905</f>
        <v>0</v>
      </c>
      <c r="J169" s="413" t="str">
        <f>Calculations!H905</f>
        <v/>
      </c>
      <c r="K169" s="242"/>
      <c r="L169" s="242"/>
      <c r="M169" s="242"/>
      <c r="N169" s="242"/>
      <c r="O169" s="242"/>
      <c r="P169" s="242"/>
      <c r="Q169" s="242"/>
      <c r="R169" s="242"/>
      <c r="S169" s="242"/>
    </row>
    <row r="170" spans="2:19" ht="15">
      <c r="B170" s="412">
        <f>Calculations!A906</f>
        <v>0</v>
      </c>
      <c r="C170" s="952">
        <f>Calculations!B906</f>
        <v>0</v>
      </c>
      <c r="D170" s="952"/>
      <c r="E170" s="411">
        <f>Calculations!C906</f>
        <v>0</v>
      </c>
      <c r="F170" s="408">
        <f>Calculations!D906</f>
        <v>0</v>
      </c>
      <c r="G170" s="410">
        <f>Calculations!E906</f>
        <v>0</v>
      </c>
      <c r="H170" s="434">
        <f>Calculations!F906</f>
        <v>0</v>
      </c>
      <c r="I170" s="410">
        <f>Calculations!G906</f>
        <v>0</v>
      </c>
      <c r="J170" s="413" t="str">
        <f>Calculations!H906</f>
        <v/>
      </c>
      <c r="K170" s="242"/>
      <c r="L170" s="242"/>
      <c r="M170" s="242"/>
      <c r="N170" s="242"/>
      <c r="O170" s="242"/>
      <c r="P170" s="242"/>
      <c r="Q170" s="242"/>
      <c r="R170" s="242"/>
      <c r="S170" s="242"/>
    </row>
    <row r="171" spans="2:19" ht="15">
      <c r="B171" s="412">
        <f>Calculations!A907</f>
        <v>0</v>
      </c>
      <c r="C171" s="952">
        <f>Calculations!B907</f>
        <v>0</v>
      </c>
      <c r="D171" s="952"/>
      <c r="E171" s="411">
        <f>Calculations!C907</f>
        <v>0</v>
      </c>
      <c r="F171" s="408">
        <f>Calculations!D907</f>
        <v>0</v>
      </c>
      <c r="G171" s="410">
        <f>Calculations!E907</f>
        <v>0</v>
      </c>
      <c r="H171" s="434">
        <f>Calculations!F907</f>
        <v>0</v>
      </c>
      <c r="I171" s="410">
        <f>Calculations!G907</f>
        <v>0</v>
      </c>
      <c r="J171" s="413" t="str">
        <f>Calculations!H907</f>
        <v/>
      </c>
      <c r="K171" s="242"/>
      <c r="L171" s="242"/>
      <c r="M171" s="242"/>
      <c r="N171" s="242"/>
      <c r="O171" s="242"/>
      <c r="P171" s="242"/>
      <c r="Q171" s="242"/>
      <c r="R171" s="242"/>
      <c r="S171" s="242"/>
    </row>
    <row r="172" spans="2:19" ht="15">
      <c r="B172" s="412">
        <f>Calculations!A908</f>
        <v>0</v>
      </c>
      <c r="C172" s="952">
        <f>Calculations!B908</f>
        <v>0</v>
      </c>
      <c r="D172" s="952"/>
      <c r="E172" s="411">
        <f>Calculations!C908</f>
        <v>0</v>
      </c>
      <c r="F172" s="408">
        <f>Calculations!D908</f>
        <v>0</v>
      </c>
      <c r="G172" s="410">
        <f>Calculations!E908</f>
        <v>0</v>
      </c>
      <c r="H172" s="434">
        <f>Calculations!F908</f>
        <v>0</v>
      </c>
      <c r="I172" s="410">
        <f>Calculations!G908</f>
        <v>0</v>
      </c>
      <c r="J172" s="413" t="str">
        <f>Calculations!H908</f>
        <v/>
      </c>
      <c r="K172" s="242"/>
      <c r="L172" s="242"/>
      <c r="M172" s="242"/>
      <c r="N172" s="242"/>
      <c r="O172" s="242"/>
      <c r="P172" s="242"/>
      <c r="Q172" s="242"/>
      <c r="R172" s="242"/>
      <c r="S172" s="242"/>
    </row>
    <row r="173" spans="2:19" ht="15">
      <c r="B173" s="412">
        <f>Calculations!A909</f>
        <v>0</v>
      </c>
      <c r="C173" s="952">
        <f>Calculations!B909</f>
        <v>0</v>
      </c>
      <c r="D173" s="952"/>
      <c r="E173" s="411">
        <f>Calculations!C909</f>
        <v>0</v>
      </c>
      <c r="F173" s="408">
        <f>Calculations!D909</f>
        <v>0</v>
      </c>
      <c r="G173" s="410">
        <f>Calculations!E909</f>
        <v>0</v>
      </c>
      <c r="H173" s="434">
        <f>Calculations!F909</f>
        <v>0</v>
      </c>
      <c r="I173" s="410">
        <f>Calculations!G909</f>
        <v>0</v>
      </c>
      <c r="J173" s="413" t="str">
        <f>Calculations!H909</f>
        <v/>
      </c>
      <c r="K173" s="242"/>
      <c r="L173" s="242"/>
      <c r="M173" s="242"/>
      <c r="N173" s="242"/>
      <c r="O173" s="242"/>
      <c r="P173" s="242"/>
      <c r="Q173" s="242"/>
      <c r="R173" s="242"/>
      <c r="S173" s="242"/>
    </row>
    <row r="174" spans="2:19" ht="15">
      <c r="B174" s="412">
        <f>Calculations!A910</f>
        <v>0</v>
      </c>
      <c r="C174" s="952">
        <f>Calculations!B910</f>
        <v>0</v>
      </c>
      <c r="D174" s="952"/>
      <c r="E174" s="411">
        <f>Calculations!C910</f>
        <v>0</v>
      </c>
      <c r="F174" s="408">
        <f>Calculations!D910</f>
        <v>0</v>
      </c>
      <c r="G174" s="410">
        <f>Calculations!E910</f>
        <v>0</v>
      </c>
      <c r="H174" s="434">
        <f>Calculations!F910</f>
        <v>0</v>
      </c>
      <c r="I174" s="410">
        <f>Calculations!G910</f>
        <v>0</v>
      </c>
      <c r="J174" s="413" t="str">
        <f>Calculations!H910</f>
        <v/>
      </c>
      <c r="K174" s="242"/>
      <c r="L174" s="242"/>
      <c r="M174" s="242"/>
      <c r="N174" s="242"/>
      <c r="O174" s="242"/>
      <c r="P174" s="242"/>
      <c r="Q174" s="242"/>
      <c r="R174" s="242"/>
      <c r="S174" s="242"/>
    </row>
    <row r="175" spans="2:19" ht="15">
      <c r="B175" s="412">
        <f>Calculations!A911</f>
        <v>0</v>
      </c>
      <c r="C175" s="952">
        <f>Calculations!B911</f>
        <v>0</v>
      </c>
      <c r="D175" s="952"/>
      <c r="E175" s="411">
        <f>Calculations!C911</f>
        <v>0</v>
      </c>
      <c r="F175" s="408">
        <f>Calculations!D911</f>
        <v>0</v>
      </c>
      <c r="G175" s="410">
        <f>Calculations!E911</f>
        <v>0</v>
      </c>
      <c r="H175" s="434">
        <f>Calculations!F911</f>
        <v>0</v>
      </c>
      <c r="I175" s="410">
        <f>Calculations!G911</f>
        <v>0</v>
      </c>
      <c r="J175" s="413" t="str">
        <f>Calculations!H911</f>
        <v/>
      </c>
      <c r="K175" s="242"/>
      <c r="L175" s="242"/>
      <c r="M175" s="242"/>
      <c r="N175" s="242"/>
      <c r="O175" s="242"/>
      <c r="P175" s="242"/>
      <c r="Q175" s="242"/>
      <c r="R175" s="242"/>
      <c r="S175" s="242"/>
    </row>
    <row r="176" spans="2:19" ht="15">
      <c r="B176" s="412">
        <f>Calculations!A912</f>
        <v>0</v>
      </c>
      <c r="C176" s="952">
        <f>Calculations!B912</f>
        <v>0</v>
      </c>
      <c r="D176" s="952"/>
      <c r="E176" s="411">
        <f>Calculations!C912</f>
        <v>0</v>
      </c>
      <c r="F176" s="408">
        <f>Calculations!D912</f>
        <v>0</v>
      </c>
      <c r="G176" s="410">
        <f>Calculations!E912</f>
        <v>0</v>
      </c>
      <c r="H176" s="434">
        <f>Calculations!F912</f>
        <v>0</v>
      </c>
      <c r="I176" s="410">
        <f>Calculations!G912</f>
        <v>0</v>
      </c>
      <c r="J176" s="413" t="str">
        <f>Calculations!H912</f>
        <v/>
      </c>
      <c r="K176" s="242"/>
      <c r="L176" s="242"/>
      <c r="M176" s="242"/>
      <c r="N176" s="242"/>
      <c r="O176" s="242"/>
      <c r="P176" s="242"/>
      <c r="Q176" s="242"/>
      <c r="R176" s="242"/>
      <c r="S176" s="242"/>
    </row>
    <row r="177" spans="2:19" ht="15">
      <c r="B177" s="412">
        <f>Calculations!A913</f>
        <v>0</v>
      </c>
      <c r="C177" s="952">
        <f>Calculations!B913</f>
        <v>0</v>
      </c>
      <c r="D177" s="952"/>
      <c r="E177" s="411">
        <f>Calculations!C913</f>
        <v>0</v>
      </c>
      <c r="F177" s="408">
        <f>Calculations!D913</f>
        <v>0</v>
      </c>
      <c r="G177" s="410">
        <f>Calculations!E913</f>
        <v>0</v>
      </c>
      <c r="H177" s="434">
        <f>Calculations!F913</f>
        <v>0</v>
      </c>
      <c r="I177" s="410">
        <f>Calculations!G913</f>
        <v>0</v>
      </c>
      <c r="J177" s="413" t="str">
        <f>Calculations!H913</f>
        <v/>
      </c>
      <c r="K177" s="242"/>
      <c r="L177" s="242"/>
      <c r="M177" s="242"/>
      <c r="N177" s="242"/>
      <c r="O177" s="242"/>
      <c r="P177" s="242"/>
      <c r="Q177" s="242"/>
      <c r="R177" s="242"/>
      <c r="S177" s="242"/>
    </row>
    <row r="178" spans="2:19" ht="15" customHeight="1">
      <c r="B178" s="412">
        <f>Calculations!A914</f>
        <v>0</v>
      </c>
      <c r="C178" s="952">
        <f>Calculations!B914</f>
        <v>0</v>
      </c>
      <c r="D178" s="952"/>
      <c r="E178" s="411">
        <f>Calculations!C914</f>
        <v>0</v>
      </c>
      <c r="F178" s="408">
        <f>Calculations!D914</f>
        <v>0</v>
      </c>
      <c r="G178" s="410">
        <f>Calculations!E914</f>
        <v>0</v>
      </c>
      <c r="H178" s="434">
        <f>Calculations!F914</f>
        <v>0</v>
      </c>
      <c r="I178" s="410">
        <f>Calculations!G914</f>
        <v>0</v>
      </c>
      <c r="J178" s="413" t="str">
        <f>Calculations!H914</f>
        <v/>
      </c>
      <c r="K178" s="242"/>
      <c r="L178" s="242"/>
      <c r="M178" s="242"/>
      <c r="N178" s="242"/>
      <c r="O178" s="242"/>
      <c r="P178" s="242"/>
      <c r="Q178" s="242"/>
      <c r="R178" s="242"/>
      <c r="S178" s="242"/>
    </row>
    <row r="179" spans="2:19" s="88" customFormat="1" ht="15">
      <c r="B179" s="412">
        <f>Calculations!A915</f>
        <v>0</v>
      </c>
      <c r="C179" s="952">
        <f>Calculations!B915</f>
        <v>0</v>
      </c>
      <c r="D179" s="952"/>
      <c r="E179" s="411">
        <f>Calculations!C915</f>
        <v>0</v>
      </c>
      <c r="F179" s="408">
        <f>Calculations!D915</f>
        <v>0</v>
      </c>
      <c r="G179" s="410">
        <f>Calculations!E915</f>
        <v>0</v>
      </c>
      <c r="H179" s="410">
        <f>Calculations!F915</f>
        <v>0</v>
      </c>
      <c r="I179" s="410">
        <f>Calculations!G915</f>
        <v>0</v>
      </c>
      <c r="J179" s="413" t="str">
        <f>Calculations!H915</f>
        <v/>
      </c>
    </row>
    <row r="180" spans="2:19" ht="15">
      <c r="B180" s="412">
        <f>Calculations!A916</f>
        <v>0</v>
      </c>
      <c r="C180" s="952">
        <f>Calculations!B916</f>
        <v>0</v>
      </c>
      <c r="D180" s="952"/>
      <c r="E180" s="411">
        <f>Calculations!C916</f>
        <v>0</v>
      </c>
      <c r="F180" s="408">
        <f>Calculations!D916</f>
        <v>0</v>
      </c>
      <c r="G180" s="410">
        <f>Calculations!E916</f>
        <v>0</v>
      </c>
      <c r="H180" s="410">
        <f>Calculations!F916</f>
        <v>0</v>
      </c>
      <c r="I180" s="410">
        <f>Calculations!G916</f>
        <v>0</v>
      </c>
      <c r="J180" s="413" t="str">
        <f>Calculations!H916</f>
        <v/>
      </c>
    </row>
    <row r="181" spans="2:19" s="88" customFormat="1" ht="15">
      <c r="B181" s="412">
        <f>Calculations!A917</f>
        <v>0</v>
      </c>
      <c r="C181" s="952">
        <f>Calculations!B917</f>
        <v>0</v>
      </c>
      <c r="D181" s="952"/>
      <c r="E181" s="411">
        <f>Calculations!C917</f>
        <v>0</v>
      </c>
      <c r="F181" s="408">
        <f>Calculations!D917</f>
        <v>0</v>
      </c>
      <c r="G181" s="410">
        <f>Calculations!E917</f>
        <v>0</v>
      </c>
      <c r="H181" s="410">
        <f>Calculations!F917</f>
        <v>0</v>
      </c>
      <c r="I181" s="410">
        <f>Calculations!G917</f>
        <v>0</v>
      </c>
      <c r="J181" s="413" t="str">
        <f>Calculations!H917</f>
        <v/>
      </c>
    </row>
    <row r="182" spans="2:19" s="88" customFormat="1" ht="15">
      <c r="B182" s="412">
        <f>Calculations!A918</f>
        <v>0</v>
      </c>
      <c r="C182" s="952">
        <f>Calculations!B918</f>
        <v>0</v>
      </c>
      <c r="D182" s="952"/>
      <c r="E182" s="411">
        <f>Calculations!C918</f>
        <v>0</v>
      </c>
      <c r="F182" s="408">
        <f>Calculations!D918</f>
        <v>0</v>
      </c>
      <c r="G182" s="410">
        <f>Calculations!E918</f>
        <v>0</v>
      </c>
      <c r="H182" s="410">
        <f>Calculations!F918</f>
        <v>0</v>
      </c>
      <c r="I182" s="410">
        <f>Calculations!G918</f>
        <v>0</v>
      </c>
      <c r="J182" s="413" t="str">
        <f>Calculations!H918</f>
        <v/>
      </c>
    </row>
    <row r="183" spans="2:19" s="88" customFormat="1" ht="15">
      <c r="B183" s="412">
        <f>Calculations!A919</f>
        <v>0</v>
      </c>
      <c r="C183" s="952">
        <f>Calculations!B919</f>
        <v>0</v>
      </c>
      <c r="D183" s="952"/>
      <c r="E183" s="411">
        <f>Calculations!C919</f>
        <v>0</v>
      </c>
      <c r="F183" s="408">
        <f>Calculations!D919</f>
        <v>0</v>
      </c>
      <c r="G183" s="410">
        <f>Calculations!E919</f>
        <v>0</v>
      </c>
      <c r="H183" s="410">
        <f>Calculations!F919</f>
        <v>0</v>
      </c>
      <c r="I183" s="410">
        <f>Calculations!G919</f>
        <v>0</v>
      </c>
      <c r="J183" s="413" t="str">
        <f>Calculations!H919</f>
        <v/>
      </c>
    </row>
    <row r="184" spans="2:19" s="88" customFormat="1" ht="15">
      <c r="B184" s="412">
        <f>Calculations!A920</f>
        <v>0</v>
      </c>
      <c r="C184" s="952">
        <f>Calculations!B920</f>
        <v>0</v>
      </c>
      <c r="D184" s="952"/>
      <c r="E184" s="411">
        <f>Calculations!C920</f>
        <v>0</v>
      </c>
      <c r="F184" s="408">
        <f>Calculations!D920</f>
        <v>0</v>
      </c>
      <c r="G184" s="410">
        <f>Calculations!E920</f>
        <v>0</v>
      </c>
      <c r="H184" s="410">
        <f>Calculations!F920</f>
        <v>0</v>
      </c>
      <c r="I184" s="410">
        <f>Calculations!G920</f>
        <v>0</v>
      </c>
      <c r="J184" s="413" t="str">
        <f>Calculations!H920</f>
        <v/>
      </c>
    </row>
    <row r="185" spans="2:19" s="88" customFormat="1" ht="15">
      <c r="B185" s="412">
        <f>Calculations!A921</f>
        <v>0</v>
      </c>
      <c r="C185" s="952">
        <f>Calculations!B921</f>
        <v>0</v>
      </c>
      <c r="D185" s="952"/>
      <c r="E185" s="411">
        <f>Calculations!C921</f>
        <v>0</v>
      </c>
      <c r="F185" s="408">
        <f>Calculations!D921</f>
        <v>0</v>
      </c>
      <c r="G185" s="410">
        <f>Calculations!E921</f>
        <v>0</v>
      </c>
      <c r="H185" s="410">
        <f>Calculations!F921</f>
        <v>0</v>
      </c>
      <c r="I185" s="410">
        <f>Calculations!G921</f>
        <v>0</v>
      </c>
      <c r="J185" s="413" t="str">
        <f>Calculations!H921</f>
        <v/>
      </c>
    </row>
    <row r="186" spans="2:19" s="88" customFormat="1" ht="15">
      <c r="B186" s="412">
        <f>Calculations!A922</f>
        <v>0</v>
      </c>
      <c r="C186" s="952">
        <f>Calculations!B922</f>
        <v>0</v>
      </c>
      <c r="D186" s="952"/>
      <c r="E186" s="411">
        <f>Calculations!C922</f>
        <v>0</v>
      </c>
      <c r="F186" s="408">
        <f>Calculations!D922</f>
        <v>0</v>
      </c>
      <c r="G186" s="410">
        <f>Calculations!E922</f>
        <v>0</v>
      </c>
      <c r="H186" s="410">
        <f>Calculations!F922</f>
        <v>0</v>
      </c>
      <c r="I186" s="410">
        <f>Calculations!G922</f>
        <v>0</v>
      </c>
      <c r="J186" s="413" t="str">
        <f>Calculations!H922</f>
        <v/>
      </c>
    </row>
    <row r="187" spans="2:19" s="88" customFormat="1" ht="15">
      <c r="B187" s="412">
        <f>Calculations!A923</f>
        <v>0</v>
      </c>
      <c r="C187" s="952">
        <f>Calculations!B923</f>
        <v>0</v>
      </c>
      <c r="D187" s="952"/>
      <c r="E187" s="411">
        <f>Calculations!C923</f>
        <v>0</v>
      </c>
      <c r="F187" s="408">
        <f>Calculations!D923</f>
        <v>0</v>
      </c>
      <c r="G187" s="410">
        <f>Calculations!E923</f>
        <v>0</v>
      </c>
      <c r="H187" s="410">
        <f>Calculations!F923</f>
        <v>0</v>
      </c>
      <c r="I187" s="410">
        <f>Calculations!G923</f>
        <v>0</v>
      </c>
      <c r="J187" s="413" t="str">
        <f>Calculations!H923</f>
        <v/>
      </c>
    </row>
    <row r="188" spans="2:19" s="88" customFormat="1" ht="15">
      <c r="B188" s="412">
        <f>Calculations!A924</f>
        <v>0</v>
      </c>
      <c r="C188" s="952">
        <f>Calculations!B924</f>
        <v>0</v>
      </c>
      <c r="D188" s="952"/>
      <c r="E188" s="411">
        <f>Calculations!C924</f>
        <v>0</v>
      </c>
      <c r="F188" s="408">
        <f>Calculations!D924</f>
        <v>0</v>
      </c>
      <c r="G188" s="410">
        <f>Calculations!E924</f>
        <v>0</v>
      </c>
      <c r="H188" s="410">
        <f>Calculations!F924</f>
        <v>0</v>
      </c>
      <c r="I188" s="410">
        <f>Calculations!G924</f>
        <v>0</v>
      </c>
      <c r="J188" s="413" t="str">
        <f>Calculations!H924</f>
        <v/>
      </c>
    </row>
    <row r="189" spans="2:19" s="88" customFormat="1" ht="15">
      <c r="B189" s="412">
        <f>Calculations!A925</f>
        <v>0</v>
      </c>
      <c r="C189" s="952">
        <f>Calculations!B925</f>
        <v>0</v>
      </c>
      <c r="D189" s="952"/>
      <c r="E189" s="411">
        <f>Calculations!C925</f>
        <v>0</v>
      </c>
      <c r="F189" s="408">
        <f>Calculations!D925</f>
        <v>0</v>
      </c>
      <c r="G189" s="410">
        <f>Calculations!E925</f>
        <v>0</v>
      </c>
      <c r="H189" s="410">
        <f>Calculations!F925</f>
        <v>0</v>
      </c>
      <c r="I189" s="410">
        <f>Calculations!G925</f>
        <v>0</v>
      </c>
      <c r="J189" s="413" t="str">
        <f>Calculations!H925</f>
        <v/>
      </c>
    </row>
    <row r="190" spans="2:19" s="88" customFormat="1" ht="15">
      <c r="B190" s="412">
        <f>Calculations!A926</f>
        <v>0</v>
      </c>
      <c r="C190" s="952">
        <f>Calculations!B926</f>
        <v>0</v>
      </c>
      <c r="D190" s="952"/>
      <c r="E190" s="411">
        <f>Calculations!C926</f>
        <v>0</v>
      </c>
      <c r="F190" s="408">
        <f>Calculations!D926</f>
        <v>0</v>
      </c>
      <c r="G190" s="410">
        <f>Calculations!E926</f>
        <v>0</v>
      </c>
      <c r="H190" s="410">
        <f>Calculations!F926</f>
        <v>0</v>
      </c>
      <c r="I190" s="410">
        <f>Calculations!G926</f>
        <v>0</v>
      </c>
      <c r="J190" s="413" t="str">
        <f>Calculations!H926</f>
        <v/>
      </c>
    </row>
    <row r="191" spans="2:19" s="88" customFormat="1" ht="15">
      <c r="B191" s="412">
        <f>Calculations!A927</f>
        <v>0</v>
      </c>
      <c r="C191" s="952">
        <f>Calculations!B927</f>
        <v>0</v>
      </c>
      <c r="D191" s="952"/>
      <c r="E191" s="411">
        <f>Calculations!C927</f>
        <v>0</v>
      </c>
      <c r="F191" s="408">
        <f>Calculations!D927</f>
        <v>0</v>
      </c>
      <c r="G191" s="410">
        <f>Calculations!E927</f>
        <v>0</v>
      </c>
      <c r="H191" s="410">
        <f>Calculations!F927</f>
        <v>0</v>
      </c>
      <c r="I191" s="410">
        <f>Calculations!G927</f>
        <v>0</v>
      </c>
      <c r="J191" s="413" t="str">
        <f>Calculations!H927</f>
        <v/>
      </c>
    </row>
    <row r="192" spans="2:19" s="88" customFormat="1" ht="15">
      <c r="B192" s="412">
        <f>Calculations!A928</f>
        <v>0</v>
      </c>
      <c r="C192" s="952">
        <f>Calculations!B928</f>
        <v>0</v>
      </c>
      <c r="D192" s="952"/>
      <c r="E192" s="411">
        <f>Calculations!C928</f>
        <v>0</v>
      </c>
      <c r="F192" s="408">
        <f>Calculations!D928</f>
        <v>0</v>
      </c>
      <c r="G192" s="410">
        <f>Calculations!E928</f>
        <v>0</v>
      </c>
      <c r="H192" s="410">
        <f>Calculations!F928</f>
        <v>0</v>
      </c>
      <c r="I192" s="410">
        <f>Calculations!G928</f>
        <v>0</v>
      </c>
      <c r="J192" s="413" t="str">
        <f>Calculations!H928</f>
        <v/>
      </c>
    </row>
    <row r="193" spans="2:10" s="88" customFormat="1" ht="15">
      <c r="B193" s="412">
        <f>Calculations!A929</f>
        <v>0</v>
      </c>
      <c r="C193" s="952">
        <f>Calculations!B929</f>
        <v>0</v>
      </c>
      <c r="D193" s="952"/>
      <c r="E193" s="411">
        <f>Calculations!C929</f>
        <v>0</v>
      </c>
      <c r="F193" s="408">
        <f>Calculations!D929</f>
        <v>0</v>
      </c>
      <c r="G193" s="410">
        <f>Calculations!E929</f>
        <v>0</v>
      </c>
      <c r="H193" s="410">
        <f>Calculations!F929</f>
        <v>0</v>
      </c>
      <c r="I193" s="410">
        <f>Calculations!G929</f>
        <v>0</v>
      </c>
      <c r="J193" s="413" t="str">
        <f>Calculations!H929</f>
        <v/>
      </c>
    </row>
    <row r="194" spans="2:10" s="88" customFormat="1" ht="15">
      <c r="B194" s="412">
        <f>Calculations!A930</f>
        <v>0</v>
      </c>
      <c r="C194" s="952">
        <f>Calculations!B930</f>
        <v>0</v>
      </c>
      <c r="D194" s="952"/>
      <c r="E194" s="411">
        <f>Calculations!C930</f>
        <v>0</v>
      </c>
      <c r="F194" s="408">
        <f>Calculations!D930</f>
        <v>0</v>
      </c>
      <c r="G194" s="410">
        <f>Calculations!E930</f>
        <v>0</v>
      </c>
      <c r="H194" s="410">
        <f>Calculations!F930</f>
        <v>0</v>
      </c>
      <c r="I194" s="410">
        <f>Calculations!G930</f>
        <v>0</v>
      </c>
      <c r="J194" s="413" t="str">
        <f>Calculations!H930</f>
        <v/>
      </c>
    </row>
    <row r="195" spans="2:10" s="88" customFormat="1" ht="15">
      <c r="B195" s="412">
        <f>Calculations!A931</f>
        <v>0</v>
      </c>
      <c r="C195" s="952">
        <f>Calculations!B931</f>
        <v>0</v>
      </c>
      <c r="D195" s="952"/>
      <c r="E195" s="411">
        <f>Calculations!C931</f>
        <v>0</v>
      </c>
      <c r="F195" s="408">
        <f>Calculations!D931</f>
        <v>0</v>
      </c>
      <c r="G195" s="410">
        <f>Calculations!E931</f>
        <v>0</v>
      </c>
      <c r="H195" s="410">
        <f>Calculations!F931</f>
        <v>0</v>
      </c>
      <c r="I195" s="410">
        <f>Calculations!G931</f>
        <v>0</v>
      </c>
      <c r="J195" s="413" t="str">
        <f>Calculations!H931</f>
        <v/>
      </c>
    </row>
    <row r="196" spans="2:10" s="88" customFormat="1" ht="15">
      <c r="B196" s="412">
        <f>Calculations!A932</f>
        <v>0</v>
      </c>
      <c r="C196" s="952">
        <f>Calculations!B932</f>
        <v>0</v>
      </c>
      <c r="D196" s="952"/>
      <c r="E196" s="411">
        <f>Calculations!C932</f>
        <v>0</v>
      </c>
      <c r="F196" s="408">
        <f>Calculations!D932</f>
        <v>0</v>
      </c>
      <c r="G196" s="410">
        <f>Calculations!E932</f>
        <v>0</v>
      </c>
      <c r="H196" s="410">
        <f>Calculations!F932</f>
        <v>0</v>
      </c>
      <c r="I196" s="410">
        <f>Calculations!G932</f>
        <v>0</v>
      </c>
      <c r="J196" s="413" t="str">
        <f>Calculations!H932</f>
        <v/>
      </c>
    </row>
    <row r="197" spans="2:10" s="88" customFormat="1" ht="15">
      <c r="B197" s="412">
        <f>Calculations!A933</f>
        <v>0</v>
      </c>
      <c r="C197" s="952">
        <f>Calculations!B933</f>
        <v>0</v>
      </c>
      <c r="D197" s="952"/>
      <c r="E197" s="411">
        <f>Calculations!C933</f>
        <v>0</v>
      </c>
      <c r="F197" s="408">
        <f>Calculations!D933</f>
        <v>0</v>
      </c>
      <c r="G197" s="410">
        <f>Calculations!E933</f>
        <v>0</v>
      </c>
      <c r="H197" s="410">
        <f>Calculations!F933</f>
        <v>0</v>
      </c>
      <c r="I197" s="410">
        <f>Calculations!G933</f>
        <v>0</v>
      </c>
      <c r="J197" s="413" t="str">
        <f>Calculations!H933</f>
        <v/>
      </c>
    </row>
    <row r="198" spans="2:10" s="88" customFormat="1" ht="15">
      <c r="B198" s="412">
        <f>Calculations!A934</f>
        <v>0</v>
      </c>
      <c r="C198" s="952">
        <f>Calculations!B934</f>
        <v>0</v>
      </c>
      <c r="D198" s="952"/>
      <c r="E198" s="411">
        <f>Calculations!C934</f>
        <v>0</v>
      </c>
      <c r="F198" s="408">
        <f>Calculations!D934</f>
        <v>0</v>
      </c>
      <c r="G198" s="410">
        <f>Calculations!E934</f>
        <v>0</v>
      </c>
      <c r="H198" s="410">
        <f>Calculations!F934</f>
        <v>0</v>
      </c>
      <c r="I198" s="410">
        <f>Calculations!G934</f>
        <v>0</v>
      </c>
      <c r="J198" s="413" t="str">
        <f>Calculations!H934</f>
        <v/>
      </c>
    </row>
    <row r="199" spans="2:10" s="88" customFormat="1" ht="15">
      <c r="B199" s="412">
        <f>Calculations!A935</f>
        <v>0</v>
      </c>
      <c r="C199" s="952">
        <f>Calculations!B935</f>
        <v>0</v>
      </c>
      <c r="D199" s="952"/>
      <c r="E199" s="411">
        <f>Calculations!C935</f>
        <v>0</v>
      </c>
      <c r="F199" s="408">
        <f>Calculations!D935</f>
        <v>0</v>
      </c>
      <c r="G199" s="410">
        <f>Calculations!E935</f>
        <v>0</v>
      </c>
      <c r="H199" s="410">
        <f>Calculations!F935</f>
        <v>0</v>
      </c>
      <c r="I199" s="410">
        <f>Calculations!G935</f>
        <v>0</v>
      </c>
      <c r="J199" s="413" t="str">
        <f>Calculations!H935</f>
        <v/>
      </c>
    </row>
    <row r="200" spans="2:10" s="88" customFormat="1" ht="15">
      <c r="B200" s="412">
        <f>Calculations!A936</f>
        <v>0</v>
      </c>
      <c r="C200" s="952">
        <f>Calculations!B936</f>
        <v>0</v>
      </c>
      <c r="D200" s="952"/>
      <c r="E200" s="411">
        <f>Calculations!C936</f>
        <v>0</v>
      </c>
      <c r="F200" s="408">
        <f>Calculations!D936</f>
        <v>0</v>
      </c>
      <c r="G200" s="410">
        <f>Calculations!E936</f>
        <v>0</v>
      </c>
      <c r="H200" s="410">
        <f>Calculations!F936</f>
        <v>0</v>
      </c>
      <c r="I200" s="410">
        <f>Calculations!G936</f>
        <v>0</v>
      </c>
      <c r="J200" s="413" t="str">
        <f>Calculations!H936</f>
        <v/>
      </c>
    </row>
    <row r="201" spans="2:10" s="88" customFormat="1" ht="15">
      <c r="B201" s="412">
        <f>Calculations!A937</f>
        <v>0</v>
      </c>
      <c r="C201" s="952">
        <f>Calculations!B937</f>
        <v>0</v>
      </c>
      <c r="D201" s="952"/>
      <c r="E201" s="411">
        <f>Calculations!C937</f>
        <v>0</v>
      </c>
      <c r="F201" s="408">
        <f>Calculations!D937</f>
        <v>0</v>
      </c>
      <c r="G201" s="410">
        <f>Calculations!E937</f>
        <v>0</v>
      </c>
      <c r="H201" s="410">
        <f>Calculations!F937</f>
        <v>0</v>
      </c>
      <c r="I201" s="410">
        <f>Calculations!G937</f>
        <v>0</v>
      </c>
      <c r="J201" s="413" t="str">
        <f>Calculations!H937</f>
        <v/>
      </c>
    </row>
    <row r="202" spans="2:10" s="88" customFormat="1" ht="15">
      <c r="B202" s="412">
        <f>Calculations!A938</f>
        <v>0</v>
      </c>
      <c r="C202" s="952">
        <f>Calculations!B938</f>
        <v>0</v>
      </c>
      <c r="D202" s="952"/>
      <c r="E202" s="411">
        <f>Calculations!C938</f>
        <v>0</v>
      </c>
      <c r="F202" s="408">
        <f>Calculations!D938</f>
        <v>0</v>
      </c>
      <c r="G202" s="410">
        <f>Calculations!E938</f>
        <v>0</v>
      </c>
      <c r="H202" s="410">
        <f>Calculations!F938</f>
        <v>0</v>
      </c>
      <c r="I202" s="410">
        <f>Calculations!G938</f>
        <v>0</v>
      </c>
      <c r="J202" s="413" t="str">
        <f>Calculations!H938</f>
        <v/>
      </c>
    </row>
    <row r="203" spans="2:10" s="88" customFormat="1" ht="15">
      <c r="B203" s="412">
        <f>Calculations!A939</f>
        <v>0</v>
      </c>
      <c r="C203" s="952">
        <f>Calculations!B939</f>
        <v>0</v>
      </c>
      <c r="D203" s="952"/>
      <c r="E203" s="411">
        <f>Calculations!C939</f>
        <v>0</v>
      </c>
      <c r="F203" s="408">
        <f>Calculations!D939</f>
        <v>0</v>
      </c>
      <c r="G203" s="410">
        <f>Calculations!E939</f>
        <v>0</v>
      </c>
      <c r="H203" s="410">
        <f>Calculations!F939</f>
        <v>0</v>
      </c>
      <c r="I203" s="410">
        <f>Calculations!G939</f>
        <v>0</v>
      </c>
      <c r="J203" s="413" t="str">
        <f>Calculations!H939</f>
        <v/>
      </c>
    </row>
    <row r="204" spans="2:10" s="88" customFormat="1" ht="15">
      <c r="B204" s="412">
        <f>Calculations!A940</f>
        <v>0</v>
      </c>
      <c r="C204" s="952">
        <f>Calculations!B940</f>
        <v>0</v>
      </c>
      <c r="D204" s="952"/>
      <c r="E204" s="411">
        <f>Calculations!C940</f>
        <v>0</v>
      </c>
      <c r="F204" s="408">
        <f>Calculations!D940</f>
        <v>0</v>
      </c>
      <c r="G204" s="410">
        <f>Calculations!E940</f>
        <v>0</v>
      </c>
      <c r="H204" s="410">
        <f>Calculations!F940</f>
        <v>0</v>
      </c>
      <c r="I204" s="410">
        <f>Calculations!G940</f>
        <v>0</v>
      </c>
      <c r="J204" s="413" t="str">
        <f>Calculations!H940</f>
        <v/>
      </c>
    </row>
    <row r="205" spans="2:10" s="88" customFormat="1" ht="15">
      <c r="B205" s="412">
        <f>Calculations!A941</f>
        <v>0</v>
      </c>
      <c r="C205" s="952">
        <f>Calculations!B941</f>
        <v>0</v>
      </c>
      <c r="D205" s="952"/>
      <c r="E205" s="411">
        <f>Calculations!C941</f>
        <v>0</v>
      </c>
      <c r="F205" s="408">
        <f>Calculations!D941</f>
        <v>0</v>
      </c>
      <c r="G205" s="410">
        <f>Calculations!E941</f>
        <v>0</v>
      </c>
      <c r="H205" s="410">
        <f>Calculations!F941</f>
        <v>0</v>
      </c>
      <c r="I205" s="410">
        <f>Calculations!G941</f>
        <v>0</v>
      </c>
      <c r="J205" s="413" t="str">
        <f>Calculations!H941</f>
        <v/>
      </c>
    </row>
    <row r="206" spans="2:10" s="88" customFormat="1" ht="15">
      <c r="B206" s="412">
        <f>Calculations!A942</f>
        <v>0</v>
      </c>
      <c r="C206" s="952">
        <f>Calculations!B942</f>
        <v>0</v>
      </c>
      <c r="D206" s="952"/>
      <c r="E206" s="411">
        <f>Calculations!C942</f>
        <v>0</v>
      </c>
      <c r="F206" s="408">
        <f>Calculations!D942</f>
        <v>0</v>
      </c>
      <c r="G206" s="410">
        <f>Calculations!E942</f>
        <v>0</v>
      </c>
      <c r="H206" s="410">
        <f>Calculations!F942</f>
        <v>0</v>
      </c>
      <c r="I206" s="410">
        <f>Calculations!G942</f>
        <v>0</v>
      </c>
      <c r="J206" s="413" t="str">
        <f>Calculations!H942</f>
        <v/>
      </c>
    </row>
    <row r="207" spans="2:10" s="88" customFormat="1" ht="15">
      <c r="B207" s="412">
        <f>Calculations!A943</f>
        <v>0</v>
      </c>
      <c r="C207" s="952">
        <f>Calculations!B943</f>
        <v>0</v>
      </c>
      <c r="D207" s="952"/>
      <c r="E207" s="411">
        <f>Calculations!C943</f>
        <v>0</v>
      </c>
      <c r="F207" s="408">
        <f>Calculations!D943</f>
        <v>0</v>
      </c>
      <c r="G207" s="410">
        <f>Calculations!E943</f>
        <v>0</v>
      </c>
      <c r="H207" s="410">
        <f>Calculations!F943</f>
        <v>0</v>
      </c>
      <c r="I207" s="410">
        <f>Calculations!G943</f>
        <v>0</v>
      </c>
      <c r="J207" s="413" t="str">
        <f>Calculations!H943</f>
        <v/>
      </c>
    </row>
    <row r="208" spans="2:10" s="88" customFormat="1" ht="15">
      <c r="B208" s="412">
        <f>Calculations!A944</f>
        <v>0</v>
      </c>
      <c r="C208" s="952">
        <f>Calculations!B944</f>
        <v>0</v>
      </c>
      <c r="D208" s="952"/>
      <c r="E208" s="411">
        <f>Calculations!C944</f>
        <v>0</v>
      </c>
      <c r="F208" s="408">
        <f>Calculations!D944</f>
        <v>0</v>
      </c>
      <c r="G208" s="410">
        <f>Calculations!E944</f>
        <v>0</v>
      </c>
      <c r="H208" s="410">
        <f>Calculations!F944</f>
        <v>0</v>
      </c>
      <c r="I208" s="410">
        <f>Calculations!G944</f>
        <v>0</v>
      </c>
      <c r="J208" s="413" t="str">
        <f>Calculations!H944</f>
        <v/>
      </c>
    </row>
    <row r="209" spans="2:10" s="88" customFormat="1" ht="15">
      <c r="B209" s="412">
        <f>Calculations!A945</f>
        <v>0</v>
      </c>
      <c r="C209" s="952">
        <f>Calculations!B945</f>
        <v>0</v>
      </c>
      <c r="D209" s="952"/>
      <c r="E209" s="411">
        <f>Calculations!C945</f>
        <v>0</v>
      </c>
      <c r="F209" s="408">
        <f>Calculations!D945</f>
        <v>0</v>
      </c>
      <c r="G209" s="410">
        <f>Calculations!E945</f>
        <v>0</v>
      </c>
      <c r="H209" s="410">
        <f>Calculations!F945</f>
        <v>0</v>
      </c>
      <c r="I209" s="410">
        <f>Calculations!G945</f>
        <v>0</v>
      </c>
      <c r="J209" s="413" t="str">
        <f>Calculations!H945</f>
        <v/>
      </c>
    </row>
    <row r="210" spans="2:10" s="88" customFormat="1" ht="15">
      <c r="B210" s="412">
        <f>Calculations!A946</f>
        <v>0</v>
      </c>
      <c r="C210" s="952">
        <f>Calculations!B946</f>
        <v>0</v>
      </c>
      <c r="D210" s="952"/>
      <c r="E210" s="411">
        <f>Calculations!C946</f>
        <v>0</v>
      </c>
      <c r="F210" s="408">
        <f>Calculations!D946</f>
        <v>0</v>
      </c>
      <c r="G210" s="410">
        <f>Calculations!E946</f>
        <v>0</v>
      </c>
      <c r="H210" s="410">
        <f>Calculations!F946</f>
        <v>0</v>
      </c>
      <c r="I210" s="410">
        <f>Calculations!G946</f>
        <v>0</v>
      </c>
      <c r="J210" s="413" t="str">
        <f>Calculations!H946</f>
        <v/>
      </c>
    </row>
    <row r="211" spans="2:10" s="88" customFormat="1" ht="15">
      <c r="B211" s="412">
        <f>Calculations!A947</f>
        <v>0</v>
      </c>
      <c r="C211" s="952">
        <f>Calculations!B947</f>
        <v>0</v>
      </c>
      <c r="D211" s="952"/>
      <c r="E211" s="411">
        <f>Calculations!C947</f>
        <v>0</v>
      </c>
      <c r="F211" s="408">
        <f>Calculations!D947</f>
        <v>0</v>
      </c>
      <c r="G211" s="410">
        <f>Calculations!E947</f>
        <v>0</v>
      </c>
      <c r="H211" s="410">
        <f>Calculations!F947</f>
        <v>0</v>
      </c>
      <c r="I211" s="410">
        <f>Calculations!G947</f>
        <v>0</v>
      </c>
      <c r="J211" s="413" t="str">
        <f>Calculations!H947</f>
        <v/>
      </c>
    </row>
    <row r="212" spans="2:10" s="88" customFormat="1" ht="15">
      <c r="B212" s="406"/>
      <c r="C212" s="406"/>
      <c r="D212" s="407"/>
      <c r="E212" s="408"/>
      <c r="F212" s="409"/>
      <c r="G212" s="409"/>
      <c r="H212" s="409"/>
      <c r="I212" s="183"/>
      <c r="J212" s="183"/>
    </row>
    <row r="213" spans="2:10" s="88" customFormat="1" ht="15">
      <c r="B213" s="406"/>
      <c r="C213" s="406"/>
      <c r="D213" s="407"/>
      <c r="E213" s="408"/>
      <c r="F213" s="409"/>
      <c r="G213" s="409"/>
      <c r="H213" s="409"/>
      <c r="I213" s="183"/>
      <c r="J213" s="183"/>
    </row>
    <row r="214" spans="2:10" s="88" customFormat="1" ht="15">
      <c r="B214" s="406"/>
      <c r="C214" s="406"/>
      <c r="D214" s="407"/>
      <c r="E214" s="408"/>
      <c r="F214" s="409"/>
      <c r="G214" s="409"/>
      <c r="H214" s="409"/>
      <c r="I214" s="183"/>
      <c r="J214" s="183"/>
    </row>
    <row r="215" spans="2:10" s="88" customFormat="1" ht="15">
      <c r="B215" s="406"/>
      <c r="C215" s="406"/>
      <c r="D215" s="407"/>
      <c r="E215" s="408"/>
      <c r="F215" s="409"/>
      <c r="G215" s="409"/>
      <c r="H215" s="409"/>
      <c r="I215" s="183"/>
      <c r="J215" s="183"/>
    </row>
    <row r="216" spans="2:10" s="88" customFormat="1" ht="15">
      <c r="B216" s="406"/>
      <c r="C216" s="406"/>
      <c r="D216" s="407"/>
      <c r="E216" s="408"/>
      <c r="F216" s="409"/>
      <c r="G216" s="409"/>
      <c r="H216" s="409"/>
      <c r="I216" s="183"/>
      <c r="J216" s="183"/>
    </row>
    <row r="217" spans="2:10" s="88" customFormat="1" ht="15">
      <c r="B217" s="406"/>
      <c r="C217" s="406"/>
      <c r="D217" s="407"/>
      <c r="E217" s="408"/>
      <c r="F217" s="409"/>
      <c r="G217" s="409"/>
      <c r="H217" s="409"/>
      <c r="I217" s="183"/>
      <c r="J217" s="183"/>
    </row>
  </sheetData>
  <sheetProtection algorithmName="SHA-512" hashValue="W9kAFfnwVGt7o1ecvgv7I71/2qQDjEzAMth83oD7JEcisyj+3gNJPhAys5GPUYvHPvqrWU2GdK0fdV59QI/TNw==" saltValue="FpDn2XsdIOz9Tv11NXVJng==" spinCount="100000" sheet="1" objects="1" scenarios="1"/>
  <mergeCells count="77">
    <mergeCell ref="A149:L149"/>
    <mergeCell ref="A1:L1"/>
    <mergeCell ref="A8:L8"/>
    <mergeCell ref="B56:C56"/>
    <mergeCell ref="A49:L49"/>
    <mergeCell ref="I71:J71"/>
    <mergeCell ref="A69:L69"/>
    <mergeCell ref="A84:L84"/>
    <mergeCell ref="A85:L85"/>
    <mergeCell ref="B9:L9"/>
    <mergeCell ref="B28:L28"/>
    <mergeCell ref="A123:K123"/>
    <mergeCell ref="B146:C146"/>
    <mergeCell ref="A148:L148"/>
    <mergeCell ref="K52:L52"/>
    <mergeCell ref="K53:L53"/>
    <mergeCell ref="C151:D151"/>
    <mergeCell ref="C152:D152"/>
    <mergeCell ref="C153:D153"/>
    <mergeCell ref="C154:D154"/>
    <mergeCell ref="C155:D155"/>
    <mergeCell ref="C156:D156"/>
    <mergeCell ref="C157:D157"/>
    <mergeCell ref="C158:D158"/>
    <mergeCell ref="C159:D159"/>
    <mergeCell ref="C160:D160"/>
    <mergeCell ref="C161:D161"/>
    <mergeCell ref="C162:D162"/>
    <mergeCell ref="C163:D163"/>
    <mergeCell ref="C164:D164"/>
    <mergeCell ref="C165:D165"/>
    <mergeCell ref="C166:D166"/>
    <mergeCell ref="C167:D167"/>
    <mergeCell ref="C168:D168"/>
    <mergeCell ref="C169:D169"/>
    <mergeCell ref="C170:D170"/>
    <mergeCell ref="C171:D171"/>
    <mergeCell ref="C172:D172"/>
    <mergeCell ref="C173:D173"/>
    <mergeCell ref="C174:D174"/>
    <mergeCell ref="C175:D175"/>
    <mergeCell ref="C176:D176"/>
    <mergeCell ref="C177:D177"/>
    <mergeCell ref="C178:D178"/>
    <mergeCell ref="C179:D179"/>
    <mergeCell ref="C180:D180"/>
    <mergeCell ref="C181:D181"/>
    <mergeCell ref="C182:D182"/>
    <mergeCell ref="C183:D183"/>
    <mergeCell ref="C184:D184"/>
    <mergeCell ref="C185:D185"/>
    <mergeCell ref="C186:D186"/>
    <mergeCell ref="C187:D187"/>
    <mergeCell ref="C188:D188"/>
    <mergeCell ref="C189:D189"/>
    <mergeCell ref="C190:D190"/>
    <mergeCell ref="C191:D191"/>
    <mergeCell ref="C192:D192"/>
    <mergeCell ref="C193:D193"/>
    <mergeCell ref="C194:D194"/>
    <mergeCell ref="C195:D195"/>
    <mergeCell ref="C196:D196"/>
    <mergeCell ref="C197:D197"/>
    <mergeCell ref="C198:D198"/>
    <mergeCell ref="C199:D199"/>
    <mergeCell ref="C200:D200"/>
    <mergeCell ref="C201:D201"/>
    <mergeCell ref="C202:D202"/>
    <mergeCell ref="C203:D203"/>
    <mergeCell ref="C204:D204"/>
    <mergeCell ref="C205:D205"/>
    <mergeCell ref="C211:D211"/>
    <mergeCell ref="C206:D206"/>
    <mergeCell ref="C207:D207"/>
    <mergeCell ref="C208:D208"/>
    <mergeCell ref="C209:D209"/>
    <mergeCell ref="C210:D210"/>
  </mergeCells>
  <phoneticPr fontId="91" type="noConversion"/>
  <dataValidations disablePrompts="1" count="1">
    <dataValidation type="list" allowBlank="1" showInputMessage="1" showErrorMessage="1" errorTitle="Application Stage" error="Please select a valid value for Application Stage." sqref="G5" xr:uid="{00000000-0002-0000-1500-000000000000}">
      <formula1>#REF!</formula1>
    </dataValidation>
  </dataValidations>
  <hyperlinks>
    <hyperlink ref="A69:K69" location="Determination_TC_Range" display="Determination of Annual Tax Credit Amount" xr:uid="{00000000-0004-0000-1500-000000000000}"/>
    <hyperlink ref="A84:J84" location="'Proforma, Income &amp; Expense'!A1" display="15 Year Pro Forma" xr:uid="{00000000-0004-0000-1500-000001000000}"/>
    <hyperlink ref="A49:K49" location="Financing!A1" display="Development Financing" xr:uid="{00000000-0004-0000-1500-000002000000}"/>
    <hyperlink ref="A148:J148" location="'Unit Mix &amp; Rents'!A1" display="Units Mix &amp; Rents" xr:uid="{00000000-0004-0000-1500-000003000000}"/>
    <hyperlink ref="A123:K123" location="'Unit Mix &amp; Rents'!A1" display="Units Mix &amp; Rents" xr:uid="{00000000-0004-0000-1500-000004000000}"/>
  </hyperlinks>
  <printOptions horizontalCentered="1" verticalCentered="1"/>
  <pageMargins left="0.75" right="0.75" top="1" bottom="1" header="0.5" footer="0.5"/>
  <pageSetup scale="64" orientation="landscape" r:id="rId1"/>
  <headerFooter alignWithMargins="0">
    <oddFooter>&amp;R&amp;F</oddFooter>
  </headerFooter>
  <rowBreaks count="4" manualBreakCount="4">
    <brk id="48" max="16383" man="1"/>
    <brk id="83" max="16383" man="1"/>
    <brk id="122" max="11" man="1"/>
    <brk id="147" max="11"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theme="1"/>
  </sheetPr>
  <dimension ref="A1:V1458"/>
  <sheetViews>
    <sheetView zoomScaleNormal="100" workbookViewId="0"/>
  </sheetViews>
  <sheetFormatPr defaultColWidth="9" defaultRowHeight="15"/>
  <cols>
    <col min="1" max="1" width="63.140625" customWidth="1"/>
    <col min="2" max="2" width="37.140625" customWidth="1"/>
    <col min="3" max="3" width="69.5703125" customWidth="1"/>
    <col min="4" max="4" width="34.28515625" customWidth="1"/>
    <col min="5" max="5" width="48.5703125" customWidth="1"/>
    <col min="6" max="6" width="14.140625" customWidth="1"/>
    <col min="7" max="7" width="31.5703125" customWidth="1"/>
    <col min="8" max="8" width="14.140625" customWidth="1"/>
    <col min="10" max="10" width="41.5703125" customWidth="1"/>
    <col min="11" max="11" width="13.5703125" bestFit="1" customWidth="1"/>
    <col min="12" max="12" width="26.5703125" bestFit="1" customWidth="1"/>
    <col min="17" max="17" width="12.5703125" customWidth="1"/>
  </cols>
  <sheetData>
    <row r="1" spans="1:18">
      <c r="A1" s="1" t="s">
        <v>1326</v>
      </c>
      <c r="B1" s="1" t="s">
        <v>1327</v>
      </c>
      <c r="C1" s="1" t="s">
        <v>1328</v>
      </c>
      <c r="D1" s="1" t="s">
        <v>1329</v>
      </c>
    </row>
    <row r="2" spans="1:18">
      <c r="A2" t="s">
        <v>960</v>
      </c>
      <c r="B2" t="s">
        <v>1330</v>
      </c>
      <c r="C2">
        <f>Calculations!B364</f>
        <v>0</v>
      </c>
      <c r="D2" t="s">
        <v>1331</v>
      </c>
    </row>
    <row r="3" spans="1:18">
      <c r="A3" t="s">
        <v>961</v>
      </c>
      <c r="B3" t="s">
        <v>1332</v>
      </c>
      <c r="C3">
        <f>Calculations!B365</f>
        <v>0</v>
      </c>
      <c r="D3" t="s">
        <v>1333</v>
      </c>
    </row>
    <row r="4" spans="1:18">
      <c r="B4" t="s">
        <v>1334</v>
      </c>
      <c r="C4" t="str">
        <f>Calculations!$B$385</f>
        <v>Loans Missing</v>
      </c>
      <c r="D4" t="s">
        <v>1335</v>
      </c>
    </row>
    <row r="5" spans="1:18">
      <c r="B5" t="s">
        <v>1336</v>
      </c>
      <c r="C5" t="str">
        <f>Calculations!$C$385</f>
        <v>Loans Missing</v>
      </c>
      <c r="D5" t="s">
        <v>1337</v>
      </c>
    </row>
    <row r="6" spans="1:18">
      <c r="B6" t="s">
        <v>1338</v>
      </c>
      <c r="C6" t="str">
        <f>Calculations!$P$385</f>
        <v>Loans Missing</v>
      </c>
    </row>
    <row r="7" spans="1:18">
      <c r="B7" t="s">
        <v>1339</v>
      </c>
      <c r="C7">
        <f>ABS(Calculations!B388)</f>
        <v>0</v>
      </c>
    </row>
    <row r="8" spans="1:18" s="365" customFormat="1">
      <c r="A8"/>
      <c r="B8" t="s">
        <v>1340</v>
      </c>
      <c r="C8">
        <f>ABS(Calculations!B389)</f>
        <v>0</v>
      </c>
      <c r="D8"/>
      <c r="E8"/>
      <c r="F8"/>
      <c r="G8"/>
      <c r="H8"/>
      <c r="I8"/>
      <c r="J8"/>
      <c r="K8"/>
      <c r="L8"/>
      <c r="M8"/>
      <c r="N8"/>
      <c r="O8"/>
      <c r="P8"/>
      <c r="Q8"/>
      <c r="R8"/>
    </row>
    <row r="9" spans="1:18" s="365" customFormat="1">
      <c r="A9"/>
      <c r="B9" t="s">
        <v>1341</v>
      </c>
      <c r="C9">
        <f>ABS(Calculations!B390)</f>
        <v>0</v>
      </c>
      <c r="D9"/>
      <c r="E9"/>
      <c r="F9"/>
      <c r="G9"/>
      <c r="H9"/>
      <c r="I9"/>
      <c r="J9"/>
      <c r="K9"/>
      <c r="L9"/>
      <c r="M9"/>
      <c r="N9"/>
      <c r="O9"/>
      <c r="P9"/>
      <c r="Q9"/>
      <c r="R9"/>
    </row>
    <row r="10" spans="1:18">
      <c r="B10" t="s">
        <v>1342</v>
      </c>
      <c r="C10">
        <f>ABS(Calculations!B391)</f>
        <v>0</v>
      </c>
    </row>
    <row r="11" spans="1:18">
      <c r="B11" t="s">
        <v>1343</v>
      </c>
      <c r="C11" t="str">
        <f>Calculations!A391</f>
        <v>Other (Specify)</v>
      </c>
    </row>
    <row r="12" spans="1:18">
      <c r="B12" t="s">
        <v>1344</v>
      </c>
      <c r="C12">
        <f>ABS(Calculations!B392)</f>
        <v>0</v>
      </c>
    </row>
    <row r="13" spans="1:18">
      <c r="B13" t="s">
        <v>1345</v>
      </c>
      <c r="C13">
        <f>ABS(Calculations!B393)</f>
        <v>0</v>
      </c>
    </row>
    <row r="14" spans="1:18">
      <c r="B14" t="s">
        <v>1346</v>
      </c>
      <c r="C14">
        <f>ABS(Calculations!C388)</f>
        <v>0</v>
      </c>
    </row>
    <row r="15" spans="1:18">
      <c r="B15" t="s">
        <v>1347</v>
      </c>
      <c r="C15">
        <f>ABS(Calculations!C389)</f>
        <v>0</v>
      </c>
    </row>
    <row r="16" spans="1:18">
      <c r="B16" t="s">
        <v>1348</v>
      </c>
      <c r="C16">
        <f>ABS(Calculations!C390)</f>
        <v>0</v>
      </c>
    </row>
    <row r="17" spans="2:3">
      <c r="B17" t="s">
        <v>1349</v>
      </c>
      <c r="C17">
        <f>ABS(Calculations!C391)</f>
        <v>0</v>
      </c>
    </row>
    <row r="18" spans="2:3">
      <c r="B18" t="s">
        <v>1350</v>
      </c>
      <c r="C18" t="str">
        <f>Calculations!A391</f>
        <v>Other (Specify)</v>
      </c>
    </row>
    <row r="19" spans="2:3">
      <c r="B19" t="s">
        <v>1351</v>
      </c>
      <c r="C19">
        <f>Calculations!C392</f>
        <v>0</v>
      </c>
    </row>
    <row r="20" spans="2:3">
      <c r="B20" t="s">
        <v>1352</v>
      </c>
      <c r="C20">
        <f>Calculations!C393</f>
        <v>0</v>
      </c>
    </row>
    <row r="21" spans="2:3">
      <c r="B21" t="s">
        <v>1353</v>
      </c>
      <c r="C21">
        <f>ABS(Calculations!D388)</f>
        <v>0</v>
      </c>
    </row>
    <row r="22" spans="2:3">
      <c r="B22" t="s">
        <v>1354</v>
      </c>
      <c r="C22">
        <f>ABS(Calculations!D389)</f>
        <v>0</v>
      </c>
    </row>
    <row r="23" spans="2:3">
      <c r="B23" t="s">
        <v>1355</v>
      </c>
      <c r="C23">
        <f>ABS(Calculations!D390)</f>
        <v>0</v>
      </c>
    </row>
    <row r="24" spans="2:3">
      <c r="B24" t="s">
        <v>1356</v>
      </c>
      <c r="C24">
        <f>ABS(Calculations!D391)</f>
        <v>0</v>
      </c>
    </row>
    <row r="25" spans="2:3">
      <c r="B25" t="s">
        <v>1357</v>
      </c>
      <c r="C25" t="str">
        <f>Calculations!A391</f>
        <v>Other (Specify)</v>
      </c>
    </row>
    <row r="26" spans="2:3">
      <c r="B26" t="s">
        <v>1358</v>
      </c>
      <c r="C26">
        <f>ABS(Calculations!D392)</f>
        <v>0</v>
      </c>
    </row>
    <row r="27" spans="2:3">
      <c r="B27" t="s">
        <v>1359</v>
      </c>
      <c r="C27">
        <f>ABS(Calculations!D393)</f>
        <v>0</v>
      </c>
    </row>
    <row r="28" spans="2:3">
      <c r="B28" t="s">
        <v>1360</v>
      </c>
      <c r="C28">
        <f>ABS(Calculations!E388)</f>
        <v>0</v>
      </c>
    </row>
    <row r="29" spans="2:3">
      <c r="B29" t="s">
        <v>1361</v>
      </c>
      <c r="C29">
        <f>ABS(Calculations!E389)</f>
        <v>0</v>
      </c>
    </row>
    <row r="30" spans="2:3">
      <c r="B30" t="s">
        <v>1362</v>
      </c>
      <c r="C30">
        <f>ABS(Calculations!E390)</f>
        <v>0</v>
      </c>
    </row>
    <row r="31" spans="2:3">
      <c r="B31" t="s">
        <v>1363</v>
      </c>
      <c r="C31">
        <f>ABS(Calculations!E391)</f>
        <v>0</v>
      </c>
    </row>
    <row r="32" spans="2:3">
      <c r="B32" t="s">
        <v>1364</v>
      </c>
      <c r="C32" t="str">
        <f>Calculations!A391</f>
        <v>Other (Specify)</v>
      </c>
    </row>
    <row r="33" spans="2:3">
      <c r="B33" t="s">
        <v>1365</v>
      </c>
      <c r="C33">
        <f>ABS(Calculations!E392)</f>
        <v>0</v>
      </c>
    </row>
    <row r="34" spans="2:3">
      <c r="B34" t="s">
        <v>1366</v>
      </c>
      <c r="C34">
        <f>ABS(Calculations!E393)</f>
        <v>0</v>
      </c>
    </row>
    <row r="35" spans="2:3">
      <c r="B35" t="s">
        <v>1367</v>
      </c>
      <c r="C35">
        <f>ABS(Calculations!F388)</f>
        <v>0</v>
      </c>
    </row>
    <row r="36" spans="2:3">
      <c r="B36" t="s">
        <v>1368</v>
      </c>
      <c r="C36">
        <f>ABS(Calculations!F389)</f>
        <v>0</v>
      </c>
    </row>
    <row r="37" spans="2:3">
      <c r="B37" t="s">
        <v>1369</v>
      </c>
      <c r="C37">
        <f>ABS(Calculations!F390)</f>
        <v>0</v>
      </c>
    </row>
    <row r="38" spans="2:3">
      <c r="B38" t="s">
        <v>1370</v>
      </c>
      <c r="C38">
        <f>ABS(Calculations!F391)</f>
        <v>0</v>
      </c>
    </row>
    <row r="39" spans="2:3">
      <c r="B39" t="s">
        <v>1371</v>
      </c>
      <c r="C39" t="str">
        <f>Calculations!A391</f>
        <v>Other (Specify)</v>
      </c>
    </row>
    <row r="40" spans="2:3">
      <c r="B40" t="s">
        <v>1372</v>
      </c>
      <c r="C40">
        <f>ABS(Calculations!F392)</f>
        <v>0</v>
      </c>
    </row>
    <row r="41" spans="2:3">
      <c r="B41" t="s">
        <v>1373</v>
      </c>
      <c r="C41">
        <f>ABS(Calculations!F393)</f>
        <v>0</v>
      </c>
    </row>
    <row r="42" spans="2:3">
      <c r="B42" t="s">
        <v>1374</v>
      </c>
      <c r="C42">
        <f>ABS(Calculations!G388)</f>
        <v>0</v>
      </c>
    </row>
    <row r="43" spans="2:3">
      <c r="B43" t="s">
        <v>1375</v>
      </c>
      <c r="C43">
        <f>ABS(Calculations!G389)</f>
        <v>0</v>
      </c>
    </row>
    <row r="44" spans="2:3">
      <c r="B44" t="s">
        <v>1376</v>
      </c>
      <c r="C44">
        <f>ABS(Calculations!G390)</f>
        <v>0</v>
      </c>
    </row>
    <row r="45" spans="2:3">
      <c r="B45" t="s">
        <v>1377</v>
      </c>
      <c r="C45">
        <f>ABS(Calculations!G391)</f>
        <v>0</v>
      </c>
    </row>
    <row r="46" spans="2:3">
      <c r="B46" t="s">
        <v>1378</v>
      </c>
      <c r="C46" t="str">
        <f>Calculations!A391</f>
        <v>Other (Specify)</v>
      </c>
    </row>
    <row r="47" spans="2:3">
      <c r="B47" t="s">
        <v>1379</v>
      </c>
      <c r="C47">
        <f>ABS(Calculations!G392)</f>
        <v>0</v>
      </c>
    </row>
    <row r="48" spans="2:3">
      <c r="B48" t="s">
        <v>1380</v>
      </c>
      <c r="C48">
        <f>ABS(Calculations!G393)</f>
        <v>0</v>
      </c>
    </row>
    <row r="49" spans="2:6">
      <c r="B49" t="s">
        <v>1381</v>
      </c>
      <c r="C49">
        <f>ABS(Calculations!H388)</f>
        <v>0</v>
      </c>
      <c r="F49" t="s">
        <v>1382</v>
      </c>
    </row>
    <row r="50" spans="2:6">
      <c r="B50" t="s">
        <v>1383</v>
      </c>
      <c r="C50">
        <f>ABS(Calculations!H389)</f>
        <v>0</v>
      </c>
    </row>
    <row r="51" spans="2:6">
      <c r="B51" t="s">
        <v>1384</v>
      </c>
      <c r="C51">
        <f>ABS(Calculations!H390)</f>
        <v>0</v>
      </c>
    </row>
    <row r="52" spans="2:6">
      <c r="B52" t="s">
        <v>1385</v>
      </c>
      <c r="C52">
        <f>ABS(Calculations!H391)</f>
        <v>0</v>
      </c>
    </row>
    <row r="53" spans="2:6">
      <c r="B53" t="s">
        <v>1386</v>
      </c>
      <c r="C53" t="str">
        <f>Calculations!A391</f>
        <v>Other (Specify)</v>
      </c>
    </row>
    <row r="54" spans="2:6">
      <c r="B54" t="s">
        <v>1387</v>
      </c>
      <c r="C54">
        <f>ABS(Calculations!H392)</f>
        <v>0</v>
      </c>
    </row>
    <row r="55" spans="2:6">
      <c r="B55" t="s">
        <v>1388</v>
      </c>
      <c r="C55">
        <f>ABS(Calculations!H393)</f>
        <v>0</v>
      </c>
    </row>
    <row r="56" spans="2:6">
      <c r="B56" t="s">
        <v>1389</v>
      </c>
      <c r="C56">
        <f>ABS(Calculations!I388)</f>
        <v>0</v>
      </c>
    </row>
    <row r="57" spans="2:6">
      <c r="B57" t="s">
        <v>1390</v>
      </c>
      <c r="C57">
        <f>ABS(Calculations!I389)</f>
        <v>0</v>
      </c>
    </row>
    <row r="58" spans="2:6">
      <c r="B58" t="s">
        <v>1391</v>
      </c>
      <c r="C58">
        <f>ABS(Calculations!I390)</f>
        <v>0</v>
      </c>
    </row>
    <row r="59" spans="2:6">
      <c r="B59" t="s">
        <v>1392</v>
      </c>
      <c r="C59">
        <f>ABS(Calculations!I391)</f>
        <v>0</v>
      </c>
    </row>
    <row r="60" spans="2:6">
      <c r="B60" t="s">
        <v>1393</v>
      </c>
      <c r="C60" t="str">
        <f>Calculations!A391</f>
        <v>Other (Specify)</v>
      </c>
    </row>
    <row r="61" spans="2:6">
      <c r="B61" t="s">
        <v>1394</v>
      </c>
      <c r="C61">
        <f>ABS(Calculations!I392)</f>
        <v>0</v>
      </c>
    </row>
    <row r="62" spans="2:6">
      <c r="B62" t="s">
        <v>1395</v>
      </c>
      <c r="C62">
        <f>ABS(Calculations!I393)</f>
        <v>0</v>
      </c>
    </row>
    <row r="63" spans="2:6">
      <c r="B63" t="s">
        <v>1396</v>
      </c>
      <c r="C63">
        <f>ABS(Calculations!J388)</f>
        <v>0</v>
      </c>
    </row>
    <row r="64" spans="2:6">
      <c r="B64" t="s">
        <v>1397</v>
      </c>
      <c r="C64">
        <f>ABS(Calculations!J389)</f>
        <v>0</v>
      </c>
    </row>
    <row r="65" spans="2:3">
      <c r="B65" t="s">
        <v>1398</v>
      </c>
      <c r="C65">
        <f>ABS(Calculations!J390)</f>
        <v>0</v>
      </c>
    </row>
    <row r="66" spans="2:3">
      <c r="B66" t="s">
        <v>1399</v>
      </c>
      <c r="C66">
        <f>ABS(Calculations!J391)</f>
        <v>0</v>
      </c>
    </row>
    <row r="67" spans="2:3">
      <c r="B67" t="s">
        <v>1400</v>
      </c>
      <c r="C67" t="str">
        <f>Calculations!A391</f>
        <v>Other (Specify)</v>
      </c>
    </row>
    <row r="68" spans="2:3">
      <c r="B68" t="s">
        <v>1401</v>
      </c>
      <c r="C68">
        <f>ABS(Calculations!J392)</f>
        <v>0</v>
      </c>
    </row>
    <row r="69" spans="2:3">
      <c r="B69" t="s">
        <v>1402</v>
      </c>
      <c r="C69">
        <f>ABS(Calculations!J393)</f>
        <v>0</v>
      </c>
    </row>
    <row r="70" spans="2:3">
      <c r="B70" t="s">
        <v>1403</v>
      </c>
      <c r="C70">
        <f>ABS(Calculations!K388)</f>
        <v>0</v>
      </c>
    </row>
    <row r="71" spans="2:3">
      <c r="B71" t="s">
        <v>1404</v>
      </c>
      <c r="C71">
        <f>ABS(Calculations!K389)</f>
        <v>0</v>
      </c>
    </row>
    <row r="72" spans="2:3">
      <c r="B72" t="s">
        <v>1405</v>
      </c>
      <c r="C72">
        <f>ABS(Calculations!K390)</f>
        <v>0</v>
      </c>
    </row>
    <row r="73" spans="2:3">
      <c r="B73" t="s">
        <v>1406</v>
      </c>
      <c r="C73">
        <f>ABS(Calculations!K391)</f>
        <v>0</v>
      </c>
    </row>
    <row r="74" spans="2:3">
      <c r="B74" t="s">
        <v>1407</v>
      </c>
      <c r="C74" t="str">
        <f>Calculations!A391</f>
        <v>Other (Specify)</v>
      </c>
    </row>
    <row r="75" spans="2:3">
      <c r="B75" t="s">
        <v>1408</v>
      </c>
      <c r="C75">
        <f>ABS(Calculations!K392)</f>
        <v>0</v>
      </c>
    </row>
    <row r="76" spans="2:3">
      <c r="B76" t="s">
        <v>1409</v>
      </c>
      <c r="C76">
        <f>ABS(Calculations!K393)</f>
        <v>0</v>
      </c>
    </row>
    <row r="77" spans="2:3">
      <c r="B77" t="s">
        <v>1410</v>
      </c>
      <c r="C77">
        <f>ABS(Calculations!L388)</f>
        <v>0</v>
      </c>
    </row>
    <row r="78" spans="2:3">
      <c r="B78" t="s">
        <v>1411</v>
      </c>
      <c r="C78">
        <f>ABS(Calculations!L389)</f>
        <v>0</v>
      </c>
    </row>
    <row r="79" spans="2:3">
      <c r="B79" t="s">
        <v>1412</v>
      </c>
      <c r="C79">
        <f>ABS(Calculations!L390)</f>
        <v>0</v>
      </c>
    </row>
    <row r="80" spans="2:3">
      <c r="B80" t="s">
        <v>1413</v>
      </c>
      <c r="C80">
        <f>ABS(Calculations!L391)</f>
        <v>0</v>
      </c>
    </row>
    <row r="81" spans="2:3">
      <c r="B81" t="s">
        <v>1414</v>
      </c>
      <c r="C81" t="str">
        <f>Calculations!A391</f>
        <v>Other (Specify)</v>
      </c>
    </row>
    <row r="82" spans="2:3">
      <c r="B82" t="s">
        <v>1415</v>
      </c>
      <c r="C82">
        <f>ABS(Calculations!L392)</f>
        <v>0</v>
      </c>
    </row>
    <row r="83" spans="2:3">
      <c r="B83" t="s">
        <v>1416</v>
      </c>
      <c r="C83">
        <f>ABS(Calculations!L393)</f>
        <v>0</v>
      </c>
    </row>
    <row r="84" spans="2:3">
      <c r="B84" t="s">
        <v>1417</v>
      </c>
      <c r="C84">
        <f>ABS(Calculations!M388)</f>
        <v>0</v>
      </c>
    </row>
    <row r="85" spans="2:3">
      <c r="B85" t="s">
        <v>1418</v>
      </c>
      <c r="C85">
        <f>ABS(Calculations!M389)</f>
        <v>0</v>
      </c>
    </row>
    <row r="86" spans="2:3">
      <c r="B86" t="s">
        <v>1419</v>
      </c>
      <c r="C86">
        <f>ABS(Calculations!M390)</f>
        <v>0</v>
      </c>
    </row>
    <row r="87" spans="2:3">
      <c r="B87" t="s">
        <v>1420</v>
      </c>
      <c r="C87">
        <f>ABS(Calculations!M391)</f>
        <v>0</v>
      </c>
    </row>
    <row r="88" spans="2:3">
      <c r="B88" t="s">
        <v>1421</v>
      </c>
      <c r="C88" t="str">
        <f>Calculations!A391</f>
        <v>Other (Specify)</v>
      </c>
    </row>
    <row r="89" spans="2:3">
      <c r="B89" t="s">
        <v>1422</v>
      </c>
      <c r="C89">
        <f>ABS(Calculations!M3932)</f>
        <v>0</v>
      </c>
    </row>
    <row r="90" spans="2:3">
      <c r="B90" t="s">
        <v>1423</v>
      </c>
      <c r="C90">
        <f>ABS(Calculations!M393)</f>
        <v>0</v>
      </c>
    </row>
    <row r="91" spans="2:3">
      <c r="B91" t="s">
        <v>1424</v>
      </c>
      <c r="C91">
        <f>ABS(Calculations!N388)</f>
        <v>0</v>
      </c>
    </row>
    <row r="92" spans="2:3">
      <c r="B92" t="s">
        <v>1425</v>
      </c>
      <c r="C92">
        <f>ABS(Calculations!N389)</f>
        <v>0</v>
      </c>
    </row>
    <row r="93" spans="2:3">
      <c r="B93" t="s">
        <v>1426</v>
      </c>
      <c r="C93">
        <f>ABS(Calculations!N390)</f>
        <v>0</v>
      </c>
    </row>
    <row r="94" spans="2:3">
      <c r="B94" t="s">
        <v>1427</v>
      </c>
      <c r="C94">
        <f>ABS(Calculations!N391)</f>
        <v>0</v>
      </c>
    </row>
    <row r="95" spans="2:3">
      <c r="B95" t="s">
        <v>1428</v>
      </c>
      <c r="C95" t="str">
        <f>Calculations!A391</f>
        <v>Other (Specify)</v>
      </c>
    </row>
    <row r="96" spans="2:3">
      <c r="B96" t="s">
        <v>1429</v>
      </c>
      <c r="C96">
        <f>ABS(Calculations!N392)</f>
        <v>0</v>
      </c>
    </row>
    <row r="97" spans="1:3">
      <c r="B97" t="s">
        <v>1430</v>
      </c>
      <c r="C97">
        <f>ABS(Calculations!N393)</f>
        <v>0</v>
      </c>
    </row>
    <row r="98" spans="1:3">
      <c r="B98" t="s">
        <v>1431</v>
      </c>
      <c r="C98">
        <f>ABS(Calculations!O388)</f>
        <v>0</v>
      </c>
    </row>
    <row r="99" spans="1:3">
      <c r="B99" t="s">
        <v>1432</v>
      </c>
      <c r="C99">
        <f>ABS(Calculations!O389)</f>
        <v>0</v>
      </c>
    </row>
    <row r="100" spans="1:3">
      <c r="B100" t="s">
        <v>1433</v>
      </c>
      <c r="C100">
        <f>ABS(Calculations!O390)</f>
        <v>0</v>
      </c>
    </row>
    <row r="101" spans="1:3">
      <c r="B101" t="s">
        <v>1434</v>
      </c>
      <c r="C101">
        <f>ABS(Calculations!O391)</f>
        <v>0</v>
      </c>
    </row>
    <row r="102" spans="1:3">
      <c r="B102" t="s">
        <v>1435</v>
      </c>
      <c r="C102" t="str">
        <f>Calculations!A391</f>
        <v>Other (Specify)</v>
      </c>
    </row>
    <row r="103" spans="1:3">
      <c r="B103" t="s">
        <v>1436</v>
      </c>
      <c r="C103">
        <f>ABS(Calculations!O392)</f>
        <v>0</v>
      </c>
    </row>
    <row r="104" spans="1:3">
      <c r="B104" t="s">
        <v>1437</v>
      </c>
      <c r="C104">
        <f>ABS(Calculations!O393)</f>
        <v>0</v>
      </c>
    </row>
    <row r="105" spans="1:3">
      <c r="B105" t="s">
        <v>1438</v>
      </c>
      <c r="C105">
        <f>ABS(Calculations!P388)</f>
        <v>0</v>
      </c>
    </row>
    <row r="106" spans="1:3">
      <c r="B106" t="s">
        <v>1439</v>
      </c>
      <c r="C106">
        <f>ABS(Calculations!P389)</f>
        <v>0</v>
      </c>
    </row>
    <row r="107" spans="1:3">
      <c r="B107" t="s">
        <v>1440</v>
      </c>
      <c r="C107">
        <f>ABS(Calculations!P390)</f>
        <v>0</v>
      </c>
    </row>
    <row r="108" spans="1:3">
      <c r="B108" t="s">
        <v>1441</v>
      </c>
      <c r="C108">
        <f>ABS(Calculations!P391)</f>
        <v>0</v>
      </c>
    </row>
    <row r="109" spans="1:3">
      <c r="B109" t="s">
        <v>1442</v>
      </c>
      <c r="C109" t="str">
        <f>Calculations!A391</f>
        <v>Other (Specify)</v>
      </c>
    </row>
    <row r="110" spans="1:3">
      <c r="B110" t="s">
        <v>1443</v>
      </c>
      <c r="C110">
        <f>ABS(Calculations!P392)</f>
        <v>0</v>
      </c>
    </row>
    <row r="111" spans="1:3">
      <c r="B111" t="s">
        <v>1444</v>
      </c>
      <c r="C111">
        <f>ABS(Calculations!P393)</f>
        <v>0</v>
      </c>
    </row>
    <row r="112" spans="1:3">
      <c r="A112" s="67"/>
      <c r="B112" t="s">
        <v>1445</v>
      </c>
      <c r="C112">
        <f>Calculations!B387</f>
        <v>0</v>
      </c>
    </row>
    <row r="113" spans="1:3">
      <c r="B113" t="s">
        <v>1446</v>
      </c>
      <c r="C113">
        <f>Calculations!C387</f>
        <v>0</v>
      </c>
    </row>
    <row r="114" spans="1:3">
      <c r="B114" t="s">
        <v>1447</v>
      </c>
      <c r="C114">
        <f>Calculations!D387</f>
        <v>0</v>
      </c>
    </row>
    <row r="115" spans="1:3">
      <c r="B115" t="s">
        <v>1448</v>
      </c>
      <c r="C115">
        <f>Calculations!E387</f>
        <v>0</v>
      </c>
    </row>
    <row r="116" spans="1:3">
      <c r="B116" t="s">
        <v>1449</v>
      </c>
      <c r="C116">
        <f>Calculations!F387</f>
        <v>0</v>
      </c>
    </row>
    <row r="117" spans="1:3">
      <c r="B117" t="s">
        <v>1450</v>
      </c>
      <c r="C117">
        <f>Calculations!G387</f>
        <v>0</v>
      </c>
    </row>
    <row r="118" spans="1:3">
      <c r="B118" t="s">
        <v>1451</v>
      </c>
      <c r="C118">
        <f>Calculations!H387</f>
        <v>0</v>
      </c>
    </row>
    <row r="119" spans="1:3">
      <c r="B119" t="s">
        <v>1452</v>
      </c>
      <c r="C119">
        <f>Calculations!I387</f>
        <v>0</v>
      </c>
    </row>
    <row r="120" spans="1:3">
      <c r="B120" t="s">
        <v>1453</v>
      </c>
      <c r="C120">
        <f>Calculations!J387</f>
        <v>0</v>
      </c>
    </row>
    <row r="121" spans="1:3">
      <c r="B121" t="s">
        <v>1454</v>
      </c>
      <c r="C121">
        <f>Calculations!K387</f>
        <v>0</v>
      </c>
    </row>
    <row r="122" spans="1:3">
      <c r="B122" t="s">
        <v>1455</v>
      </c>
      <c r="C122">
        <f>Calculations!L387</f>
        <v>0</v>
      </c>
    </row>
    <row r="123" spans="1:3">
      <c r="B123" t="s">
        <v>1456</v>
      </c>
      <c r="C123">
        <f>Calculations!M387</f>
        <v>0</v>
      </c>
    </row>
    <row r="124" spans="1:3">
      <c r="B124" t="s">
        <v>1457</v>
      </c>
      <c r="C124">
        <f>Calculations!N387</f>
        <v>0</v>
      </c>
    </row>
    <row r="125" spans="1:3">
      <c r="B125" t="s">
        <v>1458</v>
      </c>
      <c r="C125">
        <f>Calculations!O387</f>
        <v>0</v>
      </c>
    </row>
    <row r="126" spans="1:3">
      <c r="B126" t="s">
        <v>1459</v>
      </c>
      <c r="C126">
        <f>Calculations!P387</f>
        <v>0</v>
      </c>
    </row>
    <row r="127" spans="1:3">
      <c r="A127" s="67"/>
      <c r="B127" t="s">
        <v>1460</v>
      </c>
      <c r="C127">
        <f>Calculations!B393</f>
        <v>0</v>
      </c>
    </row>
    <row r="128" spans="1:3">
      <c r="B128" t="s">
        <v>1461</v>
      </c>
      <c r="C128">
        <f>Calculations!C393</f>
        <v>0</v>
      </c>
    </row>
    <row r="129" spans="2:3">
      <c r="B129" t="s">
        <v>1462</v>
      </c>
      <c r="C129">
        <f>Calculations!D393</f>
        <v>0</v>
      </c>
    </row>
    <row r="130" spans="2:3">
      <c r="B130" t="s">
        <v>1463</v>
      </c>
      <c r="C130">
        <f>Calculations!E393</f>
        <v>0</v>
      </c>
    </row>
    <row r="131" spans="2:3">
      <c r="B131" t="s">
        <v>1464</v>
      </c>
      <c r="C131">
        <f>Calculations!F393</f>
        <v>0</v>
      </c>
    </row>
    <row r="132" spans="2:3">
      <c r="B132" t="s">
        <v>1465</v>
      </c>
      <c r="C132">
        <f>Calculations!G393</f>
        <v>0</v>
      </c>
    </row>
    <row r="133" spans="2:3">
      <c r="B133" t="s">
        <v>1466</v>
      </c>
      <c r="C133">
        <f>Calculations!H393</f>
        <v>0</v>
      </c>
    </row>
    <row r="134" spans="2:3">
      <c r="B134" t="s">
        <v>1467</v>
      </c>
      <c r="C134">
        <f>Calculations!I393</f>
        <v>0</v>
      </c>
    </row>
    <row r="135" spans="2:3">
      <c r="B135" t="s">
        <v>1468</v>
      </c>
      <c r="C135">
        <f>Calculations!J393</f>
        <v>0</v>
      </c>
    </row>
    <row r="136" spans="2:3">
      <c r="B136" t="s">
        <v>1469</v>
      </c>
      <c r="C136">
        <f>Calculations!K393</f>
        <v>0</v>
      </c>
    </row>
    <row r="137" spans="2:3">
      <c r="B137" t="s">
        <v>1470</v>
      </c>
      <c r="C137">
        <f>Calculations!L393</f>
        <v>0</v>
      </c>
    </row>
    <row r="138" spans="2:3">
      <c r="B138" t="s">
        <v>1471</v>
      </c>
      <c r="C138">
        <f>Calculations!M393</f>
        <v>0</v>
      </c>
    </row>
    <row r="139" spans="2:3">
      <c r="B139" t="s">
        <v>1472</v>
      </c>
      <c r="C139">
        <f>Calculations!N393</f>
        <v>0</v>
      </c>
    </row>
    <row r="140" spans="2:3">
      <c r="B140" t="s">
        <v>1473</v>
      </c>
      <c r="C140">
        <f>Calculations!O393</f>
        <v>0</v>
      </c>
    </row>
    <row r="141" spans="2:3">
      <c r="B141" t="s">
        <v>1474</v>
      </c>
      <c r="C141">
        <f>Calculations!P393</f>
        <v>0</v>
      </c>
    </row>
    <row r="142" spans="2:3">
      <c r="B142" t="s">
        <v>382</v>
      </c>
      <c r="C142">
        <f>Calculations!B140</f>
        <v>0</v>
      </c>
    </row>
    <row r="143" spans="2:3">
      <c r="B143" t="s">
        <v>977</v>
      </c>
      <c r="C143">
        <f>Calculations!B396</f>
        <v>0</v>
      </c>
    </row>
    <row r="144" spans="2:3">
      <c r="B144" t="s">
        <v>978</v>
      </c>
      <c r="C144">
        <f>Calculations!B397</f>
        <v>0</v>
      </c>
    </row>
    <row r="145" spans="1:4">
      <c r="B145" t="s">
        <v>1475</v>
      </c>
      <c r="C145" t="b">
        <f>Calculations!F396</f>
        <v>1</v>
      </c>
    </row>
    <row r="146" spans="1:4">
      <c r="B146" t="s">
        <v>1476</v>
      </c>
      <c r="C146" t="b">
        <f>Calculations!F397</f>
        <v>1</v>
      </c>
    </row>
    <row r="147" spans="1:4">
      <c r="A147" t="str">
        <f>'Proforma, Income &amp; Expense'!A22</f>
        <v>Accounting</v>
      </c>
      <c r="B147" t="s">
        <v>1477</v>
      </c>
      <c r="C147">
        <f>'Proforma, Income &amp; Expense'!B22</f>
        <v>0</v>
      </c>
      <c r="D147" t="s">
        <v>1478</v>
      </c>
    </row>
    <row r="148" spans="1:4">
      <c r="A148" t="str">
        <f>'Proforma, Income &amp; Expense'!A23</f>
        <v>Advertising</v>
      </c>
      <c r="B148" t="s">
        <v>1479</v>
      </c>
      <c r="C148">
        <f>'Proforma, Income &amp; Expense'!B23</f>
        <v>0</v>
      </c>
      <c r="D148" t="s">
        <v>1480</v>
      </c>
    </row>
    <row r="149" spans="1:4">
      <c r="A149" t="str">
        <f>'Proforma, Income &amp; Expense'!A24</f>
        <v>Legal</v>
      </c>
      <c r="B149" t="s">
        <v>1481</v>
      </c>
      <c r="C149">
        <f>'Proforma, Income &amp; Expense'!B24</f>
        <v>0</v>
      </c>
      <c r="D149" t="s">
        <v>1482</v>
      </c>
    </row>
    <row r="150" spans="1:4">
      <c r="A150" t="str">
        <f>'Proforma, Income &amp; Expense'!A25</f>
        <v>Leased Equipment</v>
      </c>
      <c r="B150" t="s">
        <v>1483</v>
      </c>
      <c r="C150">
        <f>'Proforma, Income &amp; Expense'!B25</f>
        <v>0</v>
      </c>
      <c r="D150" t="s">
        <v>1484</v>
      </c>
    </row>
    <row r="151" spans="1:4">
      <c r="A151" t="str">
        <f>'Proforma, Income &amp; Expense'!A26</f>
        <v>Management Fees</v>
      </c>
      <c r="B151" t="s">
        <v>1485</v>
      </c>
      <c r="C151">
        <f>'Proforma, Income &amp; Expense'!B26</f>
        <v>0</v>
      </c>
      <c r="D151" t="s">
        <v>1486</v>
      </c>
    </row>
    <row r="152" spans="1:4">
      <c r="A152" t="str">
        <f>'Proforma, Income &amp; Expense'!A27</f>
        <v>Management Salaries</v>
      </c>
      <c r="B152" t="s">
        <v>1487</v>
      </c>
      <c r="C152">
        <f>'Proforma, Income &amp; Expense'!B27</f>
        <v>0</v>
      </c>
      <c r="D152" t="s">
        <v>1488</v>
      </c>
    </row>
    <row r="153" spans="1:4">
      <c r="A153" t="str">
        <f>'Proforma, Income &amp; Expense'!A28</f>
        <v>Management Payroll Tax</v>
      </c>
      <c r="B153" t="s">
        <v>1489</v>
      </c>
      <c r="C153">
        <f>'Proforma, Income &amp; Expense'!B28</f>
        <v>0</v>
      </c>
      <c r="D153" t="s">
        <v>1490</v>
      </c>
    </row>
    <row r="154" spans="1:4">
      <c r="A154" t="str">
        <f>'Proforma, Income &amp; Expense'!A29</f>
        <v>Model Apartment</v>
      </c>
      <c r="B154" t="s">
        <v>1491</v>
      </c>
      <c r="C154">
        <f>'Proforma, Income &amp; Expense'!B29</f>
        <v>0</v>
      </c>
      <c r="D154" t="s">
        <v>1492</v>
      </c>
    </row>
    <row r="155" spans="1:4">
      <c r="A155" t="str">
        <f>'Proforma, Income &amp; Expense'!A30</f>
        <v>Office Supplies</v>
      </c>
      <c r="B155" t="s">
        <v>1493</v>
      </c>
      <c r="C155">
        <f>'Proforma, Income &amp; Expense'!B30</f>
        <v>0</v>
      </c>
      <c r="D155" t="s">
        <v>1494</v>
      </c>
    </row>
    <row r="156" spans="1:4">
      <c r="A156" t="str">
        <f>'Proforma, Income &amp; Expense'!A31</f>
        <v>Telephone</v>
      </c>
      <c r="B156" t="s">
        <v>1495</v>
      </c>
      <c r="C156">
        <f>'Proforma, Income &amp; Expense'!B31</f>
        <v>0</v>
      </c>
      <c r="D156" t="s">
        <v>1496</v>
      </c>
    </row>
    <row r="157" spans="1:4">
      <c r="A157" t="str">
        <f>'Proforma, Income &amp; Expense'!A32</f>
        <v>Other (Specify)</v>
      </c>
      <c r="B157" t="s">
        <v>1497</v>
      </c>
      <c r="C157">
        <f>'Proforma, Income &amp; Expense'!B32</f>
        <v>0</v>
      </c>
      <c r="D157" t="s">
        <v>1498</v>
      </c>
    </row>
    <row r="158" spans="1:4">
      <c r="A158" t="str">
        <f>'Proforma, Income &amp; Expense'!A33</f>
        <v>Other (Specify)</v>
      </c>
      <c r="B158" t="s">
        <v>1499</v>
      </c>
      <c r="C158">
        <f>'Proforma, Income &amp; Expense'!B33</f>
        <v>0</v>
      </c>
      <c r="D158" t="s">
        <v>1500</v>
      </c>
    </row>
    <row r="159" spans="1:4">
      <c r="A159" t="str">
        <f>'Proforma, Income &amp; Expense'!A34</f>
        <v>Other (Specify)</v>
      </c>
      <c r="B159" t="s">
        <v>1501</v>
      </c>
      <c r="C159">
        <f>'Proforma, Income &amp; Expense'!B34</f>
        <v>0</v>
      </c>
      <c r="D159" t="s">
        <v>1502</v>
      </c>
    </row>
    <row r="160" spans="1:4">
      <c r="A160" t="str">
        <f>'Proforma, Income &amp; Expense'!A37</f>
        <v>Fuel (Heat/Water)</v>
      </c>
      <c r="B160" t="s">
        <v>1503</v>
      </c>
      <c r="C160">
        <f>'Proforma, Income &amp; Expense'!B37</f>
        <v>0</v>
      </c>
      <c r="D160" t="s">
        <v>1504</v>
      </c>
    </row>
    <row r="161" spans="1:4">
      <c r="A161" t="str">
        <f>'Proforma, Income &amp; Expense'!A38</f>
        <v>Electricity</v>
      </c>
      <c r="B161" t="s">
        <v>1505</v>
      </c>
      <c r="C161">
        <f>'Proforma, Income &amp; Expense'!B38</f>
        <v>0</v>
      </c>
      <c r="D161" t="s">
        <v>1506</v>
      </c>
    </row>
    <row r="162" spans="1:4">
      <c r="A162" t="str">
        <f>'Proforma, Income &amp; Expense'!A39</f>
        <v>Water</v>
      </c>
      <c r="B162" t="s">
        <v>1507</v>
      </c>
      <c r="C162">
        <f>'Proforma, Income &amp; Expense'!B39</f>
        <v>0</v>
      </c>
      <c r="D162" t="s">
        <v>1508</v>
      </c>
    </row>
    <row r="163" spans="1:4">
      <c r="A163" t="str">
        <f>'Proforma, Income &amp; Expense'!A40</f>
        <v>Sewer</v>
      </c>
      <c r="B163" t="s">
        <v>1509</v>
      </c>
      <c r="C163">
        <f>'Proforma, Income &amp; Expense'!B40</f>
        <v>0</v>
      </c>
      <c r="D163" t="s">
        <v>1510</v>
      </c>
    </row>
    <row r="164" spans="1:4">
      <c r="A164" t="str">
        <f>'Proforma, Income &amp; Expense'!A41</f>
        <v>Gas</v>
      </c>
      <c r="B164" t="s">
        <v>1511</v>
      </c>
      <c r="C164">
        <f>'Proforma, Income &amp; Expense'!B41</f>
        <v>0</v>
      </c>
      <c r="D164" t="s">
        <v>1512</v>
      </c>
    </row>
    <row r="165" spans="1:4">
      <c r="A165" t="str">
        <f>'Proforma, Income &amp; Expense'!A42</f>
        <v>Trash</v>
      </c>
      <c r="B165" t="s">
        <v>1513</v>
      </c>
      <c r="C165">
        <f>'Proforma, Income &amp; Expense'!B42</f>
        <v>0</v>
      </c>
      <c r="D165" t="s">
        <v>1514</v>
      </c>
    </row>
    <row r="166" spans="1:4">
      <c r="A166" t="str">
        <f>'Proforma, Income &amp; Expense'!A43</f>
        <v>Security</v>
      </c>
      <c r="B166" t="s">
        <v>1515</v>
      </c>
      <c r="C166">
        <f>'Proforma, Income &amp; Expense'!B43</f>
        <v>0</v>
      </c>
      <c r="D166" t="s">
        <v>1516</v>
      </c>
    </row>
    <row r="167" spans="1:4">
      <c r="A167" t="str">
        <f>'Proforma, Income &amp; Expense'!A44</f>
        <v>Cable</v>
      </c>
      <c r="B167" t="s">
        <v>1517</v>
      </c>
      <c r="C167">
        <f>'Proforma, Income &amp; Expense'!B44</f>
        <v>0</v>
      </c>
      <c r="D167" t="s">
        <v>1518</v>
      </c>
    </row>
    <row r="168" spans="1:4">
      <c r="A168" t="str">
        <f>'Proforma, Income &amp; Expense'!A45</f>
        <v>Other (Specify)</v>
      </c>
      <c r="B168" t="s">
        <v>1519</v>
      </c>
      <c r="C168">
        <f>'Proforma, Income &amp; Expense'!B45</f>
        <v>0</v>
      </c>
      <c r="D168" t="s">
        <v>1520</v>
      </c>
    </row>
    <row r="169" spans="1:4">
      <c r="A169" t="str">
        <f>'Proforma, Income &amp; Expense'!A46</f>
        <v>Other (Specify)</v>
      </c>
      <c r="B169" t="s">
        <v>1521</v>
      </c>
      <c r="C169">
        <f>'Proforma, Income &amp; Expense'!B46</f>
        <v>0</v>
      </c>
      <c r="D169" t="s">
        <v>1522</v>
      </c>
    </row>
    <row r="170" spans="1:4">
      <c r="A170" t="str">
        <f>'Proforma, Income &amp; Expense'!A47</f>
        <v>Other (Specify)</v>
      </c>
      <c r="B170" t="s">
        <v>1523</v>
      </c>
      <c r="C170">
        <f>'Proforma, Income &amp; Expense'!B47</f>
        <v>0</v>
      </c>
      <c r="D170" t="s">
        <v>1524</v>
      </c>
    </row>
    <row r="171" spans="1:4">
      <c r="A171" t="str">
        <f>'Proforma, Income &amp; Expense'!A48</f>
        <v>Other (Specify)</v>
      </c>
      <c r="B171" t="s">
        <v>1525</v>
      </c>
      <c r="C171">
        <f>'Proforma, Income &amp; Expense'!B48</f>
        <v>0</v>
      </c>
      <c r="D171" t="s">
        <v>1526</v>
      </c>
    </row>
    <row r="172" spans="1:4">
      <c r="A172" t="str">
        <f>'Proforma, Income &amp; Expense'!A51</f>
        <v>Elevator</v>
      </c>
      <c r="B172" t="s">
        <v>1527</v>
      </c>
      <c r="C172">
        <f>'Proforma, Income &amp; Expense'!B51</f>
        <v>0</v>
      </c>
      <c r="D172" t="s">
        <v>1528</v>
      </c>
    </row>
    <row r="173" spans="1:4">
      <c r="A173" t="str">
        <f>'Proforma, Income &amp; Expense'!A52</f>
        <v>Extermination</v>
      </c>
      <c r="B173" t="s">
        <v>1529</v>
      </c>
      <c r="C173">
        <f>'Proforma, Income &amp; Expense'!B52</f>
        <v>0</v>
      </c>
      <c r="D173" t="s">
        <v>1530</v>
      </c>
    </row>
    <row r="174" spans="1:4">
      <c r="A174" t="str">
        <f>'Proforma, Income &amp; Expense'!A53</f>
        <v>Grounds</v>
      </c>
      <c r="B174" t="s">
        <v>1531</v>
      </c>
      <c r="C174">
        <f>'Proforma, Income &amp; Expense'!B53</f>
        <v>0</v>
      </c>
      <c r="D174" t="s">
        <v>1532</v>
      </c>
    </row>
    <row r="175" spans="1:4">
      <c r="A175" t="str">
        <f>'Proforma, Income &amp; Expense'!A54</f>
        <v>Repairs</v>
      </c>
      <c r="B175" t="s">
        <v>1533</v>
      </c>
      <c r="C175">
        <f>'Proforma, Income &amp; Expense'!B54</f>
        <v>0</v>
      </c>
      <c r="D175" t="s">
        <v>1534</v>
      </c>
    </row>
    <row r="176" spans="1:4">
      <c r="A176" t="str">
        <f>'Proforma, Income &amp; Expense'!A55</f>
        <v>Maintenance Salaries</v>
      </c>
      <c r="B176" t="s">
        <v>1535</v>
      </c>
      <c r="C176">
        <f>'Proforma, Income &amp; Expense'!B55</f>
        <v>0</v>
      </c>
      <c r="D176" t="s">
        <v>1536</v>
      </c>
    </row>
    <row r="177" spans="1:4">
      <c r="A177" t="str">
        <f>'Proforma, Income &amp; Expense'!A56</f>
        <v>Maintenance Supplies</v>
      </c>
      <c r="B177" t="s">
        <v>1537</v>
      </c>
      <c r="C177">
        <f>'Proforma, Income &amp; Expense'!B56</f>
        <v>0</v>
      </c>
      <c r="D177" t="s">
        <v>1538</v>
      </c>
    </row>
    <row r="178" spans="1:4">
      <c r="A178" t="str">
        <f>'Proforma, Income &amp; Expense'!A57</f>
        <v>Contracts</v>
      </c>
      <c r="B178" t="s">
        <v>1539</v>
      </c>
      <c r="C178">
        <f>'Proforma, Income &amp; Expense'!B57</f>
        <v>0</v>
      </c>
      <c r="D178" t="s">
        <v>1540</v>
      </c>
    </row>
    <row r="179" spans="1:4">
      <c r="A179" t="str">
        <f>'Proforma, Income &amp; Expense'!A58</f>
        <v>Decorating</v>
      </c>
      <c r="B179" t="s">
        <v>1541</v>
      </c>
      <c r="C179">
        <f>'Proforma, Income &amp; Expense'!B58</f>
        <v>0</v>
      </c>
      <c r="D179" t="s">
        <v>1542</v>
      </c>
    </row>
    <row r="180" spans="1:4">
      <c r="A180" t="str">
        <f>'Proforma, Income &amp; Expense'!A59</f>
        <v>Snow Removal</v>
      </c>
      <c r="B180" t="s">
        <v>1543</v>
      </c>
      <c r="C180">
        <f>'Proforma, Income &amp; Expense'!B59</f>
        <v>0</v>
      </c>
      <c r="D180" t="s">
        <v>1544</v>
      </c>
    </row>
    <row r="181" spans="1:4">
      <c r="A181" t="str">
        <f>'Proforma, Income &amp; Expense'!A60</f>
        <v>Other (Specify)</v>
      </c>
      <c r="B181" t="s">
        <v>1545</v>
      </c>
      <c r="C181">
        <f>'Proforma, Income &amp; Expense'!B60</f>
        <v>0</v>
      </c>
      <c r="D181" t="s">
        <v>1546</v>
      </c>
    </row>
    <row r="182" spans="1:4">
      <c r="A182" t="str">
        <f>'Proforma, Income &amp; Expense'!A61</f>
        <v>Other (Specify)</v>
      </c>
      <c r="B182" t="s">
        <v>1547</v>
      </c>
      <c r="C182">
        <f>'Proforma, Income &amp; Expense'!B61</f>
        <v>0</v>
      </c>
      <c r="D182" t="s">
        <v>1548</v>
      </c>
    </row>
    <row r="183" spans="1:4">
      <c r="A183" t="str">
        <f>'Proforma, Income &amp; Expense'!A62</f>
        <v>Other (Specify)</v>
      </c>
      <c r="B183" t="s">
        <v>1549</v>
      </c>
      <c r="C183">
        <f>'Proforma, Income &amp; Expense'!B62</f>
        <v>0</v>
      </c>
      <c r="D183" t="s">
        <v>1550</v>
      </c>
    </row>
    <row r="184" spans="1:4">
      <c r="A184" t="str">
        <f>'Proforma, Income &amp; Expense'!A65</f>
        <v>Real Estate Taxes</v>
      </c>
      <c r="B184" t="s">
        <v>1551</v>
      </c>
      <c r="C184">
        <f>'Proforma, Income &amp; Expense'!B65</f>
        <v>0</v>
      </c>
      <c r="D184" t="s">
        <v>1552</v>
      </c>
    </row>
    <row r="185" spans="1:4">
      <c r="A185" t="str">
        <f>'Proforma, Income &amp; Expense'!A66</f>
        <v>Payment in Lieu of Taxes</v>
      </c>
      <c r="B185" t="s">
        <v>1553</v>
      </c>
      <c r="C185">
        <f>'Proforma, Income &amp; Expense'!B66</f>
        <v>0</v>
      </c>
      <c r="D185" t="s">
        <v>1554</v>
      </c>
    </row>
    <row r="186" spans="1:4">
      <c r="A186" t="str">
        <f>'Proforma, Income &amp; Expense'!A67</f>
        <v>Other Tax Assessments</v>
      </c>
      <c r="B186" t="s">
        <v>1555</v>
      </c>
      <c r="C186">
        <f>'Proforma, Income &amp; Expense'!B67</f>
        <v>0</v>
      </c>
      <c r="D186" t="s">
        <v>1556</v>
      </c>
    </row>
    <row r="187" spans="1:4">
      <c r="A187" t="str">
        <f>'Proforma, Income &amp; Expense'!A68</f>
        <v>Insurance</v>
      </c>
      <c r="B187" t="s">
        <v>1557</v>
      </c>
      <c r="C187">
        <f>'Proforma, Income &amp; Expense'!B68</f>
        <v>0</v>
      </c>
      <c r="D187" t="s">
        <v>1558</v>
      </c>
    </row>
    <row r="188" spans="1:4">
      <c r="A188" t="str">
        <f>'Proforma, Income &amp; Expense'!A69</f>
        <v>Payroll Tax</v>
      </c>
      <c r="B188" t="s">
        <v>1559</v>
      </c>
      <c r="C188">
        <f>'Proforma, Income &amp; Expense'!B69</f>
        <v>0</v>
      </c>
      <c r="D188" t="s">
        <v>1560</v>
      </c>
    </row>
    <row r="189" spans="1:4">
      <c r="A189" t="str">
        <f>'Proforma, Income &amp; Expense'!A70</f>
        <v>Other (Specify)</v>
      </c>
      <c r="B189" t="s">
        <v>1561</v>
      </c>
      <c r="C189">
        <f>'Proforma, Income &amp; Expense'!B70</f>
        <v>0</v>
      </c>
      <c r="D189" t="s">
        <v>1562</v>
      </c>
    </row>
    <row r="190" spans="1:4">
      <c r="A190" t="str">
        <f>'Proforma, Income &amp; Expense'!A71</f>
        <v>Other (Specify)</v>
      </c>
      <c r="B190" t="s">
        <v>1563</v>
      </c>
      <c r="C190">
        <f>'Proforma, Income &amp; Expense'!B71</f>
        <v>0</v>
      </c>
      <c r="D190" t="s">
        <v>1564</v>
      </c>
    </row>
    <row r="192" spans="1:4">
      <c r="A192" t="s">
        <v>1565</v>
      </c>
      <c r="B192" t="s">
        <v>1566</v>
      </c>
      <c r="C192">
        <f>Calculations!C351</f>
        <v>0</v>
      </c>
      <c r="D192" t="s">
        <v>1567</v>
      </c>
    </row>
    <row r="193" spans="1:4">
      <c r="A193" t="s">
        <v>1568</v>
      </c>
      <c r="B193" t="s">
        <v>1569</v>
      </c>
      <c r="C193">
        <f>Calculations!B351</f>
        <v>0</v>
      </c>
      <c r="D193" t="s">
        <v>1570</v>
      </c>
    </row>
    <row r="194" spans="1:4">
      <c r="A194" s="437" t="s">
        <v>1571</v>
      </c>
      <c r="B194" s="437" t="s">
        <v>1572</v>
      </c>
      <c r="C194" s="437">
        <f>Calculations!B350</f>
        <v>0</v>
      </c>
      <c r="D194" s="437" t="s">
        <v>1573</v>
      </c>
    </row>
    <row r="195" spans="1:4">
      <c r="A195" s="437" t="s">
        <v>604</v>
      </c>
      <c r="B195" s="437" t="s">
        <v>1574</v>
      </c>
      <c r="C195" s="437">
        <f>Calculations!B346</f>
        <v>0</v>
      </c>
      <c r="D195" s="437" t="s">
        <v>1575</v>
      </c>
    </row>
    <row r="196" spans="1:4">
      <c r="A196" s="438" t="s">
        <v>1576</v>
      </c>
      <c r="B196" s="438"/>
      <c r="C196" s="438">
        <f>Calculations!D354</f>
        <v>0</v>
      </c>
      <c r="D196" s="438" t="s">
        <v>1577</v>
      </c>
    </row>
    <row r="197" spans="1:4">
      <c r="A197" s="438"/>
      <c r="B197" s="438" t="s">
        <v>1578</v>
      </c>
      <c r="C197" s="438" t="e">
        <f>Calculations!B473</f>
        <v>#N/A</v>
      </c>
      <c r="D197" s="438"/>
    </row>
    <row r="198" spans="1:4">
      <c r="A198" s="438"/>
      <c r="B198" s="438" t="s">
        <v>1579</v>
      </c>
      <c r="C198" s="438" t="e">
        <f>Calculations!B526</f>
        <v>#N/A</v>
      </c>
      <c r="D198" s="438"/>
    </row>
    <row r="199" spans="1:4">
      <c r="A199" s="438"/>
      <c r="B199" s="438" t="s">
        <v>1580</v>
      </c>
      <c r="C199" s="438">
        <f>Calculations!B480</f>
        <v>0</v>
      </c>
      <c r="D199" s="438"/>
    </row>
    <row r="200" spans="1:4">
      <c r="A200" s="438"/>
      <c r="B200" s="438" t="s">
        <v>1581</v>
      </c>
      <c r="C200" s="438" t="e">
        <f>Calculations!B534</f>
        <v>#N/A</v>
      </c>
      <c r="D200" s="438"/>
    </row>
    <row r="201" spans="1:4">
      <c r="A201" s="438"/>
      <c r="B201" s="438" t="s">
        <v>1582</v>
      </c>
      <c r="C201" s="438">
        <f>Calculations!B501</f>
        <v>0</v>
      </c>
      <c r="D201" s="438"/>
    </row>
    <row r="202" spans="1:4">
      <c r="A202" s="438"/>
      <c r="B202" s="438" t="s">
        <v>1583</v>
      </c>
      <c r="C202" s="438">
        <f>Calculations!B555</f>
        <v>0</v>
      </c>
      <c r="D202" s="438"/>
    </row>
    <row r="203" spans="1:4">
      <c r="A203" s="438"/>
      <c r="B203" s="438" t="s">
        <v>1584</v>
      </c>
      <c r="C203" s="438">
        <f>Financing!$B$38</f>
        <v>0</v>
      </c>
      <c r="D203" s="438" t="s">
        <v>1585</v>
      </c>
    </row>
    <row r="204" spans="1:4">
      <c r="A204" s="438"/>
      <c r="B204" s="438" t="s">
        <v>1586</v>
      </c>
      <c r="C204" s="438">
        <f>Calculations!$B$478</f>
        <v>0</v>
      </c>
      <c r="D204" s="438" t="s">
        <v>1587</v>
      </c>
    </row>
    <row r="205" spans="1:4">
      <c r="A205" s="438"/>
      <c r="B205" s="438" t="s">
        <v>1588</v>
      </c>
      <c r="C205" s="438">
        <f>Calculations!B142</f>
        <v>0</v>
      </c>
      <c r="D205" s="438"/>
    </row>
    <row r="206" spans="1:4">
      <c r="A206" s="438"/>
      <c r="B206" s="438" t="s">
        <v>1589</v>
      </c>
      <c r="C206" s="438">
        <f>Application!$B$16</f>
        <v>0</v>
      </c>
      <c r="D206" s="438" t="s">
        <v>1590</v>
      </c>
    </row>
    <row r="207" spans="1:4">
      <c r="A207" s="438"/>
      <c r="B207" s="438" t="s">
        <v>1591</v>
      </c>
      <c r="C207" s="438">
        <f>IFERROR(Calculations!$B$510, 0)</f>
        <v>0</v>
      </c>
      <c r="D207" s="438" t="s">
        <v>1592</v>
      </c>
    </row>
    <row r="208" spans="1:4">
      <c r="A208" s="438"/>
      <c r="B208" s="438" t="s">
        <v>1593</v>
      </c>
      <c r="C208" s="438">
        <f>IFERROR(Calculations!$B$510, 0)</f>
        <v>0</v>
      </c>
      <c r="D208" s="438"/>
    </row>
    <row r="209" spans="1:4">
      <c r="A209" s="438" t="str">
        <f>Calculations!$A$618</f>
        <v>Federal Tax Credit Equity</v>
      </c>
      <c r="B209" s="438" t="s">
        <v>1594</v>
      </c>
      <c r="C209" s="438">
        <f>IFERROR(Calculations!$B$620, 0)</f>
        <v>0</v>
      </c>
      <c r="D209" s="438" t="s">
        <v>1595</v>
      </c>
    </row>
    <row r="210" spans="1:4">
      <c r="A210" s="438" t="s">
        <v>1596</v>
      </c>
      <c r="B210" s="438" t="s">
        <v>1597</v>
      </c>
      <c r="C210" s="438">
        <f>Calculations!B560</f>
        <v>0</v>
      </c>
      <c r="D210" s="438"/>
    </row>
    <row r="211" spans="1:4">
      <c r="A211" s="438" t="s">
        <v>1598</v>
      </c>
      <c r="B211" s="438"/>
      <c r="C211" s="438">
        <f>Calculations!B630</f>
        <v>0</v>
      </c>
      <c r="D211" s="438" t="s">
        <v>1577</v>
      </c>
    </row>
    <row r="212" spans="1:4">
      <c r="A212" s="438" t="s">
        <v>1599</v>
      </c>
      <c r="B212" s="438" t="s">
        <v>1600</v>
      </c>
      <c r="C212" s="438" t="e">
        <f>Calculations!B522</f>
        <v>#N/A</v>
      </c>
      <c r="D212" s="438"/>
    </row>
    <row r="213" spans="1:4">
      <c r="A213" s="438" t="s">
        <v>1601</v>
      </c>
      <c r="B213" s="438" t="s">
        <v>1602</v>
      </c>
      <c r="C213" s="438" t="e">
        <f>Calculations!B561</f>
        <v>#N/A</v>
      </c>
      <c r="D213" s="438"/>
    </row>
    <row r="214" spans="1:4">
      <c r="A214" s="438" t="s">
        <v>230</v>
      </c>
      <c r="B214" s="438" t="s">
        <v>1603</v>
      </c>
      <c r="C214" s="438" t="b">
        <f>Application!$B$15="Yes"</f>
        <v>0</v>
      </c>
      <c r="D214" s="438" t="s">
        <v>1604</v>
      </c>
    </row>
    <row r="215" spans="1:4">
      <c r="A215" s="437" t="s">
        <v>1605</v>
      </c>
      <c r="B215" s="437" t="s">
        <v>1606</v>
      </c>
      <c r="C215" s="443">
        <f>Application!$B$19</f>
        <v>0.09</v>
      </c>
      <c r="D215" s="437" t="s">
        <v>1607</v>
      </c>
    </row>
    <row r="216" spans="1:4">
      <c r="A216" t="s">
        <v>240</v>
      </c>
      <c r="B216" t="s">
        <v>1608</v>
      </c>
      <c r="C216" s="688" t="str">
        <f>IF(ISBLANK(Application!B26), "", TEXT(Application!B26, "mm/dd/yyyy"))</f>
        <v/>
      </c>
      <c r="D216" t="s">
        <v>1609</v>
      </c>
    </row>
    <row r="217" spans="1:4">
      <c r="A217" t="s">
        <v>1610</v>
      </c>
      <c r="B217" s="73"/>
      <c r="C217" s="689" t="str">
        <f>IF(ISBLANK(Application!B138), "", TEXT(Application!B138, "mm/dd/yyyy"))</f>
        <v/>
      </c>
    </row>
    <row r="218" spans="1:4">
      <c r="A218" t="str">
        <f>Application!A60</f>
        <v>Number of Floors in the Tallest Building</v>
      </c>
      <c r="B218" t="s">
        <v>1611</v>
      </c>
      <c r="C218" s="688" t="str">
        <f>CONCATENATE(Application!B60)</f>
        <v/>
      </c>
      <c r="D218" t="s">
        <v>1612</v>
      </c>
    </row>
    <row r="219" spans="1:4">
      <c r="A219" t="s">
        <v>1613</v>
      </c>
      <c r="B219" t="s">
        <v>1614</v>
      </c>
      <c r="C219">
        <f>Calculations!F3</f>
        <v>0</v>
      </c>
    </row>
    <row r="220" spans="1:4" ht="17.25" customHeight="1">
      <c r="A220" t="s">
        <v>1615</v>
      </c>
      <c r="B220" t="s">
        <v>1616</v>
      </c>
      <c r="C220">
        <f>Application!B75</f>
        <v>0</v>
      </c>
    </row>
    <row r="221" spans="1:4" ht="17.25" customHeight="1">
      <c r="A221" t="s">
        <v>1617</v>
      </c>
      <c r="B221" t="s">
        <v>1617</v>
      </c>
      <c r="C221" t="str">
        <f ca="1">CONCATENATE('Contact Summary'!G28, " ", 'Contact Summary'!H28)</f>
        <v xml:space="preserve"> </v>
      </c>
    </row>
    <row r="222" spans="1:4" ht="17.25" customHeight="1">
      <c r="A222" t="s">
        <v>1618</v>
      </c>
      <c r="B222" t="s">
        <v>1618</v>
      </c>
      <c r="C222" t="str">
        <f ca="1">'Contact Summary'!C28</f>
        <v/>
      </c>
    </row>
    <row r="223" spans="1:4" ht="17.25" customHeight="1">
      <c r="A223" t="s">
        <v>1619</v>
      </c>
      <c r="B223" t="s">
        <v>1619</v>
      </c>
      <c r="C223" t="str">
        <f ca="1">'Contact Summary'!D28</f>
        <v/>
      </c>
    </row>
    <row r="224" spans="1:4" ht="17.25" customHeight="1">
      <c r="A224" t="s">
        <v>1620</v>
      </c>
      <c r="B224" t="s">
        <v>1620</v>
      </c>
      <c r="C224" t="str">
        <f ca="1">'Contact Summary'!E28</f>
        <v/>
      </c>
    </row>
    <row r="225" spans="1:8" ht="17.25" customHeight="1">
      <c r="A225" t="s">
        <v>1621</v>
      </c>
      <c r="B225" t="s">
        <v>1621</v>
      </c>
      <c r="C225" s="92" t="str">
        <f ca="1">'Contact Summary'!F28</f>
        <v/>
      </c>
    </row>
    <row r="226" spans="1:8">
      <c r="A226" t="s">
        <v>1622</v>
      </c>
      <c r="B226" t="s">
        <v>1623</v>
      </c>
      <c r="C226" s="438">
        <f>Calculations!B874</f>
        <v>0</v>
      </c>
    </row>
    <row r="227" spans="1:8" ht="16.5" customHeight="1">
      <c r="A227" t="s">
        <v>1624</v>
      </c>
      <c r="B227" t="s">
        <v>1625</v>
      </c>
      <c r="C227" s="438">
        <f>Calculations!B874</f>
        <v>0</v>
      </c>
    </row>
    <row r="228" spans="1:8">
      <c r="A228" t="s">
        <v>1626</v>
      </c>
      <c r="B228" t="s">
        <v>1627</v>
      </c>
      <c r="C228" s="439">
        <f>Calculations!B876</f>
        <v>0</v>
      </c>
    </row>
    <row r="229" spans="1:8">
      <c r="A229" t="s">
        <v>1628</v>
      </c>
      <c r="B229" t="s">
        <v>1629</v>
      </c>
      <c r="C229" s="320">
        <f>Calculations!B668</f>
        <v>0</v>
      </c>
    </row>
    <row r="230" spans="1:8">
      <c r="A230" t="s">
        <v>1630</v>
      </c>
      <c r="B230" t="s">
        <v>1631</v>
      </c>
      <c r="C230" s="320">
        <f>Calculations!B659</f>
        <v>0</v>
      </c>
    </row>
    <row r="231" spans="1:8">
      <c r="A231" t="s">
        <v>1632</v>
      </c>
      <c r="C231" s="320" t="b">
        <f>Application!B8="Yes"</f>
        <v>0</v>
      </c>
    </row>
    <row r="232" spans="1:8">
      <c r="B232" t="s">
        <v>1633</v>
      </c>
      <c r="C232" t="b">
        <f>Application!$B$74="Yes"</f>
        <v>0</v>
      </c>
      <c r="D232" t="s">
        <v>1634</v>
      </c>
    </row>
    <row r="233" spans="1:8">
      <c r="B233" s="320" t="s">
        <v>1635</v>
      </c>
      <c r="C233" s="320" t="str">
        <f>CONCATENATE(Application!$B$29)</f>
        <v/>
      </c>
    </row>
    <row r="234" spans="1:8">
      <c r="B234" t="s">
        <v>1636</v>
      </c>
      <c r="C234" t="str">
        <f>CONCATENATE(Application!$B$30)</f>
        <v/>
      </c>
      <c r="D234" t="s">
        <v>1637</v>
      </c>
    </row>
    <row r="235" spans="1:8">
      <c r="B235" t="s">
        <v>243</v>
      </c>
      <c r="C235" t="str">
        <f>CONCATENATE(Application!$B$31)</f>
        <v/>
      </c>
      <c r="D235" t="s">
        <v>1638</v>
      </c>
    </row>
    <row r="236" spans="1:8">
      <c r="B236" t="s">
        <v>127</v>
      </c>
      <c r="C236" s="366" t="s">
        <v>1639</v>
      </c>
      <c r="D236" s="320"/>
    </row>
    <row r="237" spans="1:8">
      <c r="B237" t="s">
        <v>1640</v>
      </c>
      <c r="C237" t="str">
        <f>CONCATENATE(Application!$B$32)</f>
        <v/>
      </c>
      <c r="D237" t="s">
        <v>1641</v>
      </c>
    </row>
    <row r="238" spans="1:8">
      <c r="B238" t="s">
        <v>1642</v>
      </c>
      <c r="C238" t="str">
        <f>CONCATENATE(Application!$B$34)</f>
        <v/>
      </c>
      <c r="D238" t="s">
        <v>1643</v>
      </c>
      <c r="H238" t="b">
        <f>AND(Calculations!$B$8, Application!$B$68="Yes")</f>
        <v>0</v>
      </c>
    </row>
    <row r="239" spans="1:8">
      <c r="B239" t="s">
        <v>1644</v>
      </c>
      <c r="C239" t="str">
        <f>CONCATENATE(Application!$B$37)</f>
        <v/>
      </c>
      <c r="D239" t="s">
        <v>1645</v>
      </c>
      <c r="H239" t="b">
        <f>AND(Calculations!$B$8, Application!$B$68&lt;&gt;"Yes")</f>
        <v>0</v>
      </c>
    </row>
    <row r="240" spans="1:8">
      <c r="B240" t="s">
        <v>1646</v>
      </c>
      <c r="C240" t="str">
        <f>CONCATENATE(Application!$B$35)</f>
        <v/>
      </c>
      <c r="D240" t="s">
        <v>1647</v>
      </c>
    </row>
    <row r="241" spans="1:22">
      <c r="B241" t="s">
        <v>1648</v>
      </c>
      <c r="C241" t="str">
        <f>CONCATENATE(Application!$B$36)</f>
        <v/>
      </c>
      <c r="D241" t="s">
        <v>1649</v>
      </c>
    </row>
    <row r="242" spans="1:22">
      <c r="B242" t="s">
        <v>1650</v>
      </c>
      <c r="C242" s="14" t="str">
        <f>CONCATENATE(Application!B33)</f>
        <v/>
      </c>
    </row>
    <row r="244" spans="1:22">
      <c r="B244" t="s">
        <v>1651</v>
      </c>
      <c r="C244" t="b">
        <f>Application!$B$42="Yes"</f>
        <v>0</v>
      </c>
      <c r="D244" t="s">
        <v>1652</v>
      </c>
    </row>
    <row r="245" spans="1:22">
      <c r="B245" t="s">
        <v>1653</v>
      </c>
      <c r="C245" t="b">
        <f>Application!$B$71="Yes"</f>
        <v>0</v>
      </c>
      <c r="D245" t="s">
        <v>1654</v>
      </c>
    </row>
    <row r="246" spans="1:22">
      <c r="B246" t="s">
        <v>1655</v>
      </c>
      <c r="C246" t="b">
        <f>Application!$B$72="Yes"</f>
        <v>0</v>
      </c>
    </row>
    <row r="247" spans="1:22">
      <c r="B247" t="s">
        <v>1656</v>
      </c>
      <c r="C247" t="b">
        <f>Application!$B$94="Yes"</f>
        <v>0</v>
      </c>
      <c r="D247" t="s">
        <v>1657</v>
      </c>
    </row>
    <row r="248" spans="1:22">
      <c r="B248" t="s">
        <v>1658</v>
      </c>
      <c r="C248" t="b">
        <f>Application!$B$82="Yes"</f>
        <v>0</v>
      </c>
      <c r="D248" t="s">
        <v>1659</v>
      </c>
    </row>
    <row r="249" spans="1:22">
      <c r="B249" t="s">
        <v>1660</v>
      </c>
      <c r="C249" t="b">
        <f>Application!$B$97="Yes"</f>
        <v>0</v>
      </c>
      <c r="D249" t="s">
        <v>1661</v>
      </c>
    </row>
    <row r="250" spans="1:22">
      <c r="B250" t="s">
        <v>1662</v>
      </c>
      <c r="C250" t="b">
        <f>Application!$B$68="Yes"</f>
        <v>0</v>
      </c>
      <c r="D250" t="s">
        <v>1663</v>
      </c>
    </row>
    <row r="251" spans="1:22">
      <c r="A251" t="s">
        <v>307</v>
      </c>
      <c r="B251" t="s">
        <v>1664</v>
      </c>
      <c r="C251" t="b">
        <f>Application!$B$93="Yes"</f>
        <v>0</v>
      </c>
      <c r="D251" t="s">
        <v>1665</v>
      </c>
    </row>
    <row r="252" spans="1:22">
      <c r="A252" t="str">
        <f>Application!A84</f>
        <v>Federal Historic Rehabilitation Tax Credits</v>
      </c>
      <c r="B252" t="s">
        <v>1666</v>
      </c>
      <c r="C252" t="b">
        <f>Application!B84="Yes"</f>
        <v>0</v>
      </c>
      <c r="D252" t="s">
        <v>1667</v>
      </c>
    </row>
    <row r="253" spans="1:22">
      <c r="A253" t="str">
        <f>Application!A86</f>
        <v>State Historic Rehabilitation Tax Credits</v>
      </c>
      <c r="B253" t="s">
        <v>1668</v>
      </c>
      <c r="C253" t="b">
        <f>Application!B86="Yes"</f>
        <v>0</v>
      </c>
    </row>
    <row r="254" spans="1:22" s="365" customFormat="1">
      <c r="A254"/>
      <c r="B254" t="s">
        <v>1669</v>
      </c>
      <c r="C254" s="14" t="str">
        <f>IF(Application!B46= "","", Application!B46)</f>
        <v/>
      </c>
      <c r="D254" s="320"/>
      <c r="E254" s="320"/>
      <c r="F254" s="320"/>
      <c r="G254" s="320"/>
      <c r="H254" s="320"/>
      <c r="I254" s="320"/>
      <c r="J254" s="320"/>
      <c r="K254" s="320"/>
      <c r="L254" s="320"/>
      <c r="M254" s="320"/>
      <c r="N254" s="320"/>
      <c r="O254" s="320"/>
      <c r="P254" s="320"/>
      <c r="Q254" s="320"/>
      <c r="R254" s="320"/>
      <c r="S254" s="320"/>
      <c r="T254" s="320"/>
      <c r="U254" s="320"/>
      <c r="V254" s="320"/>
    </row>
    <row r="255" spans="1:22" s="365" customFormat="1">
      <c r="A255"/>
      <c r="B255" t="s">
        <v>1670</v>
      </c>
      <c r="C255" s="14" t="str">
        <f>IF(Application!B47= "","", Application!B47)</f>
        <v/>
      </c>
      <c r="D255" s="320"/>
      <c r="E255" s="320"/>
      <c r="F255" s="320"/>
      <c r="G255" s="320"/>
      <c r="H255" s="320"/>
      <c r="I255" s="320"/>
      <c r="J255" s="320"/>
      <c r="K255" s="320"/>
      <c r="L255" s="320"/>
      <c r="M255" s="320"/>
      <c r="N255" s="320"/>
      <c r="O255" s="320"/>
      <c r="P255" s="320"/>
      <c r="Q255" s="320"/>
      <c r="R255" s="320"/>
      <c r="S255" s="320"/>
      <c r="T255" s="320"/>
      <c r="U255" s="320"/>
      <c r="V255" s="320"/>
    </row>
    <row r="256" spans="1:22" s="365" customFormat="1">
      <c r="A256"/>
      <c r="B256" t="s">
        <v>1671</v>
      </c>
      <c r="C256" s="14" t="str">
        <f>IF(Application!B48= "","", Application!B48)</f>
        <v/>
      </c>
      <c r="D256" s="320"/>
      <c r="E256" s="320"/>
      <c r="F256" s="320"/>
      <c r="G256" s="320"/>
      <c r="H256" s="320"/>
      <c r="I256" s="320"/>
      <c r="J256" s="320"/>
      <c r="K256" s="320"/>
      <c r="L256" s="320"/>
      <c r="M256" s="320"/>
      <c r="N256" s="320"/>
      <c r="O256" s="320"/>
      <c r="P256" s="320"/>
      <c r="Q256" s="320"/>
      <c r="R256" s="320"/>
      <c r="S256" s="320"/>
      <c r="T256" s="320"/>
      <c r="U256" s="320"/>
      <c r="V256" s="320"/>
    </row>
    <row r="257" spans="1:22" s="365" customFormat="1">
      <c r="A257"/>
      <c r="B257" t="s">
        <v>1672</v>
      </c>
      <c r="C257" s="14" t="str">
        <f>IF(Application!B49= "","", Application!B49)</f>
        <v/>
      </c>
      <c r="D257" s="320"/>
      <c r="E257" s="320"/>
      <c r="F257" s="320"/>
      <c r="G257" s="320"/>
      <c r="H257" s="320"/>
      <c r="I257" s="320"/>
      <c r="J257" s="320"/>
      <c r="K257" s="320"/>
      <c r="L257" s="320"/>
      <c r="M257" s="320"/>
      <c r="N257" s="320"/>
      <c r="O257" s="320"/>
      <c r="P257" s="320"/>
      <c r="Q257" s="320"/>
      <c r="R257" s="320"/>
      <c r="S257" s="320"/>
      <c r="T257" s="320"/>
      <c r="U257" s="320"/>
      <c r="V257" s="320"/>
    </row>
    <row r="258" spans="1:22" s="365" customFormat="1">
      <c r="A258"/>
      <c r="B258" t="s">
        <v>262</v>
      </c>
      <c r="C258" s="14" t="str">
        <f>IF(Application!B50= "","", Application!B50)</f>
        <v/>
      </c>
      <c r="D258"/>
      <c r="E258" s="320"/>
      <c r="F258" s="320"/>
      <c r="G258" s="320"/>
      <c r="H258" s="320"/>
      <c r="I258" s="320"/>
      <c r="J258" s="320"/>
      <c r="K258" s="320"/>
      <c r="L258" s="320"/>
      <c r="M258" s="320"/>
      <c r="N258" s="320"/>
      <c r="O258" s="320"/>
      <c r="P258" s="320"/>
      <c r="Q258" s="320"/>
      <c r="R258" s="320"/>
      <c r="S258" s="320"/>
      <c r="T258" s="320"/>
      <c r="U258" s="320"/>
      <c r="V258" s="320"/>
    </row>
    <row r="259" spans="1:22" s="365" customFormat="1">
      <c r="A259"/>
      <c r="B259" t="s">
        <v>263</v>
      </c>
      <c r="C259" s="14" t="str">
        <f>IF(Application!B51= "","", Application!B51)</f>
        <v/>
      </c>
      <c r="D259" s="320"/>
      <c r="E259" s="320"/>
      <c r="F259" s="320"/>
      <c r="G259" s="320"/>
      <c r="H259" s="320"/>
      <c r="I259" s="320"/>
      <c r="J259" s="320"/>
      <c r="K259" s="320"/>
      <c r="L259" s="320"/>
      <c r="M259" s="320"/>
      <c r="N259" s="320"/>
      <c r="O259" s="320"/>
      <c r="P259" s="320"/>
      <c r="Q259" s="320"/>
      <c r="R259" s="320"/>
      <c r="S259" s="320"/>
      <c r="T259" s="320"/>
      <c r="U259" s="320"/>
      <c r="V259" s="320"/>
    </row>
    <row r="260" spans="1:22" s="365" customFormat="1">
      <c r="A260"/>
      <c r="B260" t="s">
        <v>1673</v>
      </c>
      <c r="C260" s="14" t="str">
        <f>IF(Application!B52= "","", Application!B52)</f>
        <v/>
      </c>
      <c r="D260" s="320"/>
      <c r="E260" s="320"/>
      <c r="F260" s="320"/>
      <c r="G260" s="320"/>
      <c r="H260" s="320"/>
      <c r="I260" s="320"/>
      <c r="J260" s="320"/>
      <c r="K260" s="320"/>
      <c r="L260" s="320"/>
      <c r="M260" s="320"/>
      <c r="N260" s="320"/>
      <c r="O260" s="320"/>
      <c r="P260" s="320"/>
      <c r="Q260" s="320"/>
      <c r="R260" s="320"/>
      <c r="S260" s="320"/>
      <c r="T260" s="320"/>
      <c r="U260" s="320"/>
      <c r="V260" s="320"/>
    </row>
    <row r="261" spans="1:22">
      <c r="B261" t="s">
        <v>265</v>
      </c>
      <c r="C261" t="b">
        <f>Application!B53="Yes"</f>
        <v>0</v>
      </c>
    </row>
    <row r="262" spans="1:22">
      <c r="B262" s="1" t="s">
        <v>266</v>
      </c>
      <c r="C262" t="b">
        <f>Application!B54="Yes"</f>
        <v>0</v>
      </c>
      <c r="D262" s="320"/>
      <c r="E262" s="320"/>
      <c r="F262" s="320"/>
      <c r="G262" s="320"/>
    </row>
    <row r="263" spans="1:22">
      <c r="B263" t="s">
        <v>1674</v>
      </c>
      <c r="C263" s="14" t="str">
        <f>IF(Application!B55= "","", Application!B55)</f>
        <v/>
      </c>
      <c r="D263" s="320"/>
      <c r="E263" s="320"/>
      <c r="F263" s="320"/>
      <c r="G263" s="320"/>
    </row>
    <row r="264" spans="1:22">
      <c r="B264" t="s">
        <v>268</v>
      </c>
      <c r="C264" s="366" t="str">
        <f>IF(Application!B56= "","", Application!B56)</f>
        <v/>
      </c>
    </row>
    <row r="265" spans="1:22">
      <c r="B265" t="s">
        <v>1675</v>
      </c>
      <c r="C265">
        <f>Application!B85</f>
        <v>0</v>
      </c>
      <c r="D265" t="s">
        <v>1676</v>
      </c>
    </row>
    <row r="266" spans="1:22">
      <c r="B266" t="s">
        <v>1677</v>
      </c>
      <c r="C266">
        <f>Application!B87</f>
        <v>0</v>
      </c>
    </row>
    <row r="267" spans="1:22">
      <c r="B267" t="s">
        <v>1678</v>
      </c>
      <c r="C267">
        <f>Financing!B34</f>
        <v>0</v>
      </c>
    </row>
    <row r="268" spans="1:22">
      <c r="B268" t="s">
        <v>1679</v>
      </c>
      <c r="C268">
        <f>Financing!B39</f>
        <v>0</v>
      </c>
    </row>
    <row r="269" spans="1:22">
      <c r="A269" t="str">
        <f>Application!A88</f>
        <v>Solar Tax Credits/ITC</v>
      </c>
      <c r="B269" t="s">
        <v>1680</v>
      </c>
      <c r="C269" t="b">
        <f>Application!$B$88="Yes"</f>
        <v>0</v>
      </c>
      <c r="D269" t="s">
        <v>1681</v>
      </c>
    </row>
    <row r="270" spans="1:22">
      <c r="A270" t="str">
        <f>Application!A90</f>
        <v>45L Energy Efficiency Home Credit</v>
      </c>
      <c r="C270" t="b">
        <f>Application!$B$90="Yes"</f>
        <v>0</v>
      </c>
      <c r="E270" t="s">
        <v>1682</v>
      </c>
    </row>
    <row r="271" spans="1:22">
      <c r="A271" t="str">
        <f>Application!A91</f>
        <v>Enter the Amount of the 45L EEH Credit</v>
      </c>
      <c r="C271">
        <f>Application!B91</f>
        <v>0</v>
      </c>
      <c r="E271" t="s">
        <v>1682</v>
      </c>
    </row>
    <row r="272" spans="1:22">
      <c r="A272" t="e">
        <f>Application!#REF!</f>
        <v>#REF!</v>
      </c>
      <c r="C272" t="b">
        <f>Application!$B$90="Yes"</f>
        <v>0</v>
      </c>
      <c r="E272" t="s">
        <v>1682</v>
      </c>
    </row>
    <row r="273" spans="1:5">
      <c r="A273" t="e">
        <f>Application!#REF!</f>
        <v>#REF!</v>
      </c>
      <c r="C273" t="e">
        <f>Application!#REF!</f>
        <v>#REF!</v>
      </c>
      <c r="E273" t="s">
        <v>1682</v>
      </c>
    </row>
    <row r="274" spans="1:5">
      <c r="A274" t="str">
        <f>Application!A95</f>
        <v>CDBG DR Funding</v>
      </c>
      <c r="B274" t="s">
        <v>1683</v>
      </c>
      <c r="C274" t="b">
        <f>Application!$B$95="Yes"</f>
        <v>0</v>
      </c>
    </row>
    <row r="275" spans="1:5">
      <c r="A275" t="s">
        <v>286</v>
      </c>
      <c r="C275" t="b">
        <f>Application!B73="Yes"</f>
        <v>0</v>
      </c>
    </row>
    <row r="276" spans="1:5">
      <c r="A276" t="s">
        <v>287</v>
      </c>
      <c r="C276" t="b">
        <f>Application!B74="Yes"</f>
        <v>0</v>
      </c>
    </row>
    <row r="277" spans="1:5">
      <c r="A277" t="s">
        <v>294</v>
      </c>
      <c r="C277" s="320">
        <f>Application!B80</f>
        <v>0</v>
      </c>
    </row>
    <row r="278" spans="1:5">
      <c r="A278" t="s">
        <v>296</v>
      </c>
      <c r="C278" s="320">
        <f>Application!B81</f>
        <v>0</v>
      </c>
    </row>
    <row r="279" spans="1:5">
      <c r="A279" t="str">
        <f>Application!A96</f>
        <v>FHLB Affordable Housing Program Funding</v>
      </c>
      <c r="B279" t="s">
        <v>1684</v>
      </c>
      <c r="C279" t="b">
        <f>Application!$B$96="Yes"</f>
        <v>0</v>
      </c>
      <c r="D279" t="s">
        <v>1685</v>
      </c>
    </row>
    <row r="280" spans="1:5">
      <c r="A280" t="str">
        <f>Application!A76</f>
        <v xml:space="preserve">Enter the Total Amount of A Bonds being issued  </v>
      </c>
      <c r="B280" t="s">
        <v>1686</v>
      </c>
      <c r="C280">
        <f>Application!B76</f>
        <v>0</v>
      </c>
      <c r="D280" t="s">
        <v>1687</v>
      </c>
    </row>
    <row r="281" spans="1:5">
      <c r="A281" t="str">
        <f>Application!A77</f>
        <v xml:space="preserve">Enter the Total Amount of B Bonds being issued  </v>
      </c>
      <c r="B281" t="s">
        <v>1688</v>
      </c>
      <c r="C281">
        <f>Application!B77</f>
        <v>0</v>
      </c>
    </row>
    <row r="282" spans="1:5">
      <c r="A282" t="str">
        <f>Application!A78</f>
        <v xml:space="preserve">Enter the Total Amount of C Bonds being issued </v>
      </c>
      <c r="B282" t="s">
        <v>1689</v>
      </c>
      <c r="C282">
        <f>Application!B78</f>
        <v>0</v>
      </c>
      <c r="D282" t="s">
        <v>1690</v>
      </c>
    </row>
    <row r="283" spans="1:5">
      <c r="A283" t="str">
        <f>Application!A89</f>
        <v>Enter the Amount of the Solar Tax Credit</v>
      </c>
      <c r="B283" t="s">
        <v>1691</v>
      </c>
      <c r="C283">
        <f>Application!B89</f>
        <v>0</v>
      </c>
      <c r="D283" t="s">
        <v>1692</v>
      </c>
    </row>
    <row r="284" spans="1:5">
      <c r="A284" t="str">
        <f>Application!A99</f>
        <v xml:space="preserve">Enter the Number of Project-based Vouchers  </v>
      </c>
      <c r="B284" t="s">
        <v>1693</v>
      </c>
      <c r="C284">
        <f>Application!B99</f>
        <v>0</v>
      </c>
      <c r="D284" t="s">
        <v>1694</v>
      </c>
    </row>
    <row r="285" spans="1:5">
      <c r="B285" t="s">
        <v>1695</v>
      </c>
      <c r="C285" t="b">
        <f>Application!$B$92="Yes"</f>
        <v>0</v>
      </c>
      <c r="D285" t="s">
        <v>1696</v>
      </c>
    </row>
    <row r="286" spans="1:5">
      <c r="A286" t="str">
        <f>Application!A102</f>
        <v>State Funds - DOH Vouchers</v>
      </c>
      <c r="C286" t="b">
        <f>Application!$B$92="Yes"</f>
        <v>0</v>
      </c>
      <c r="E286" t="s">
        <v>1682</v>
      </c>
    </row>
    <row r="287" spans="1:5">
      <c r="A287" t="str">
        <f>Application!A103</f>
        <v>Voucher Administrator(s)</v>
      </c>
      <c r="C287">
        <f>Application!B103</f>
        <v>0</v>
      </c>
      <c r="E287" t="s">
        <v>1682</v>
      </c>
    </row>
    <row r="288" spans="1:5">
      <c r="A288" t="str">
        <f>Application!A104</f>
        <v>Number of Vouchers</v>
      </c>
      <c r="C288">
        <f>Application!B104</f>
        <v>0</v>
      </c>
      <c r="E288" t="s">
        <v>1682</v>
      </c>
    </row>
    <row r="289" spans="1:8">
      <c r="A289" t="str">
        <f>Application!A105</f>
        <v>Type of Vouchers</v>
      </c>
      <c r="C289">
        <f>Application!B105</f>
        <v>0</v>
      </c>
      <c r="E289" t="s">
        <v>1682</v>
      </c>
    </row>
    <row r="290" spans="1:8">
      <c r="A290" t="s">
        <v>1697</v>
      </c>
      <c r="B290" t="s">
        <v>1698</v>
      </c>
      <c r="C290" t="b">
        <f>Application!B70="Yes"</f>
        <v>0</v>
      </c>
    </row>
    <row r="291" spans="1:8">
      <c r="B291" t="s">
        <v>1699</v>
      </c>
      <c r="C291" t="b">
        <f>Application!$B$69="Yes"</f>
        <v>0</v>
      </c>
      <c r="D291" t="s">
        <v>1700</v>
      </c>
    </row>
    <row r="292" spans="1:8">
      <c r="B292" t="s">
        <v>269</v>
      </c>
      <c r="C292" s="366" t="str">
        <f>CONCATENATE(Application!B57)</f>
        <v/>
      </c>
    </row>
    <row r="293" spans="1:8">
      <c r="B293" t="s">
        <v>270</v>
      </c>
      <c r="C293" t="b">
        <f>Application!$B$58="Yes"</f>
        <v>0</v>
      </c>
    </row>
    <row r="294" spans="1:8">
      <c r="B294" t="s">
        <v>1701</v>
      </c>
      <c r="C294" t="b">
        <f>Calculations!$B$20</f>
        <v>0</v>
      </c>
      <c r="D294" t="s">
        <v>1702</v>
      </c>
    </row>
    <row r="295" spans="1:8">
      <c r="B295" t="s">
        <v>1703</v>
      </c>
      <c r="C295" t="b">
        <f>Calculations!$B$18</f>
        <v>0</v>
      </c>
      <c r="D295" t="s">
        <v>1704</v>
      </c>
    </row>
    <row r="296" spans="1:8">
      <c r="A296" t="s">
        <v>1705</v>
      </c>
      <c r="B296" t="s">
        <v>1706</v>
      </c>
      <c r="C296" t="b">
        <f>IFERROR(Calculations!B19, FALSE)</f>
        <v>0</v>
      </c>
    </row>
    <row r="297" spans="1:8">
      <c r="A297" t="s">
        <v>1705</v>
      </c>
      <c r="B297" t="s">
        <v>1705</v>
      </c>
      <c r="C297" t="b">
        <f>IFERROR(Calculations!B19, FALSE)</f>
        <v>0</v>
      </c>
    </row>
    <row r="298" spans="1:8">
      <c r="B298" t="s">
        <v>1707</v>
      </c>
      <c r="C298" s="14" t="str">
        <f>CONCATENATE(Application!$B$6)</f>
        <v/>
      </c>
      <c r="D298" t="s">
        <v>1708</v>
      </c>
    </row>
    <row r="299" spans="1:8" ht="30" customHeight="1">
      <c r="B299" t="str">
        <f>Application!A14</f>
        <v>Is this an existing LIHTC property</v>
      </c>
      <c r="C299" t="b">
        <f>Application!B14="Yes"</f>
        <v>0</v>
      </c>
    </row>
    <row r="300" spans="1:8">
      <c r="B300" t="s">
        <v>1709</v>
      </c>
      <c r="C300" s="14" t="str">
        <f>CONCATENATE(Application!$B$38)</f>
        <v/>
      </c>
      <c r="D300" t="s">
        <v>1710</v>
      </c>
    </row>
    <row r="301" spans="1:8">
      <c r="B301" t="s">
        <v>1711</v>
      </c>
      <c r="C301" s="14" t="str">
        <f>CONCATENATE(Application!B13)</f>
        <v/>
      </c>
      <c r="D301" t="s">
        <v>1712</v>
      </c>
      <c r="E301" t="s">
        <v>1713</v>
      </c>
    </row>
    <row r="302" spans="1:8">
      <c r="F302" s="956" t="s">
        <v>1714</v>
      </c>
      <c r="G302" s="956"/>
      <c r="H302" s="956"/>
    </row>
    <row r="303" spans="1:8">
      <c r="B303" t="s">
        <v>1715</v>
      </c>
      <c r="C303" t="b">
        <f>Application!$B$110 &gt; 0</f>
        <v>0</v>
      </c>
      <c r="D303" t="s">
        <v>1716</v>
      </c>
      <c r="F303" s="690" t="s">
        <v>1717</v>
      </c>
      <c r="G303" s="690" t="s">
        <v>1718</v>
      </c>
      <c r="H303" s="690" t="s">
        <v>1719</v>
      </c>
    </row>
    <row r="304" spans="1:8">
      <c r="B304" t="s">
        <v>1720</v>
      </c>
      <c r="C304" s="424" t="str">
        <f>IF(SUM(Application!$B$109:$B$114)=0,"",H304)</f>
        <v/>
      </c>
      <c r="D304" t="s">
        <v>1721</v>
      </c>
      <c r="F304" s="690">
        <f>COUNTIF(Application!$B$109:$B$114, "&gt; 0")</f>
        <v>0</v>
      </c>
      <c r="G304" s="690" t="str">
        <f>INDEX(Application!$A$109:$A$114,MATCH(MAX(Application!$B$109:$B$114),Application!$B$109:$B$114,0))</f>
        <v>Special Populations</v>
      </c>
      <c r="H304" s="690" t="str">
        <f>IF(F304 &gt; 1, "Mixed", G304)</f>
        <v>Special Populations</v>
      </c>
    </row>
    <row r="305" spans="1:11">
      <c r="A305" t="str">
        <f>Application!A109</f>
        <v>Special Populations</v>
      </c>
      <c r="B305" t="s">
        <v>1722</v>
      </c>
      <c r="C305">
        <f>Application!B109</f>
        <v>0</v>
      </c>
      <c r="D305" t="s">
        <v>1723</v>
      </c>
    </row>
    <row r="306" spans="1:11">
      <c r="A306" t="str">
        <f>Application!A110</f>
        <v>Family</v>
      </c>
      <c r="B306" t="s">
        <v>1724</v>
      </c>
      <c r="C306">
        <f>Application!B110</f>
        <v>0</v>
      </c>
      <c r="D306" t="s">
        <v>1725</v>
      </c>
    </row>
    <row r="307" spans="1:11">
      <c r="A307" t="str">
        <f>Application!A111</f>
        <v>Homeless (not PSH)</v>
      </c>
      <c r="B307" t="s">
        <v>1726</v>
      </c>
      <c r="C307">
        <f>Application!B111</f>
        <v>0</v>
      </c>
      <c r="D307" t="s">
        <v>1727</v>
      </c>
    </row>
    <row r="308" spans="1:11">
      <c r="A308" t="str">
        <f>Application!A112</f>
        <v>Older Adult</v>
      </c>
      <c r="B308" t="s">
        <v>1728</v>
      </c>
      <c r="C308">
        <f>Application!B112</f>
        <v>0</v>
      </c>
      <c r="D308" t="s">
        <v>1729</v>
      </c>
    </row>
    <row r="309" spans="1:11">
      <c r="A309" t="str">
        <f>Application!A113</f>
        <v>Veterans</v>
      </c>
      <c r="B309" t="s">
        <v>1730</v>
      </c>
      <c r="C309">
        <f>Application!B113</f>
        <v>0</v>
      </c>
    </row>
    <row r="310" spans="1:11">
      <c r="A310" t="s">
        <v>331</v>
      </c>
      <c r="B310" t="s">
        <v>1731</v>
      </c>
      <c r="C310">
        <f>Application!B114</f>
        <v>0</v>
      </c>
    </row>
    <row r="311" spans="1:11">
      <c r="A311" t="s">
        <v>333</v>
      </c>
      <c r="C311">
        <f>Application!B116</f>
        <v>0</v>
      </c>
    </row>
    <row r="312" spans="1:11">
      <c r="A312" t="s">
        <v>334</v>
      </c>
      <c r="C312">
        <f>Application!B117</f>
        <v>0</v>
      </c>
    </row>
    <row r="313" spans="1:11" s="16" customFormat="1">
      <c r="A313" s="16" t="s">
        <v>1732</v>
      </c>
      <c r="B313" s="16" t="s">
        <v>1733</v>
      </c>
      <c r="C313" s="801">
        <f>Application!B59</f>
        <v>0</v>
      </c>
      <c r="D313" s="16" t="s">
        <v>1734</v>
      </c>
    </row>
    <row r="314" spans="1:11">
      <c r="B314" t="s">
        <v>1735</v>
      </c>
      <c r="C314" t="b">
        <f>OR(Application!$B$59 = 1, Application!$B$59 = 2)</f>
        <v>0</v>
      </c>
      <c r="D314" t="s">
        <v>1736</v>
      </c>
      <c r="E314" t="s">
        <v>1737</v>
      </c>
      <c r="G314" s="16" t="s">
        <v>1738</v>
      </c>
      <c r="K314" s="49"/>
    </row>
    <row r="315" spans="1:11">
      <c r="B315" t="s">
        <v>1739</v>
      </c>
      <c r="C315" t="b">
        <f>OR(Application!$B$59 = 3, Application!$B$59 = 4)</f>
        <v>0</v>
      </c>
      <c r="D315" t="s">
        <v>1740</v>
      </c>
      <c r="E315" t="s">
        <v>1741</v>
      </c>
      <c r="G315" s="16" t="s">
        <v>1738</v>
      </c>
    </row>
    <row r="316" spans="1:11">
      <c r="B316" t="s">
        <v>1742</v>
      </c>
      <c r="C316" t="b">
        <f>Application!$B$59 &gt;= 5</f>
        <v>0</v>
      </c>
      <c r="D316" t="s">
        <v>1743</v>
      </c>
      <c r="E316" t="s">
        <v>1744</v>
      </c>
      <c r="G316" s="16" t="s">
        <v>1738</v>
      </c>
    </row>
    <row r="317" spans="1:11">
      <c r="B317" t="s">
        <v>1745</v>
      </c>
      <c r="C317" t="b">
        <f>Application!$B$62="Elevator"</f>
        <v>0</v>
      </c>
    </row>
    <row r="318" spans="1:11">
      <c r="A318" t="s">
        <v>1746</v>
      </c>
      <c r="B318" t="s">
        <v>1747</v>
      </c>
      <c r="C318">
        <f>Application!B63</f>
        <v>0</v>
      </c>
    </row>
    <row r="319" spans="1:11">
      <c r="A319" t="s">
        <v>274</v>
      </c>
      <c r="B319" t="s">
        <v>1748</v>
      </c>
      <c r="C319" t="str">
        <f>CONCATENATE(Application!B61)</f>
        <v/>
      </c>
    </row>
    <row r="320" spans="1:11">
      <c r="A320" t="s">
        <v>1749</v>
      </c>
      <c r="B320" t="s">
        <v>1750</v>
      </c>
      <c r="C320">
        <f>Application!B139</f>
        <v>0</v>
      </c>
    </row>
    <row r="321" spans="1:3">
      <c r="A321" t="s">
        <v>1751</v>
      </c>
      <c r="B321" t="s">
        <v>1751</v>
      </c>
      <c r="C321">
        <f>Financing!B3</f>
        <v>0</v>
      </c>
    </row>
    <row r="322" spans="1:3">
      <c r="A322" t="s">
        <v>1752</v>
      </c>
      <c r="B322" t="s">
        <v>1752</v>
      </c>
      <c r="C322">
        <f>Financing!B4</f>
        <v>0</v>
      </c>
    </row>
    <row r="323" spans="1:3">
      <c r="A323" t="s">
        <v>1753</v>
      </c>
      <c r="B323" t="s">
        <v>1753</v>
      </c>
      <c r="C323" s="349">
        <f>SUM('Development Budget'!C48:D48)</f>
        <v>0</v>
      </c>
    </row>
    <row r="325" spans="1:3" ht="15.75">
      <c r="A325" s="691" t="s">
        <v>1754</v>
      </c>
      <c r="B325" s="783" t="str">
        <f>IF(Application!B125="", "", Application!B125)</f>
        <v/>
      </c>
      <c r="C325" t="str">
        <f>IF(Application!B125="", "", Application!B125)</f>
        <v/>
      </c>
    </row>
    <row r="326" spans="1:3" ht="15.75">
      <c r="A326" s="692" t="s">
        <v>1755</v>
      </c>
      <c r="B326" s="783" t="str">
        <f>IF(Application!B126="","",Application!B126)</f>
        <v/>
      </c>
      <c r="C326" t="str">
        <f>IF(Application!B126="", "", Application!B126)</f>
        <v/>
      </c>
    </row>
    <row r="327" spans="1:3" ht="15.75">
      <c r="A327" s="692" t="s">
        <v>1756</v>
      </c>
      <c r="B327" s="783" t="str">
        <f>IF(Application!B127="","",Application!B127)</f>
        <v/>
      </c>
      <c r="C327" t="str">
        <f>IF(Application!B127="", "", Application!B127)</f>
        <v/>
      </c>
    </row>
    <row r="328" spans="1:3" ht="15.75">
      <c r="A328" s="692" t="s">
        <v>345</v>
      </c>
      <c r="B328" s="783" t="str">
        <f>IF(Application!B128="","",Application!B128)</f>
        <v/>
      </c>
      <c r="C328" t="str">
        <f>IF(Application!B128="", "", Application!B128)</f>
        <v/>
      </c>
    </row>
    <row r="329" spans="1:3" ht="15.75">
      <c r="A329" s="692" t="s">
        <v>1757</v>
      </c>
      <c r="B329" s="783" t="str">
        <f>IF(Application!B129="","",Application!B129)</f>
        <v/>
      </c>
      <c r="C329" t="str">
        <f>IF(Application!B129="", "", Application!B129)</f>
        <v/>
      </c>
    </row>
    <row r="330" spans="1:3" ht="15.75">
      <c r="A330" s="692" t="s">
        <v>347</v>
      </c>
      <c r="B330" s="783" t="str">
        <f>IF(Application!B130="","",Application!B130)</f>
        <v/>
      </c>
      <c r="C330" t="str">
        <f>IF(Application!B130="", "", Application!B130)</f>
        <v/>
      </c>
    </row>
    <row r="331" spans="1:3" ht="15.75">
      <c r="A331" s="692" t="s">
        <v>1758</v>
      </c>
      <c r="B331" s="783" t="str">
        <f>IF(Application!B131="","",Application!B131)</f>
        <v/>
      </c>
      <c r="C331" t="str">
        <f>IF(Application!B131="", "", Application!B131)</f>
        <v/>
      </c>
    </row>
    <row r="332" spans="1:3" ht="15.75">
      <c r="A332" s="692" t="s">
        <v>1759</v>
      </c>
      <c r="B332" s="783" t="str">
        <f>IF(Application!B132="","",Application!B132)</f>
        <v/>
      </c>
      <c r="C332" t="str">
        <f>IF(Application!B132="", "", Application!B132)</f>
        <v/>
      </c>
    </row>
    <row r="333" spans="1:3" ht="31.5">
      <c r="A333" s="861" t="s">
        <v>1760</v>
      </c>
      <c r="B333" s="783" t="str">
        <f>IF(Application!B134="","",Application!B134)</f>
        <v/>
      </c>
      <c r="C333" t="str">
        <f>IF(Application!B134="", "", Application!B134)</f>
        <v/>
      </c>
    </row>
    <row r="334" spans="1:3" ht="16.5" customHeight="1">
      <c r="A334" s="692" t="s">
        <v>1761</v>
      </c>
      <c r="B334" s="783" t="str">
        <f>IF(Application!B135="","",Application!B135)</f>
        <v/>
      </c>
      <c r="C334" t="str">
        <f>IF(Application!B135="", "", Application!B135)</f>
        <v/>
      </c>
    </row>
    <row r="335" spans="1:3" ht="15.75">
      <c r="A335" s="692" t="s">
        <v>1762</v>
      </c>
      <c r="B335" s="783" t="str">
        <f>IF(Application!B136="","",Application!B136)</f>
        <v/>
      </c>
      <c r="C335" t="str">
        <f>IF(Application!B136="", "", Application!B136)</f>
        <v/>
      </c>
    </row>
    <row r="336" spans="1:3" ht="15.75">
      <c r="A336" s="692" t="s">
        <v>1763</v>
      </c>
      <c r="B336" s="783" t="str">
        <f>IF(Application!B137="","",Application!B137)</f>
        <v/>
      </c>
      <c r="C336" t="str">
        <f>IF(Application!B137="", "", Application!B137)</f>
        <v/>
      </c>
    </row>
    <row r="337" spans="1:7" ht="16.5" customHeight="1">
      <c r="A337" s="692" t="s">
        <v>1764</v>
      </c>
      <c r="B337" s="783" t="str">
        <f>IF(Application!B138="","",Application!B138)</f>
        <v/>
      </c>
      <c r="C337" t="str">
        <f>IF(Application!B138="", "", Application!B138)</f>
        <v/>
      </c>
    </row>
    <row r="338" spans="1:7" ht="15.75">
      <c r="A338" s="692" t="s">
        <v>1765</v>
      </c>
      <c r="B338" s="783" t="str">
        <f>IF(Application!B141="","",Application!B141)</f>
        <v/>
      </c>
      <c r="C338" t="str">
        <f>IF(Application!B141="", "", Application!B141)</f>
        <v/>
      </c>
    </row>
    <row r="339" spans="1:7" ht="15.75">
      <c r="A339" s="692" t="s">
        <v>1766</v>
      </c>
      <c r="B339" s="783" t="str">
        <f>IF(Application!B142="","",Application!B142)</f>
        <v/>
      </c>
      <c r="C339" t="str">
        <f>IF(Application!B142="", "", Application!B142)</f>
        <v/>
      </c>
    </row>
    <row r="340" spans="1:7" ht="15.75">
      <c r="A340" s="692" t="s">
        <v>1767</v>
      </c>
      <c r="B340" s="783" t="str">
        <f>IF(Application!B143="","",Application!B143)</f>
        <v/>
      </c>
      <c r="C340" t="str">
        <f>IF(Application!B143="", "", Application!B143)</f>
        <v/>
      </c>
    </row>
    <row r="341" spans="1:7" ht="15.75">
      <c r="A341" s="692" t="s">
        <v>1768</v>
      </c>
      <c r="B341" s="783" t="str">
        <f>IF(Application!B144="","",Application!B144)</f>
        <v/>
      </c>
      <c r="C341" t="str">
        <f>IF(Application!B144="", "", Application!B144)</f>
        <v/>
      </c>
    </row>
    <row r="342" spans="1:7" ht="15.75">
      <c r="A342" s="692" t="s">
        <v>364</v>
      </c>
      <c r="B342" s="783" t="str">
        <f>IF(Application!B145="","",Application!B145)</f>
        <v/>
      </c>
      <c r="C342" t="str">
        <f>IF(Application!B145="", "", Application!B145)</f>
        <v/>
      </c>
    </row>
    <row r="343" spans="1:7" ht="16.5" customHeight="1">
      <c r="A343" t="str">
        <f>'Development Budget'!A4</f>
        <v>Land</v>
      </c>
      <c r="B343" t="s">
        <v>1769</v>
      </c>
      <c r="C343">
        <f>'Development Budget'!B4</f>
        <v>0</v>
      </c>
      <c r="D343" t="s">
        <v>1770</v>
      </c>
    </row>
    <row r="344" spans="1:7">
      <c r="A344" t="str">
        <f>'Development Budget'!A5</f>
        <v>Existing Structures</v>
      </c>
      <c r="B344" t="s">
        <v>1771</v>
      </c>
      <c r="C344">
        <f>'Development Budget'!B5</f>
        <v>0</v>
      </c>
      <c r="D344" t="s">
        <v>1772</v>
      </c>
      <c r="G344" s="317"/>
    </row>
    <row r="345" spans="1:7">
      <c r="A345" t="str">
        <f>'Development Budget'!A6</f>
        <v>Demolition</v>
      </c>
      <c r="B345" t="s">
        <v>405</v>
      </c>
      <c r="C345">
        <f>'Development Budget'!B6</f>
        <v>0</v>
      </c>
      <c r="D345" t="s">
        <v>1773</v>
      </c>
      <c r="G345" s="317"/>
    </row>
    <row r="346" spans="1:7">
      <c r="A346" t="str">
        <f>'Development Budget'!A9</f>
        <v>On Site Work</v>
      </c>
      <c r="B346" t="s">
        <v>1774</v>
      </c>
      <c r="C346">
        <f>'Development Budget'!B9</f>
        <v>0</v>
      </c>
      <c r="D346">
        <f>'Development Budget'!$D$11</f>
        <v>0</v>
      </c>
      <c r="G346" s="317"/>
    </row>
    <row r="347" spans="1:7">
      <c r="A347" t="str">
        <f>'Development Budget'!A10</f>
        <v>Off Site Work</v>
      </c>
      <c r="B347" t="s">
        <v>1775</v>
      </c>
      <c r="C347">
        <f>'Development Budget'!B10</f>
        <v>0</v>
      </c>
      <c r="D347" t="s">
        <v>1776</v>
      </c>
      <c r="G347" s="317"/>
    </row>
    <row r="348" spans="1:7">
      <c r="A348" t="str">
        <f>'Development Budget'!A13</f>
        <v>New Structures</v>
      </c>
      <c r="B348" t="s">
        <v>1777</v>
      </c>
      <c r="C348">
        <f>'Development Budget'!B13</f>
        <v>0</v>
      </c>
      <c r="D348" t="s">
        <v>1778</v>
      </c>
      <c r="G348" s="317"/>
    </row>
    <row r="349" spans="1:7">
      <c r="A349" t="str">
        <f>'Development Budget'!A14</f>
        <v>Rehabilitation</v>
      </c>
      <c r="B349" t="s">
        <v>1779</v>
      </c>
      <c r="C349">
        <f>'Development Budget'!B14</f>
        <v>0</v>
      </c>
      <c r="D349" t="s">
        <v>1780</v>
      </c>
      <c r="G349" s="317"/>
    </row>
    <row r="350" spans="1:7">
      <c r="A350" t="str">
        <f>'Development Budget'!A15</f>
        <v>Accessory Structures (CSF, storage, garage(s))</v>
      </c>
      <c r="B350" t="s">
        <v>1781</v>
      </c>
      <c r="C350">
        <f>'Development Budget'!B15</f>
        <v>0</v>
      </c>
      <c r="D350" t="s">
        <v>1782</v>
      </c>
      <c r="G350" s="317"/>
    </row>
    <row r="351" spans="1:7">
      <c r="A351" t="str">
        <f>'Development Budget'!A16</f>
        <v>Green Systems (Solar, Geothermal, Other, etc.)</v>
      </c>
      <c r="B351" t="s">
        <v>1783</v>
      </c>
      <c r="C351">
        <f>'Development Budget'!B16</f>
        <v>0</v>
      </c>
      <c r="D351" t="s">
        <v>1784</v>
      </c>
      <c r="G351" s="317"/>
    </row>
    <row r="352" spans="1:7">
      <c r="A352" t="str">
        <f>'Development Budget'!A17</f>
        <v>General Requirements</v>
      </c>
      <c r="B352" t="s">
        <v>1785</v>
      </c>
      <c r="C352">
        <f>'Development Budget'!B17</f>
        <v>0</v>
      </c>
      <c r="D352" t="s">
        <v>1786</v>
      </c>
      <c r="G352" s="317"/>
    </row>
    <row r="353" spans="1:7">
      <c r="A353" t="str">
        <f>'Development Budget'!A18</f>
        <v>Contractor Overhead</v>
      </c>
      <c r="B353" t="s">
        <v>1787</v>
      </c>
      <c r="C353">
        <f>'Development Budget'!B18</f>
        <v>0</v>
      </c>
      <c r="D353" t="s">
        <v>1788</v>
      </c>
      <c r="G353" s="317"/>
    </row>
    <row r="354" spans="1:7">
      <c r="A354" t="str">
        <f>'Development Budget'!A19</f>
        <v>Contractor Profit</v>
      </c>
      <c r="B354" t="s">
        <v>1789</v>
      </c>
      <c r="C354">
        <f>'Development Budget'!B19</f>
        <v>0</v>
      </c>
      <c r="D354" t="s">
        <v>1790</v>
      </c>
      <c r="G354" s="317"/>
    </row>
    <row r="355" spans="1:7">
      <c r="A355" t="str">
        <f>'Development Budget'!A20</f>
        <v>Contractor Construction Contingency</v>
      </c>
      <c r="B355" t="s">
        <v>1791</v>
      </c>
      <c r="C355">
        <f>'Development Budget'!B20</f>
        <v>0</v>
      </c>
      <c r="D355" t="s">
        <v>1792</v>
      </c>
      <c r="G355" s="317"/>
    </row>
    <row r="356" spans="1:7">
      <c r="A356" t="str">
        <f>'Development Budget'!A21</f>
        <v>Owner Hard Cost Contingency</v>
      </c>
      <c r="B356" t="s">
        <v>1793</v>
      </c>
      <c r="C356">
        <f>'Development Budget'!B21</f>
        <v>0</v>
      </c>
      <c r="D356" t="s">
        <v>1794</v>
      </c>
    </row>
    <row r="357" spans="1:7">
      <c r="A357" t="str">
        <f>'Development Budget'!A22</f>
        <v>Furniture, Fixtures, &amp; Equipment</v>
      </c>
      <c r="B357" t="s">
        <v>1795</v>
      </c>
      <c r="C357">
        <f>'Development Budget'!B22</f>
        <v>0</v>
      </c>
      <c r="D357" t="s">
        <v>1796</v>
      </c>
    </row>
    <row r="358" spans="1:7">
      <c r="A358" t="str">
        <f>'Development Budget'!A23</f>
        <v>Building Permits</v>
      </c>
      <c r="B358" t="s">
        <v>1797</v>
      </c>
      <c r="C358">
        <f>'Development Budget'!B23</f>
        <v>0</v>
      </c>
      <c r="D358" t="s">
        <v>1798</v>
      </c>
    </row>
    <row r="359" spans="1:7">
      <c r="A359" t="str">
        <f>'Development Budget'!A24</f>
        <v>Other (Specify)</v>
      </c>
      <c r="B359" t="s">
        <v>1799</v>
      </c>
      <c r="C359">
        <f>'Development Budget'!B24</f>
        <v>0</v>
      </c>
      <c r="D359" t="s">
        <v>1800</v>
      </c>
    </row>
    <row r="360" spans="1:7">
      <c r="A360" t="str">
        <f>'Development Budget'!A25</f>
        <v>Other (Specify)</v>
      </c>
      <c r="B360" t="s">
        <v>1801</v>
      </c>
      <c r="C360">
        <f>'Development Budget'!B25</f>
        <v>0</v>
      </c>
      <c r="D360" t="s">
        <v>1802</v>
      </c>
    </row>
    <row r="361" spans="1:7">
      <c r="A361" t="str">
        <f>'Development Budget'!A26</f>
        <v>Other (Specify)</v>
      </c>
      <c r="B361" t="s">
        <v>1803</v>
      </c>
      <c r="C361">
        <f>'Development Budget'!B26</f>
        <v>0</v>
      </c>
      <c r="D361" t="s">
        <v>1804</v>
      </c>
    </row>
    <row r="362" spans="1:7">
      <c r="A362" t="str">
        <f>'Development Budget'!A29</f>
        <v>Architect, Design</v>
      </c>
      <c r="B362" t="s">
        <v>1805</v>
      </c>
      <c r="C362">
        <f>'Development Budget'!B29</f>
        <v>0</v>
      </c>
      <c r="D362" t="s">
        <v>1806</v>
      </c>
    </row>
    <row r="363" spans="1:7" ht="14.45" customHeight="1">
      <c r="A363" t="str">
        <f>'Development Budget'!A30</f>
        <v>Architect Construction Management/Admin</v>
      </c>
      <c r="B363" t="s">
        <v>1807</v>
      </c>
      <c r="C363">
        <f>'Development Budget'!B30</f>
        <v>0</v>
      </c>
      <c r="D363" t="s">
        <v>1808</v>
      </c>
    </row>
    <row r="364" spans="1:7">
      <c r="A364" t="str">
        <f>'Development Budget'!A31</f>
        <v>Landscape Design</v>
      </c>
      <c r="B364" t="s">
        <v>1809</v>
      </c>
      <c r="C364">
        <f>'Development Budget'!B31</f>
        <v>0</v>
      </c>
      <c r="D364" t="s">
        <v>1810</v>
      </c>
    </row>
    <row r="365" spans="1:7">
      <c r="A365" t="str">
        <f>'Development Budget'!A32</f>
        <v>Structural Engineering</v>
      </c>
      <c r="B365" t="s">
        <v>1811</v>
      </c>
      <c r="C365">
        <f>'Development Budget'!B32</f>
        <v>0</v>
      </c>
      <c r="D365" t="s">
        <v>1812</v>
      </c>
    </row>
    <row r="366" spans="1:7">
      <c r="A366" t="str">
        <f>'Development Budget'!A33</f>
        <v>Civil Engineering</v>
      </c>
      <c r="B366" t="s">
        <v>1813</v>
      </c>
      <c r="C366">
        <f>'Development Budget'!B33</f>
        <v>0</v>
      </c>
      <c r="D366" t="s">
        <v>1814</v>
      </c>
    </row>
    <row r="367" spans="1:7">
      <c r="A367" t="str">
        <f>'Development Budget'!A34</f>
        <v>Other Engineering</v>
      </c>
      <c r="B367" t="s">
        <v>1815</v>
      </c>
      <c r="C367">
        <f>'Development Budget'!B34</f>
        <v>0</v>
      </c>
      <c r="D367" t="s">
        <v>1816</v>
      </c>
    </row>
    <row r="368" spans="1:7">
      <c r="A368" t="str">
        <f>'Development Budget'!A35</f>
        <v>Surveyor</v>
      </c>
      <c r="B368" t="s">
        <v>1817</v>
      </c>
      <c r="C368">
        <f>'Development Budget'!B35</f>
        <v>0</v>
      </c>
      <c r="D368" t="s">
        <v>1818</v>
      </c>
    </row>
    <row r="369" spans="1:4">
      <c r="A369" t="str">
        <f>'Development Budget'!A36</f>
        <v>Attorney, Real Estate</v>
      </c>
      <c r="B369" t="s">
        <v>1819</v>
      </c>
      <c r="C369">
        <f>'Development Budget'!B36</f>
        <v>0</v>
      </c>
      <c r="D369" t="s">
        <v>1820</v>
      </c>
    </row>
    <row r="370" spans="1:4">
      <c r="A370" t="str">
        <f>'Development Budget'!A37</f>
        <v>Green Consultant</v>
      </c>
      <c r="B370" t="s">
        <v>1821</v>
      </c>
      <c r="C370">
        <f>'Development Budget'!B37</f>
        <v>0</v>
      </c>
      <c r="D370" t="s">
        <v>1822</v>
      </c>
    </row>
    <row r="371" spans="1:4">
      <c r="A371" t="str">
        <f>'Development Budget'!A38</f>
        <v>Green Charrette</v>
      </c>
      <c r="B371" t="s">
        <v>1823</v>
      </c>
      <c r="C371">
        <f>'Development Budget'!B38</f>
        <v>0</v>
      </c>
      <c r="D371" t="s">
        <v>1824</v>
      </c>
    </row>
    <row r="372" spans="1:4">
      <c r="A372" t="str">
        <f>'Development Budget'!A39</f>
        <v>Construction Accounting</v>
      </c>
      <c r="B372" t="s">
        <v>1825</v>
      </c>
      <c r="C372">
        <f>'Development Budget'!B39</f>
        <v>0</v>
      </c>
      <c r="D372" t="s">
        <v>1826</v>
      </c>
    </row>
    <row r="373" spans="1:4">
      <c r="A373" t="str">
        <f>'Development Budget'!A40</f>
        <v>Other (Specify)</v>
      </c>
      <c r="B373" t="s">
        <v>1827</v>
      </c>
      <c r="C373">
        <f>'Development Budget'!B40</f>
        <v>0</v>
      </c>
      <c r="D373" t="s">
        <v>1828</v>
      </c>
    </row>
    <row r="374" spans="1:4">
      <c r="A374" t="str">
        <f>'Development Budget'!A41</f>
        <v>Other (Specify)</v>
      </c>
      <c r="B374" t="s">
        <v>1829</v>
      </c>
      <c r="C374">
        <f>'Development Budget'!B41</f>
        <v>0</v>
      </c>
      <c r="D374" t="s">
        <v>1830</v>
      </c>
    </row>
    <row r="375" spans="1:4">
      <c r="A375" t="str">
        <f>'Development Budget'!A42</f>
        <v>Other (Specify)</v>
      </c>
      <c r="B375" t="s">
        <v>1831</v>
      </c>
      <c r="C375">
        <f>'Development Budget'!B42</f>
        <v>0</v>
      </c>
      <c r="D375" t="s">
        <v>1832</v>
      </c>
    </row>
    <row r="376" spans="1:4">
      <c r="A376" t="str">
        <f>'Development Budget'!A45</f>
        <v>Hazard &amp; Liability Insurance</v>
      </c>
      <c r="B376" t="s">
        <v>1833</v>
      </c>
      <c r="C376">
        <f>'Development Budget'!B45</f>
        <v>0</v>
      </c>
      <c r="D376" t="s">
        <v>1834</v>
      </c>
    </row>
    <row r="377" spans="1:4">
      <c r="A377" t="str">
        <f>'Development Budget'!A46</f>
        <v>Builder's Risk Insurance</v>
      </c>
      <c r="B377" t="s">
        <v>1835</v>
      </c>
      <c r="C377">
        <f>'Development Budget'!B46</f>
        <v>0</v>
      </c>
      <c r="D377" t="s">
        <v>1836</v>
      </c>
    </row>
    <row r="378" spans="1:4">
      <c r="A378" t="str">
        <f>'Development Budget'!A47</f>
        <v>Perform. &amp; Pymt Bonds</v>
      </c>
      <c r="B378" t="s">
        <v>1837</v>
      </c>
      <c r="C378">
        <f>'Development Budget'!B47</f>
        <v>0</v>
      </c>
      <c r="D378" t="s">
        <v>1838</v>
      </c>
    </row>
    <row r="379" spans="1:4">
      <c r="A379" t="str">
        <f>'Development Budget'!A48</f>
        <v>Construction Interest</v>
      </c>
      <c r="B379" t="s">
        <v>1839</v>
      </c>
      <c r="C379">
        <f>'Development Budget'!B48</f>
        <v>0</v>
      </c>
      <c r="D379" t="s">
        <v>1840</v>
      </c>
    </row>
    <row r="380" spans="1:4">
      <c r="A380" t="str">
        <f>'Development Budget'!A49</f>
        <v>Constr. Origination Fees</v>
      </c>
      <c r="B380" t="s">
        <v>1841</v>
      </c>
      <c r="C380">
        <f>'Development Budget'!B49</f>
        <v>0</v>
      </c>
      <c r="D380" t="s">
        <v>1842</v>
      </c>
    </row>
    <row r="381" spans="1:4">
      <c r="A381" t="str">
        <f>'Development Budget'!A50</f>
        <v>Tap Fees (Water/Sewer)</v>
      </c>
      <c r="B381" t="s">
        <v>1843</v>
      </c>
      <c r="C381">
        <f>'Development Budget'!B50</f>
        <v>0</v>
      </c>
      <c r="D381" t="s">
        <v>1844</v>
      </c>
    </row>
    <row r="382" spans="1:4">
      <c r="A382" t="str">
        <f>'Development Budget'!A51</f>
        <v>Impact fees</v>
      </c>
      <c r="B382" t="s">
        <v>1845</v>
      </c>
      <c r="C382">
        <f>'Development Budget'!B51</f>
        <v>0</v>
      </c>
      <c r="D382" t="s">
        <v>1846</v>
      </c>
    </row>
    <row r="383" spans="1:4">
      <c r="A383" t="str">
        <f>'Development Budget'!A52</f>
        <v>Materials Testing</v>
      </c>
      <c r="B383" t="s">
        <v>1847</v>
      </c>
      <c r="C383">
        <f>'Development Budget'!B52</f>
        <v>0</v>
      </c>
      <c r="D383" t="s">
        <v>1848</v>
      </c>
    </row>
    <row r="384" spans="1:4">
      <c r="A384" t="str">
        <f>'Development Budget'!A53</f>
        <v>Power and Telecom Provider fees</v>
      </c>
      <c r="B384" t="s">
        <v>1849</v>
      </c>
      <c r="C384">
        <f>'Development Budget'!B53</f>
        <v>0</v>
      </c>
      <c r="D384" t="s">
        <v>1850</v>
      </c>
    </row>
    <row r="385" spans="1:4">
      <c r="A385" t="str">
        <f>'Development Budget'!A54</f>
        <v>3rd Party/Bank Inspections/Admin</v>
      </c>
      <c r="B385" t="s">
        <v>1851</v>
      </c>
      <c r="C385">
        <f>'Development Budget'!B54</f>
        <v>0</v>
      </c>
      <c r="D385" t="s">
        <v>1852</v>
      </c>
    </row>
    <row r="386" spans="1:4">
      <c r="A386" t="str">
        <f>'Development Budget'!A55</f>
        <v>Title &amp; Recording</v>
      </c>
      <c r="B386" t="s">
        <v>1853</v>
      </c>
      <c r="C386">
        <f>'Development Budget'!B55</f>
        <v>0</v>
      </c>
      <c r="D386" t="s">
        <v>1854</v>
      </c>
    </row>
    <row r="387" spans="1:4">
      <c r="A387" t="str">
        <f>'Development Budget'!A56</f>
        <v>Construction Lender Legal Fees</v>
      </c>
      <c r="B387" t="s">
        <v>1855</v>
      </c>
      <c r="C387">
        <f>'Development Budget'!B56</f>
        <v>0</v>
      </c>
      <c r="D387" t="s">
        <v>1856</v>
      </c>
    </row>
    <row r="388" spans="1:4">
      <c r="A388" t="str">
        <f>'Development Budget'!A57</f>
        <v>Prop. Taxes During Construction</v>
      </c>
      <c r="B388" t="s">
        <v>1857</v>
      </c>
      <c r="C388">
        <f>'Development Budget'!B57</f>
        <v>0</v>
      </c>
      <c r="D388" t="s">
        <v>1858</v>
      </c>
    </row>
    <row r="389" spans="1:4">
      <c r="A389" t="str">
        <f>'Development Budget'!A58</f>
        <v>Bridge Loan</v>
      </c>
      <c r="B389" t="s">
        <v>1859</v>
      </c>
      <c r="C389">
        <f>'Development Budget'!B58</f>
        <v>0</v>
      </c>
      <c r="D389" t="s">
        <v>1860</v>
      </c>
    </row>
    <row r="390" spans="1:4">
      <c r="A390" t="s">
        <v>447</v>
      </c>
      <c r="C390">
        <f>'Development Budget'!B59</f>
        <v>0</v>
      </c>
    </row>
    <row r="391" spans="1:4">
      <c r="A391" t="str">
        <f>'Development Budget'!A60</f>
        <v>Other (Specify)</v>
      </c>
      <c r="B391" t="s">
        <v>1861</v>
      </c>
      <c r="C391">
        <f>'Development Budget'!B60</f>
        <v>0</v>
      </c>
      <c r="D391" t="s">
        <v>1862</v>
      </c>
    </row>
    <row r="392" spans="1:4">
      <c r="A392" t="str">
        <f>'Development Budget'!A61</f>
        <v>Other (Specify)</v>
      </c>
      <c r="B392" t="s">
        <v>1863</v>
      </c>
      <c r="C392">
        <f>'Development Budget'!B61</f>
        <v>0</v>
      </c>
      <c r="D392" t="s">
        <v>1864</v>
      </c>
    </row>
    <row r="393" spans="1:4">
      <c r="A393" t="str">
        <f>'Development Budget'!A62</f>
        <v>Other (Specify)</v>
      </c>
      <c r="B393" t="s">
        <v>1865</v>
      </c>
      <c r="C393">
        <f>'Development Budget'!B62</f>
        <v>0</v>
      </c>
      <c r="D393" t="s">
        <v>1866</v>
      </c>
    </row>
    <row r="394" spans="1:4">
      <c r="A394" t="str">
        <f>'Development Budget'!A65</f>
        <v>Bond Premium</v>
      </c>
      <c r="B394" t="s">
        <v>1867</v>
      </c>
      <c r="C394">
        <f>'Development Budget'!B65</f>
        <v>0</v>
      </c>
      <c r="D394" t="s">
        <v>1868</v>
      </c>
    </row>
    <row r="395" spans="1:4">
      <c r="A395" t="str">
        <f>'Development Budget'!A66</f>
        <v>Bond Issue 30-day lag reserve</v>
      </c>
      <c r="B395" t="s">
        <v>1869</v>
      </c>
      <c r="C395">
        <f>'Development Budget'!B66</f>
        <v>0</v>
      </c>
      <c r="D395" t="s">
        <v>1870</v>
      </c>
    </row>
    <row r="396" spans="1:4">
      <c r="A396" t="str">
        <f>'Development Budget'!A67</f>
        <v>Bond Cost of Issuance</v>
      </c>
      <c r="B396" t="s">
        <v>1871</v>
      </c>
      <c r="C396">
        <f>'Development Budget'!B67</f>
        <v>0</v>
      </c>
      <c r="D396" t="s">
        <v>1872</v>
      </c>
    </row>
    <row r="397" spans="1:4">
      <c r="A397" t="str">
        <f>'Development Budget'!A68</f>
        <v>Discount Points</v>
      </c>
      <c r="B397" t="s">
        <v>1873</v>
      </c>
      <c r="C397">
        <f>'Development Budget'!B68</f>
        <v>0</v>
      </c>
      <c r="D397" t="s">
        <v>1874</v>
      </c>
    </row>
    <row r="398" spans="1:4">
      <c r="A398" t="str">
        <f>'Development Budget'!A69</f>
        <v>Perm Loan Origination</v>
      </c>
      <c r="B398" t="s">
        <v>1875</v>
      </c>
      <c r="C398">
        <f>'Development Budget'!B69</f>
        <v>0</v>
      </c>
      <c r="D398" t="s">
        <v>1876</v>
      </c>
    </row>
    <row r="399" spans="1:4">
      <c r="A399" t="str">
        <f>'Development Budget'!A70</f>
        <v>Credit Enhancement</v>
      </c>
      <c r="B399" t="s">
        <v>1877</v>
      </c>
      <c r="C399">
        <f>'Development Budget'!B70</f>
        <v>0</v>
      </c>
      <c r="D399" t="s">
        <v>1878</v>
      </c>
    </row>
    <row r="400" spans="1:4">
      <c r="A400" t="str">
        <f>'Development Budget'!A71</f>
        <v>Title &amp; Recording</v>
      </c>
      <c r="B400" t="s">
        <v>1879</v>
      </c>
      <c r="C400">
        <f>'Development Budget'!B71</f>
        <v>0</v>
      </c>
      <c r="D400" t="s">
        <v>1880</v>
      </c>
    </row>
    <row r="401" spans="1:4">
      <c r="A401" t="str">
        <f>'Development Budget'!A72</f>
        <v>Legal Fees</v>
      </c>
      <c r="B401" t="s">
        <v>1881</v>
      </c>
      <c r="C401">
        <f>'Development Budget'!B72</f>
        <v>0</v>
      </c>
      <c r="D401" t="s">
        <v>1882</v>
      </c>
    </row>
    <row r="402" spans="1:4">
      <c r="A402" t="str">
        <f>'Development Budget'!A73</f>
        <v>Prepaid MIP</v>
      </c>
      <c r="B402" t="s">
        <v>1883</v>
      </c>
      <c r="C402">
        <f>'Development Budget'!B73</f>
        <v>0</v>
      </c>
      <c r="D402" t="s">
        <v>1884</v>
      </c>
    </row>
    <row r="403" spans="1:4">
      <c r="A403" t="str">
        <f>'Development Budget'!A74</f>
        <v>Forward Rate Lock</v>
      </c>
      <c r="B403" t="s">
        <v>1885</v>
      </c>
      <c r="C403">
        <f>'Development Budget'!B74</f>
        <v>0</v>
      </c>
      <c r="D403" t="s">
        <v>1886</v>
      </c>
    </row>
    <row r="404" spans="1:4">
      <c r="A404" t="str">
        <f>'Development Budget'!A75</f>
        <v>Conversion Fee</v>
      </c>
      <c r="B404" t="s">
        <v>1887</v>
      </c>
      <c r="C404">
        <f>'Development Budget'!B75</f>
        <v>0</v>
      </c>
      <c r="D404" t="s">
        <v>1888</v>
      </c>
    </row>
    <row r="405" spans="1:4">
      <c r="A405" t="str">
        <f>'Development Budget'!A76</f>
        <v>Other (Specify)</v>
      </c>
      <c r="B405" t="s">
        <v>1889</v>
      </c>
      <c r="C405">
        <f>'Development Budget'!B76</f>
        <v>0</v>
      </c>
      <c r="D405" t="s">
        <v>1890</v>
      </c>
    </row>
    <row r="406" spans="1:4">
      <c r="A406" t="str">
        <f>'Development Budget'!A77</f>
        <v>Other (Specify)</v>
      </c>
      <c r="B406" t="s">
        <v>1891</v>
      </c>
      <c r="C406">
        <f>'Development Budget'!B77</f>
        <v>0</v>
      </c>
      <c r="D406" t="s">
        <v>1892</v>
      </c>
    </row>
    <row r="407" spans="1:4">
      <c r="A407" t="str">
        <f>'Development Budget'!A78</f>
        <v>Other (Specify)</v>
      </c>
      <c r="B407" t="s">
        <v>1893</v>
      </c>
      <c r="C407">
        <f>'Development Budget'!B78</f>
        <v>0</v>
      </c>
      <c r="D407" t="s">
        <v>1894</v>
      </c>
    </row>
    <row r="408" spans="1:4">
      <c r="A408" t="str">
        <f>'Development Budget'!A81</f>
        <v>Marketing/Leasing Costs</v>
      </c>
      <c r="B408" t="s">
        <v>1895</v>
      </c>
      <c r="C408">
        <f>'Development Budget'!B81</f>
        <v>0</v>
      </c>
      <c r="D408" t="s">
        <v>1896</v>
      </c>
    </row>
    <row r="409" spans="1:4">
      <c r="A409" t="str">
        <f>'Development Budget'!A82</f>
        <v>Cost Estimating/Capital Needs Assessment</v>
      </c>
      <c r="B409" t="s">
        <v>1897</v>
      </c>
      <c r="C409">
        <f>'Development Budget'!B82</f>
        <v>0</v>
      </c>
      <c r="D409" t="s">
        <v>1898</v>
      </c>
    </row>
    <row r="410" spans="1:4">
      <c r="A410" t="str">
        <f>'Development Budget'!A83</f>
        <v>Geotechnical/Soils Study</v>
      </c>
      <c r="B410" t="s">
        <v>1899</v>
      </c>
      <c r="C410">
        <f>'Development Budget'!B83</f>
        <v>0</v>
      </c>
      <c r="D410" t="s">
        <v>1900</v>
      </c>
    </row>
    <row r="411" spans="1:4">
      <c r="A411" t="str">
        <f>'Development Budget'!A84</f>
        <v>Appraisal</v>
      </c>
      <c r="B411" t="s">
        <v>1901</v>
      </c>
      <c r="C411">
        <f>'Development Budget'!B84</f>
        <v>0</v>
      </c>
      <c r="D411" t="s">
        <v>1902</v>
      </c>
    </row>
    <row r="412" spans="1:4">
      <c r="A412" t="str">
        <f>'Development Budget'!A85</f>
        <v>Market Study</v>
      </c>
      <c r="B412" t="s">
        <v>1903</v>
      </c>
      <c r="C412">
        <f>'Development Budget'!B85</f>
        <v>0</v>
      </c>
      <c r="D412" t="s">
        <v>1904</v>
      </c>
    </row>
    <row r="413" spans="1:4">
      <c r="A413" t="str">
        <f>'Development Budget'!A86</f>
        <v>Environmental Study (Phase 1, Phase 2, Lead, Asbestos, etc.)</v>
      </c>
      <c r="B413" t="s">
        <v>1905</v>
      </c>
      <c r="C413">
        <f>'Development Budget'!B86</f>
        <v>0</v>
      </c>
      <c r="D413" t="s">
        <v>1906</v>
      </c>
    </row>
    <row r="414" spans="1:4">
      <c r="A414" t="str">
        <f>'Development Budget'!A87</f>
        <v>Other Studies (traffic, wetlands, etc.)</v>
      </c>
      <c r="B414" t="s">
        <v>1907</v>
      </c>
      <c r="C414">
        <f>'Development Budget'!B87</f>
        <v>0</v>
      </c>
      <c r="D414" t="s">
        <v>1908</v>
      </c>
    </row>
    <row r="415" spans="1:4">
      <c r="A415" t="str">
        <f>'Development Budget'!A88</f>
        <v>Tax Credit Fees</v>
      </c>
      <c r="B415" t="s">
        <v>1909</v>
      </c>
      <c r="C415">
        <f>'Development Budget'!B88</f>
        <v>0</v>
      </c>
      <c r="D415" t="s">
        <v>1910</v>
      </c>
    </row>
    <row r="416" spans="1:4">
      <c r="A416" t="str">
        <f>'Development Budget'!A89</f>
        <v>Compliance Fees</v>
      </c>
      <c r="B416" t="s">
        <v>1911</v>
      </c>
      <c r="C416">
        <f>'Development Budget'!B89</f>
        <v>0</v>
      </c>
      <c r="D416" t="s">
        <v>1912</v>
      </c>
    </row>
    <row r="417" spans="1:4">
      <c r="A417" t="str">
        <f>'Development Budget'!A90</f>
        <v>Cost Certification</v>
      </c>
      <c r="B417" t="s">
        <v>1913</v>
      </c>
      <c r="C417">
        <f>'Development Budget'!B90</f>
        <v>0</v>
      </c>
      <c r="D417" t="s">
        <v>1914</v>
      </c>
    </row>
    <row r="418" spans="1:4">
      <c r="A418" t="str">
        <f>'Development Budget'!A91</f>
        <v>Green Certification Fees (LEED Certification, etc.)</v>
      </c>
      <c r="B418" t="s">
        <v>1915</v>
      </c>
      <c r="C418">
        <f>'Development Budget'!B91</f>
        <v>0</v>
      </c>
      <c r="D418" t="s">
        <v>1916</v>
      </c>
    </row>
    <row r="419" spans="1:4">
      <c r="A419" t="str">
        <f>'Development Budget'!A92</f>
        <v>Relocation - Temporary</v>
      </c>
      <c r="B419" t="s">
        <v>1917</v>
      </c>
      <c r="C419">
        <f>'Development Budget'!B92</f>
        <v>0</v>
      </c>
      <c r="D419" t="s">
        <v>1918</v>
      </c>
    </row>
    <row r="420" spans="1:4">
      <c r="A420" t="str">
        <f>'Development Budget'!A93</f>
        <v>Relocation - Permanent</v>
      </c>
      <c r="B420" t="s">
        <v>1919</v>
      </c>
      <c r="C420">
        <f>'Development Budget'!B93</f>
        <v>0</v>
      </c>
    </row>
    <row r="421" spans="1:4">
      <c r="A421" t="str">
        <f>'Development Budget'!A94</f>
        <v>Soft Cost Contingency</v>
      </c>
      <c r="B421" t="s">
        <v>1920</v>
      </c>
      <c r="C421">
        <f>'Development Budget'!B94</f>
        <v>0</v>
      </c>
      <c r="D421" t="s">
        <v>1921</v>
      </c>
    </row>
    <row r="422" spans="1:4">
      <c r="A422" t="str">
        <f>'Development Budget'!A95</f>
        <v>Other (Specify)</v>
      </c>
      <c r="B422" t="s">
        <v>1922</v>
      </c>
      <c r="C422">
        <f>'Development Budget'!B95</f>
        <v>0</v>
      </c>
      <c r="D422" t="s">
        <v>1923</v>
      </c>
    </row>
    <row r="423" spans="1:4">
      <c r="A423" t="str">
        <f>'Development Budget'!A96</f>
        <v>Other (Specify)</v>
      </c>
      <c r="B423" t="s">
        <v>1924</v>
      </c>
      <c r="C423">
        <f>'Development Budget'!B96</f>
        <v>0</v>
      </c>
      <c r="D423" t="s">
        <v>1925</v>
      </c>
    </row>
    <row r="424" spans="1:4">
      <c r="A424" t="str">
        <f>'Development Budget'!A97</f>
        <v>Other (Specify)</v>
      </c>
      <c r="B424" t="s">
        <v>1926</v>
      </c>
      <c r="C424">
        <f>'Development Budget'!B97</f>
        <v>0</v>
      </c>
      <c r="D424" t="s">
        <v>1927</v>
      </c>
    </row>
    <row r="425" spans="1:4">
      <c r="A425" t="str">
        <f>'Development Budget'!A100</f>
        <v>Organization Costs</v>
      </c>
      <c r="B425" t="s">
        <v>1928</v>
      </c>
      <c r="C425">
        <f>'Development Budget'!B100</f>
        <v>0</v>
      </c>
      <c r="D425" t="s">
        <v>1929</v>
      </c>
    </row>
    <row r="426" spans="1:4">
      <c r="A426" t="str">
        <f>'Development Budget'!A101</f>
        <v>Tax Opinion</v>
      </c>
      <c r="B426" t="s">
        <v>1930</v>
      </c>
      <c r="C426">
        <f>'Development Budget'!B101</f>
        <v>0</v>
      </c>
      <c r="D426" t="s">
        <v>1931</v>
      </c>
    </row>
    <row r="427" spans="1:4">
      <c r="A427" t="str">
        <f>'Development Budget'!A102</f>
        <v>Syndication Legal Fees</v>
      </c>
      <c r="B427" t="s">
        <v>1932</v>
      </c>
      <c r="C427">
        <f>'Development Budget'!B102</f>
        <v>0</v>
      </c>
      <c r="D427" t="s">
        <v>1933</v>
      </c>
    </row>
    <row r="428" spans="1:4">
      <c r="A428" t="str">
        <f>'Development Budget'!A103</f>
        <v>Other (Specify)</v>
      </c>
      <c r="B428" t="s">
        <v>1934</v>
      </c>
      <c r="C428">
        <f>'Development Budget'!B103</f>
        <v>0</v>
      </c>
      <c r="D428" t="s">
        <v>1935</v>
      </c>
    </row>
    <row r="429" spans="1:4">
      <c r="A429" t="str">
        <f>'Development Budget'!A104</f>
        <v>Other (Specify)</v>
      </c>
      <c r="B429" t="s">
        <v>1936</v>
      </c>
      <c r="C429">
        <f>'Development Budget'!B104</f>
        <v>0</v>
      </c>
      <c r="D429" t="s">
        <v>1937</v>
      </c>
    </row>
    <row r="430" spans="1:4" ht="15.75" customHeight="1">
      <c r="A430" t="str">
        <f>'Development Budget'!A105</f>
        <v>Other (Specify)</v>
      </c>
      <c r="B430" t="s">
        <v>1938</v>
      </c>
      <c r="C430">
        <f>'Development Budget'!B105</f>
        <v>0</v>
      </c>
      <c r="D430" t="s">
        <v>1939</v>
      </c>
    </row>
    <row r="431" spans="1:4">
      <c r="A431" t="str">
        <f>'Development Budget'!A108</f>
        <v>Developer Fee</v>
      </c>
      <c r="B431" t="s">
        <v>1940</v>
      </c>
      <c r="C431">
        <f>'Development Budget'!B108</f>
        <v>0</v>
      </c>
      <c r="D431" t="s">
        <v>1941</v>
      </c>
    </row>
    <row r="432" spans="1:4">
      <c r="A432" t="str">
        <f>'Development Budget'!A109</f>
        <v>Developer Overhead</v>
      </c>
      <c r="B432" t="s">
        <v>1942</v>
      </c>
      <c r="C432">
        <f>'Development Budget'!B109</f>
        <v>0</v>
      </c>
      <c r="D432" t="s">
        <v>1943</v>
      </c>
    </row>
    <row r="433" spans="1:5">
      <c r="A433" t="str">
        <f>'Development Budget'!A110</f>
        <v>Developer Profit</v>
      </c>
      <c r="B433" t="s">
        <v>1944</v>
      </c>
      <c r="C433">
        <f>'Development Budget'!B110</f>
        <v>0</v>
      </c>
      <c r="D433" t="s">
        <v>1945</v>
      </c>
    </row>
    <row r="434" spans="1:5">
      <c r="A434" t="str">
        <f>'Development Budget'!A111</f>
        <v>PSH developer fee boost (up to 5%)</v>
      </c>
      <c r="B434" t="s">
        <v>1946</v>
      </c>
      <c r="C434">
        <f>'Development Budget'!B111</f>
        <v>0</v>
      </c>
      <c r="D434" t="s">
        <v>1947</v>
      </c>
    </row>
    <row r="435" spans="1:5">
      <c r="A435" t="str">
        <f>'Development Budget'!A112</f>
        <v>Third Party Development Management/Owner's Rep</v>
      </c>
      <c r="B435" t="s">
        <v>1948</v>
      </c>
      <c r="C435">
        <f>'Development Budget'!B112</f>
        <v>0</v>
      </c>
      <c r="D435" t="s">
        <v>1949</v>
      </c>
    </row>
    <row r="436" spans="1:5">
      <c r="A436" t="str">
        <f>'Development Budget'!A113</f>
        <v>Financial/Tax Credit Consultant, Application Preparation, etc.</v>
      </c>
      <c r="B436" t="s">
        <v>1950</v>
      </c>
      <c r="C436">
        <f>'Development Budget'!B113</f>
        <v>0</v>
      </c>
      <c r="D436" t="s">
        <v>1951</v>
      </c>
    </row>
    <row r="437" spans="1:5">
      <c r="A437" t="str">
        <f>'Development Budget'!A114</f>
        <v>Other Consultant Fees</v>
      </c>
      <c r="B437" t="s">
        <v>1952</v>
      </c>
      <c r="C437">
        <f>'Development Budget'!B114</f>
        <v>0</v>
      </c>
      <c r="D437" t="s">
        <v>1953</v>
      </c>
    </row>
    <row r="438" spans="1:5">
      <c r="A438" t="str">
        <f>'Development Budget'!A117</f>
        <v>Rent-up Reserves</v>
      </c>
      <c r="B438" t="s">
        <v>1954</v>
      </c>
      <c r="C438">
        <f>'Development Budget'!B117</f>
        <v>0</v>
      </c>
      <c r="D438" s="14" t="s">
        <v>1955</v>
      </c>
    </row>
    <row r="439" spans="1:5">
      <c r="A439" t="str">
        <f>'Development Budget'!A118</f>
        <v>Operating Reserves</v>
      </c>
      <c r="B439" t="s">
        <v>1956</v>
      </c>
      <c r="C439">
        <f>'Development Budget'!B118</f>
        <v>0</v>
      </c>
      <c r="D439" s="14" t="s">
        <v>1957</v>
      </c>
    </row>
    <row r="440" spans="1:5">
      <c r="A440" t="str">
        <f>'Development Budget'!A119</f>
        <v>Replacement Reserves</v>
      </c>
      <c r="B440" t="s">
        <v>1958</v>
      </c>
      <c r="C440">
        <f>'Development Budget'!$B$119</f>
        <v>0</v>
      </c>
      <c r="D440" s="14" t="s">
        <v>1959</v>
      </c>
      <c r="E440" t="s">
        <v>1960</v>
      </c>
    </row>
    <row r="441" spans="1:5">
      <c r="A441" t="str">
        <f>'Development Budget'!A120</f>
        <v>Debt Service Reserves</v>
      </c>
      <c r="B441" t="s">
        <v>1961</v>
      </c>
      <c r="C441">
        <f>'Development Budget'!B120</f>
        <v>0</v>
      </c>
      <c r="D441" s="14" t="s">
        <v>1962</v>
      </c>
    </row>
    <row r="442" spans="1:5">
      <c r="A442" t="str">
        <f>'Development Budget'!A121</f>
        <v>Other (Specify)</v>
      </c>
      <c r="B442" t="s">
        <v>1963</v>
      </c>
      <c r="C442">
        <f>'Development Budget'!B121</f>
        <v>0</v>
      </c>
      <c r="D442" t="s">
        <v>1964</v>
      </c>
    </row>
    <row r="443" spans="1:5">
      <c r="A443" t="str">
        <f>'Development Budget'!A122</f>
        <v>Other (Specify)</v>
      </c>
      <c r="B443" t="s">
        <v>1965</v>
      </c>
      <c r="C443">
        <f>'Development Budget'!B122</f>
        <v>0</v>
      </c>
      <c r="D443" t="s">
        <v>1966</v>
      </c>
    </row>
    <row r="444" spans="1:5">
      <c r="A444" t="s">
        <v>1967</v>
      </c>
      <c r="B444" t="s">
        <v>1968</v>
      </c>
      <c r="C444">
        <f>Calculations!B292</f>
        <v>0</v>
      </c>
      <c r="D444" t="s">
        <v>1969</v>
      </c>
    </row>
    <row r="445" spans="1:5">
      <c r="A445" t="s">
        <v>1970</v>
      </c>
      <c r="B445" t="s">
        <v>1971</v>
      </c>
      <c r="C445">
        <f>Calculations!C292</f>
        <v>0</v>
      </c>
      <c r="D445" t="s">
        <v>1972</v>
      </c>
    </row>
    <row r="446" spans="1:5">
      <c r="A446" t="s">
        <v>1973</v>
      </c>
      <c r="B446" t="s">
        <v>1974</v>
      </c>
      <c r="C446">
        <f>Calculations!D292</f>
        <v>0</v>
      </c>
      <c r="D446" t="s">
        <v>1975</v>
      </c>
    </row>
    <row r="447" spans="1:5">
      <c r="A447" t="s">
        <v>1976</v>
      </c>
      <c r="B447" t="s">
        <v>1977</v>
      </c>
      <c r="C447">
        <f>Calculations!B875</f>
        <v>0</v>
      </c>
      <c r="D447" t="s">
        <v>1978</v>
      </c>
    </row>
    <row r="448" spans="1:5">
      <c r="A448" t="s">
        <v>1979</v>
      </c>
      <c r="B448" t="s">
        <v>1980</v>
      </c>
      <c r="C448">
        <f>Calculations!B874</f>
        <v>0</v>
      </c>
      <c r="D448" t="s">
        <v>1981</v>
      </c>
    </row>
    <row r="449" spans="1:4">
      <c r="A449" t="s">
        <v>1982</v>
      </c>
      <c r="B449" t="s">
        <v>1983</v>
      </c>
      <c r="C449" s="137">
        <f>Calculations!B876</f>
        <v>0</v>
      </c>
    </row>
    <row r="450" spans="1:4">
      <c r="A450" t="s">
        <v>1984</v>
      </c>
      <c r="B450" t="s">
        <v>1985</v>
      </c>
      <c r="C450">
        <f>Calculations!G879</f>
        <v>0</v>
      </c>
      <c r="D450" t="s">
        <v>1986</v>
      </c>
    </row>
    <row r="451" spans="1:4">
      <c r="A451" t="s">
        <v>1987</v>
      </c>
      <c r="B451" t="s">
        <v>1988</v>
      </c>
      <c r="C451">
        <f>Calculations!E879</f>
        <v>0</v>
      </c>
      <c r="D451" t="s">
        <v>1989</v>
      </c>
    </row>
    <row r="452" spans="1:4">
      <c r="A452" t="s">
        <v>1990</v>
      </c>
      <c r="B452" t="s">
        <v>1991</v>
      </c>
      <c r="C452">
        <f>Calculations!G880</f>
        <v>0</v>
      </c>
    </row>
    <row r="453" spans="1:4">
      <c r="A453" t="s">
        <v>1992</v>
      </c>
      <c r="B453" t="s">
        <v>1993</v>
      </c>
      <c r="C453">
        <f>Calculations!E880</f>
        <v>0</v>
      </c>
    </row>
    <row r="454" spans="1:4">
      <c r="A454" t="s">
        <v>1994</v>
      </c>
      <c r="B454" t="s">
        <v>1995</v>
      </c>
      <c r="C454">
        <f>Calculations!G878</f>
        <v>0</v>
      </c>
      <c r="D454" t="s">
        <v>1996</v>
      </c>
    </row>
    <row r="455" spans="1:4">
      <c r="A455" t="s">
        <v>1997</v>
      </c>
      <c r="B455" t="s">
        <v>1998</v>
      </c>
      <c r="C455">
        <f>Calculations!E878</f>
        <v>0</v>
      </c>
      <c r="D455" t="s">
        <v>1999</v>
      </c>
    </row>
    <row r="456" spans="1:4">
      <c r="A456" t="s">
        <v>2000</v>
      </c>
      <c r="B456" t="s">
        <v>2001</v>
      </c>
      <c r="C456">
        <f>Calculations!G882</f>
        <v>0</v>
      </c>
      <c r="D456" t="s">
        <v>2002</v>
      </c>
    </row>
    <row r="457" spans="1:4">
      <c r="A457" t="s">
        <v>2003</v>
      </c>
      <c r="B457" t="s">
        <v>2004</v>
      </c>
      <c r="C457">
        <f>Calculations!E882</f>
        <v>0</v>
      </c>
      <c r="D457" t="s">
        <v>2005</v>
      </c>
    </row>
    <row r="458" spans="1:4">
      <c r="A458" t="s">
        <v>2006</v>
      </c>
      <c r="B458" t="s">
        <v>2007</v>
      </c>
      <c r="C458">
        <f>Calculations!$G$881</f>
        <v>0</v>
      </c>
      <c r="D458" t="s">
        <v>2008</v>
      </c>
    </row>
    <row r="459" spans="1:4">
      <c r="A459" t="s">
        <v>2009</v>
      </c>
      <c r="B459" t="s">
        <v>2010</v>
      </c>
      <c r="C459">
        <f>Calculations!$E$881</f>
        <v>0</v>
      </c>
      <c r="D459" t="s">
        <v>2011</v>
      </c>
    </row>
    <row r="462" spans="1:4">
      <c r="A462" t="s">
        <v>2012</v>
      </c>
      <c r="B462" t="s">
        <v>2013</v>
      </c>
      <c r="C462">
        <f>Calculations!H292</f>
        <v>0</v>
      </c>
      <c r="D462" t="s">
        <v>2014</v>
      </c>
    </row>
    <row r="463" spans="1:4">
      <c r="B463" t="s">
        <v>2015</v>
      </c>
      <c r="C463">
        <f>Calculations!K289</f>
        <v>0</v>
      </c>
      <c r="D463" t="s">
        <v>2016</v>
      </c>
    </row>
    <row r="465" spans="2:3">
      <c r="B465" s="399" t="s">
        <v>2017</v>
      </c>
      <c r="C465" s="14" t="s">
        <v>863</v>
      </c>
    </row>
    <row r="466" spans="2:3">
      <c r="B466" s="70">
        <v>0.2</v>
      </c>
      <c r="C466" s="70">
        <v>0.2</v>
      </c>
    </row>
    <row r="467" spans="2:3">
      <c r="B467" t="s">
        <v>2018</v>
      </c>
      <c r="C467">
        <f>Calculations!H34</f>
        <v>0</v>
      </c>
    </row>
    <row r="468" spans="2:3">
      <c r="B468" s="399" t="s">
        <v>2019</v>
      </c>
      <c r="C468" s="14" t="s">
        <v>863</v>
      </c>
    </row>
    <row r="469" spans="2:3">
      <c r="B469" s="70">
        <v>0.3</v>
      </c>
      <c r="C469" s="70">
        <v>0.3</v>
      </c>
    </row>
    <row r="470" spans="2:3">
      <c r="B470" t="s">
        <v>2020</v>
      </c>
      <c r="C470">
        <f>Calculations!H35</f>
        <v>0</v>
      </c>
    </row>
    <row r="471" spans="2:3">
      <c r="B471" s="399" t="s">
        <v>2021</v>
      </c>
      <c r="C471" s="14" t="s">
        <v>863</v>
      </c>
    </row>
    <row r="472" spans="2:3">
      <c r="B472" s="70">
        <v>0.4</v>
      </c>
      <c r="C472" s="70">
        <v>0.4</v>
      </c>
    </row>
    <row r="473" spans="2:3">
      <c r="B473" t="s">
        <v>2022</v>
      </c>
      <c r="C473">
        <f>Calculations!H36</f>
        <v>0</v>
      </c>
    </row>
    <row r="474" spans="2:3">
      <c r="B474" s="399" t="s">
        <v>2023</v>
      </c>
      <c r="C474" s="14" t="s">
        <v>863</v>
      </c>
    </row>
    <row r="475" spans="2:3">
      <c r="B475" s="70">
        <v>0.5</v>
      </c>
      <c r="C475" s="70">
        <v>0.5</v>
      </c>
    </row>
    <row r="476" spans="2:3">
      <c r="B476" t="s">
        <v>2024</v>
      </c>
      <c r="C476">
        <f>Calculations!H37</f>
        <v>0</v>
      </c>
    </row>
    <row r="477" spans="2:3">
      <c r="B477" s="399" t="s">
        <v>2025</v>
      </c>
      <c r="C477" s="14" t="s">
        <v>863</v>
      </c>
    </row>
    <row r="478" spans="2:3">
      <c r="B478" s="70">
        <v>0.6</v>
      </c>
      <c r="C478" s="70">
        <v>0.6</v>
      </c>
    </row>
    <row r="479" spans="2:3">
      <c r="B479" t="s">
        <v>2026</v>
      </c>
      <c r="C479">
        <f>Calculations!H38</f>
        <v>0</v>
      </c>
    </row>
    <row r="480" spans="2:3">
      <c r="B480" s="399" t="s">
        <v>2027</v>
      </c>
      <c r="C480" s="14" t="s">
        <v>863</v>
      </c>
    </row>
    <row r="481" spans="1:4">
      <c r="B481" s="70">
        <v>0.7</v>
      </c>
      <c r="C481" s="70">
        <v>0.7</v>
      </c>
    </row>
    <row r="482" spans="1:4">
      <c r="B482" t="s">
        <v>2028</v>
      </c>
      <c r="C482">
        <f>Calculations!H39</f>
        <v>0</v>
      </c>
    </row>
    <row r="483" spans="1:4">
      <c r="B483" s="399" t="s">
        <v>2029</v>
      </c>
      <c r="C483" s="14" t="s">
        <v>863</v>
      </c>
    </row>
    <row r="484" spans="1:4">
      <c r="B484" s="70">
        <v>0.8</v>
      </c>
      <c r="C484" s="70">
        <v>0.8</v>
      </c>
    </row>
    <row r="485" spans="1:4">
      <c r="B485" t="s">
        <v>2030</v>
      </c>
      <c r="C485">
        <f>Calculations!H40</f>
        <v>0</v>
      </c>
    </row>
    <row r="486" spans="1:4">
      <c r="B486" s="399" t="s">
        <v>2031</v>
      </c>
      <c r="C486" s="14" t="s">
        <v>863</v>
      </c>
    </row>
    <row r="487" spans="1:4">
      <c r="B487" s="70">
        <v>1</v>
      </c>
      <c r="C487" s="70">
        <v>1</v>
      </c>
    </row>
    <row r="488" spans="1:4">
      <c r="B488" t="s">
        <v>2032</v>
      </c>
      <c r="C488">
        <f>Calculations!H44</f>
        <v>0</v>
      </c>
    </row>
    <row r="489" spans="1:4" ht="14.45" customHeight="1">
      <c r="A489" t="s">
        <v>2033</v>
      </c>
      <c r="C489">
        <f>Calculations!H46</f>
        <v>0</v>
      </c>
    </row>
    <row r="490" spans="1:4" ht="14.45" customHeight="1">
      <c r="A490" t="s">
        <v>2034</v>
      </c>
      <c r="B490" t="s">
        <v>2035</v>
      </c>
      <c r="C490">
        <f>Calculations!H43</f>
        <v>0</v>
      </c>
      <c r="D490" t="s">
        <v>2036</v>
      </c>
    </row>
    <row r="491" spans="1:4">
      <c r="A491" t="s">
        <v>2037</v>
      </c>
      <c r="B491" t="s">
        <v>2038</v>
      </c>
      <c r="C491">
        <f>Calculations!M56</f>
        <v>0</v>
      </c>
      <c r="D491" t="s">
        <v>2039</v>
      </c>
    </row>
    <row r="492" spans="1:4">
      <c r="B492" t="s">
        <v>2040</v>
      </c>
      <c r="C492">
        <f>Calculations!H45</f>
        <v>0</v>
      </c>
      <c r="D492" t="s">
        <v>2041</v>
      </c>
    </row>
    <row r="493" spans="1:4">
      <c r="B493" t="s">
        <v>2042</v>
      </c>
      <c r="C493" s="12">
        <f>'Unit Mix &amp; Rents'!B7</f>
        <v>0</v>
      </c>
      <c r="D493" t="s">
        <v>2043</v>
      </c>
    </row>
    <row r="494" spans="1:4">
      <c r="B494" t="s">
        <v>2044</v>
      </c>
      <c r="C494" s="12">
        <f>'Unit Mix &amp; Rents'!B8</f>
        <v>0</v>
      </c>
      <c r="D494" t="s">
        <v>2045</v>
      </c>
    </row>
    <row r="495" spans="1:4">
      <c r="B495" t="s">
        <v>2046</v>
      </c>
      <c r="C495" s="12">
        <f>'Unit Mix &amp; Rents'!B9</f>
        <v>0</v>
      </c>
      <c r="D495" t="s">
        <v>2047</v>
      </c>
    </row>
    <row r="496" spans="1:4">
      <c r="B496" t="s">
        <v>2048</v>
      </c>
      <c r="C496" s="12">
        <f>'Unit Mix &amp; Rents'!B10</f>
        <v>0</v>
      </c>
      <c r="D496" t="s">
        <v>2049</v>
      </c>
    </row>
    <row r="497" spans="1:4">
      <c r="B497" t="s">
        <v>2050</v>
      </c>
      <c r="C497" s="12">
        <f>'Unit Mix &amp; Rents'!B11</f>
        <v>0</v>
      </c>
      <c r="D497" t="s">
        <v>2051</v>
      </c>
    </row>
    <row r="498" spans="1:4">
      <c r="A498" t="s">
        <v>2052</v>
      </c>
      <c r="B498" s="438" t="s">
        <v>2053</v>
      </c>
      <c r="C498" s="440">
        <f>'Unit Mix &amp; Rents'!B12</f>
        <v>0</v>
      </c>
    </row>
    <row r="499" spans="1:4">
      <c r="A499" t="s">
        <v>2054</v>
      </c>
      <c r="B499" t="s">
        <v>2055</v>
      </c>
      <c r="C499" t="b">
        <f>'Unit Mix &amp; Rents'!B4 = "Yes"</f>
        <v>0</v>
      </c>
      <c r="D499" t="s">
        <v>2056</v>
      </c>
    </row>
    <row r="500" spans="1:4">
      <c r="A500" t="s">
        <v>2057</v>
      </c>
      <c r="B500" t="s">
        <v>2058</v>
      </c>
      <c r="C500">
        <f>Calculations!H60</f>
        <v>0</v>
      </c>
      <c r="D500" t="s">
        <v>2059</v>
      </c>
    </row>
    <row r="501" spans="1:4">
      <c r="A501" t="s">
        <v>2060</v>
      </c>
      <c r="B501" t="s">
        <v>2061</v>
      </c>
      <c r="C501">
        <f>Calculations!H58</f>
        <v>0</v>
      </c>
      <c r="D501" t="s">
        <v>2062</v>
      </c>
    </row>
    <row r="502" spans="1:4">
      <c r="A502" t="s">
        <v>2063</v>
      </c>
      <c r="B502" t="s">
        <v>2064</v>
      </c>
      <c r="C502" s="265">
        <f>Application!B64</f>
        <v>0</v>
      </c>
      <c r="D502" t="s">
        <v>2065</v>
      </c>
    </row>
    <row r="503" spans="1:4">
      <c r="B503" t="s">
        <v>2066</v>
      </c>
      <c r="C503">
        <f>Calculations!H41</f>
        <v>0</v>
      </c>
      <c r="D503" t="s">
        <v>2067</v>
      </c>
    </row>
    <row r="504" spans="1:4">
      <c r="B504" t="s">
        <v>2068</v>
      </c>
      <c r="C504" s="265">
        <f>Application!B65</f>
        <v>0</v>
      </c>
      <c r="D504" t="s">
        <v>2069</v>
      </c>
    </row>
    <row r="505" spans="1:4">
      <c r="B505" t="s">
        <v>2070</v>
      </c>
      <c r="C505">
        <f>Calculations!H56</f>
        <v>0</v>
      </c>
      <c r="D505" t="s">
        <v>2071</v>
      </c>
    </row>
    <row r="506" spans="1:4">
      <c r="B506" t="s">
        <v>2072</v>
      </c>
      <c r="C506">
        <f>Calculations!H59</f>
        <v>0</v>
      </c>
      <c r="D506" t="s">
        <v>2073</v>
      </c>
    </row>
    <row r="507" spans="1:4">
      <c r="A507" t="s">
        <v>2074</v>
      </c>
      <c r="B507" t="s">
        <v>2075</v>
      </c>
      <c r="C507" s="137">
        <f>Calculations!L73</f>
        <v>0</v>
      </c>
      <c r="D507" t="s">
        <v>2076</v>
      </c>
    </row>
    <row r="508" spans="1:4">
      <c r="B508" t="s">
        <v>2077</v>
      </c>
      <c r="C508">
        <f>Calculations!H46</f>
        <v>0</v>
      </c>
    </row>
    <row r="510" spans="1:4">
      <c r="B510" t="s">
        <v>2078</v>
      </c>
      <c r="C510" s="14" t="str">
        <f>IF(ISNA(MATCH(Scoring!$B$11, Extended_Low_Income_Use_Table[Extended Low-Income Use], 0)), "", INDEX(Extended_Low_Income_Use_Table[Years], MATCH(Scoring!$B$11, Extended_Low_Income_Use_Table[Extended Low-Income Use], 0)))</f>
        <v/>
      </c>
      <c r="D510" t="s">
        <v>2079</v>
      </c>
    </row>
    <row r="511" spans="1:4">
      <c r="B511" t="s">
        <v>2080</v>
      </c>
      <c r="C511" s="92">
        <f>Calculations!B323</f>
        <v>15</v>
      </c>
      <c r="D511" t="s">
        <v>2081</v>
      </c>
    </row>
    <row r="512" spans="1:4">
      <c r="A512" t="s">
        <v>2082</v>
      </c>
      <c r="B512" t="s">
        <v>2083</v>
      </c>
      <c r="C512" s="438" t="e">
        <f>IF(Scoring!$B$5="Average Income", FALSE, INDEX(Scoring_Threshold_Table[Score 60%], MATCH(Scoring!$B$5, Scoring_Threshold_Table[Scoring Threshold], 0), 1))</f>
        <v>#N/A</v>
      </c>
      <c r="D512" t="s">
        <v>2084</v>
      </c>
    </row>
    <row r="513" spans="1:4">
      <c r="A513" t="s">
        <v>2085</v>
      </c>
      <c r="B513" t="s">
        <v>2086</v>
      </c>
      <c r="C513" s="438" t="e">
        <f>IF(Scoring!$B$5="Average Income", FALSE, NOT(INDEX(Scoring_Threshold_Table[Score 60%], MATCH(Scoring!$B$5, Scoring_Threshold_Table[Scoring Threshold], 0), 1)))</f>
        <v>#N/A</v>
      </c>
      <c r="D513" t="s">
        <v>2087</v>
      </c>
    </row>
    <row r="514" spans="1:4">
      <c r="A514" t="s">
        <v>2088</v>
      </c>
      <c r="B514" t="s">
        <v>2089</v>
      </c>
      <c r="C514" s="438" t="b">
        <f>Scoring!$B$5="Average Income"</f>
        <v>0</v>
      </c>
      <c r="D514" s="402"/>
    </row>
    <row r="515" spans="1:4">
      <c r="A515" t="s">
        <v>2090</v>
      </c>
      <c r="B515" t="s">
        <v>2091</v>
      </c>
      <c r="C515" s="441">
        <f>Calculations!L41</f>
        <v>0</v>
      </c>
      <c r="D515" s="402"/>
    </row>
    <row r="516" spans="1:4">
      <c r="A516" s="70" t="s">
        <v>2092</v>
      </c>
      <c r="B516" t="s">
        <v>2093</v>
      </c>
      <c r="C516" t="e">
        <f>IF($C$512, Calculations!B300, 0)</f>
        <v>#N/A</v>
      </c>
      <c r="D516" t="s">
        <v>2094</v>
      </c>
    </row>
    <row r="517" spans="1:4">
      <c r="A517" s="70" t="s">
        <v>2095</v>
      </c>
      <c r="B517" t="s">
        <v>2096</v>
      </c>
      <c r="C517" t="e">
        <f>IF($C$512, Calculations!B301, 0)</f>
        <v>#N/A</v>
      </c>
      <c r="D517" t="s">
        <v>2097</v>
      </c>
    </row>
    <row r="518" spans="1:4">
      <c r="A518" s="70" t="s">
        <v>2098</v>
      </c>
      <c r="B518" t="s">
        <v>2099</v>
      </c>
      <c r="C518" t="e">
        <f>IF($C$512, Calculations!B302, 0)</f>
        <v>#N/A</v>
      </c>
      <c r="D518" t="s">
        <v>2100</v>
      </c>
    </row>
    <row r="519" spans="1:4">
      <c r="A519" s="70" t="s">
        <v>2101</v>
      </c>
      <c r="B519" t="s">
        <v>2102</v>
      </c>
      <c r="C519" t="e">
        <f>IF($C$513, Calculations!B301, 0)</f>
        <v>#N/A</v>
      </c>
      <c r="D519" t="s">
        <v>2103</v>
      </c>
    </row>
    <row r="520" spans="1:4">
      <c r="A520" s="70" t="s">
        <v>2104</v>
      </c>
      <c r="B520" t="s">
        <v>2105</v>
      </c>
      <c r="C520" t="e">
        <f>IF($C$513, Calculations!B302, 0)</f>
        <v>#N/A</v>
      </c>
      <c r="D520" t="s">
        <v>2106</v>
      </c>
    </row>
    <row r="521" spans="1:4">
      <c r="A521" t="s">
        <v>2107</v>
      </c>
      <c r="B521" t="s">
        <v>2108</v>
      </c>
      <c r="C521" t="e">
        <f>IF(Calculations!$D$304 = 2, Calculations!$B$304, 0)</f>
        <v>#N/A</v>
      </c>
      <c r="D521" t="s">
        <v>2109</v>
      </c>
    </row>
    <row r="522" spans="1:4">
      <c r="A522" t="s">
        <v>2110</v>
      </c>
      <c r="B522" t="s">
        <v>2111</v>
      </c>
      <c r="C522" t="e">
        <f>IF(Calculations!$D$304 = 3, Calculations!$B$304, 0)</f>
        <v>#N/A</v>
      </c>
      <c r="D522" t="s">
        <v>2112</v>
      </c>
    </row>
    <row r="523" spans="1:4">
      <c r="A523" t="s">
        <v>2113</v>
      </c>
      <c r="B523" t="s">
        <v>2114</v>
      </c>
      <c r="C523" t="e">
        <f>IF(Calculations!$D$304 = 4, Calculations!$B$304, 0)</f>
        <v>#N/A</v>
      </c>
      <c r="D523" t="s">
        <v>2115</v>
      </c>
    </row>
    <row r="524" spans="1:4">
      <c r="A524" t="s">
        <v>2116</v>
      </c>
      <c r="B524" t="s">
        <v>2117</v>
      </c>
      <c r="C524" t="e">
        <f>IF(Calculations!$D$305=3, Calculations!$B$305, 0)</f>
        <v>#N/A</v>
      </c>
      <c r="D524" t="s">
        <v>2118</v>
      </c>
    </row>
    <row r="525" spans="1:4">
      <c r="A525" t="s">
        <v>2119</v>
      </c>
      <c r="B525" t="s">
        <v>2120</v>
      </c>
      <c r="C525" t="e">
        <f>IF(Calculations!$D$305=5, Calculations!$B$305, 0)</f>
        <v>#N/A</v>
      </c>
      <c r="D525" t="s">
        <v>2121</v>
      </c>
    </row>
    <row r="526" spans="1:4">
      <c r="A526" t="s">
        <v>2122</v>
      </c>
      <c r="B526" t="s">
        <v>2123</v>
      </c>
      <c r="C526">
        <f>Calculations!B307</f>
        <v>0</v>
      </c>
      <c r="D526" t="s">
        <v>2124</v>
      </c>
    </row>
    <row r="527" spans="1:4">
      <c r="A527" t="s">
        <v>2125</v>
      </c>
      <c r="B527" t="s">
        <v>2126</v>
      </c>
      <c r="C527">
        <f>Calculations!B310</f>
        <v>0</v>
      </c>
      <c r="D527" t="s">
        <v>2127</v>
      </c>
    </row>
    <row r="528" spans="1:4">
      <c r="A528" t="s">
        <v>2128</v>
      </c>
      <c r="B528" t="s">
        <v>2129</v>
      </c>
      <c r="C528">
        <f>IF(Calculations!$D$321 = 2, Calculations!$B$321, 0)</f>
        <v>0</v>
      </c>
      <c r="D528" t="s">
        <v>2130</v>
      </c>
    </row>
    <row r="529" spans="1:4">
      <c r="A529" t="s">
        <v>2131</v>
      </c>
      <c r="B529" t="s">
        <v>2132</v>
      </c>
      <c r="C529">
        <f>IF(Calculations!$D$321 = 3, Calculations!$B$321, 0)</f>
        <v>0</v>
      </c>
      <c r="D529" t="s">
        <v>2133</v>
      </c>
    </row>
    <row r="530" spans="1:4">
      <c r="A530" t="s">
        <v>2134</v>
      </c>
      <c r="B530" t="s">
        <v>2135</v>
      </c>
      <c r="C530">
        <f>Calculations!B306</f>
        <v>0</v>
      </c>
      <c r="D530" t="s">
        <v>2136</v>
      </c>
    </row>
    <row r="531" spans="1:4" s="320" customFormat="1">
      <c r="A531" s="320" t="s">
        <v>2137</v>
      </c>
      <c r="B531" s="320" t="s">
        <v>2138</v>
      </c>
      <c r="C531" s="320">
        <f>Calculations!B311</f>
        <v>0</v>
      </c>
      <c r="D531" s="320" t="s">
        <v>2139</v>
      </c>
    </row>
    <row r="532" spans="1:4" s="320" customFormat="1">
      <c r="A532" s="320" t="s">
        <v>2140</v>
      </c>
      <c r="B532" s="320" t="s">
        <v>2141</v>
      </c>
      <c r="C532" s="320">
        <f>Calculations!B312</f>
        <v>0</v>
      </c>
      <c r="D532" s="320" t="s">
        <v>2142</v>
      </c>
    </row>
    <row r="533" spans="1:4">
      <c r="A533" t="s">
        <v>2143</v>
      </c>
      <c r="B533" t="s">
        <v>2144</v>
      </c>
      <c r="C533">
        <f>Calculations!B313</f>
        <v>0</v>
      </c>
      <c r="D533" t="s">
        <v>2145</v>
      </c>
    </row>
    <row r="534" spans="1:4">
      <c r="A534" t="s">
        <v>2146</v>
      </c>
      <c r="B534" t="s">
        <v>2147</v>
      </c>
      <c r="C534">
        <f>Calculations!B314</f>
        <v>0</v>
      </c>
      <c r="D534" t="s">
        <v>2148</v>
      </c>
    </row>
    <row r="535" spans="1:4">
      <c r="A535" t="s">
        <v>2149</v>
      </c>
      <c r="B535" t="s">
        <v>2150</v>
      </c>
      <c r="C535">
        <f>Calculations!B315</f>
        <v>0</v>
      </c>
      <c r="D535" t="s">
        <v>2151</v>
      </c>
    </row>
    <row r="536" spans="1:4">
      <c r="A536" t="s">
        <v>2152</v>
      </c>
      <c r="B536" t="s">
        <v>2153</v>
      </c>
      <c r="C536">
        <f>Calculations!B316</f>
        <v>0</v>
      </c>
      <c r="D536" t="s">
        <v>2154</v>
      </c>
    </row>
    <row r="537" spans="1:4">
      <c r="A537" t="s">
        <v>2155</v>
      </c>
      <c r="B537" t="s">
        <v>2156</v>
      </c>
      <c r="C537">
        <f>Calculations!B317</f>
        <v>0</v>
      </c>
      <c r="D537" t="s">
        <v>2157</v>
      </c>
    </row>
    <row r="538" spans="1:4">
      <c r="A538" t="s">
        <v>2769</v>
      </c>
      <c r="B538" t="s">
        <v>4219</v>
      </c>
      <c r="C538">
        <f>Calculations!B318</f>
        <v>0</v>
      </c>
    </row>
    <row r="539" spans="1:4">
      <c r="A539" t="s">
        <v>4200</v>
      </c>
      <c r="B539" t="s">
        <v>4220</v>
      </c>
      <c r="C539">
        <f>Calculations!B319</f>
        <v>0</v>
      </c>
    </row>
    <row r="540" spans="1:4">
      <c r="A540" t="s">
        <v>528</v>
      </c>
      <c r="B540" t="s">
        <v>2158</v>
      </c>
      <c r="C540">
        <f>Calculations!B320</f>
        <v>0</v>
      </c>
      <c r="D540" t="s">
        <v>2159</v>
      </c>
    </row>
    <row r="541" spans="1:4">
      <c r="A541" t="s">
        <v>859</v>
      </c>
      <c r="B541" t="s">
        <v>2160</v>
      </c>
      <c r="C541">
        <f>Calculations!B322</f>
        <v>0</v>
      </c>
      <c r="D541" t="s">
        <v>2161</v>
      </c>
    </row>
    <row r="542" spans="1:4">
      <c r="A542" s="18"/>
      <c r="B542" t="s">
        <v>2162</v>
      </c>
      <c r="C542" t="str">
        <f ca="1">CONCATENATE('Contact Summary'!B4)</f>
        <v/>
      </c>
      <c r="D542" t="str">
        <f ca="1">C542</f>
        <v/>
      </c>
    </row>
    <row r="543" spans="1:4">
      <c r="B543" t="s">
        <v>2163</v>
      </c>
      <c r="C543" t="str">
        <f ca="1">CONCATENATE('Contact Summary'!G4)</f>
        <v/>
      </c>
      <c r="D543" t="s">
        <v>2164</v>
      </c>
    </row>
    <row r="544" spans="1:4">
      <c r="B544" t="s">
        <v>2165</v>
      </c>
      <c r="C544" t="str">
        <f ca="1">CONCATENATE('Contact Summary'!H4)</f>
        <v/>
      </c>
      <c r="D544" t="s">
        <v>2164</v>
      </c>
    </row>
    <row r="545" spans="2:4">
      <c r="B545" t="s">
        <v>2166</v>
      </c>
      <c r="C545" t="str">
        <f ca="1">CONCATENATE('Contact Summary'!C4)</f>
        <v/>
      </c>
    </row>
    <row r="546" spans="2:4">
      <c r="B546" t="s">
        <v>2167</v>
      </c>
      <c r="C546" t="str">
        <f ca="1">CONCATENATE('Contact Summary'!D4)</f>
        <v/>
      </c>
    </row>
    <row r="547" spans="2:4">
      <c r="B547" t="s">
        <v>2168</v>
      </c>
      <c r="C547" t="str">
        <f ca="1">CONCATENATE('Contact Summary'!I4)</f>
        <v/>
      </c>
      <c r="D547" t="s">
        <v>2164</v>
      </c>
    </row>
    <row r="548" spans="2:4">
      <c r="B548" t="s">
        <v>2169</v>
      </c>
      <c r="C548" t="str">
        <f ca="1">CONCATENATE('Contact Summary'!J4)</f>
        <v/>
      </c>
      <c r="D548" t="s">
        <v>2164</v>
      </c>
    </row>
    <row r="549" spans="2:4">
      <c r="B549" t="s">
        <v>2170</v>
      </c>
      <c r="C549" t="str">
        <f ca="1">CONCATENATE('Contact Summary'!E4)</f>
        <v/>
      </c>
    </row>
    <row r="550" spans="2:4">
      <c r="B550" t="s">
        <v>2171</v>
      </c>
      <c r="C550" t="str">
        <f ca="1">CONCATENATE('Contact Summary'!F4)</f>
        <v/>
      </c>
    </row>
    <row r="551" spans="2:4">
      <c r="B551" t="s">
        <v>2172</v>
      </c>
      <c r="C551">
        <f>'Contact Information'!B20</f>
        <v>0</v>
      </c>
    </row>
    <row r="552" spans="2:4">
      <c r="B552" t="s">
        <v>2173</v>
      </c>
      <c r="C552">
        <f>'Contact Information'!B21</f>
        <v>0</v>
      </c>
    </row>
    <row r="553" spans="2:4">
      <c r="B553" t="s">
        <v>2174</v>
      </c>
      <c r="C553" s="320" t="str">
        <f ca="1">CONCATENATE('Contact Summary'!B8)</f>
        <v/>
      </c>
      <c r="D553" t="s">
        <v>2175</v>
      </c>
    </row>
    <row r="554" spans="2:4">
      <c r="B554" t="s">
        <v>2176</v>
      </c>
      <c r="C554" s="320" t="str">
        <f ca="1">CONCATENATE('Contact Summary'!G8)</f>
        <v/>
      </c>
      <c r="D554" t="s">
        <v>2177</v>
      </c>
    </row>
    <row r="555" spans="2:4">
      <c r="B555" t="s">
        <v>2178</v>
      </c>
      <c r="C555" s="320" t="str">
        <f ca="1">CONCATENATE('Contact Summary'!H8)</f>
        <v/>
      </c>
      <c r="D555" t="s">
        <v>2179</v>
      </c>
    </row>
    <row r="556" spans="2:4">
      <c r="B556" t="s">
        <v>2180</v>
      </c>
      <c r="C556" s="320" t="str">
        <f ca="1">CONCATENATE('Contact Summary'!C8)</f>
        <v/>
      </c>
      <c r="D556" t="s">
        <v>2181</v>
      </c>
    </row>
    <row r="557" spans="2:4">
      <c r="B557" t="s">
        <v>2182</v>
      </c>
      <c r="C557" s="320" t="str">
        <f ca="1">CONCATENATE('Contact Summary'!D8)</f>
        <v/>
      </c>
      <c r="D557" t="s">
        <v>2183</v>
      </c>
    </row>
    <row r="558" spans="2:4">
      <c r="B558" t="s">
        <v>2184</v>
      </c>
      <c r="C558" s="366" t="str">
        <f ca="1">CONCATENATE('Contact Summary'!E8)</f>
        <v/>
      </c>
      <c r="D558" t="s">
        <v>2185</v>
      </c>
    </row>
    <row r="559" spans="2:4">
      <c r="B559" t="s">
        <v>2186</v>
      </c>
      <c r="C559" s="320" t="str">
        <f ca="1">CONCATENATE('Contact Summary'!F8)</f>
        <v/>
      </c>
      <c r="D559" t="s">
        <v>2187</v>
      </c>
    </row>
    <row r="560" spans="2:4">
      <c r="B560" t="s">
        <v>2188</v>
      </c>
      <c r="C560" s="320" t="str">
        <f>IF('Contact Information'!B98= "","", 'Contact Information'!B98)</f>
        <v/>
      </c>
      <c r="D560" t="s">
        <v>2189</v>
      </c>
    </row>
    <row r="561" spans="2:4">
      <c r="B561" t="s">
        <v>2190</v>
      </c>
      <c r="C561" s="320" t="str">
        <f ca="1">CONCATENATE('Contact Summary'!I8)</f>
        <v/>
      </c>
      <c r="D561" t="s">
        <v>2191</v>
      </c>
    </row>
    <row r="562" spans="2:4">
      <c r="B562" t="s">
        <v>2192</v>
      </c>
      <c r="C562" s="320" t="str">
        <f ca="1">CONCATENATE('Contact Summary'!J8)</f>
        <v/>
      </c>
      <c r="D562" t="s">
        <v>2193</v>
      </c>
    </row>
    <row r="563" spans="2:4">
      <c r="B563" t="s">
        <v>2194</v>
      </c>
      <c r="C563" s="320" t="str">
        <f ca="1">CONCATENATE('Contact Summary'!I8)</f>
        <v/>
      </c>
    </row>
    <row r="564" spans="2:4" ht="30">
      <c r="B564" s="9" t="s">
        <v>153</v>
      </c>
      <c r="C564">
        <f>'Contact Information'!B96</f>
        <v>0</v>
      </c>
    </row>
    <row r="565" spans="2:4">
      <c r="B565" t="s">
        <v>2195</v>
      </c>
      <c r="C565" t="e">
        <f>'Contact Information'!#REF!</f>
        <v>#REF!</v>
      </c>
    </row>
    <row r="566" spans="2:4">
      <c r="B566" t="s">
        <v>2196</v>
      </c>
      <c r="C566" t="e">
        <f>'Contact Information'!#REF!</f>
        <v>#REF!</v>
      </c>
    </row>
    <row r="567" spans="2:4" ht="12.6" customHeight="1">
      <c r="B567" t="s">
        <v>2197</v>
      </c>
      <c r="C567" s="320" t="b">
        <f>'Contact Information'!B114= "Yes"</f>
        <v>0</v>
      </c>
      <c r="D567" t="s">
        <v>2198</v>
      </c>
    </row>
    <row r="568" spans="2:4">
      <c r="B568" t="s">
        <v>2199</v>
      </c>
      <c r="C568" s="320" t="str">
        <f ca="1">CONCATENATE('Contact Summary'!G12, "", 'Contact Summary'!H12)</f>
        <v/>
      </c>
      <c r="D568" t="s">
        <v>2200</v>
      </c>
    </row>
    <row r="569" spans="2:4">
      <c r="B569" t="s">
        <v>2201</v>
      </c>
      <c r="C569" s="320" t="str">
        <f ca="1">CONCATENATE('Contact Summary'!B12)</f>
        <v/>
      </c>
      <c r="D569" t="s">
        <v>2202</v>
      </c>
    </row>
    <row r="570" spans="2:4">
      <c r="B570" t="s">
        <v>2203</v>
      </c>
      <c r="C570" s="320" t="str">
        <f ca="1">CONCATENATE('Contact Summary'!G13, " ", 'Contact Summary'!H13)</f>
        <v xml:space="preserve"> </v>
      </c>
      <c r="D570" t="s">
        <v>2204</v>
      </c>
    </row>
    <row r="571" spans="2:4">
      <c r="B571" t="s">
        <v>2205</v>
      </c>
      <c r="C571" s="320" t="str">
        <f ca="1">CONCATENATE('Contact Summary'!B13)</f>
        <v/>
      </c>
      <c r="D571" t="s">
        <v>2206</v>
      </c>
    </row>
    <row r="572" spans="2:4">
      <c r="B572" t="s">
        <v>2207</v>
      </c>
      <c r="C572" s="320" t="str">
        <f ca="1">CONCATENATE('Contact Summary'!J13)</f>
        <v/>
      </c>
    </row>
    <row r="573" spans="2:4">
      <c r="B573" t="s">
        <v>2208</v>
      </c>
      <c r="C573" s="320" t="str">
        <f ca="1">CONCATENATE('Contact Summary'!I13)</f>
        <v/>
      </c>
    </row>
    <row r="574" spans="2:4">
      <c r="B574" t="s">
        <v>2209</v>
      </c>
      <c r="C574" s="320" t="str">
        <f ca="1">CONCATENATE('Contact Summary'!G15, " ", 'Contact Summary'!H15)</f>
        <v xml:space="preserve"> </v>
      </c>
      <c r="D574" t="s">
        <v>2210</v>
      </c>
    </row>
    <row r="575" spans="2:4">
      <c r="B575" t="s">
        <v>2211</v>
      </c>
      <c r="C575" s="320" t="str">
        <f ca="1">CONCATENATE('Contact Summary'!B15)</f>
        <v/>
      </c>
      <c r="D575" t="s">
        <v>2212</v>
      </c>
    </row>
    <row r="576" spans="2:4">
      <c r="B576" t="s">
        <v>2213</v>
      </c>
      <c r="C576" s="320" t="str">
        <f ca="1">CONCATENATE('Contact Summary'!G19, " ", 'Contact Summary'!H19)</f>
        <v xml:space="preserve"> </v>
      </c>
      <c r="D576" t="s">
        <v>2214</v>
      </c>
    </row>
    <row r="577" spans="1:4">
      <c r="B577" t="s">
        <v>2215</v>
      </c>
      <c r="C577" s="320" t="str">
        <f ca="1">CONCATENATE('Contact Summary'!B19)</f>
        <v/>
      </c>
      <c r="D577" t="s">
        <v>2216</v>
      </c>
    </row>
    <row r="578" spans="1:4">
      <c r="B578" t="s">
        <v>2217</v>
      </c>
      <c r="C578" s="320" t="str">
        <f ca="1">CONCATENATE('Contact Summary'!G20, " ", 'Contact Summary'!H20)</f>
        <v xml:space="preserve"> </v>
      </c>
      <c r="D578" t="s">
        <v>2218</v>
      </c>
    </row>
    <row r="579" spans="1:4">
      <c r="B579" t="s">
        <v>2219</v>
      </c>
      <c r="C579" s="320" t="str">
        <f ca="1">CONCATENATE('Contact Summary'!B20)</f>
        <v/>
      </c>
      <c r="D579" t="s">
        <v>2220</v>
      </c>
    </row>
    <row r="580" spans="1:4">
      <c r="B580" t="s">
        <v>2221</v>
      </c>
      <c r="C580" s="320" t="str">
        <f ca="1">CONCATENATE('Contact Summary'!B9)</f>
        <v/>
      </c>
      <c r="D580" t="s">
        <v>2222</v>
      </c>
    </row>
    <row r="581" spans="1:4">
      <c r="B581" t="s">
        <v>2223</v>
      </c>
      <c r="C581" s="320" t="str">
        <f ca="1">CONCATENATE('Contact Summary'!B6)</f>
        <v/>
      </c>
      <c r="D581" t="s">
        <v>2224</v>
      </c>
    </row>
    <row r="582" spans="1:4">
      <c r="A582" t="s">
        <v>2225</v>
      </c>
      <c r="B582" t="s">
        <v>2226</v>
      </c>
      <c r="C582" t="str">
        <f ca="1">CONCATENATE('Contact Summary'!B10)</f>
        <v/>
      </c>
    </row>
    <row r="583" spans="1:4">
      <c r="B583" t="s">
        <v>2227</v>
      </c>
      <c r="C583" s="320" t="str">
        <f ca="1">'Contact Summary'!B23</f>
        <v/>
      </c>
    </row>
    <row r="584" spans="1:4">
      <c r="B584" s="1" t="s">
        <v>119</v>
      </c>
      <c r="C584" t="str">
        <f ca="1">CONCATENATE('Contact Summary'!B5)</f>
        <v/>
      </c>
    </row>
    <row r="585" spans="1:4">
      <c r="B585" t="s">
        <v>120</v>
      </c>
      <c r="C585" t="str">
        <f ca="1">'Contact Summary'!G5</f>
        <v/>
      </c>
    </row>
    <row r="586" spans="1:4">
      <c r="B586" t="s">
        <v>121</v>
      </c>
      <c r="C586" t="str">
        <f ca="1">'Contact Summary'!H5</f>
        <v/>
      </c>
    </row>
    <row r="587" spans="1:4">
      <c r="B587" t="s">
        <v>122</v>
      </c>
      <c r="C587" t="str">
        <f ca="1">'Contact Summary'!I5</f>
        <v/>
      </c>
    </row>
    <row r="588" spans="1:4">
      <c r="B588" t="s">
        <v>123</v>
      </c>
      <c r="C588" t="str">
        <f ca="1">'Contact Summary'!J5</f>
        <v/>
      </c>
    </row>
    <row r="589" spans="1:4" ht="30">
      <c r="B589" s="9" t="s">
        <v>153</v>
      </c>
      <c r="C589" t="str">
        <f>CONCATENATE('Contact Information'!B60)</f>
        <v/>
      </c>
    </row>
    <row r="590" spans="1:4">
      <c r="B590" t="s">
        <v>2228</v>
      </c>
      <c r="C590" t="str">
        <f>CONCATENATE('Contact Information'!B61)</f>
        <v/>
      </c>
    </row>
    <row r="591" spans="1:4">
      <c r="B591" t="s">
        <v>2229</v>
      </c>
      <c r="C591" t="str">
        <f>CONCATENATE('Contact Information'!B62)</f>
        <v/>
      </c>
    </row>
    <row r="592" spans="1:4">
      <c r="A592" t="s">
        <v>2230</v>
      </c>
      <c r="B592" t="s">
        <v>119</v>
      </c>
      <c r="C592" t="str">
        <f ca="1">'Contact Summary'!B11</f>
        <v/>
      </c>
    </row>
    <row r="593" spans="1:3">
      <c r="B593" t="s">
        <v>120</v>
      </c>
      <c r="C593" t="str">
        <f ca="1">'Contact Summary'!G11</f>
        <v/>
      </c>
    </row>
    <row r="594" spans="1:3">
      <c r="B594" t="s">
        <v>121</v>
      </c>
      <c r="C594" t="str">
        <f ca="1">'Contact Summary'!H11</f>
        <v/>
      </c>
    </row>
    <row r="595" spans="1:3">
      <c r="B595" t="s">
        <v>122</v>
      </c>
      <c r="C595" t="str">
        <f ca="1">'Contact Summary'!I11</f>
        <v/>
      </c>
    </row>
    <row r="596" spans="1:3">
      <c r="B596" t="s">
        <v>123</v>
      </c>
      <c r="C596" t="str">
        <f ca="1">'Contact Summary'!J11</f>
        <v/>
      </c>
    </row>
    <row r="597" spans="1:3" ht="30">
      <c r="B597" s="9" t="s">
        <v>153</v>
      </c>
      <c r="C597" t="str">
        <f>CONCATENATE('Contact Information'!B152)</f>
        <v/>
      </c>
    </row>
    <row r="598" spans="1:3">
      <c r="B598" t="s">
        <v>2231</v>
      </c>
      <c r="C598" t="str">
        <f>CONCATENATE('Contact Information'!B153)</f>
        <v/>
      </c>
    </row>
    <row r="599" spans="1:3">
      <c r="B599" t="s">
        <v>2232</v>
      </c>
      <c r="C599" t="str">
        <f>CONCATENATE('Contact Information'!B154)</f>
        <v/>
      </c>
    </row>
    <row r="600" spans="1:3">
      <c r="A600" t="s">
        <v>2233</v>
      </c>
      <c r="B600" s="1" t="s">
        <v>119</v>
      </c>
      <c r="C600" t="str">
        <f ca="1">'Contact Summary'!B6</f>
        <v/>
      </c>
    </row>
    <row r="601" spans="1:3">
      <c r="B601" s="1" t="s">
        <v>120</v>
      </c>
      <c r="C601" t="str">
        <f ca="1">'Contact Summary'!G6</f>
        <v/>
      </c>
    </row>
    <row r="602" spans="1:3">
      <c r="B602" s="1" t="s">
        <v>121</v>
      </c>
      <c r="C602" t="str">
        <f ca="1">'Contact Summary'!H6</f>
        <v/>
      </c>
    </row>
    <row r="603" spans="1:3">
      <c r="B603" s="352" t="s">
        <v>122</v>
      </c>
      <c r="C603" s="92" t="str">
        <f ca="1">'Contact Summary'!I6</f>
        <v/>
      </c>
    </row>
    <row r="604" spans="1:3">
      <c r="B604" s="1" t="s">
        <v>123</v>
      </c>
      <c r="C604" t="str">
        <f ca="1">'Contact Summary'!J6</f>
        <v/>
      </c>
    </row>
    <row r="605" spans="1:3">
      <c r="B605" s="1" t="s">
        <v>119</v>
      </c>
      <c r="C605" t="str">
        <f ca="1">'Contact Summary'!B7</f>
        <v/>
      </c>
    </row>
    <row r="606" spans="1:3">
      <c r="B606" s="1" t="s">
        <v>120</v>
      </c>
      <c r="C606" t="str">
        <f ca="1">'Contact Summary'!G7</f>
        <v/>
      </c>
    </row>
    <row r="607" spans="1:3">
      <c r="B607" s="1" t="s">
        <v>121</v>
      </c>
      <c r="C607" t="str">
        <f ca="1">'Contact Summary'!H7</f>
        <v/>
      </c>
    </row>
    <row r="608" spans="1:3">
      <c r="B608" s="352" t="s">
        <v>122</v>
      </c>
      <c r="C608" s="92" t="str">
        <f ca="1">'Contact Summary'!I7</f>
        <v/>
      </c>
    </row>
    <row r="609" spans="2:3">
      <c r="B609" s="1" t="s">
        <v>123</v>
      </c>
      <c r="C609" t="str">
        <f ca="1">'Contact Summary'!J7</f>
        <v/>
      </c>
    </row>
    <row r="610" spans="2:3">
      <c r="B610" s="1" t="s">
        <v>119</v>
      </c>
      <c r="C610" t="str">
        <f ca="1">'Contact Summary'!B10</f>
        <v/>
      </c>
    </row>
    <row r="611" spans="2:3">
      <c r="B611" s="1" t="s">
        <v>120</v>
      </c>
      <c r="C611" t="str">
        <f ca="1">'Contact Summary'!G10</f>
        <v/>
      </c>
    </row>
    <row r="612" spans="2:3">
      <c r="B612" s="1" t="s">
        <v>121</v>
      </c>
      <c r="C612" t="str">
        <f ca="1">'Contact Summary'!H10</f>
        <v/>
      </c>
    </row>
    <row r="613" spans="2:3">
      <c r="B613" s="352" t="s">
        <v>122</v>
      </c>
      <c r="C613" s="92" t="str">
        <f ca="1">'Contact Summary'!I10</f>
        <v/>
      </c>
    </row>
    <row r="614" spans="2:3">
      <c r="B614" s="1" t="s">
        <v>123</v>
      </c>
      <c r="C614" t="str">
        <f ca="1">'Contact Summary'!J10</f>
        <v/>
      </c>
    </row>
    <row r="615" spans="2:3">
      <c r="B615" s="1" t="s">
        <v>119</v>
      </c>
      <c r="C615" t="str">
        <f ca="1">'Contact Summary'!B12</f>
        <v/>
      </c>
    </row>
    <row r="616" spans="2:3">
      <c r="B616" s="1" t="s">
        <v>120</v>
      </c>
      <c r="C616" t="str">
        <f ca="1">'Contact Summary'!G12</f>
        <v/>
      </c>
    </row>
    <row r="617" spans="2:3">
      <c r="B617" s="1" t="s">
        <v>121</v>
      </c>
      <c r="C617" t="str">
        <f ca="1">'Contact Summary'!H12</f>
        <v/>
      </c>
    </row>
    <row r="618" spans="2:3">
      <c r="B618" s="352" t="s">
        <v>122</v>
      </c>
      <c r="C618" t="str">
        <f ca="1">'Contact Summary'!J12</f>
        <v/>
      </c>
    </row>
    <row r="619" spans="2:3">
      <c r="B619" s="1" t="s">
        <v>123</v>
      </c>
      <c r="C619" t="str">
        <f ca="1">'Contact Summary'!J12</f>
        <v/>
      </c>
    </row>
    <row r="620" spans="2:3" ht="30">
      <c r="B620" s="9" t="s">
        <v>153</v>
      </c>
      <c r="C620" t="str">
        <f>CONCATENATE('Contact Information'!B166)</f>
        <v/>
      </c>
    </row>
    <row r="621" spans="2:3">
      <c r="B621" t="s">
        <v>2234</v>
      </c>
      <c r="C621" t="str">
        <f>CONCATENATE('Contact Information'!B167)</f>
        <v/>
      </c>
    </row>
    <row r="622" spans="2:3">
      <c r="B622" t="s">
        <v>2235</v>
      </c>
      <c r="C622" t="str">
        <f>CONCATENATE('Contact Information'!B168)</f>
        <v/>
      </c>
    </row>
    <row r="623" spans="2:3">
      <c r="B623" s="1" t="s">
        <v>119</v>
      </c>
      <c r="C623" t="str">
        <f ca="1">'Contact Summary'!B13</f>
        <v/>
      </c>
    </row>
    <row r="624" spans="2:3">
      <c r="B624" s="1" t="s">
        <v>120</v>
      </c>
      <c r="C624" t="str">
        <f ca="1">'Contact Summary'!G13</f>
        <v/>
      </c>
    </row>
    <row r="625" spans="2:4">
      <c r="B625" s="1" t="s">
        <v>121</v>
      </c>
      <c r="C625" t="str">
        <f ca="1">'Contact Summary'!H13</f>
        <v/>
      </c>
    </row>
    <row r="626" spans="2:4">
      <c r="B626" s="352" t="s">
        <v>122</v>
      </c>
      <c r="C626" s="92" t="str">
        <f ca="1">'Contact Summary'!I13</f>
        <v/>
      </c>
    </row>
    <row r="627" spans="2:4">
      <c r="B627" s="1" t="s">
        <v>123</v>
      </c>
      <c r="C627" t="str">
        <f ca="1">'Contact Summary'!J13</f>
        <v/>
      </c>
    </row>
    <row r="628" spans="2:4" s="365" customFormat="1">
      <c r="B628" s="365" t="s">
        <v>4221</v>
      </c>
      <c r="C628" s="365" t="str">
        <f>CONCATENATE('Contact Information'!B181)</f>
        <v/>
      </c>
      <c r="D628" s="365" t="s">
        <v>4223</v>
      </c>
    </row>
    <row r="629" spans="2:4" s="365" customFormat="1">
      <c r="B629" s="365" t="s">
        <v>4222</v>
      </c>
      <c r="C629" s="365" t="str">
        <f>CONCATENATE('Contact Information'!B182)</f>
        <v/>
      </c>
      <c r="D629" s="365" t="s">
        <v>4223</v>
      </c>
    </row>
    <row r="630" spans="2:4">
      <c r="B630" s="1" t="s">
        <v>119</v>
      </c>
      <c r="C630" t="str">
        <f ca="1">'Contact Summary'!B15</f>
        <v/>
      </c>
    </row>
    <row r="631" spans="2:4">
      <c r="B631" s="1" t="s">
        <v>120</v>
      </c>
      <c r="C631" t="str">
        <f ca="1">'Contact Summary'!G15</f>
        <v/>
      </c>
    </row>
    <row r="632" spans="2:4">
      <c r="B632" s="1" t="s">
        <v>121</v>
      </c>
      <c r="C632" t="str">
        <f ca="1">'Contact Summary'!H15</f>
        <v/>
      </c>
    </row>
    <row r="633" spans="2:4">
      <c r="B633" s="352" t="s">
        <v>122</v>
      </c>
      <c r="C633" s="92" t="str">
        <f ca="1">'Contact Summary'!I15</f>
        <v/>
      </c>
    </row>
    <row r="634" spans="2:4">
      <c r="B634" s="1" t="s">
        <v>123</v>
      </c>
      <c r="C634" s="320" t="str">
        <f ca="1">'Contact Summary'!J15</f>
        <v/>
      </c>
    </row>
    <row r="635" spans="2:4">
      <c r="B635" s="1" t="s">
        <v>119</v>
      </c>
      <c r="C635" t="str">
        <f ca="1">'Contact Summary'!C16</f>
        <v/>
      </c>
    </row>
    <row r="636" spans="2:4">
      <c r="B636" s="1" t="s">
        <v>120</v>
      </c>
      <c r="C636" t="str">
        <f ca="1">'Contact Summary'!G16</f>
        <v/>
      </c>
    </row>
    <row r="637" spans="2:4">
      <c r="B637" s="1" t="s">
        <v>121</v>
      </c>
      <c r="C637" t="str">
        <f ca="1">'Contact Summary'!H16</f>
        <v/>
      </c>
    </row>
    <row r="638" spans="2:4">
      <c r="B638" s="352" t="s">
        <v>122</v>
      </c>
      <c r="C638" s="92" t="str">
        <f ca="1">'Contact Summary'!I16</f>
        <v/>
      </c>
    </row>
    <row r="639" spans="2:4">
      <c r="B639" s="1" t="s">
        <v>123</v>
      </c>
      <c r="C639" t="str">
        <f ca="1">'Contact Summary'!J16</f>
        <v/>
      </c>
    </row>
    <row r="640" spans="2:4">
      <c r="B640" s="1" t="s">
        <v>2236</v>
      </c>
    </row>
    <row r="641" spans="2:3">
      <c r="B641" s="1" t="s">
        <v>119</v>
      </c>
      <c r="C641" t="str">
        <f ca="1">'Contact Summary'!C17</f>
        <v/>
      </c>
    </row>
    <row r="642" spans="2:3">
      <c r="B642" s="1" t="s">
        <v>120</v>
      </c>
      <c r="C642" t="str">
        <f ca="1">'Contact Summary'!G17</f>
        <v/>
      </c>
    </row>
    <row r="643" spans="2:3">
      <c r="B643" s="1" t="s">
        <v>121</v>
      </c>
      <c r="C643" t="str">
        <f ca="1">'Contact Summary'!H17</f>
        <v/>
      </c>
    </row>
    <row r="644" spans="2:3">
      <c r="B644" s="352" t="s">
        <v>122</v>
      </c>
      <c r="C644" s="92" t="str">
        <f ca="1">'Contact Summary'!I17</f>
        <v/>
      </c>
    </row>
    <row r="645" spans="2:3">
      <c r="B645" s="1" t="s">
        <v>123</v>
      </c>
      <c r="C645" t="str">
        <f ca="1">'Contact Summary'!J17</f>
        <v/>
      </c>
    </row>
    <row r="646" spans="2:3">
      <c r="B646" s="1" t="s">
        <v>119</v>
      </c>
      <c r="C646" t="str">
        <f ca="1">'Contact Summary'!B18</f>
        <v/>
      </c>
    </row>
    <row r="647" spans="2:3">
      <c r="B647" s="1" t="s">
        <v>120</v>
      </c>
      <c r="C647" t="str">
        <f ca="1">'Contact Summary'!G18</f>
        <v/>
      </c>
    </row>
    <row r="648" spans="2:3">
      <c r="B648" s="1" t="s">
        <v>121</v>
      </c>
      <c r="C648" t="str">
        <f ca="1">'Contact Summary'!H18</f>
        <v/>
      </c>
    </row>
    <row r="649" spans="2:3">
      <c r="B649" s="352" t="s">
        <v>122</v>
      </c>
      <c r="C649" s="92" t="str">
        <f ca="1">'Contact Summary'!I18</f>
        <v/>
      </c>
    </row>
    <row r="650" spans="2:3">
      <c r="B650" s="1" t="s">
        <v>123</v>
      </c>
      <c r="C650" t="str">
        <f ca="1">'Contact Summary'!J18</f>
        <v/>
      </c>
    </row>
    <row r="651" spans="2:3">
      <c r="B651" s="1" t="s">
        <v>119</v>
      </c>
      <c r="C651" t="str">
        <f ca="1">'Contact Summary'!B19</f>
        <v/>
      </c>
    </row>
    <row r="652" spans="2:3">
      <c r="B652" s="1" t="s">
        <v>120</v>
      </c>
      <c r="C652" t="str">
        <f ca="1">'Contact Summary'!G19</f>
        <v/>
      </c>
    </row>
    <row r="653" spans="2:3">
      <c r="B653" s="1" t="s">
        <v>121</v>
      </c>
      <c r="C653" t="str">
        <f ca="1">'Contact Summary'!H19</f>
        <v/>
      </c>
    </row>
    <row r="654" spans="2:3">
      <c r="B654" s="352" t="s">
        <v>122</v>
      </c>
      <c r="C654" s="92" t="str">
        <f ca="1">'Contact Summary'!I19</f>
        <v/>
      </c>
    </row>
    <row r="655" spans="2:3">
      <c r="B655" s="1" t="s">
        <v>123</v>
      </c>
      <c r="C655" t="str">
        <f ca="1">'Contact Summary'!J19</f>
        <v/>
      </c>
    </row>
    <row r="656" spans="2:3">
      <c r="B656" s="1" t="s">
        <v>119</v>
      </c>
      <c r="C656" t="str">
        <f ca="1">'Contact Summary'!B20</f>
        <v/>
      </c>
    </row>
    <row r="657" spans="2:3">
      <c r="B657" s="1" t="s">
        <v>120</v>
      </c>
      <c r="C657" t="str">
        <f ca="1">'Contact Summary'!G20</f>
        <v/>
      </c>
    </row>
    <row r="658" spans="2:3">
      <c r="B658" s="1" t="s">
        <v>121</v>
      </c>
      <c r="C658" t="str">
        <f ca="1">'Contact Summary'!H20</f>
        <v/>
      </c>
    </row>
    <row r="659" spans="2:3">
      <c r="B659" s="352" t="s">
        <v>122</v>
      </c>
      <c r="C659" s="92" t="str">
        <f ca="1">'Contact Summary'!I20</f>
        <v/>
      </c>
    </row>
    <row r="660" spans="2:3">
      <c r="B660" s="1" t="s">
        <v>123</v>
      </c>
      <c r="C660" t="str">
        <f ca="1">'Contact Summary'!J20</f>
        <v/>
      </c>
    </row>
    <row r="661" spans="2:3">
      <c r="B661" s="1" t="s">
        <v>119</v>
      </c>
      <c r="C661" t="str">
        <f ca="1">'Contact Summary'!B21</f>
        <v/>
      </c>
    </row>
    <row r="662" spans="2:3">
      <c r="B662" s="1" t="s">
        <v>120</v>
      </c>
      <c r="C662" t="str">
        <f ca="1">'Contact Summary'!G21</f>
        <v/>
      </c>
    </row>
    <row r="663" spans="2:3">
      <c r="B663" s="1" t="s">
        <v>121</v>
      </c>
      <c r="C663" t="str">
        <f ca="1">'Contact Summary'!H21</f>
        <v/>
      </c>
    </row>
    <row r="664" spans="2:3">
      <c r="B664" s="352" t="s">
        <v>122</v>
      </c>
      <c r="C664" s="92" t="str">
        <f ca="1">'Contact Summary'!I21</f>
        <v/>
      </c>
    </row>
    <row r="665" spans="2:3">
      <c r="B665" s="1" t="s">
        <v>123</v>
      </c>
      <c r="C665" t="str">
        <f ca="1">'Contact Summary'!J21</f>
        <v/>
      </c>
    </row>
    <row r="666" spans="2:3">
      <c r="B666" s="1" t="s">
        <v>119</v>
      </c>
      <c r="C666" t="str">
        <f ca="1">'Contact Summary'!B23</f>
        <v/>
      </c>
    </row>
    <row r="667" spans="2:3">
      <c r="B667" s="1" t="s">
        <v>120</v>
      </c>
      <c r="C667" t="str">
        <f ca="1">'Contact Summary'!G23</f>
        <v/>
      </c>
    </row>
    <row r="668" spans="2:3">
      <c r="B668" s="1" t="s">
        <v>121</v>
      </c>
      <c r="C668" t="str">
        <f ca="1">'Contact Summary'!H23</f>
        <v/>
      </c>
    </row>
    <row r="669" spans="2:3">
      <c r="B669" s="352" t="s">
        <v>122</v>
      </c>
      <c r="C669" s="92" t="str">
        <f ca="1">'Contact Summary'!I23</f>
        <v/>
      </c>
    </row>
    <row r="670" spans="2:3">
      <c r="B670" s="1" t="s">
        <v>123</v>
      </c>
      <c r="C670" t="str">
        <f ca="1">'Contact Summary'!J23</f>
        <v/>
      </c>
    </row>
    <row r="671" spans="2:3">
      <c r="B671" s="1" t="s">
        <v>119</v>
      </c>
      <c r="C671" t="str">
        <f ca="1">'Contact Summary'!B24</f>
        <v/>
      </c>
    </row>
    <row r="672" spans="2:3">
      <c r="B672" s="1" t="s">
        <v>120</v>
      </c>
      <c r="C672" t="str">
        <f ca="1">'Contact Summary'!G24</f>
        <v/>
      </c>
    </row>
    <row r="673" spans="2:3">
      <c r="B673" s="1" t="s">
        <v>121</v>
      </c>
      <c r="C673" t="str">
        <f ca="1">'Contact Summary'!H24</f>
        <v/>
      </c>
    </row>
    <row r="674" spans="2:3">
      <c r="B674" s="352" t="s">
        <v>122</v>
      </c>
      <c r="C674" s="92" t="str">
        <f ca="1">'Contact Summary'!I24</f>
        <v/>
      </c>
    </row>
    <row r="675" spans="2:3">
      <c r="B675" s="1" t="s">
        <v>123</v>
      </c>
      <c r="C675" t="str">
        <f ca="1">'Contact Summary'!J24</f>
        <v/>
      </c>
    </row>
    <row r="676" spans="2:3">
      <c r="B676" s="1" t="s">
        <v>119</v>
      </c>
      <c r="C676" t="str">
        <f ca="1">'Contact Summary'!B25</f>
        <v/>
      </c>
    </row>
    <row r="677" spans="2:3">
      <c r="B677" s="1" t="s">
        <v>120</v>
      </c>
      <c r="C677" t="str">
        <f ca="1">'Contact Summary'!G25</f>
        <v/>
      </c>
    </row>
    <row r="678" spans="2:3">
      <c r="B678" s="1" t="s">
        <v>121</v>
      </c>
      <c r="C678" t="str">
        <f ca="1">'Contact Summary'!H25</f>
        <v/>
      </c>
    </row>
    <row r="679" spans="2:3">
      <c r="B679" s="352" t="s">
        <v>122</v>
      </c>
      <c r="C679" s="92" t="str">
        <f ca="1">'Contact Summary'!I25</f>
        <v/>
      </c>
    </row>
    <row r="680" spans="2:3">
      <c r="B680" s="1" t="s">
        <v>123</v>
      </c>
      <c r="C680" t="str">
        <f ca="1">'Contact Summary'!J25</f>
        <v/>
      </c>
    </row>
    <row r="681" spans="2:3">
      <c r="B681" s="1" t="s">
        <v>119</v>
      </c>
      <c r="C681" t="str">
        <f ca="1">'Contact Summary'!B26</f>
        <v/>
      </c>
    </row>
    <row r="682" spans="2:3">
      <c r="B682" s="1" t="s">
        <v>120</v>
      </c>
      <c r="C682" t="str">
        <f ca="1">'Contact Summary'!G26</f>
        <v/>
      </c>
    </row>
    <row r="683" spans="2:3">
      <c r="B683" s="1" t="s">
        <v>121</v>
      </c>
      <c r="C683" t="str">
        <f ca="1">'Contact Summary'!H26</f>
        <v/>
      </c>
    </row>
    <row r="684" spans="2:3">
      <c r="B684" s="352" t="s">
        <v>122</v>
      </c>
      <c r="C684" s="92" t="str">
        <f ca="1">'Contact Summary'!I26</f>
        <v/>
      </c>
    </row>
    <row r="685" spans="2:3">
      <c r="B685" s="1" t="s">
        <v>123</v>
      </c>
      <c r="C685" t="str">
        <f ca="1">'Contact Summary'!J26</f>
        <v/>
      </c>
    </row>
    <row r="686" spans="2:3">
      <c r="B686" s="1" t="s">
        <v>119</v>
      </c>
      <c r="C686" t="str">
        <f ca="1">'Contact Summary'!B14</f>
        <v/>
      </c>
    </row>
    <row r="687" spans="2:3">
      <c r="B687" s="1" t="s">
        <v>120</v>
      </c>
      <c r="C687" t="str">
        <f ca="1">'Contact Summary'!G14</f>
        <v/>
      </c>
    </row>
    <row r="688" spans="2:3">
      <c r="B688" s="1" t="s">
        <v>121</v>
      </c>
      <c r="C688" t="str">
        <f ca="1">'Contact Summary'!H14</f>
        <v/>
      </c>
    </row>
    <row r="689" spans="1:12">
      <c r="B689" s="1" t="s">
        <v>122</v>
      </c>
      <c r="C689" s="92" t="str">
        <f ca="1">'Contact Summary'!I14</f>
        <v/>
      </c>
    </row>
    <row r="690" spans="1:12">
      <c r="B690" s="1" t="s">
        <v>123</v>
      </c>
      <c r="C690" t="str">
        <f ca="1">'Contact Summary'!J14</f>
        <v/>
      </c>
    </row>
    <row r="691" spans="1:12" ht="30">
      <c r="B691" s="9" t="s">
        <v>153</v>
      </c>
      <c r="C691">
        <f>'Contact Information'!B194</f>
        <v>0</v>
      </c>
    </row>
    <row r="692" spans="1:12">
      <c r="B692" t="s">
        <v>2237</v>
      </c>
      <c r="C692">
        <f>'Contact Information'!B195</f>
        <v>0</v>
      </c>
    </row>
    <row r="693" spans="1:12">
      <c r="B693" t="s">
        <v>2238</v>
      </c>
      <c r="C693">
        <f>'Contact Information'!B196</f>
        <v>0</v>
      </c>
    </row>
    <row r="694" spans="1:12" s="71" customFormat="1"/>
    <row r="695" spans="1:12">
      <c r="A695" t="s">
        <v>2239</v>
      </c>
      <c r="B695" t="s">
        <v>2240</v>
      </c>
      <c r="C695" t="s">
        <v>2241</v>
      </c>
      <c r="D695" t="s">
        <v>2242</v>
      </c>
      <c r="E695" t="s">
        <v>126</v>
      </c>
      <c r="F695" t="s">
        <v>803</v>
      </c>
      <c r="G695" t="s">
        <v>2243</v>
      </c>
      <c r="H695" t="s">
        <v>2244</v>
      </c>
      <c r="I695" t="s">
        <v>2245</v>
      </c>
      <c r="J695" t="s">
        <v>2246</v>
      </c>
      <c r="K695" t="s">
        <v>2247</v>
      </c>
      <c r="L695" t="s">
        <v>2248</v>
      </c>
    </row>
    <row r="696" spans="1:12">
      <c r="A696" s="18">
        <f t="shared" ref="A696:A710" ca="1" si="0">IF(ISNA(MATCH(B696, $A$713:$A$728, 0)), 1, MATCH(B696, $A$713:$A$728, 0))</f>
        <v>1</v>
      </c>
      <c r="B696">
        <v>1</v>
      </c>
      <c r="C696" t="str">
        <f t="shared" ref="C696:K710" ca="1" si="1">CONCATENATE(INDEX($C$713:$L$728, $A696, C$694))</f>
        <v/>
      </c>
      <c r="D696" t="str">
        <f t="shared" ca="1" si="1"/>
        <v/>
      </c>
      <c r="E696" t="str">
        <f t="shared" ca="1" si="1"/>
        <v/>
      </c>
      <c r="F696" s="14" t="str">
        <f t="shared" ca="1" si="1"/>
        <v/>
      </c>
      <c r="G696" t="str">
        <f t="shared" ca="1" si="1"/>
        <v/>
      </c>
      <c r="H696" t="str">
        <f t="shared" ca="1" si="1"/>
        <v/>
      </c>
      <c r="I696" t="str">
        <f t="shared" ca="1" si="1"/>
        <v/>
      </c>
      <c r="J696" s="14" t="str">
        <f t="shared" ca="1" si="1"/>
        <v/>
      </c>
      <c r="K696" s="14" t="str">
        <f t="shared" ca="1" si="1"/>
        <v/>
      </c>
    </row>
    <row r="697" spans="1:12">
      <c r="A697" s="862">
        <f t="shared" ca="1" si="0"/>
        <v>1</v>
      </c>
      <c r="B697">
        <v>2</v>
      </c>
      <c r="C697" t="str">
        <f t="shared" ca="1" si="1"/>
        <v/>
      </c>
      <c r="D697" t="str">
        <f t="shared" ca="1" si="1"/>
        <v/>
      </c>
      <c r="E697" t="str">
        <f t="shared" ca="1" si="1"/>
        <v/>
      </c>
      <c r="F697" s="14" t="str">
        <f t="shared" ca="1" si="1"/>
        <v/>
      </c>
      <c r="G697" t="str">
        <f t="shared" ca="1" si="1"/>
        <v/>
      </c>
      <c r="H697" t="str">
        <f t="shared" ca="1" si="1"/>
        <v/>
      </c>
      <c r="I697" t="str">
        <f t="shared" ca="1" si="1"/>
        <v/>
      </c>
      <c r="J697" s="14" t="str">
        <f t="shared" ca="1" si="1"/>
        <v/>
      </c>
      <c r="K697" s="14" t="str">
        <f t="shared" ca="1" si="1"/>
        <v/>
      </c>
    </row>
    <row r="698" spans="1:12">
      <c r="A698" s="862">
        <f t="shared" ca="1" si="0"/>
        <v>1</v>
      </c>
      <c r="B698">
        <v>3</v>
      </c>
      <c r="C698" t="str">
        <f t="shared" ca="1" si="1"/>
        <v/>
      </c>
      <c r="D698" t="str">
        <f t="shared" ca="1" si="1"/>
        <v/>
      </c>
      <c r="E698" t="str">
        <f t="shared" ca="1" si="1"/>
        <v/>
      </c>
      <c r="F698" s="14" t="str">
        <f t="shared" ca="1" si="1"/>
        <v/>
      </c>
      <c r="G698" t="str">
        <f t="shared" ca="1" si="1"/>
        <v/>
      </c>
      <c r="H698" t="str">
        <f t="shared" ca="1" si="1"/>
        <v/>
      </c>
      <c r="I698" t="str">
        <f t="shared" ca="1" si="1"/>
        <v/>
      </c>
      <c r="J698" s="14" t="str">
        <f t="shared" ca="1" si="1"/>
        <v/>
      </c>
      <c r="K698" s="14" t="str">
        <f t="shared" ca="1" si="1"/>
        <v/>
      </c>
    </row>
    <row r="699" spans="1:12">
      <c r="A699" s="862">
        <f t="shared" ca="1" si="0"/>
        <v>1</v>
      </c>
      <c r="B699">
        <v>4</v>
      </c>
      <c r="C699" t="str">
        <f t="shared" ca="1" si="1"/>
        <v/>
      </c>
      <c r="D699" t="str">
        <f t="shared" ca="1" si="1"/>
        <v/>
      </c>
      <c r="E699" t="str">
        <f t="shared" ca="1" si="1"/>
        <v/>
      </c>
      <c r="F699" s="14" t="str">
        <f t="shared" ca="1" si="1"/>
        <v/>
      </c>
      <c r="G699" t="str">
        <f t="shared" ca="1" si="1"/>
        <v/>
      </c>
      <c r="H699" t="str">
        <f t="shared" ca="1" si="1"/>
        <v/>
      </c>
      <c r="I699" t="str">
        <f t="shared" ca="1" si="1"/>
        <v/>
      </c>
      <c r="J699" s="14" t="str">
        <f t="shared" ca="1" si="1"/>
        <v/>
      </c>
      <c r="K699" s="14" t="str">
        <f t="shared" ca="1" si="1"/>
        <v/>
      </c>
    </row>
    <row r="700" spans="1:12">
      <c r="A700" s="862">
        <f t="shared" ca="1" si="0"/>
        <v>1</v>
      </c>
      <c r="B700">
        <v>5</v>
      </c>
      <c r="C700" t="str">
        <f t="shared" ca="1" si="1"/>
        <v/>
      </c>
      <c r="D700" t="str">
        <f t="shared" ca="1" si="1"/>
        <v/>
      </c>
      <c r="E700" t="str">
        <f t="shared" ca="1" si="1"/>
        <v/>
      </c>
      <c r="F700" s="14" t="str">
        <f t="shared" ca="1" si="1"/>
        <v/>
      </c>
      <c r="G700" t="str">
        <f t="shared" ca="1" si="1"/>
        <v/>
      </c>
      <c r="H700" t="str">
        <f t="shared" ca="1" si="1"/>
        <v/>
      </c>
      <c r="I700" t="str">
        <f t="shared" ca="1" si="1"/>
        <v/>
      </c>
      <c r="J700" s="14" t="str">
        <f t="shared" ca="1" si="1"/>
        <v/>
      </c>
      <c r="K700" s="14" t="str">
        <f t="shared" ca="1" si="1"/>
        <v/>
      </c>
    </row>
    <row r="701" spans="1:12">
      <c r="A701" s="862">
        <f t="shared" ca="1" si="0"/>
        <v>1</v>
      </c>
      <c r="B701">
        <v>6</v>
      </c>
      <c r="C701" t="str">
        <f t="shared" ca="1" si="1"/>
        <v/>
      </c>
      <c r="D701" t="str">
        <f t="shared" ca="1" si="1"/>
        <v/>
      </c>
      <c r="E701" t="str">
        <f t="shared" ca="1" si="1"/>
        <v/>
      </c>
      <c r="F701" s="14" t="str">
        <f t="shared" ca="1" si="1"/>
        <v/>
      </c>
      <c r="G701" t="str">
        <f t="shared" ca="1" si="1"/>
        <v/>
      </c>
      <c r="H701" t="str">
        <f t="shared" ca="1" si="1"/>
        <v/>
      </c>
      <c r="I701" t="str">
        <f t="shared" ca="1" si="1"/>
        <v/>
      </c>
      <c r="J701" s="14" t="str">
        <f t="shared" ca="1" si="1"/>
        <v/>
      </c>
      <c r="K701" s="14" t="str">
        <f t="shared" ca="1" si="1"/>
        <v/>
      </c>
    </row>
    <row r="702" spans="1:12">
      <c r="A702" s="862">
        <f t="shared" ca="1" si="0"/>
        <v>1</v>
      </c>
      <c r="B702">
        <v>7</v>
      </c>
      <c r="C702" t="str">
        <f t="shared" ca="1" si="1"/>
        <v/>
      </c>
      <c r="D702" t="str">
        <f t="shared" ca="1" si="1"/>
        <v/>
      </c>
      <c r="E702" t="str">
        <f t="shared" ca="1" si="1"/>
        <v/>
      </c>
      <c r="F702" s="14" t="str">
        <f t="shared" ca="1" si="1"/>
        <v/>
      </c>
      <c r="G702" t="str">
        <f t="shared" ca="1" si="1"/>
        <v/>
      </c>
      <c r="H702" t="str">
        <f t="shared" ca="1" si="1"/>
        <v/>
      </c>
      <c r="I702" t="str">
        <f t="shared" ca="1" si="1"/>
        <v/>
      </c>
      <c r="J702" s="14" t="str">
        <f t="shared" ca="1" si="1"/>
        <v/>
      </c>
      <c r="K702" s="14" t="str">
        <f t="shared" ca="1" si="1"/>
        <v/>
      </c>
    </row>
    <row r="703" spans="1:12">
      <c r="A703" s="862">
        <f t="shared" ca="1" si="0"/>
        <v>1</v>
      </c>
      <c r="B703">
        <v>8</v>
      </c>
      <c r="C703" t="str">
        <f t="shared" ca="1" si="1"/>
        <v/>
      </c>
      <c r="D703" t="str">
        <f t="shared" ca="1" si="1"/>
        <v/>
      </c>
      <c r="E703" t="str">
        <f t="shared" ca="1" si="1"/>
        <v/>
      </c>
      <c r="F703" s="14" t="str">
        <f t="shared" ca="1" si="1"/>
        <v/>
      </c>
      <c r="G703" t="str">
        <f t="shared" ca="1" si="1"/>
        <v/>
      </c>
      <c r="H703" t="str">
        <f t="shared" ca="1" si="1"/>
        <v/>
      </c>
      <c r="I703" t="str">
        <f t="shared" ca="1" si="1"/>
        <v/>
      </c>
      <c r="J703" s="14" t="str">
        <f t="shared" ca="1" si="1"/>
        <v/>
      </c>
      <c r="K703" s="14" t="str">
        <f t="shared" ca="1" si="1"/>
        <v/>
      </c>
    </row>
    <row r="704" spans="1:12">
      <c r="A704" s="862">
        <f t="shared" ca="1" si="0"/>
        <v>1</v>
      </c>
      <c r="B704">
        <v>9</v>
      </c>
      <c r="C704" t="str">
        <f t="shared" ca="1" si="1"/>
        <v/>
      </c>
      <c r="D704" t="str">
        <f t="shared" ca="1" si="1"/>
        <v/>
      </c>
      <c r="E704" t="str">
        <f t="shared" ca="1" si="1"/>
        <v/>
      </c>
      <c r="F704" s="14" t="str">
        <f t="shared" ca="1" si="1"/>
        <v/>
      </c>
      <c r="G704" t="str">
        <f t="shared" ca="1" si="1"/>
        <v/>
      </c>
      <c r="H704" t="str">
        <f t="shared" ca="1" si="1"/>
        <v/>
      </c>
      <c r="I704" t="str">
        <f t="shared" ca="1" si="1"/>
        <v/>
      </c>
      <c r="J704" s="14" t="str">
        <f t="shared" ca="1" si="1"/>
        <v/>
      </c>
      <c r="K704" s="14" t="str">
        <f t="shared" ca="1" si="1"/>
        <v/>
      </c>
    </row>
    <row r="705" spans="1:11">
      <c r="A705" s="862">
        <f t="shared" ca="1" si="0"/>
        <v>1</v>
      </c>
      <c r="B705">
        <v>10</v>
      </c>
      <c r="C705" t="str">
        <f t="shared" ca="1" si="1"/>
        <v/>
      </c>
      <c r="D705" t="str">
        <f t="shared" ca="1" si="1"/>
        <v/>
      </c>
      <c r="E705" t="str">
        <f t="shared" ca="1" si="1"/>
        <v/>
      </c>
      <c r="F705" s="14" t="str">
        <f t="shared" ca="1" si="1"/>
        <v/>
      </c>
      <c r="G705" t="str">
        <f t="shared" ca="1" si="1"/>
        <v/>
      </c>
      <c r="H705" t="str">
        <f t="shared" ca="1" si="1"/>
        <v/>
      </c>
      <c r="I705" t="str">
        <f t="shared" ca="1" si="1"/>
        <v/>
      </c>
      <c r="J705" s="14" t="str">
        <f t="shared" ca="1" si="1"/>
        <v/>
      </c>
      <c r="K705" s="14" t="str">
        <f t="shared" ca="1" si="1"/>
        <v/>
      </c>
    </row>
    <row r="706" spans="1:11">
      <c r="A706" s="862">
        <f t="shared" ca="1" si="0"/>
        <v>1</v>
      </c>
      <c r="B706">
        <v>11</v>
      </c>
      <c r="C706" t="str">
        <f t="shared" ca="1" si="1"/>
        <v/>
      </c>
      <c r="D706" t="str">
        <f t="shared" ca="1" si="1"/>
        <v/>
      </c>
      <c r="E706" t="str">
        <f t="shared" ca="1" si="1"/>
        <v/>
      </c>
      <c r="F706" s="14" t="str">
        <f t="shared" ca="1" si="1"/>
        <v/>
      </c>
      <c r="G706" t="str">
        <f t="shared" ca="1" si="1"/>
        <v/>
      </c>
      <c r="H706" t="str">
        <f t="shared" ca="1" si="1"/>
        <v/>
      </c>
      <c r="I706" t="str">
        <f t="shared" ca="1" si="1"/>
        <v/>
      </c>
      <c r="J706" s="14" t="str">
        <f t="shared" ca="1" si="1"/>
        <v/>
      </c>
      <c r="K706" s="14" t="str">
        <f t="shared" ca="1" si="1"/>
        <v/>
      </c>
    </row>
    <row r="707" spans="1:11">
      <c r="A707" s="862">
        <f t="shared" ca="1" si="0"/>
        <v>1</v>
      </c>
      <c r="B707">
        <v>12</v>
      </c>
      <c r="C707" t="str">
        <f t="shared" ca="1" si="1"/>
        <v/>
      </c>
      <c r="D707" t="str">
        <f t="shared" ca="1" si="1"/>
        <v/>
      </c>
      <c r="E707" t="str">
        <f t="shared" ca="1" si="1"/>
        <v/>
      </c>
      <c r="F707" s="14" t="str">
        <f t="shared" ca="1" si="1"/>
        <v/>
      </c>
      <c r="G707" t="str">
        <f t="shared" ca="1" si="1"/>
        <v/>
      </c>
      <c r="H707" t="str">
        <f t="shared" ca="1" si="1"/>
        <v/>
      </c>
      <c r="I707" t="str">
        <f t="shared" ca="1" si="1"/>
        <v/>
      </c>
      <c r="J707" s="14" t="str">
        <f t="shared" ca="1" si="1"/>
        <v/>
      </c>
      <c r="K707" s="14" t="str">
        <f t="shared" ca="1" si="1"/>
        <v/>
      </c>
    </row>
    <row r="708" spans="1:11">
      <c r="A708" s="862">
        <f t="shared" ca="1" si="0"/>
        <v>1</v>
      </c>
      <c r="B708">
        <v>13</v>
      </c>
      <c r="C708" t="str">
        <f t="shared" ca="1" si="1"/>
        <v/>
      </c>
      <c r="D708" t="str">
        <f t="shared" ca="1" si="1"/>
        <v/>
      </c>
      <c r="E708" t="str">
        <f t="shared" ca="1" si="1"/>
        <v/>
      </c>
      <c r="F708" s="14" t="str">
        <f t="shared" ca="1" si="1"/>
        <v/>
      </c>
      <c r="G708" t="str">
        <f t="shared" ca="1" si="1"/>
        <v/>
      </c>
      <c r="H708" t="str">
        <f t="shared" ca="1" si="1"/>
        <v/>
      </c>
      <c r="I708" t="str">
        <f t="shared" ca="1" si="1"/>
        <v/>
      </c>
      <c r="J708" s="14" t="str">
        <f t="shared" ca="1" si="1"/>
        <v/>
      </c>
      <c r="K708" s="14" t="str">
        <f t="shared" ca="1" si="1"/>
        <v/>
      </c>
    </row>
    <row r="709" spans="1:11">
      <c r="A709" s="862">
        <f t="shared" ca="1" si="0"/>
        <v>1</v>
      </c>
      <c r="B709">
        <v>14</v>
      </c>
      <c r="C709" t="str">
        <f t="shared" ca="1" si="1"/>
        <v/>
      </c>
      <c r="D709" t="str">
        <f t="shared" ca="1" si="1"/>
        <v/>
      </c>
      <c r="E709" t="str">
        <f t="shared" ca="1" si="1"/>
        <v/>
      </c>
      <c r="F709" s="14" t="str">
        <f t="shared" ca="1" si="1"/>
        <v/>
      </c>
      <c r="G709" t="str">
        <f t="shared" ca="1" si="1"/>
        <v/>
      </c>
      <c r="H709" t="str">
        <f t="shared" ca="1" si="1"/>
        <v/>
      </c>
      <c r="I709" t="str">
        <f t="shared" ca="1" si="1"/>
        <v/>
      </c>
      <c r="J709" s="14" t="str">
        <f t="shared" ca="1" si="1"/>
        <v/>
      </c>
      <c r="K709" s="14" t="str">
        <f t="shared" ca="1" si="1"/>
        <v/>
      </c>
    </row>
    <row r="710" spans="1:11" ht="16.5" customHeight="1">
      <c r="A710" s="862">
        <f t="shared" ca="1" si="0"/>
        <v>1</v>
      </c>
      <c r="B710">
        <v>15</v>
      </c>
      <c r="C710" t="str">
        <f t="shared" ca="1" si="1"/>
        <v/>
      </c>
      <c r="D710" t="str">
        <f t="shared" ca="1" si="1"/>
        <v/>
      </c>
      <c r="E710" t="str">
        <f t="shared" ca="1" si="1"/>
        <v/>
      </c>
      <c r="F710" s="14" t="str">
        <f t="shared" ca="1" si="1"/>
        <v/>
      </c>
      <c r="G710" t="str">
        <f t="shared" ca="1" si="1"/>
        <v/>
      </c>
      <c r="H710" t="str">
        <f t="shared" ca="1" si="1"/>
        <v/>
      </c>
      <c r="I710" t="str">
        <f t="shared" ca="1" si="1"/>
        <v/>
      </c>
      <c r="J710" s="14" t="str">
        <f t="shared" ca="1" si="1"/>
        <v/>
      </c>
      <c r="K710" s="14" t="str">
        <f t="shared" ca="1" si="1"/>
        <v/>
      </c>
    </row>
    <row r="711" spans="1:11">
      <c r="A711" s="1" t="s">
        <v>2249</v>
      </c>
      <c r="F711" s="14"/>
      <c r="J711" s="14"/>
      <c r="K711" s="14"/>
    </row>
    <row r="713" spans="1:11">
      <c r="A713" s="314" t="s">
        <v>2250</v>
      </c>
    </row>
    <row r="714" spans="1:11">
      <c r="A714" s="195" t="str">
        <f ca="1">IF(C714="","",MAX(A712:A$712)+1)</f>
        <v/>
      </c>
      <c r="B714" t="s">
        <v>2251</v>
      </c>
      <c r="C714" t="str">
        <f ca="1">CONCATENATE('Contact Summary'!B5)</f>
        <v/>
      </c>
      <c r="D714" t="str">
        <f ca="1">CONCATENATE('Contact Summary'!C5)</f>
        <v/>
      </c>
      <c r="E714" t="str">
        <f ca="1">CONCATENATE('Contact Summary'!D5)</f>
        <v/>
      </c>
      <c r="F714" t="str">
        <f ca="1">CONCATENATE('Contact Summary'!E5)</f>
        <v/>
      </c>
      <c r="G714" t="str">
        <f ca="1">CONCATENATE('Contact Summary'!F5)</f>
        <v/>
      </c>
      <c r="H714" t="str">
        <f ca="1">CONCATENATE('Contact Summary'!I5)</f>
        <v/>
      </c>
      <c r="I714" t="str">
        <f ca="1">CONCATENATE('Contact Summary'!J5)</f>
        <v/>
      </c>
      <c r="J714" t="s">
        <v>2251</v>
      </c>
      <c r="K714" t="s">
        <v>2252</v>
      </c>
    </row>
    <row r="715" spans="1:11">
      <c r="A715" s="195" t="str">
        <f ca="1">IF(C715="","",MAX(A$714:A714)+1)</f>
        <v/>
      </c>
      <c r="B715" t="s">
        <v>2223</v>
      </c>
      <c r="C715" t="str">
        <f ca="1">CONCATENATE('Contact Summary'!B6)</f>
        <v/>
      </c>
      <c r="D715" t="str">
        <f ca="1">CONCATENATE('Contact Summary'!C6)</f>
        <v/>
      </c>
      <c r="E715" t="str">
        <f ca="1">CONCATENATE('Contact Summary'!D6)</f>
        <v/>
      </c>
      <c r="F715" t="str">
        <f ca="1">CONCATENATE('Contact Summary'!E6)</f>
        <v/>
      </c>
      <c r="G715" t="str">
        <f ca="1">CONCATENATE('Contact Summary'!F6)</f>
        <v/>
      </c>
      <c r="H715" t="str">
        <f ca="1">CONCATENATE('Contact Summary'!I6)</f>
        <v/>
      </c>
      <c r="I715" t="str">
        <f ca="1">CONCATENATE('Contact Summary'!J6)</f>
        <v/>
      </c>
      <c r="J715" t="s">
        <v>2223</v>
      </c>
      <c r="K715" t="s">
        <v>2252</v>
      </c>
    </row>
    <row r="716" spans="1:11">
      <c r="A716" s="195" t="str">
        <f ca="1">IF(C716="","",MAX(A$712:A715)+1)</f>
        <v/>
      </c>
      <c r="B716" t="s">
        <v>2253</v>
      </c>
      <c r="C716" t="str">
        <f ca="1">CONCATENATE('Contact Summary'!B7)</f>
        <v/>
      </c>
      <c r="D716" t="str">
        <f ca="1">CONCATENATE('Contact Summary'!C7)</f>
        <v/>
      </c>
      <c r="E716" t="str">
        <f ca="1">CONCATENATE('Contact Summary'!D7)</f>
        <v/>
      </c>
      <c r="F716" t="str">
        <f ca="1">CONCATENATE('Contact Summary'!E7)</f>
        <v/>
      </c>
      <c r="G716" t="str">
        <f ca="1">CONCATENATE('Contact Summary'!F7)</f>
        <v/>
      </c>
      <c r="H716" t="str">
        <f ca="1">CONCATENATE('Contact Summary'!I7)</f>
        <v/>
      </c>
      <c r="I716" t="str">
        <f ca="1">CONCATENATE('Contact Summary'!J7)</f>
        <v/>
      </c>
      <c r="J716" t="s">
        <v>155</v>
      </c>
      <c r="K716" t="s">
        <v>2252</v>
      </c>
    </row>
    <row r="717" spans="1:11">
      <c r="A717" s="195" t="str">
        <f ca="1">IF(C717="","",MAX(A$712:A716)+1)</f>
        <v/>
      </c>
      <c r="B717" t="s">
        <v>2254</v>
      </c>
      <c r="C717" t="str">
        <f ca="1">CONCATENATE('Contact Summary'!B10)</f>
        <v/>
      </c>
      <c r="D717" t="str">
        <f ca="1">CONCATENATE('Contact Summary'!C10)</f>
        <v/>
      </c>
      <c r="E717" t="str">
        <f ca="1">CONCATENATE('Contact Summary'!D10)</f>
        <v/>
      </c>
      <c r="F717" t="str">
        <f ca="1">CONCATENATE('Contact Summary'!E10)</f>
        <v/>
      </c>
      <c r="G717" t="str">
        <f ca="1">CONCATENATE('Contact Summary'!F10)</f>
        <v/>
      </c>
      <c r="H717" t="str">
        <f ca="1">CONCATENATE('Contact Summary'!I10)</f>
        <v/>
      </c>
      <c r="I717" t="str">
        <f ca="1">CONCATENATE('Contact Summary'!J10)</f>
        <v/>
      </c>
      <c r="J717" t="s">
        <v>2255</v>
      </c>
      <c r="K717" t="s">
        <v>2252</v>
      </c>
    </row>
    <row r="718" spans="1:11">
      <c r="A718" s="195" t="str">
        <f ca="1">IF(C718="","",MAX(A$712:A717)+1)</f>
        <v/>
      </c>
      <c r="B718" t="s">
        <v>2256</v>
      </c>
      <c r="C718" t="str">
        <f ca="1">CONCATENATE('Contact Summary'!B12)</f>
        <v/>
      </c>
      <c r="D718" t="str">
        <f ca="1">CONCATENATE('Contact Summary'!C12)</f>
        <v/>
      </c>
      <c r="E718" t="str">
        <f ca="1">CONCATENATE('Contact Summary'!D12)</f>
        <v/>
      </c>
      <c r="F718" t="str">
        <f ca="1">CONCATENATE('Contact Summary'!E12)</f>
        <v/>
      </c>
      <c r="G718" t="str">
        <f ca="1">CONCATENATE('Contact Summary'!F12)</f>
        <v/>
      </c>
      <c r="H718" t="str">
        <f ca="1">CONCATENATE('Contact Summary'!I12)</f>
        <v/>
      </c>
      <c r="I718" t="str">
        <f ca="1">CONCATENATE('Contact Summary'!J12)</f>
        <v/>
      </c>
      <c r="J718" t="s">
        <v>182</v>
      </c>
      <c r="K718" t="s">
        <v>2252</v>
      </c>
    </row>
    <row r="719" spans="1:11">
      <c r="A719" s="195" t="str">
        <f ca="1">IF(C719="","",MAX(A$712:A718)+1)</f>
        <v/>
      </c>
      <c r="B719" t="s">
        <v>2257</v>
      </c>
      <c r="C719" t="str">
        <f ca="1">CONCATENATE('Contact Summary'!B13)</f>
        <v/>
      </c>
      <c r="D719" t="str">
        <f ca="1">CONCATENATE('Contact Summary'!C13)</f>
        <v/>
      </c>
      <c r="E719" t="str">
        <f ca="1">CONCATENATE('Contact Summary'!D13)</f>
        <v/>
      </c>
      <c r="F719" t="str">
        <f ca="1">CONCATENATE('Contact Summary'!E13)</f>
        <v/>
      </c>
      <c r="G719" t="str">
        <f ca="1">CONCATENATE('Contact Summary'!F13)</f>
        <v/>
      </c>
      <c r="H719" t="str">
        <f ca="1">CONCATENATE('Contact Summary'!I13)</f>
        <v/>
      </c>
      <c r="I719" t="str">
        <f ca="1">CONCATENATE('Contact Summary'!J13)</f>
        <v/>
      </c>
      <c r="J719" t="s">
        <v>2258</v>
      </c>
      <c r="K719" t="s">
        <v>2252</v>
      </c>
    </row>
    <row r="720" spans="1:11">
      <c r="A720" s="195" t="str">
        <f ca="1">IF(C720="","",MAX(A$712:A719)+1)</f>
        <v/>
      </c>
      <c r="B720" t="s">
        <v>2259</v>
      </c>
      <c r="C720" t="str">
        <f ca="1">CONCATENATE('Contact Summary'!B15)</f>
        <v/>
      </c>
      <c r="D720" t="str">
        <f ca="1">CONCATENATE('Contact Summary'!C15)</f>
        <v/>
      </c>
      <c r="E720" t="str">
        <f ca="1">CONCATENATE('Contact Summary'!D15)</f>
        <v/>
      </c>
      <c r="F720" t="str">
        <f ca="1">CONCATENATE('Contact Summary'!E15)</f>
        <v/>
      </c>
      <c r="G720" t="str">
        <f ca="1">CONCATENATE('Contact Summary'!F15)</f>
        <v/>
      </c>
      <c r="H720" t="str">
        <f ca="1">CONCATENATE('Contact Summary'!I15)</f>
        <v/>
      </c>
      <c r="I720" t="str">
        <f ca="1">CONCATENATE('Contact Summary'!J15)</f>
        <v/>
      </c>
      <c r="J720" t="s">
        <v>2259</v>
      </c>
      <c r="K720" t="s">
        <v>2252</v>
      </c>
    </row>
    <row r="721" spans="1:11">
      <c r="A721" s="195" t="str">
        <f ca="1">IF(C721="","",MAX(A$712:A720)+1)</f>
        <v/>
      </c>
      <c r="B721" t="s">
        <v>2260</v>
      </c>
      <c r="C721" t="str">
        <f ca="1">CONCATENATE('Contact Summary'!B18)</f>
        <v/>
      </c>
      <c r="D721" t="str">
        <f ca="1">CONCATENATE('Contact Summary'!C18)</f>
        <v/>
      </c>
      <c r="E721" t="str">
        <f ca="1">CONCATENATE('Contact Summary'!D18)</f>
        <v/>
      </c>
      <c r="F721" t="str">
        <f ca="1">CONCATENATE('Contact Summary'!E18)</f>
        <v/>
      </c>
      <c r="G721" t="str">
        <f ca="1">CONCATENATE('Contact Summary'!F18)</f>
        <v/>
      </c>
      <c r="H721" t="str">
        <f ca="1">CONCATENATE('Contact Summary'!I18)</f>
        <v/>
      </c>
      <c r="I721" t="str">
        <f ca="1">CONCATENATE('Contact Summary'!J18)</f>
        <v/>
      </c>
      <c r="J721" t="s">
        <v>2261</v>
      </c>
      <c r="K721" t="s">
        <v>2252</v>
      </c>
    </row>
    <row r="722" spans="1:11">
      <c r="A722" s="195" t="str">
        <f ca="1">IF(C722="","",MAX(A$712:A721)+1)</f>
        <v/>
      </c>
      <c r="B722" t="s">
        <v>2262</v>
      </c>
      <c r="C722" t="str">
        <f ca="1">CONCATENATE('Contact Summary'!B19)</f>
        <v/>
      </c>
      <c r="D722" t="str">
        <f ca="1">CONCATENATE('Contact Summary'!C19)</f>
        <v/>
      </c>
      <c r="E722" t="str">
        <f ca="1">CONCATENATE('Contact Summary'!D19)</f>
        <v/>
      </c>
      <c r="F722" t="str">
        <f ca="1">CONCATENATE('Contact Summary'!E19)</f>
        <v/>
      </c>
      <c r="G722" t="str">
        <f ca="1">CONCATENATE('Contact Summary'!F19)</f>
        <v/>
      </c>
      <c r="H722" t="str">
        <f ca="1">CONCATENATE('Contact Summary'!I19)</f>
        <v/>
      </c>
      <c r="I722" t="str">
        <f ca="1">CONCATENATE('Contact Summary'!J19)</f>
        <v/>
      </c>
      <c r="J722" t="s">
        <v>2263</v>
      </c>
      <c r="K722" t="s">
        <v>2252</v>
      </c>
    </row>
    <row r="723" spans="1:11">
      <c r="A723" s="195" t="str">
        <f ca="1">IF(C723="","",MAX(A$712:A722)+1)</f>
        <v/>
      </c>
      <c r="B723" t="s">
        <v>2264</v>
      </c>
      <c r="C723" t="str">
        <f ca="1">CONCATENATE('Contact Summary'!B20)</f>
        <v/>
      </c>
      <c r="D723" t="str">
        <f ca="1">CONCATENATE('Contact Summary'!C20)</f>
        <v/>
      </c>
      <c r="E723" t="str">
        <f ca="1">CONCATENATE('Contact Summary'!D20)</f>
        <v/>
      </c>
      <c r="F723" t="str">
        <f ca="1">CONCATENATE('Contact Summary'!E20)</f>
        <v/>
      </c>
      <c r="G723" t="str">
        <f ca="1">CONCATENATE('Contact Summary'!F20)</f>
        <v/>
      </c>
      <c r="H723" t="str">
        <f ca="1">CONCATENATE('Contact Summary'!I20)</f>
        <v/>
      </c>
      <c r="I723" t="str">
        <f ca="1">CONCATENATE('Contact Summary'!J20)</f>
        <v/>
      </c>
      <c r="J723" t="s">
        <v>2265</v>
      </c>
      <c r="K723" t="s">
        <v>2252</v>
      </c>
    </row>
    <row r="724" spans="1:11">
      <c r="A724" s="195" t="str">
        <f ca="1">IF(C724="","",MAX(A$712:A723)+1)</f>
        <v/>
      </c>
      <c r="B724" t="s">
        <v>2266</v>
      </c>
      <c r="C724" t="str">
        <f ca="1">CONCATENATE('Contact Summary'!B21)</f>
        <v/>
      </c>
      <c r="D724" t="str">
        <f ca="1">CONCATENATE('Contact Summary'!C21)</f>
        <v/>
      </c>
      <c r="E724" t="str">
        <f ca="1">CONCATENATE('Contact Summary'!D21)</f>
        <v/>
      </c>
      <c r="F724" t="str">
        <f ca="1">CONCATENATE('Contact Summary'!E21)</f>
        <v/>
      </c>
      <c r="G724" t="str">
        <f ca="1">CONCATENATE('Contact Summary'!F21)</f>
        <v/>
      </c>
      <c r="H724" t="str">
        <f ca="1">CONCATENATE('Contact Summary'!I21)</f>
        <v/>
      </c>
      <c r="I724" t="str">
        <f ca="1">CONCATENATE('Contact Summary'!J21)</f>
        <v/>
      </c>
      <c r="J724" t="s">
        <v>190</v>
      </c>
      <c r="K724" t="s">
        <v>2252</v>
      </c>
    </row>
    <row r="725" spans="1:11">
      <c r="A725" s="195" t="str">
        <f ca="1">IF(C725="","",MAX(A$712:A724)+1)</f>
        <v/>
      </c>
      <c r="B725" t="s">
        <v>2227</v>
      </c>
      <c r="C725" t="str">
        <f ca="1">CONCATENATE('Contact Summary'!B23)</f>
        <v/>
      </c>
      <c r="D725" t="str">
        <f ca="1">CONCATENATE('Contact Summary'!C23)</f>
        <v/>
      </c>
      <c r="E725" t="str">
        <f ca="1">CONCATENATE('Contact Summary'!D23)</f>
        <v/>
      </c>
      <c r="F725" t="str">
        <f ca="1">CONCATENATE('Contact Summary'!E23)</f>
        <v/>
      </c>
      <c r="G725" t="str">
        <f ca="1">CONCATENATE('Contact Summary'!F23)</f>
        <v/>
      </c>
      <c r="H725" t="str">
        <f ca="1">CONCATENATE('Contact Summary'!I23)</f>
        <v/>
      </c>
      <c r="I725" t="str">
        <f ca="1">CONCATENATE('Contact Summary'!J23)</f>
        <v/>
      </c>
      <c r="J725" t="s">
        <v>192</v>
      </c>
      <c r="K725" t="s">
        <v>2252</v>
      </c>
    </row>
    <row r="726" spans="1:11">
      <c r="A726" s="195" t="str">
        <f ca="1">IF(C726="","",MAX(A$712:A725)+1)</f>
        <v/>
      </c>
      <c r="B726" t="s">
        <v>2267</v>
      </c>
      <c r="C726" t="str">
        <f ca="1">CONCATENATE('Contact Summary'!B24)</f>
        <v/>
      </c>
      <c r="D726" t="str">
        <f ca="1">CONCATENATE('Contact Summary'!C24)</f>
        <v/>
      </c>
      <c r="E726" t="str">
        <f ca="1">CONCATENATE('Contact Summary'!D24)</f>
        <v/>
      </c>
      <c r="F726" t="str">
        <f ca="1">CONCATENATE('Contact Summary'!E24)</f>
        <v/>
      </c>
      <c r="G726" t="str">
        <f ca="1">CONCATENATE('Contact Summary'!F24)</f>
        <v/>
      </c>
      <c r="H726" t="str">
        <f ca="1">CONCATENATE('Contact Summary'!I24)</f>
        <v/>
      </c>
      <c r="I726" t="str">
        <f ca="1">CONCATENATE('Contact Summary'!J24)</f>
        <v/>
      </c>
      <c r="J726" t="s">
        <v>2268</v>
      </c>
      <c r="K726" t="s">
        <v>2252</v>
      </c>
    </row>
    <row r="727" spans="1:11">
      <c r="A727" s="195" t="str">
        <f ca="1">IF(C727="","",MAX(A$712:A726)+1)</f>
        <v/>
      </c>
      <c r="B727" t="s">
        <v>2269</v>
      </c>
      <c r="C727" t="str">
        <f ca="1">CONCATENATE('Contact Summary'!B25)</f>
        <v/>
      </c>
      <c r="D727" t="str">
        <f ca="1">CONCATENATE('Contact Summary'!C25)</f>
        <v/>
      </c>
      <c r="E727" t="str">
        <f ca="1">CONCATENATE('Contact Summary'!D25)</f>
        <v/>
      </c>
      <c r="F727" t="str">
        <f ca="1">CONCATENATE('Contact Summary'!E25)</f>
        <v/>
      </c>
      <c r="G727" t="str">
        <f ca="1">CONCATENATE('Contact Summary'!F25)</f>
        <v/>
      </c>
      <c r="H727" t="str">
        <f ca="1">CONCATENATE('Contact Summary'!I25)</f>
        <v/>
      </c>
      <c r="I727" t="str">
        <f ca="1">CONCATENATE('Contact Summary'!J25)</f>
        <v/>
      </c>
      <c r="J727" t="s">
        <v>2223</v>
      </c>
      <c r="K727" t="s">
        <v>2252</v>
      </c>
    </row>
    <row r="728" spans="1:11">
      <c r="A728" s="195" t="str">
        <f ca="1">IF(C728="","",MAX(A$712:A727)+1)</f>
        <v/>
      </c>
      <c r="B728" t="s">
        <v>2270</v>
      </c>
      <c r="C728" t="str">
        <f ca="1">CONCATENATE('Contact Summary'!B26)</f>
        <v/>
      </c>
      <c r="D728" t="str">
        <f ca="1">CONCATENATE('Contact Summary'!C26)</f>
        <v/>
      </c>
      <c r="E728" t="str">
        <f ca="1">CONCATENATE('Contact Summary'!D26)</f>
        <v/>
      </c>
      <c r="F728" t="str">
        <f ca="1">CONCATENATE('Contact Summary'!E26)</f>
        <v/>
      </c>
      <c r="G728" t="str">
        <f ca="1">CONCATENATE('Contact Summary'!F26)</f>
        <v/>
      </c>
      <c r="H728" t="str">
        <f ca="1">CONCATENATE('Contact Summary'!I26)</f>
        <v/>
      </c>
      <c r="I728" t="str">
        <f ca="1">CONCATENATE('Contact Summary'!J26)</f>
        <v/>
      </c>
      <c r="J728" t="s">
        <v>195</v>
      </c>
      <c r="K728" t="s">
        <v>2252</v>
      </c>
    </row>
    <row r="729" spans="1:11" s="320" customFormat="1">
      <c r="A729" s="863"/>
      <c r="B729" s="863"/>
      <c r="C729" s="863"/>
      <c r="D729" s="863"/>
      <c r="E729" s="863"/>
      <c r="F729" s="863"/>
      <c r="G729" s="863"/>
      <c r="H729" s="863"/>
      <c r="I729" s="863"/>
      <c r="J729" s="863"/>
      <c r="K729" s="863"/>
    </row>
    <row r="734" spans="1:11">
      <c r="A734" t="str">
        <f>'Contact Summary'!A44</f>
        <v xml:space="preserve">Has the applicant, or other principals of the development's ownership entity, previously received tax credits in Colorado? </v>
      </c>
      <c r="B734" t="s">
        <v>2271</v>
      </c>
      <c r="C734" t="b">
        <f>'Contact Information'!B25= "Yes"</f>
        <v>0</v>
      </c>
      <c r="D734" t="s">
        <v>2272</v>
      </c>
    </row>
    <row r="735" spans="1:11">
      <c r="A735" t="str">
        <f>'Contact Summary'!A49</f>
        <v>Has the applicant, or other principals of the development's ownership entity, previously received tax credits in other states?</v>
      </c>
      <c r="B735" t="s">
        <v>2273</v>
      </c>
      <c r="C735" t="b">
        <f>'Contact Information'!B27 = "Yes"</f>
        <v>0</v>
      </c>
      <c r="D735" t="s">
        <v>2274</v>
      </c>
    </row>
    <row r="736" spans="1:11">
      <c r="A736" t="s">
        <v>2275</v>
      </c>
      <c r="B736" t="s">
        <v>2276</v>
      </c>
      <c r="C736" s="320" t="b">
        <f>'Contact Information'!B343="Bonds are Private Placement"</f>
        <v>0</v>
      </c>
      <c r="D736" t="s">
        <v>2277</v>
      </c>
    </row>
    <row r="737" spans="1:4">
      <c r="A737" t="s">
        <v>2278</v>
      </c>
      <c r="B737" t="s">
        <v>2279</v>
      </c>
      <c r="C737" s="320" t="b">
        <f>'Contact Information'!B343="Bonds are Public Placement"</f>
        <v>0</v>
      </c>
      <c r="D737" t="s">
        <v>2280</v>
      </c>
    </row>
    <row r="738" spans="1:4">
      <c r="A738" t="s">
        <v>2281</v>
      </c>
      <c r="B738" t="s">
        <v>2282</v>
      </c>
      <c r="C738" t="str">
        <f ca="1">CONCATENATE('Contact Summary'!B30)</f>
        <v/>
      </c>
      <c r="D738" t="s">
        <v>2283</v>
      </c>
    </row>
    <row r="739" spans="1:4">
      <c r="A739" t="s">
        <v>2284</v>
      </c>
      <c r="B739" t="s">
        <v>2285</v>
      </c>
      <c r="C739" s="320" t="str">
        <f ca="1">CONCATENATE('Contact Summary'!G30, " ", 'Contact Summary'!H30)</f>
        <v xml:space="preserve"> </v>
      </c>
      <c r="D739" t="s">
        <v>2286</v>
      </c>
    </row>
    <row r="740" spans="1:4">
      <c r="A740" t="s">
        <v>2242</v>
      </c>
      <c r="B740" t="s">
        <v>2287</v>
      </c>
      <c r="C740" t="str">
        <f ca="1">CONCATENATE('Contact Summary'!C30)</f>
        <v/>
      </c>
      <c r="D740" t="s">
        <v>2288</v>
      </c>
    </row>
    <row r="741" spans="1:4">
      <c r="A741" t="s">
        <v>126</v>
      </c>
      <c r="B741" t="s">
        <v>2289</v>
      </c>
      <c r="C741" t="str">
        <f ca="1">CONCATENATE('Contact Summary'!D30)</f>
        <v/>
      </c>
      <c r="D741" t="s">
        <v>2290</v>
      </c>
    </row>
    <row r="742" spans="1:4">
      <c r="A742" t="s">
        <v>2291</v>
      </c>
      <c r="B742" t="s">
        <v>2292</v>
      </c>
      <c r="C742" t="str">
        <f ca="1">CONCATENATE('Contact Summary'!F30)</f>
        <v/>
      </c>
      <c r="D742" t="s">
        <v>2293</v>
      </c>
    </row>
    <row r="743" spans="1:4">
      <c r="A743" t="s">
        <v>2294</v>
      </c>
      <c r="B743" t="s">
        <v>2295</v>
      </c>
      <c r="C743" t="str">
        <f ca="1">CONCATENATE('Contact Summary'!I30)</f>
        <v/>
      </c>
      <c r="D743" t="s">
        <v>2296</v>
      </c>
    </row>
    <row r="744" spans="1:4">
      <c r="A744" t="s">
        <v>2297</v>
      </c>
      <c r="C744" t="str">
        <f ca="1">CONCATENATE('Contact Summary'!E30)</f>
        <v/>
      </c>
    </row>
    <row r="745" spans="1:4">
      <c r="A745" t="s">
        <v>2298</v>
      </c>
      <c r="C745" t="str">
        <f ca="1">CONCATENATE('Contact Summary'!J30)</f>
        <v/>
      </c>
    </row>
    <row r="746" spans="1:4">
      <c r="A746" t="s">
        <v>2299</v>
      </c>
      <c r="B746" t="s">
        <v>2300</v>
      </c>
      <c r="C746" t="str">
        <f ca="1">CONCATENATE('Contact Summary'!B34)</f>
        <v/>
      </c>
      <c r="D746" t="s">
        <v>2301</v>
      </c>
    </row>
    <row r="747" spans="1:4">
      <c r="A747" t="s">
        <v>2284</v>
      </c>
      <c r="B747" t="s">
        <v>2302</v>
      </c>
      <c r="C747" s="320" t="str">
        <f ca="1">CONCATENATE('Contact Summary'!G34, " ", 'Contact Summary'!H34)</f>
        <v xml:space="preserve"> </v>
      </c>
      <c r="D747" t="s">
        <v>2303</v>
      </c>
    </row>
    <row r="748" spans="1:4">
      <c r="A748" t="s">
        <v>2242</v>
      </c>
      <c r="B748" t="s">
        <v>2304</v>
      </c>
      <c r="C748" t="str">
        <f ca="1">CONCATENATE('Contact Summary'!C34)</f>
        <v/>
      </c>
      <c r="D748" t="s">
        <v>2305</v>
      </c>
    </row>
    <row r="749" spans="1:4">
      <c r="A749" t="s">
        <v>2306</v>
      </c>
      <c r="B749" t="s">
        <v>2307</v>
      </c>
      <c r="C749" t="str">
        <f ca="1">CONCATENATE('Contact Summary'!D34)</f>
        <v/>
      </c>
      <c r="D749" t="s">
        <v>2308</v>
      </c>
    </row>
    <row r="750" spans="1:4">
      <c r="A750" t="s">
        <v>2291</v>
      </c>
      <c r="B750" t="s">
        <v>2309</v>
      </c>
      <c r="C750" t="str">
        <f ca="1">CONCATENATE('Contact Summary'!F34)</f>
        <v/>
      </c>
      <c r="D750" t="s">
        <v>2310</v>
      </c>
    </row>
    <row r="751" spans="1:4">
      <c r="A751" t="s">
        <v>2311</v>
      </c>
      <c r="B751" t="s">
        <v>2312</v>
      </c>
      <c r="C751" t="str">
        <f ca="1">CONCATENATE('Contact Summary'!I34)</f>
        <v/>
      </c>
      <c r="D751" t="s">
        <v>2313</v>
      </c>
    </row>
    <row r="752" spans="1:4">
      <c r="A752" t="s">
        <v>127</v>
      </c>
      <c r="C752" t="str">
        <f ca="1">CONCATENATE('Contact Summary'!E34)</f>
        <v/>
      </c>
    </row>
    <row r="753" spans="1:20">
      <c r="A753" t="s">
        <v>123</v>
      </c>
      <c r="C753" t="str">
        <f ca="1">CONCATENATE('Contact Summary'!J34)</f>
        <v/>
      </c>
    </row>
    <row r="754" spans="1:20">
      <c r="A754" t="s">
        <v>2314</v>
      </c>
      <c r="B754" t="s">
        <v>2315</v>
      </c>
      <c r="C754" s="320" t="str">
        <f ca="1">CONCATENATE('Contact Summary'!G31, " ", 'Contact Summary'!H31)</f>
        <v xml:space="preserve"> </v>
      </c>
    </row>
    <row r="755" spans="1:20">
      <c r="A755" t="s">
        <v>2316</v>
      </c>
      <c r="C755" s="320" t="str">
        <f ca="1">CONCATENATE('Contact Summary'!J31)</f>
        <v/>
      </c>
    </row>
    <row r="756" spans="1:20">
      <c r="A756" t="s">
        <v>1031</v>
      </c>
      <c r="B756" t="s">
        <v>2317</v>
      </c>
      <c r="C756">
        <f>Calculations!L267</f>
        <v>0</v>
      </c>
      <c r="D756" t="s">
        <v>2318</v>
      </c>
    </row>
    <row r="757" spans="1:20">
      <c r="A757" t="s">
        <v>2319</v>
      </c>
      <c r="B757" t="s">
        <v>2320</v>
      </c>
      <c r="C757">
        <f>Calculations!B26</f>
        <v>0</v>
      </c>
      <c r="D757" t="s">
        <v>2321</v>
      </c>
    </row>
    <row r="758" spans="1:20">
      <c r="A758" t="s">
        <v>226</v>
      </c>
      <c r="C758" s="886" t="str">
        <f>Application!B11</f>
        <v/>
      </c>
    </row>
    <row r="759" spans="1:20">
      <c r="A759" t="s">
        <v>233</v>
      </c>
      <c r="B759" t="s">
        <v>2322</v>
      </c>
      <c r="C759">
        <f>Application!B17</f>
        <v>0</v>
      </c>
      <c r="D759" t="s">
        <v>2323</v>
      </c>
      <c r="E759" t="s">
        <v>2324</v>
      </c>
    </row>
    <row r="760" spans="1:20" s="320" customFormat="1">
      <c r="A760" s="320" t="s">
        <v>234</v>
      </c>
      <c r="C760" s="320">
        <f>Application!B18</f>
        <v>0</v>
      </c>
    </row>
    <row r="761" spans="1:20" s="320" customFormat="1">
      <c r="A761" s="320" t="s">
        <v>4217</v>
      </c>
      <c r="C761" s="320" t="b">
        <f>Application!$B$12="Yes"</f>
        <v>0</v>
      </c>
    </row>
    <row r="762" spans="1:20" s="320" customFormat="1">
      <c r="A762" s="320" t="s">
        <v>4191</v>
      </c>
      <c r="C762" s="320">
        <f>Calculations!B610</f>
        <v>0</v>
      </c>
    </row>
    <row r="763" spans="1:20" s="71" customFormat="1">
      <c r="A763" t="s">
        <v>383</v>
      </c>
      <c r="B763" t="s">
        <v>2325</v>
      </c>
      <c r="C763" s="320">
        <f>Financing!B39</f>
        <v>0</v>
      </c>
      <c r="D763" s="320" t="s">
        <v>2326</v>
      </c>
      <c r="E763"/>
      <c r="F763"/>
      <c r="G763"/>
      <c r="H763"/>
      <c r="I763"/>
      <c r="J763"/>
      <c r="K763"/>
      <c r="L763"/>
      <c r="M763"/>
      <c r="N763"/>
      <c r="O763"/>
      <c r="P763"/>
      <c r="Q763"/>
      <c r="R763"/>
      <c r="S763"/>
      <c r="T763"/>
    </row>
    <row r="764" spans="1:20" s="71" customFormat="1">
      <c r="A764" t="s">
        <v>816</v>
      </c>
      <c r="B764"/>
      <c r="C764" t="str">
        <f ca="1">CONCATENATE('Contact Summary'!G32, " ", 'Contact Summary'!H32)</f>
        <v xml:space="preserve"> </v>
      </c>
      <c r="D764"/>
      <c r="E764"/>
      <c r="F764"/>
      <c r="G764"/>
      <c r="H764"/>
      <c r="I764"/>
      <c r="J764"/>
      <c r="K764"/>
      <c r="L764"/>
      <c r="M764"/>
      <c r="N764"/>
      <c r="O764"/>
      <c r="P764"/>
      <c r="Q764"/>
      <c r="R764"/>
      <c r="S764"/>
      <c r="T764"/>
    </row>
    <row r="765" spans="1:20" s="18" customFormat="1">
      <c r="A765" t="s">
        <v>2327</v>
      </c>
      <c r="B765"/>
      <c r="C765" s="18" t="str">
        <f ca="1">CONCATENATE('Contact Summary'!J32)</f>
        <v/>
      </c>
    </row>
    <row r="766" spans="1:20">
      <c r="A766" t="s">
        <v>2328</v>
      </c>
      <c r="B766" t="s">
        <v>2329</v>
      </c>
      <c r="C766">
        <f>Calculations!B361</f>
        <v>0</v>
      </c>
      <c r="D766" t="s">
        <v>2330</v>
      </c>
    </row>
    <row r="767" spans="1:20">
      <c r="A767" t="s">
        <v>2331</v>
      </c>
      <c r="B767" t="s">
        <v>2332</v>
      </c>
      <c r="C767">
        <f>Calculations!B362</f>
        <v>0</v>
      </c>
      <c r="D767" t="s">
        <v>2333</v>
      </c>
    </row>
    <row r="768" spans="1:20">
      <c r="A768" t="s">
        <v>959</v>
      </c>
      <c r="B768" t="s">
        <v>2334</v>
      </c>
      <c r="C768">
        <f>Calculations!B363</f>
        <v>0</v>
      </c>
      <c r="D768" t="s">
        <v>2335</v>
      </c>
    </row>
    <row r="769" spans="1:6">
      <c r="A769" t="s">
        <v>564</v>
      </c>
      <c r="B769" t="s">
        <v>2336</v>
      </c>
      <c r="C769">
        <f>'Proforma, Income &amp; Expense'!B18</f>
        <v>0</v>
      </c>
      <c r="D769" t="s">
        <v>2337</v>
      </c>
    </row>
    <row r="772" spans="1:6">
      <c r="A772" t="s">
        <v>2338</v>
      </c>
      <c r="B772" t="s">
        <v>2339</v>
      </c>
      <c r="C772" t="e">
        <f>IF($E$772=2, Calculations!$H$45, 0)</f>
        <v>#N/A</v>
      </c>
      <c r="D772" t="s">
        <v>2340</v>
      </c>
      <c r="E772" t="e">
        <f>MATCH(Application!$B$9, Developer_Additional_Question_Table[Developer Additional Question], 0)</f>
        <v>#N/A</v>
      </c>
      <c r="F772" s="301" t="s">
        <v>2341</v>
      </c>
    </row>
    <row r="773" spans="1:6">
      <c r="A773" t="s">
        <v>2342</v>
      </c>
      <c r="B773" t="s">
        <v>2343</v>
      </c>
      <c r="C773" t="e">
        <f>IF($E$772=2, Calculations!$B$403, 0)</f>
        <v>#N/A</v>
      </c>
      <c r="D773" t="s">
        <v>2344</v>
      </c>
      <c r="E773" t="s">
        <v>2345</v>
      </c>
    </row>
    <row r="774" spans="1:6">
      <c r="A774" t="s">
        <v>2346</v>
      </c>
      <c r="B774" t="s">
        <v>2347</v>
      </c>
      <c r="C774" t="e">
        <f>IF($E$772=1, Calculations!$H$45, 0)</f>
        <v>#N/A</v>
      </c>
      <c r="D774" t="s">
        <v>2348</v>
      </c>
    </row>
    <row r="775" spans="1:6">
      <c r="A775" t="s">
        <v>2349</v>
      </c>
      <c r="B775" t="s">
        <v>2350</v>
      </c>
      <c r="C775" s="70" t="e">
        <f>IF($E$772=1, Calculations!$B$403, 0)</f>
        <v>#N/A</v>
      </c>
      <c r="D775" t="s">
        <v>2351</v>
      </c>
      <c r="E775" t="s">
        <v>2352</v>
      </c>
    </row>
    <row r="779" spans="1:6">
      <c r="A779" t="s">
        <v>2353</v>
      </c>
      <c r="B779" t="s">
        <v>2354</v>
      </c>
      <c r="C779" s="320" t="b">
        <f>'Cost Summary'!C5="Yes"</f>
        <v>0</v>
      </c>
    </row>
    <row r="780" spans="1:6">
      <c r="A780" s="65" t="str">
        <f>'Cost Summary'!B8</f>
        <v>General Requirements</v>
      </c>
      <c r="B780" t="s">
        <v>2355</v>
      </c>
      <c r="C780" s="12">
        <f>'Cost Summary'!C8</f>
        <v>0</v>
      </c>
      <c r="D780" t="s">
        <v>2356</v>
      </c>
    </row>
    <row r="781" spans="1:6">
      <c r="A781" s="65" t="str">
        <f>'Cost Summary'!B9</f>
        <v>Existing Conditions</v>
      </c>
      <c r="B781" t="s">
        <v>2357</v>
      </c>
      <c r="C781" s="12">
        <f>'Cost Summary'!C9</f>
        <v>0</v>
      </c>
      <c r="D781" t="s">
        <v>2358</v>
      </c>
    </row>
    <row r="782" spans="1:6">
      <c r="A782" s="65" t="str">
        <f>'Cost Summary'!B10</f>
        <v>Concrete</v>
      </c>
      <c r="B782" t="s">
        <v>2359</v>
      </c>
      <c r="C782" s="12">
        <f>'Cost Summary'!C10</f>
        <v>0</v>
      </c>
      <c r="D782" t="s">
        <v>2360</v>
      </c>
    </row>
    <row r="783" spans="1:6">
      <c r="A783" s="65" t="str">
        <f>'Cost Summary'!B11</f>
        <v>Masonry</v>
      </c>
      <c r="B783" t="s">
        <v>2361</v>
      </c>
      <c r="C783" s="12">
        <f>'Cost Summary'!C11</f>
        <v>0</v>
      </c>
      <c r="D783" t="s">
        <v>2362</v>
      </c>
    </row>
    <row r="784" spans="1:6">
      <c r="A784" s="65" t="str">
        <f>'Cost Summary'!B12</f>
        <v>Metals</v>
      </c>
      <c r="B784" t="s">
        <v>2363</v>
      </c>
      <c r="C784" s="12">
        <f>'Cost Summary'!C12</f>
        <v>0</v>
      </c>
      <c r="D784" t="s">
        <v>2364</v>
      </c>
    </row>
    <row r="785" spans="1:4">
      <c r="A785" s="65" t="str">
        <f>'Cost Summary'!B13</f>
        <v>Wood, Plastics &amp; Composites</v>
      </c>
      <c r="B785" t="s">
        <v>2365</v>
      </c>
      <c r="C785" s="12">
        <f>'Cost Summary'!C13</f>
        <v>0</v>
      </c>
      <c r="D785" t="s">
        <v>2366</v>
      </c>
    </row>
    <row r="786" spans="1:4">
      <c r="A786" s="65" t="str">
        <f>'Cost Summary'!B14</f>
        <v>Thermal and Moisture Protection</v>
      </c>
      <c r="B786" t="s">
        <v>2367</v>
      </c>
      <c r="C786" s="12">
        <f>'Cost Summary'!C14</f>
        <v>0</v>
      </c>
      <c r="D786" t="s">
        <v>2368</v>
      </c>
    </row>
    <row r="787" spans="1:4">
      <c r="A787" s="65" t="str">
        <f>'Cost Summary'!B15</f>
        <v>Openings</v>
      </c>
      <c r="B787" t="s">
        <v>2369</v>
      </c>
      <c r="C787" s="12">
        <f>'Cost Summary'!C15</f>
        <v>0</v>
      </c>
      <c r="D787" t="s">
        <v>2370</v>
      </c>
    </row>
    <row r="788" spans="1:4">
      <c r="A788" s="65" t="str">
        <f>'Cost Summary'!B16</f>
        <v>Finishes</v>
      </c>
      <c r="B788" t="s">
        <v>2371</v>
      </c>
      <c r="C788" s="12">
        <f>'Cost Summary'!C16</f>
        <v>0</v>
      </c>
      <c r="D788" t="s">
        <v>2372</v>
      </c>
    </row>
    <row r="789" spans="1:4">
      <c r="A789" s="65" t="str">
        <f>'Cost Summary'!B17</f>
        <v>Specialties</v>
      </c>
      <c r="B789" t="s">
        <v>2373</v>
      </c>
      <c r="C789" s="12">
        <f>'Cost Summary'!C17</f>
        <v>0</v>
      </c>
      <c r="D789" t="s">
        <v>2374</v>
      </c>
    </row>
    <row r="790" spans="1:4">
      <c r="A790" s="65" t="str">
        <f>'Cost Summary'!B18</f>
        <v>Equipment</v>
      </c>
      <c r="B790" t="s">
        <v>2375</v>
      </c>
      <c r="C790" s="12">
        <f>'Cost Summary'!C18</f>
        <v>0</v>
      </c>
      <c r="D790" t="s">
        <v>2376</v>
      </c>
    </row>
    <row r="791" spans="1:4">
      <c r="A791" s="65" t="str">
        <f>'Cost Summary'!B19</f>
        <v>Furnishings</v>
      </c>
      <c r="B791" t="s">
        <v>2377</v>
      </c>
      <c r="C791" s="12">
        <f>'Cost Summary'!C19</f>
        <v>0</v>
      </c>
      <c r="D791" t="s">
        <v>2378</v>
      </c>
    </row>
    <row r="792" spans="1:4">
      <c r="A792" s="65" t="str">
        <f>'Cost Summary'!B20</f>
        <v>Special Construction</v>
      </c>
      <c r="B792" t="s">
        <v>2379</v>
      </c>
      <c r="C792" s="12">
        <f>'Cost Summary'!C20</f>
        <v>0</v>
      </c>
      <c r="D792" t="s">
        <v>2380</v>
      </c>
    </row>
    <row r="793" spans="1:4">
      <c r="A793" s="65" t="str">
        <f>'Cost Summary'!B21</f>
        <v>Conveying Equipment</v>
      </c>
      <c r="B793" t="s">
        <v>2381</v>
      </c>
      <c r="C793" s="12">
        <f>'Cost Summary'!C21</f>
        <v>0</v>
      </c>
      <c r="D793" t="s">
        <v>2382</v>
      </c>
    </row>
    <row r="794" spans="1:4">
      <c r="A794" s="65" t="str">
        <f>'Cost Summary'!B22</f>
        <v>Fire Suppression</v>
      </c>
      <c r="B794" t="s">
        <v>2383</v>
      </c>
      <c r="C794" s="12">
        <f>'Cost Summary'!C22</f>
        <v>0</v>
      </c>
      <c r="D794" t="s">
        <v>2384</v>
      </c>
    </row>
    <row r="795" spans="1:4">
      <c r="A795" s="65" t="str">
        <f>'Cost Summary'!B23</f>
        <v>Plumbing</v>
      </c>
      <c r="B795" t="s">
        <v>2385</v>
      </c>
      <c r="C795" s="12">
        <f>'Cost Summary'!C23</f>
        <v>0</v>
      </c>
      <c r="D795" t="s">
        <v>2386</v>
      </c>
    </row>
    <row r="796" spans="1:4">
      <c r="A796" s="65" t="str">
        <f>'Cost Summary'!B24</f>
        <v>Heating Ventilation Air Conditioning</v>
      </c>
      <c r="B796" t="s">
        <v>2387</v>
      </c>
      <c r="C796" s="12">
        <f>'Cost Summary'!C24</f>
        <v>0</v>
      </c>
      <c r="D796" t="s">
        <v>2388</v>
      </c>
    </row>
    <row r="797" spans="1:4">
      <c r="A797" s="65" t="str">
        <f>'Cost Summary'!B25</f>
        <v>Integrated Automation</v>
      </c>
      <c r="B797" t="s">
        <v>2389</v>
      </c>
      <c r="C797" s="12">
        <f>'Cost Summary'!C25</f>
        <v>0</v>
      </c>
      <c r="D797" t="s">
        <v>2390</v>
      </c>
    </row>
    <row r="798" spans="1:4">
      <c r="A798" s="65" t="str">
        <f>'Cost Summary'!B26</f>
        <v>Electrical</v>
      </c>
      <c r="B798" t="s">
        <v>2391</v>
      </c>
      <c r="C798" s="12">
        <f>'Cost Summary'!C26</f>
        <v>0</v>
      </c>
      <c r="D798" t="s">
        <v>2392</v>
      </c>
    </row>
    <row r="799" spans="1:4">
      <c r="A799" s="65" t="str">
        <f>'Cost Summary'!B27</f>
        <v>Communications</v>
      </c>
      <c r="B799" t="s">
        <v>2393</v>
      </c>
      <c r="C799" s="12">
        <f>'Cost Summary'!C27</f>
        <v>0</v>
      </c>
      <c r="D799" t="s">
        <v>2394</v>
      </c>
    </row>
    <row r="800" spans="1:4">
      <c r="A800" s="65" t="str">
        <f>'Cost Summary'!B28</f>
        <v>Electronic Safety &amp; Security</v>
      </c>
      <c r="B800" t="s">
        <v>2395</v>
      </c>
      <c r="C800" s="12">
        <f>'Cost Summary'!C28</f>
        <v>0</v>
      </c>
      <c r="D800" t="s">
        <v>2396</v>
      </c>
    </row>
    <row r="801" spans="1:4">
      <c r="A801" s="65" t="str">
        <f>'Cost Summary'!B29</f>
        <v>Earthwork</v>
      </c>
      <c r="B801" t="s">
        <v>2397</v>
      </c>
      <c r="C801" s="12">
        <f>'Cost Summary'!C29</f>
        <v>0</v>
      </c>
      <c r="D801" t="s">
        <v>2398</v>
      </c>
    </row>
    <row r="802" spans="1:4">
      <c r="A802" s="65" t="str">
        <f>'Cost Summary'!B30</f>
        <v>Exterior Improvements</v>
      </c>
      <c r="B802" t="s">
        <v>2399</v>
      </c>
      <c r="C802" s="12">
        <f>'Cost Summary'!C30</f>
        <v>0</v>
      </c>
      <c r="D802" t="s">
        <v>2400</v>
      </c>
    </row>
    <row r="803" spans="1:4">
      <c r="A803" s="65" t="str">
        <f>'Cost Summary'!B31</f>
        <v>Utilities</v>
      </c>
      <c r="B803" t="s">
        <v>2401</v>
      </c>
      <c r="C803" s="12">
        <f>'Cost Summary'!C31</f>
        <v>0</v>
      </c>
      <c r="D803" t="s">
        <v>2402</v>
      </c>
    </row>
    <row r="804" spans="1:4">
      <c r="A804" s="65" t="str">
        <f>'Cost Summary'!B32</f>
        <v>Transportation</v>
      </c>
      <c r="B804" t="s">
        <v>2403</v>
      </c>
      <c r="C804" s="12">
        <f>'Cost Summary'!C32</f>
        <v>0</v>
      </c>
      <c r="D804" t="s">
        <v>2404</v>
      </c>
    </row>
    <row r="805" spans="1:4">
      <c r="A805" s="65" t="s">
        <v>2405</v>
      </c>
      <c r="C805" s="12">
        <f>'Cost Summary'!C33</f>
        <v>0</v>
      </c>
      <c r="D805" t="s">
        <v>2406</v>
      </c>
    </row>
    <row r="806" spans="1:4">
      <c r="A806" s="65" t="str">
        <f>'Cost Summary'!B34</f>
        <v>[Other - describe]</v>
      </c>
      <c r="B806" t="s">
        <v>2407</v>
      </c>
      <c r="C806" s="12">
        <f>'Cost Summary'!C34</f>
        <v>0</v>
      </c>
      <c r="D806" t="s">
        <v>2408</v>
      </c>
    </row>
    <row r="807" spans="1:4">
      <c r="A807" s="65" t="str">
        <f>'Cost Summary'!B35</f>
        <v>[Other - describe]</v>
      </c>
      <c r="B807" t="s">
        <v>2409</v>
      </c>
      <c r="C807" s="12">
        <f>'Cost Summary'!C35</f>
        <v>0</v>
      </c>
      <c r="D807" t="s">
        <v>2410</v>
      </c>
    </row>
    <row r="808" spans="1:4">
      <c r="A808" s="65" t="str">
        <f>'Cost Summary'!B38</f>
        <v>Procurement Pre-construction, Design-Build</v>
      </c>
      <c r="B808" t="s">
        <v>2411</v>
      </c>
      <c r="C808" s="12">
        <f>'Cost Summary'!C38</f>
        <v>0</v>
      </c>
      <c r="D808" t="s">
        <v>2412</v>
      </c>
    </row>
    <row r="809" spans="1:4">
      <c r="A809" s="65" t="str">
        <f>'Cost Summary'!B39</f>
        <v>[Other - describe]</v>
      </c>
      <c r="B809" t="s">
        <v>2413</v>
      </c>
      <c r="C809" s="12">
        <f>'Cost Summary'!C39</f>
        <v>0</v>
      </c>
      <c r="D809" t="s">
        <v>2414</v>
      </c>
    </row>
    <row r="810" spans="1:4">
      <c r="A810" s="65" t="str">
        <f>'Cost Summary'!B40</f>
        <v>[Other - describe]</v>
      </c>
      <c r="B810" t="s">
        <v>2415</v>
      </c>
      <c r="C810" s="12">
        <f>'Cost Summary'!C40</f>
        <v>0</v>
      </c>
      <c r="D810" t="s">
        <v>2416</v>
      </c>
    </row>
    <row r="811" spans="1:4">
      <c r="A811" s="65" t="str">
        <f>'Cost Summary'!B41</f>
        <v>[Other - describe]</v>
      </c>
      <c r="B811" t="s">
        <v>2417</v>
      </c>
      <c r="C811" s="12">
        <f>'Cost Summary'!C41</f>
        <v>0</v>
      </c>
      <c r="D811" t="s">
        <v>2418</v>
      </c>
    </row>
    <row r="812" spans="1:4">
      <c r="A812" s="65" t="str">
        <f>'Cost Summary'!B44</f>
        <v>Payment &amp; Performance Bond</v>
      </c>
      <c r="B812" t="s">
        <v>2419</v>
      </c>
      <c r="C812" s="12">
        <f>'Cost Summary'!C44</f>
        <v>0</v>
      </c>
      <c r="D812" t="s">
        <v>2420</v>
      </c>
    </row>
    <row r="813" spans="1:4">
      <c r="A813" s="65" t="str">
        <f>'Cost Summary'!B45</f>
        <v>Builders Risk</v>
      </c>
      <c r="B813" t="s">
        <v>2421</v>
      </c>
      <c r="C813" s="12">
        <f>'Cost Summary'!C45</f>
        <v>0</v>
      </c>
      <c r="D813" t="s">
        <v>2422</v>
      </c>
    </row>
    <row r="814" spans="1:4">
      <c r="A814" s="65" t="str">
        <f>'Cost Summary'!B46</f>
        <v>General Liability</v>
      </c>
      <c r="B814" t="s">
        <v>2423</v>
      </c>
      <c r="C814" s="12">
        <f>'Cost Summary'!C46</f>
        <v>0</v>
      </c>
      <c r="D814" t="s">
        <v>2424</v>
      </c>
    </row>
    <row r="815" spans="1:4">
      <c r="A815" s="65" t="str">
        <f>'Cost Summary'!B47</f>
        <v>Wrap Insurance Program</v>
      </c>
      <c r="B815" t="s">
        <v>2425</v>
      </c>
      <c r="C815" s="12">
        <f>'Cost Summary'!C47</f>
        <v>0</v>
      </c>
      <c r="D815" t="s">
        <v>2426</v>
      </c>
    </row>
    <row r="816" spans="1:4">
      <c r="A816" s="65" t="str">
        <f>'Cost Summary'!B48</f>
        <v>[Other - describe]</v>
      </c>
      <c r="B816" t="s">
        <v>2427</v>
      </c>
      <c r="C816" s="12">
        <f>'Cost Summary'!C48</f>
        <v>0</v>
      </c>
      <c r="D816" t="s">
        <v>2428</v>
      </c>
    </row>
    <row r="817" spans="1:4">
      <c r="A817" s="65" t="str">
        <f>'Cost Summary'!B51</f>
        <v>Contingency (Contractor's)</v>
      </c>
      <c r="B817" t="s">
        <v>2429</v>
      </c>
      <c r="C817" s="12">
        <f>'Cost Summary'!C51</f>
        <v>0</v>
      </c>
      <c r="D817" t="s">
        <v>2430</v>
      </c>
    </row>
    <row r="818" spans="1:4">
      <c r="A818" s="65" t="str">
        <f>'Cost Summary'!B52</f>
        <v>Contractor Overhead</v>
      </c>
      <c r="B818" t="s">
        <v>2431</v>
      </c>
      <c r="C818" s="12">
        <f>'Cost Summary'!C52</f>
        <v>0</v>
      </c>
      <c r="D818" t="s">
        <v>2432</v>
      </c>
    </row>
    <row r="819" spans="1:4">
      <c r="A819" s="65" t="str">
        <f>'Cost Summary'!B53</f>
        <v>Contractor Profit</v>
      </c>
      <c r="B819" t="s">
        <v>2433</v>
      </c>
      <c r="C819" s="12">
        <f>'Cost Summary'!C53</f>
        <v>0</v>
      </c>
      <c r="D819" t="s">
        <v>2434</v>
      </c>
    </row>
    <row r="820" spans="1:4">
      <c r="A820" s="65" t="str">
        <f>'Cost Summary'!B54</f>
        <v>Cost progression/ escalation</v>
      </c>
      <c r="B820" t="s">
        <v>2435</v>
      </c>
      <c r="C820" s="12">
        <f>'Cost Summary'!C54</f>
        <v>0</v>
      </c>
      <c r="D820" t="s">
        <v>2436</v>
      </c>
    </row>
    <row r="821" spans="1:4">
      <c r="A821" s="65" t="str">
        <f>'Cost Summary'!B55</f>
        <v>Permits</v>
      </c>
      <c r="B821" t="s">
        <v>2437</v>
      </c>
      <c r="C821" s="12">
        <f>'Cost Summary'!C55</f>
        <v>0</v>
      </c>
      <c r="D821" t="s">
        <v>2438</v>
      </c>
    </row>
    <row r="822" spans="1:4">
      <c r="A822" s="65" t="str">
        <f>'Cost Summary'!B56</f>
        <v>Sales, Use Taxes, etc.</v>
      </c>
      <c r="B822" t="s">
        <v>2439</v>
      </c>
      <c r="C822" s="12">
        <f>'Cost Summary'!C56</f>
        <v>0</v>
      </c>
      <c r="D822" t="s">
        <v>2440</v>
      </c>
    </row>
    <row r="823" spans="1:4">
      <c r="A823" t="s">
        <v>2441</v>
      </c>
      <c r="B823" t="s">
        <v>2442</v>
      </c>
      <c r="C823" s="856" t="str">
        <f>'Cost Summary'!B34</f>
        <v>[Other - describe]</v>
      </c>
    </row>
    <row r="824" spans="1:4">
      <c r="A824" t="s">
        <v>2443</v>
      </c>
      <c r="B824" t="s">
        <v>2444</v>
      </c>
      <c r="C824" s="856" t="str">
        <f>'Cost Summary'!B35</f>
        <v>[Other - describe]</v>
      </c>
    </row>
    <row r="825" spans="1:4">
      <c r="A825" t="s">
        <v>2445</v>
      </c>
      <c r="B825" t="s">
        <v>2446</v>
      </c>
      <c r="C825" s="856" t="str">
        <f>'Cost Summary'!B39</f>
        <v>[Other - describe]</v>
      </c>
    </row>
    <row r="826" spans="1:4">
      <c r="A826" t="s">
        <v>2447</v>
      </c>
      <c r="B826" t="s">
        <v>2448</v>
      </c>
      <c r="C826" s="856" t="str">
        <f>'Cost Summary'!B40</f>
        <v>[Other - describe]</v>
      </c>
    </row>
    <row r="827" spans="1:4">
      <c r="A827" t="s">
        <v>2449</v>
      </c>
      <c r="B827" t="s">
        <v>2450</v>
      </c>
      <c r="C827" s="856" t="str">
        <f>'Cost Summary'!B41</f>
        <v>[Other - describe]</v>
      </c>
    </row>
    <row r="828" spans="1:4">
      <c r="A828" t="s">
        <v>2451</v>
      </c>
      <c r="B828" t="s">
        <v>2452</v>
      </c>
      <c r="C828" s="856" t="str">
        <f>'Cost Summary'!B48</f>
        <v>[Other - describe]</v>
      </c>
    </row>
    <row r="829" spans="1:4">
      <c r="A829" s="65"/>
      <c r="C829" s="65"/>
    </row>
    <row r="830" spans="1:4">
      <c r="A830" s="65"/>
      <c r="C830" s="65"/>
    </row>
    <row r="831" spans="1:4">
      <c r="A831" s="65"/>
      <c r="C831" s="65"/>
    </row>
    <row r="832" spans="1:4" ht="14.25" customHeight="1">
      <c r="A832" s="65"/>
      <c r="C832" s="65"/>
    </row>
    <row r="833" spans="1:8">
      <c r="A833" s="65"/>
      <c r="C833" s="65"/>
    </row>
    <row r="836" spans="1:8">
      <c r="A836" t="s">
        <v>2453</v>
      </c>
    </row>
    <row r="837" spans="1:8">
      <c r="A837" s="195"/>
      <c r="B837" t="s">
        <v>2454</v>
      </c>
      <c r="C837" t="s">
        <v>397</v>
      </c>
      <c r="D837" t="s">
        <v>2455</v>
      </c>
      <c r="E837" t="s">
        <v>2456</v>
      </c>
      <c r="F837" t="s">
        <v>2457</v>
      </c>
      <c r="G837" t="s">
        <v>2458</v>
      </c>
      <c r="H837" t="s">
        <v>2459</v>
      </c>
    </row>
    <row r="838" spans="1:8">
      <c r="A838" s="314" t="s">
        <v>2250</v>
      </c>
    </row>
    <row r="839" spans="1:8">
      <c r="A839" s="195" t="str">
        <f>IF(B839="","",MAX(A$837:A837)+1)</f>
        <v/>
      </c>
      <c r="B839" t="str">
        <f>CONCATENATE(Financing!A9)</f>
        <v/>
      </c>
      <c r="C839" t="str">
        <f>CONCATENATE(Financing!B9)</f>
        <v/>
      </c>
      <c r="D839" t="str">
        <f>CONCATENATE(Financing!C9)</f>
        <v/>
      </c>
      <c r="E839" t="str">
        <f>CONCATENATE(Financing!D9)</f>
        <v/>
      </c>
      <c r="F839" t="str">
        <f>CONCATENATE(Financing!E9)</f>
        <v/>
      </c>
      <c r="G839" t="str">
        <f>IF(D839 = "", "", -PMT(D839/100/12,F839*12,C839)*12)</f>
        <v/>
      </c>
      <c r="H839" t="str">
        <f>IF(B839="", "", "Permanent")</f>
        <v/>
      </c>
    </row>
    <row r="840" spans="1:8">
      <c r="A840" s="195" t="str">
        <f>IF(B840="","",MAX(A$837:A839)+1)</f>
        <v/>
      </c>
      <c r="B840" t="str">
        <f>CONCATENATE(Financing!A10)</f>
        <v/>
      </c>
      <c r="C840" t="str">
        <f>CONCATENATE(Financing!B10)</f>
        <v/>
      </c>
      <c r="D840" t="str">
        <f>CONCATENATE(Financing!C10)</f>
        <v/>
      </c>
      <c r="E840" t="str">
        <f>CONCATENATE(Financing!D10)</f>
        <v/>
      </c>
      <c r="F840" t="str">
        <f>CONCATENATE(Financing!E10)</f>
        <v/>
      </c>
      <c r="G840" t="str">
        <f t="shared" ref="G840:G841" si="2">IF(D840 = "", "", -PMT(D840/100/12,F840*12,C840)*12)</f>
        <v/>
      </c>
      <c r="H840" t="str">
        <f t="shared" ref="H840:H841" si="3">IF(B840="", "", "Permanent")</f>
        <v/>
      </c>
    </row>
    <row r="841" spans="1:8">
      <c r="A841" s="195" t="str">
        <f>IF(B841="","",MAX(A$837:A840)+1)</f>
        <v/>
      </c>
      <c r="B841" t="str">
        <f>CONCATENATE(Financing!A11)</f>
        <v/>
      </c>
      <c r="C841" t="str">
        <f>CONCATENATE(Financing!B11)</f>
        <v/>
      </c>
      <c r="D841" t="str">
        <f>CONCATENATE(Financing!C11)</f>
        <v/>
      </c>
      <c r="E841" t="str">
        <f>CONCATENATE(Financing!D11)</f>
        <v/>
      </c>
      <c r="F841" t="str">
        <f>CONCATENATE(Financing!E11)</f>
        <v/>
      </c>
      <c r="G841" t="str">
        <f t="shared" si="2"/>
        <v/>
      </c>
      <c r="H841" t="str">
        <f t="shared" si="3"/>
        <v/>
      </c>
    </row>
    <row r="842" spans="1:8">
      <c r="A842" s="195" t="str">
        <f>IF(B842="","",MAX(A$837:A841)+1)</f>
        <v/>
      </c>
      <c r="B842" t="str">
        <f>CONCATENATE(Financing!A16)</f>
        <v/>
      </c>
      <c r="C842" t="str">
        <f>CONCATENATE(Financing!B16)</f>
        <v/>
      </c>
      <c r="D842" t="str">
        <f>CONCATENATE(Financing!C16)</f>
        <v/>
      </c>
      <c r="E842" t="str">
        <f>CONCATENATE(Financing!D16)</f>
        <v/>
      </c>
      <c r="F842" t="str">
        <f>IF(B842="", "", 0)</f>
        <v/>
      </c>
      <c r="G842" t="str">
        <f>IF(B842="", "", 0)</f>
        <v/>
      </c>
      <c r="H842" t="str">
        <f>IF(B842="", "", "Permanent")</f>
        <v/>
      </c>
    </row>
    <row r="843" spans="1:8">
      <c r="A843" s="195" t="str">
        <f>IF(B843="","",MAX(A$837:A842)+1)</f>
        <v/>
      </c>
      <c r="B843" t="str">
        <f>CONCATENATE(Financing!A17)</f>
        <v/>
      </c>
      <c r="C843" t="str">
        <f>CONCATENATE(Financing!B17)</f>
        <v/>
      </c>
      <c r="D843" t="str">
        <f>CONCATENATE(Financing!C17)</f>
        <v/>
      </c>
      <c r="E843" t="str">
        <f>CONCATENATE(Financing!D17)</f>
        <v/>
      </c>
      <c r="F843" t="str">
        <f t="shared" ref="F843:F847" si="4">IF(B843="", "", 0)</f>
        <v/>
      </c>
      <c r="G843" t="str">
        <f t="shared" ref="G843:G847" si="5">IF(B843="", "", 0)</f>
        <v/>
      </c>
      <c r="H843" t="str">
        <f t="shared" ref="H843:H847" si="6">IF(B843="", "", "Permanent")</f>
        <v/>
      </c>
    </row>
    <row r="844" spans="1:8">
      <c r="A844" s="195" t="str">
        <f>IF(B844="","",MAX(A$837:A843)+1)</f>
        <v/>
      </c>
      <c r="B844" t="str">
        <f>CONCATENATE(Financing!A18)</f>
        <v/>
      </c>
      <c r="C844" t="str">
        <f>CONCATENATE(Financing!B18)</f>
        <v/>
      </c>
      <c r="D844" t="str">
        <f>CONCATENATE(Financing!C18)</f>
        <v/>
      </c>
      <c r="E844" t="str">
        <f>CONCATENATE(Financing!D18)</f>
        <v/>
      </c>
      <c r="F844" t="str">
        <f t="shared" si="4"/>
        <v/>
      </c>
      <c r="G844" t="str">
        <f t="shared" si="5"/>
        <v/>
      </c>
      <c r="H844" t="str">
        <f t="shared" si="6"/>
        <v/>
      </c>
    </row>
    <row r="845" spans="1:8">
      <c r="A845" s="195" t="str">
        <f>IF(B845="","",MAX(A$837:A844)+1)</f>
        <v/>
      </c>
      <c r="B845" t="str">
        <f>CONCATENATE(Financing!A19)</f>
        <v/>
      </c>
      <c r="C845" t="str">
        <f>CONCATENATE(Financing!B19)</f>
        <v/>
      </c>
      <c r="D845" t="str">
        <f>CONCATENATE(Financing!C19)</f>
        <v/>
      </c>
      <c r="E845" t="str">
        <f>CONCATENATE(Financing!D19)</f>
        <v/>
      </c>
      <c r="F845" t="str">
        <f t="shared" si="4"/>
        <v/>
      </c>
      <c r="G845" t="str">
        <f t="shared" si="5"/>
        <v/>
      </c>
      <c r="H845" t="str">
        <f t="shared" si="6"/>
        <v/>
      </c>
    </row>
    <row r="846" spans="1:8">
      <c r="A846" s="195" t="str">
        <f>IF(B846="","",MAX(A$837:A845)+1)</f>
        <v/>
      </c>
      <c r="B846" t="str">
        <f>CONCATENATE(Financing!A20)</f>
        <v/>
      </c>
      <c r="C846" t="str">
        <f>CONCATENATE(Financing!B20)</f>
        <v/>
      </c>
      <c r="D846" t="str">
        <f>CONCATENATE(Financing!C20)</f>
        <v/>
      </c>
      <c r="E846" t="str">
        <f>CONCATENATE(Financing!D20)</f>
        <v/>
      </c>
      <c r="F846" t="str">
        <f t="shared" si="4"/>
        <v/>
      </c>
      <c r="G846" t="str">
        <f t="shared" si="5"/>
        <v/>
      </c>
      <c r="H846" t="str">
        <f t="shared" si="6"/>
        <v/>
      </c>
    </row>
    <row r="847" spans="1:8">
      <c r="A847" s="195" t="str">
        <f>IF(B847="","",MAX(A$837:A846)+1)</f>
        <v/>
      </c>
      <c r="B847" t="str">
        <f>CONCATENATE(Financing!A21)</f>
        <v/>
      </c>
      <c r="C847" t="str">
        <f>CONCATENATE(Financing!B21)</f>
        <v/>
      </c>
      <c r="D847" t="str">
        <f>CONCATENATE(Financing!C21)</f>
        <v/>
      </c>
      <c r="E847" t="str">
        <f>CONCATENATE(Financing!D21)</f>
        <v/>
      </c>
      <c r="F847" t="str">
        <f t="shared" si="4"/>
        <v/>
      </c>
      <c r="G847" t="str">
        <f t="shared" si="5"/>
        <v/>
      </c>
      <c r="H847" t="str">
        <f t="shared" si="6"/>
        <v/>
      </c>
    </row>
    <row r="849" spans="1:10">
      <c r="A849" t="s">
        <v>2460</v>
      </c>
      <c r="C849" t="s">
        <v>2461</v>
      </c>
      <c r="D849" t="s">
        <v>397</v>
      </c>
      <c r="E849" t="s">
        <v>2455</v>
      </c>
      <c r="F849" t="s">
        <v>2456</v>
      </c>
      <c r="G849" t="s">
        <v>2457</v>
      </c>
      <c r="H849" t="s">
        <v>2458</v>
      </c>
      <c r="I849" t="s">
        <v>2459</v>
      </c>
    </row>
    <row r="850" spans="1:10">
      <c r="A850" t="s">
        <v>2239</v>
      </c>
      <c r="B850" t="s">
        <v>2240</v>
      </c>
      <c r="C850">
        <v>1</v>
      </c>
      <c r="D850">
        <v>2</v>
      </c>
      <c r="E850">
        <v>3</v>
      </c>
      <c r="F850">
        <v>4</v>
      </c>
      <c r="G850">
        <v>5</v>
      </c>
      <c r="H850">
        <v>6</v>
      </c>
      <c r="I850">
        <v>7</v>
      </c>
    </row>
    <row r="851" spans="1:10">
      <c r="A851" s="195">
        <f>IF(ISNA(MATCH(B851, $A$838:$A$847, 0)), 1, MATCH(B851, $A$838:$A$847, 0))</f>
        <v>1</v>
      </c>
      <c r="B851">
        <v>1</v>
      </c>
      <c r="C851" t="str">
        <f t="shared" ref="C851:J859" si="7">CONCATENATE(INDEX($B$838:$L$847, $A851, C$850))</f>
        <v/>
      </c>
      <c r="D851" t="str">
        <f t="shared" si="7"/>
        <v/>
      </c>
      <c r="E851" t="str">
        <f t="shared" si="7"/>
        <v/>
      </c>
      <c r="F851" t="str">
        <f t="shared" si="7"/>
        <v/>
      </c>
      <c r="G851" t="str">
        <f t="shared" si="7"/>
        <v/>
      </c>
      <c r="H851" t="str">
        <f t="shared" si="7"/>
        <v/>
      </c>
      <c r="I851" s="14" t="str">
        <f t="shared" si="7"/>
        <v/>
      </c>
      <c r="J851" t="str">
        <f t="shared" si="7"/>
        <v/>
      </c>
    </row>
    <row r="852" spans="1:10">
      <c r="A852" s="195">
        <f t="shared" ref="A852:A859" si="8">IF(ISNA(MATCH(B852, $A$838:$A$847, 0)), 1, MATCH(B852, $A$838:$A$847, 0))</f>
        <v>1</v>
      </c>
      <c r="B852">
        <v>2</v>
      </c>
      <c r="C852" t="str">
        <f t="shared" si="7"/>
        <v/>
      </c>
      <c r="D852" t="str">
        <f t="shared" si="7"/>
        <v/>
      </c>
      <c r="E852" t="str">
        <f t="shared" si="7"/>
        <v/>
      </c>
      <c r="F852" t="str">
        <f t="shared" si="7"/>
        <v/>
      </c>
      <c r="G852" t="str">
        <f t="shared" si="7"/>
        <v/>
      </c>
      <c r="H852" t="str">
        <f t="shared" si="7"/>
        <v/>
      </c>
      <c r="I852" s="14" t="str">
        <f t="shared" si="7"/>
        <v/>
      </c>
      <c r="J852" t="str">
        <f t="shared" si="7"/>
        <v/>
      </c>
    </row>
    <row r="853" spans="1:10">
      <c r="A853" s="195">
        <f t="shared" si="8"/>
        <v>1</v>
      </c>
      <c r="B853">
        <v>3</v>
      </c>
      <c r="C853" t="str">
        <f t="shared" si="7"/>
        <v/>
      </c>
      <c r="D853" t="str">
        <f t="shared" si="7"/>
        <v/>
      </c>
      <c r="E853" t="str">
        <f t="shared" si="7"/>
        <v/>
      </c>
      <c r="F853" t="str">
        <f t="shared" si="7"/>
        <v/>
      </c>
      <c r="G853" t="str">
        <f t="shared" si="7"/>
        <v/>
      </c>
      <c r="H853" t="str">
        <f t="shared" si="7"/>
        <v/>
      </c>
      <c r="I853" s="14" t="str">
        <f t="shared" si="7"/>
        <v/>
      </c>
      <c r="J853" t="str">
        <f t="shared" si="7"/>
        <v/>
      </c>
    </row>
    <row r="854" spans="1:10">
      <c r="A854" s="195">
        <f t="shared" si="8"/>
        <v>1</v>
      </c>
      <c r="B854">
        <v>4</v>
      </c>
      <c r="C854" t="str">
        <f t="shared" si="7"/>
        <v/>
      </c>
      <c r="D854" t="str">
        <f t="shared" si="7"/>
        <v/>
      </c>
      <c r="E854" t="str">
        <f t="shared" si="7"/>
        <v/>
      </c>
      <c r="F854" t="str">
        <f t="shared" si="7"/>
        <v/>
      </c>
      <c r="G854" t="str">
        <f t="shared" si="7"/>
        <v/>
      </c>
      <c r="H854" t="str">
        <f t="shared" si="7"/>
        <v/>
      </c>
      <c r="I854" s="14" t="str">
        <f t="shared" si="7"/>
        <v/>
      </c>
      <c r="J854" t="str">
        <f t="shared" si="7"/>
        <v/>
      </c>
    </row>
    <row r="855" spans="1:10">
      <c r="A855" s="195">
        <f t="shared" si="8"/>
        <v>1</v>
      </c>
      <c r="B855">
        <v>5</v>
      </c>
      <c r="C855" t="str">
        <f t="shared" si="7"/>
        <v/>
      </c>
      <c r="D855" t="str">
        <f t="shared" si="7"/>
        <v/>
      </c>
      <c r="E855" t="str">
        <f t="shared" si="7"/>
        <v/>
      </c>
      <c r="F855" t="str">
        <f t="shared" si="7"/>
        <v/>
      </c>
      <c r="G855" t="str">
        <f t="shared" si="7"/>
        <v/>
      </c>
      <c r="H855" t="str">
        <f t="shared" si="7"/>
        <v/>
      </c>
      <c r="I855" s="14" t="str">
        <f t="shared" si="7"/>
        <v/>
      </c>
      <c r="J855" t="str">
        <f t="shared" si="7"/>
        <v/>
      </c>
    </row>
    <row r="856" spans="1:10">
      <c r="A856" s="195">
        <f t="shared" si="8"/>
        <v>1</v>
      </c>
      <c r="B856">
        <v>6</v>
      </c>
      <c r="C856" t="str">
        <f t="shared" si="7"/>
        <v/>
      </c>
      <c r="D856" t="str">
        <f t="shared" si="7"/>
        <v/>
      </c>
      <c r="E856" t="str">
        <f t="shared" si="7"/>
        <v/>
      </c>
      <c r="F856" t="str">
        <f t="shared" si="7"/>
        <v/>
      </c>
      <c r="G856" t="str">
        <f t="shared" si="7"/>
        <v/>
      </c>
      <c r="H856" t="str">
        <f t="shared" si="7"/>
        <v/>
      </c>
      <c r="I856" s="14" t="str">
        <f t="shared" si="7"/>
        <v/>
      </c>
      <c r="J856" t="str">
        <f t="shared" si="7"/>
        <v/>
      </c>
    </row>
    <row r="857" spans="1:10">
      <c r="A857" s="195">
        <f t="shared" si="8"/>
        <v>1</v>
      </c>
      <c r="B857">
        <v>7</v>
      </c>
      <c r="C857" t="str">
        <f t="shared" si="7"/>
        <v/>
      </c>
      <c r="D857" t="str">
        <f t="shared" si="7"/>
        <v/>
      </c>
      <c r="E857" t="str">
        <f t="shared" si="7"/>
        <v/>
      </c>
      <c r="F857" t="str">
        <f t="shared" si="7"/>
        <v/>
      </c>
      <c r="G857" t="str">
        <f t="shared" si="7"/>
        <v/>
      </c>
      <c r="H857" t="str">
        <f t="shared" si="7"/>
        <v/>
      </c>
      <c r="I857" s="14" t="str">
        <f t="shared" si="7"/>
        <v/>
      </c>
      <c r="J857" t="str">
        <f t="shared" si="7"/>
        <v/>
      </c>
    </row>
    <row r="858" spans="1:10">
      <c r="A858" s="195">
        <f t="shared" si="8"/>
        <v>1</v>
      </c>
      <c r="B858">
        <v>8</v>
      </c>
      <c r="C858" t="str">
        <f t="shared" si="7"/>
        <v/>
      </c>
      <c r="D858" t="str">
        <f t="shared" si="7"/>
        <v/>
      </c>
      <c r="E858" t="str">
        <f t="shared" si="7"/>
        <v/>
      </c>
      <c r="F858" t="str">
        <f t="shared" si="7"/>
        <v/>
      </c>
      <c r="G858" t="str">
        <f t="shared" si="7"/>
        <v/>
      </c>
      <c r="H858" t="str">
        <f t="shared" si="7"/>
        <v/>
      </c>
      <c r="I858" s="14" t="str">
        <f t="shared" si="7"/>
        <v/>
      </c>
      <c r="J858" t="str">
        <f t="shared" si="7"/>
        <v/>
      </c>
    </row>
    <row r="859" spans="1:10">
      <c r="A859" s="195">
        <f t="shared" si="8"/>
        <v>1</v>
      </c>
      <c r="B859">
        <v>9</v>
      </c>
      <c r="C859" t="str">
        <f t="shared" si="7"/>
        <v/>
      </c>
      <c r="D859" t="str">
        <f t="shared" si="7"/>
        <v/>
      </c>
      <c r="E859" t="str">
        <f t="shared" si="7"/>
        <v/>
      </c>
      <c r="F859" t="str">
        <f t="shared" si="7"/>
        <v/>
      </c>
      <c r="G859" t="str">
        <f t="shared" si="7"/>
        <v/>
      </c>
      <c r="H859" t="str">
        <f t="shared" si="7"/>
        <v/>
      </c>
      <c r="I859" s="14" t="str">
        <f t="shared" si="7"/>
        <v/>
      </c>
      <c r="J859" t="str">
        <f t="shared" si="7"/>
        <v/>
      </c>
    </row>
    <row r="861" spans="1:10">
      <c r="A861" t="s">
        <v>2462</v>
      </c>
    </row>
    <row r="862" spans="1:10">
      <c r="B862" t="s">
        <v>2454</v>
      </c>
      <c r="C862" t="s">
        <v>397</v>
      </c>
      <c r="D862" t="s">
        <v>2459</v>
      </c>
    </row>
    <row r="863" spans="1:10">
      <c r="A863" s="314" t="s">
        <v>2250</v>
      </c>
    </row>
    <row r="864" spans="1:10">
      <c r="A864" s="195" t="str">
        <f>IF(B864="","",MAX(A$862:A862)+1)</f>
        <v/>
      </c>
      <c r="B864" t="str">
        <f>CONCATENATE(Financing!A26)</f>
        <v/>
      </c>
      <c r="C864" t="str">
        <f>CONCATENATE(Financing!B26)</f>
        <v/>
      </c>
      <c r="D864" t="str">
        <f>IF(B864="", "", "Grant")</f>
        <v/>
      </c>
    </row>
    <row r="865" spans="1:5">
      <c r="A865" s="195" t="str">
        <f>IF(B865="","",MAX(A$862:A864)+1)</f>
        <v/>
      </c>
      <c r="B865" t="str">
        <f>CONCATENATE(Financing!A27)</f>
        <v/>
      </c>
      <c r="C865" t="str">
        <f>CONCATENATE(Financing!B27)</f>
        <v/>
      </c>
      <c r="D865" t="str">
        <f t="shared" ref="D865:D871" si="9">IF(B865="", "", "Grant")</f>
        <v/>
      </c>
    </row>
    <row r="866" spans="1:5">
      <c r="A866" s="195" t="str">
        <f>IF(B866="","",MAX(A$862:A865)+1)</f>
        <v/>
      </c>
      <c r="B866" t="str">
        <f>CONCATENATE(Financing!A28)</f>
        <v/>
      </c>
      <c r="C866" t="str">
        <f>CONCATENATE(Financing!B28)</f>
        <v/>
      </c>
      <c r="D866" t="str">
        <f t="shared" si="9"/>
        <v/>
      </c>
    </row>
    <row r="867" spans="1:5">
      <c r="A867" s="195" t="str">
        <f>IF(B867="","",MAX(A$862:A866)+1)</f>
        <v/>
      </c>
      <c r="B867" t="str">
        <f>CONCATENATE(Financing!A29)</f>
        <v/>
      </c>
      <c r="C867" t="str">
        <f>CONCATENATE(Financing!B29)</f>
        <v/>
      </c>
      <c r="D867" t="str">
        <f t="shared" si="9"/>
        <v/>
      </c>
    </row>
    <row r="868" spans="1:5">
      <c r="A868" s="195" t="str">
        <f>IF(B868="","",MAX(A$862:A867)+1)</f>
        <v/>
      </c>
      <c r="B868" t="str">
        <f>CONCATENATE(Financing!A30)</f>
        <v/>
      </c>
      <c r="C868" t="str">
        <f>CONCATENATE(Financing!B30)</f>
        <v/>
      </c>
      <c r="D868" t="str">
        <f t="shared" si="9"/>
        <v/>
      </c>
    </row>
    <row r="869" spans="1:5">
      <c r="A869" s="195" t="str">
        <f>IF(B869="","",MAX(A$862:A868)+1)</f>
        <v/>
      </c>
      <c r="B869" t="str">
        <f>CONCATENATE(Financing!A31)</f>
        <v/>
      </c>
      <c r="C869" t="str">
        <f>CONCATENATE(Financing!B31)</f>
        <v/>
      </c>
      <c r="D869" t="str">
        <f t="shared" si="9"/>
        <v/>
      </c>
    </row>
    <row r="870" spans="1:5">
      <c r="A870" s="195" t="str">
        <f>IF(B870="","",MAX(A$862:A869)+1)</f>
        <v/>
      </c>
      <c r="B870" t="str">
        <f>CONCATENATE(Financing!A32)</f>
        <v/>
      </c>
      <c r="C870" t="str">
        <f>CONCATENATE(Financing!B32)</f>
        <v/>
      </c>
      <c r="D870" t="str">
        <f t="shared" si="9"/>
        <v/>
      </c>
    </row>
    <row r="871" spans="1:5">
      <c r="A871" s="195" t="str">
        <f>IF(B871="","",MAX(A$862:A870)+1)</f>
        <v/>
      </c>
      <c r="B871" t="str">
        <f>CONCATENATE(Financing!A33)</f>
        <v/>
      </c>
      <c r="C871" t="str">
        <f>CONCATENATE(Financing!B33)</f>
        <v/>
      </c>
      <c r="D871" t="str">
        <f t="shared" si="9"/>
        <v/>
      </c>
    </row>
    <row r="873" spans="1:5">
      <c r="A873" t="s">
        <v>2463</v>
      </c>
      <c r="C873" t="s">
        <v>2454</v>
      </c>
      <c r="D873" t="s">
        <v>397</v>
      </c>
      <c r="E873" t="s">
        <v>2459</v>
      </c>
    </row>
    <row r="874" spans="1:5">
      <c r="A874" t="s">
        <v>2239</v>
      </c>
      <c r="B874" t="s">
        <v>2240</v>
      </c>
      <c r="C874">
        <v>1</v>
      </c>
      <c r="D874">
        <v>2</v>
      </c>
      <c r="E874">
        <v>3</v>
      </c>
    </row>
    <row r="875" spans="1:5">
      <c r="A875" s="195">
        <f>IF(ISNA(MATCH(B875, $A$863:$A$871, 0)), 1, MATCH(B875, $A$863:$A$871, 0))</f>
        <v>1</v>
      </c>
      <c r="B875">
        <v>1</v>
      </c>
      <c r="C875" t="str">
        <f>CONCATENATE(INDEX($B$863:$D$871, $A875, C$874))</f>
        <v/>
      </c>
      <c r="D875" t="str">
        <f t="shared" ref="D875:E882" si="10">CONCATENATE(INDEX($B$863:$D$871, $A875, D$874))</f>
        <v/>
      </c>
      <c r="E875" s="14" t="str">
        <f t="shared" si="10"/>
        <v/>
      </c>
    </row>
    <row r="876" spans="1:5">
      <c r="A876" s="195">
        <f t="shared" ref="A876:A882" si="11">IF(ISNA(MATCH(B876, $A$863:$A$871, 0)), 1, MATCH(B876, $A$863:$A$871, 0))</f>
        <v>1</v>
      </c>
      <c r="B876">
        <v>2</v>
      </c>
      <c r="C876" t="str">
        <f t="shared" ref="C876:C882" si="12">CONCATENATE(INDEX($B$863:$D$871, $A876, C$874))</f>
        <v/>
      </c>
      <c r="D876" t="str">
        <f t="shared" si="10"/>
        <v/>
      </c>
      <c r="E876" s="14" t="str">
        <f t="shared" si="10"/>
        <v/>
      </c>
    </row>
    <row r="877" spans="1:5">
      <c r="A877" s="195">
        <f t="shared" si="11"/>
        <v>1</v>
      </c>
      <c r="B877">
        <v>3</v>
      </c>
      <c r="C877" t="str">
        <f t="shared" si="12"/>
        <v/>
      </c>
      <c r="D877" t="str">
        <f t="shared" si="10"/>
        <v/>
      </c>
      <c r="E877" s="14" t="str">
        <f t="shared" si="10"/>
        <v/>
      </c>
    </row>
    <row r="878" spans="1:5">
      <c r="A878" s="195">
        <f t="shared" si="11"/>
        <v>1</v>
      </c>
      <c r="B878">
        <v>4</v>
      </c>
      <c r="C878" t="str">
        <f t="shared" si="12"/>
        <v/>
      </c>
      <c r="D878" t="str">
        <f t="shared" si="10"/>
        <v/>
      </c>
      <c r="E878" s="14" t="str">
        <f t="shared" si="10"/>
        <v/>
      </c>
    </row>
    <row r="879" spans="1:5">
      <c r="A879" s="195">
        <f t="shared" si="11"/>
        <v>1</v>
      </c>
      <c r="B879">
        <v>5</v>
      </c>
      <c r="C879" t="str">
        <f t="shared" si="12"/>
        <v/>
      </c>
      <c r="D879" t="str">
        <f t="shared" si="10"/>
        <v/>
      </c>
      <c r="E879" s="14" t="str">
        <f t="shared" si="10"/>
        <v/>
      </c>
    </row>
    <row r="880" spans="1:5">
      <c r="A880" s="195">
        <f t="shared" si="11"/>
        <v>1</v>
      </c>
      <c r="B880">
        <v>6</v>
      </c>
      <c r="C880" t="str">
        <f t="shared" si="12"/>
        <v/>
      </c>
      <c r="D880" t="str">
        <f t="shared" si="10"/>
        <v/>
      </c>
      <c r="E880" s="14" t="str">
        <f t="shared" si="10"/>
        <v/>
      </c>
    </row>
    <row r="881" spans="1:5">
      <c r="A881" s="195">
        <f t="shared" si="11"/>
        <v>1</v>
      </c>
      <c r="B881">
        <v>7</v>
      </c>
      <c r="C881" t="str">
        <f t="shared" si="12"/>
        <v/>
      </c>
      <c r="D881" t="str">
        <f t="shared" si="10"/>
        <v/>
      </c>
      <c r="E881" s="14" t="str">
        <f t="shared" si="10"/>
        <v/>
      </c>
    </row>
    <row r="882" spans="1:5">
      <c r="A882" s="195">
        <f t="shared" si="11"/>
        <v>1</v>
      </c>
      <c r="B882">
        <v>8</v>
      </c>
      <c r="C882" t="str">
        <f t="shared" si="12"/>
        <v/>
      </c>
      <c r="D882" t="str">
        <f t="shared" si="10"/>
        <v/>
      </c>
      <c r="E882" s="14" t="str">
        <f t="shared" si="10"/>
        <v/>
      </c>
    </row>
    <row r="886" spans="1:5">
      <c r="B886" t="s">
        <v>397</v>
      </c>
      <c r="D886" t="s">
        <v>2464</v>
      </c>
    </row>
    <row r="887" spans="1:5">
      <c r="B887" t="s">
        <v>2459</v>
      </c>
      <c r="D887" t="s">
        <v>2465</v>
      </c>
    </row>
    <row r="888" spans="1:5">
      <c r="B888" t="s">
        <v>2454</v>
      </c>
      <c r="D888" t="s">
        <v>2466</v>
      </c>
    </row>
    <row r="890" spans="1:5">
      <c r="B890" t="s">
        <v>397</v>
      </c>
      <c r="D890" t="s">
        <v>2467</v>
      </c>
    </row>
    <row r="891" spans="1:5">
      <c r="B891" t="s">
        <v>2458</v>
      </c>
      <c r="D891" t="s">
        <v>2468</v>
      </c>
    </row>
    <row r="892" spans="1:5">
      <c r="B892" t="s">
        <v>2455</v>
      </c>
      <c r="D892" t="s">
        <v>2469</v>
      </c>
    </row>
    <row r="893" spans="1:5">
      <c r="B893" t="s">
        <v>2457</v>
      </c>
      <c r="D893" t="s">
        <v>2470</v>
      </c>
    </row>
    <row r="894" spans="1:5">
      <c r="B894" t="s">
        <v>2456</v>
      </c>
      <c r="D894" t="s">
        <v>2471</v>
      </c>
    </row>
    <row r="895" spans="1:5">
      <c r="B895" t="s">
        <v>2459</v>
      </c>
      <c r="D895" t="s">
        <v>2472</v>
      </c>
    </row>
    <row r="896" spans="1:5">
      <c r="B896" t="s">
        <v>2454</v>
      </c>
      <c r="D896" t="s">
        <v>2473</v>
      </c>
    </row>
    <row r="903" spans="2:4">
      <c r="B903" t="s">
        <v>2474</v>
      </c>
    </row>
    <row r="904" spans="2:4">
      <c r="B904" t="s">
        <v>2475</v>
      </c>
      <c r="C904" t="s">
        <v>2476</v>
      </c>
      <c r="D904" t="s">
        <v>397</v>
      </c>
    </row>
    <row r="905" spans="2:4">
      <c r="B905">
        <v>1</v>
      </c>
      <c r="C905" s="14" t="s">
        <v>2477</v>
      </c>
      <c r="D905" s="418">
        <f>IF(Calculations!$B$6, Calculations!B834, 0)</f>
        <v>0</v>
      </c>
    </row>
    <row r="906" spans="2:4">
      <c r="B906">
        <v>2</v>
      </c>
      <c r="C906" s="14" t="s">
        <v>2478</v>
      </c>
      <c r="D906" s="418">
        <f>IF(NOT(Calculations!$B$6), Calculations!B848, 0)</f>
        <v>15000</v>
      </c>
    </row>
    <row r="907" spans="2:4">
      <c r="B907">
        <v>3</v>
      </c>
      <c r="C907" s="14" t="s">
        <v>2479</v>
      </c>
      <c r="D907" s="418">
        <f>IF(Calculations!$B$6, Calculations!B837, 0)</f>
        <v>0</v>
      </c>
    </row>
    <row r="908" spans="2:4">
      <c r="B908">
        <v>4</v>
      </c>
      <c r="C908" s="14" t="s">
        <v>2480</v>
      </c>
      <c r="D908" s="418">
        <f>IFERROR(IF(NOT(Calculations!$B$6), Calculations!B851, 0), 0)</f>
        <v>0</v>
      </c>
    </row>
    <row r="909" spans="2:4">
      <c r="B909">
        <v>5</v>
      </c>
      <c r="C909" s="14" t="s">
        <v>2481</v>
      </c>
      <c r="D909" s="418">
        <f>IF(Calculations!$B$6, Calculations!B840, 0)</f>
        <v>0</v>
      </c>
    </row>
    <row r="910" spans="2:4">
      <c r="B910">
        <v>6</v>
      </c>
      <c r="C910" s="14" t="s">
        <v>2482</v>
      </c>
      <c r="D910" s="418">
        <f>IFERROR(IF(NOT(Calculations!$B$6), Calculations!B853, 0),0)</f>
        <v>0</v>
      </c>
    </row>
    <row r="911" spans="2:4">
      <c r="B911">
        <v>7</v>
      </c>
      <c r="C911" s="14" t="s">
        <v>2483</v>
      </c>
      <c r="D911" s="418">
        <f>Calculations!B858</f>
        <v>0</v>
      </c>
    </row>
    <row r="912" spans="2:4">
      <c r="B912">
        <v>8</v>
      </c>
      <c r="C912" s="14" t="s">
        <v>2484</v>
      </c>
      <c r="D912" s="418">
        <f>Calculations!B852</f>
        <v>0</v>
      </c>
    </row>
    <row r="913" spans="1:10">
      <c r="B913">
        <v>9</v>
      </c>
      <c r="C913" s="14" t="s">
        <v>4218</v>
      </c>
      <c r="D913" s="893">
        <f>Calculations!B862</f>
        <v>0</v>
      </c>
    </row>
    <row r="914" spans="1:10">
      <c r="B914" t="s">
        <v>397</v>
      </c>
      <c r="D914" t="s">
        <v>2485</v>
      </c>
    </row>
    <row r="915" spans="1:10">
      <c r="B915" t="s">
        <v>2476</v>
      </c>
      <c r="D915" t="s">
        <v>2486</v>
      </c>
    </row>
    <row r="917" spans="1:10">
      <c r="D917" t="s">
        <v>461</v>
      </c>
    </row>
    <row r="921" spans="1:10">
      <c r="H921" t="s">
        <v>2487</v>
      </c>
      <c r="J921" t="s">
        <v>2488</v>
      </c>
    </row>
    <row r="922" spans="1:10">
      <c r="B922" t="s">
        <v>2240</v>
      </c>
      <c r="C922" t="s">
        <v>2489</v>
      </c>
      <c r="D922" t="s">
        <v>2487</v>
      </c>
      <c r="H922" t="s">
        <v>2489</v>
      </c>
      <c r="J922" t="s">
        <v>2490</v>
      </c>
    </row>
    <row r="923" spans="1:10">
      <c r="A923" t="s">
        <v>2491</v>
      </c>
      <c r="B923">
        <v>1</v>
      </c>
      <c r="C923">
        <f>Calculations!B41</f>
        <v>0</v>
      </c>
      <c r="D923" s="14" t="s">
        <v>2492</v>
      </c>
      <c r="H923" t="s">
        <v>2487</v>
      </c>
      <c r="J923" t="s">
        <v>2493</v>
      </c>
    </row>
    <row r="924" spans="1:10">
      <c r="A924" t="s">
        <v>2494</v>
      </c>
      <c r="B924">
        <v>2</v>
      </c>
      <c r="C924">
        <f>Calculations!C41</f>
        <v>0</v>
      </c>
      <c r="D924" s="14" t="s">
        <v>2495</v>
      </c>
      <c r="H924" t="s">
        <v>2489</v>
      </c>
      <c r="J924" t="s">
        <v>2496</v>
      </c>
    </row>
    <row r="925" spans="1:10">
      <c r="A925" t="s">
        <v>2497</v>
      </c>
      <c r="B925">
        <v>3</v>
      </c>
      <c r="C925">
        <f>Calculations!D41</f>
        <v>0</v>
      </c>
      <c r="D925" s="14" t="s">
        <v>2498</v>
      </c>
      <c r="H925" t="s">
        <v>2487</v>
      </c>
      <c r="J925" t="s">
        <v>2499</v>
      </c>
    </row>
    <row r="926" spans="1:10">
      <c r="A926" t="s">
        <v>2500</v>
      </c>
      <c r="B926">
        <v>4</v>
      </c>
      <c r="C926">
        <f>Calculations!E41</f>
        <v>0</v>
      </c>
      <c r="D926" s="14" t="s">
        <v>2501</v>
      </c>
      <c r="H926" t="s">
        <v>2489</v>
      </c>
      <c r="J926" t="s">
        <v>2502</v>
      </c>
    </row>
    <row r="927" spans="1:10">
      <c r="A927" t="s">
        <v>2503</v>
      </c>
      <c r="B927">
        <v>5</v>
      </c>
      <c r="C927">
        <f>Calculations!F41</f>
        <v>0</v>
      </c>
      <c r="D927" s="14" t="s">
        <v>2504</v>
      </c>
      <c r="H927" t="s">
        <v>2487</v>
      </c>
      <c r="J927" t="s">
        <v>2505</v>
      </c>
    </row>
    <row r="928" spans="1:10">
      <c r="A928" t="s">
        <v>2506</v>
      </c>
      <c r="B928">
        <v>6</v>
      </c>
      <c r="C928">
        <f>Calculations!G41</f>
        <v>0</v>
      </c>
      <c r="D928" s="14" t="s">
        <v>2507</v>
      </c>
      <c r="H928" t="s">
        <v>2489</v>
      </c>
      <c r="J928" t="s">
        <v>2508</v>
      </c>
    </row>
    <row r="929" spans="1:10">
      <c r="H929" t="s">
        <v>2487</v>
      </c>
      <c r="J929" t="s">
        <v>2509</v>
      </c>
    </row>
    <row r="930" spans="1:10">
      <c r="H930" t="s">
        <v>2489</v>
      </c>
      <c r="J930" t="s">
        <v>2510</v>
      </c>
    </row>
    <row r="933" spans="1:10">
      <c r="A933" t="s">
        <v>2511</v>
      </c>
    </row>
    <row r="934" spans="1:10">
      <c r="B934" t="s">
        <v>2512</v>
      </c>
      <c r="C934" t="s">
        <v>2513</v>
      </c>
      <c r="D934" t="s">
        <v>2514</v>
      </c>
      <c r="E934" t="s">
        <v>2515</v>
      </c>
      <c r="F934" t="s">
        <v>2516</v>
      </c>
    </row>
    <row r="935" spans="1:10">
      <c r="A935" s="314" t="s">
        <v>2250</v>
      </c>
    </row>
    <row r="936" spans="1:10">
      <c r="A936" s="195" t="str">
        <f>IF(B936="","",MAX(A$934:A934)+1)</f>
        <v/>
      </c>
      <c r="B936" s="70" t="str">
        <f>IF('Unit Mix &amp; Rents'!A17 = "", "", 'Unit Mix &amp; Rents'!A17)</f>
        <v/>
      </c>
      <c r="C936" t="str">
        <f>IF('Unit Mix &amp; Rents'!B17 = "", "", 'Unit Mix &amp; Rents'!B17)</f>
        <v/>
      </c>
      <c r="D936" t="str">
        <f>IF('Unit Mix &amp; Rents'!C17 = "", "", 'Unit Mix &amp; Rents'!C17)</f>
        <v/>
      </c>
      <c r="E936" t="str">
        <f>IF('Unit Mix &amp; Rents'!D17 = "", "", 'Unit Mix &amp; Rents'!D17)</f>
        <v/>
      </c>
      <c r="F936" t="str">
        <f>IF('Unit Mix &amp; Rents'!E17 = "", "", 'Unit Mix &amp; Rents'!E17)</f>
        <v/>
      </c>
    </row>
    <row r="937" spans="1:10">
      <c r="A937" s="195" t="str">
        <f>IF(B937="","",MAX(A$934:A936)+1)</f>
        <v/>
      </c>
      <c r="B937" s="70" t="str">
        <f>IF('Unit Mix &amp; Rents'!A18 = "", "", 'Unit Mix &amp; Rents'!A18)</f>
        <v/>
      </c>
      <c r="C937" t="str">
        <f>IF('Unit Mix &amp; Rents'!B18 = "", "", 'Unit Mix &amp; Rents'!B18)</f>
        <v/>
      </c>
      <c r="D937" t="str">
        <f>IF('Unit Mix &amp; Rents'!C18 = "", "", 'Unit Mix &amp; Rents'!C18)</f>
        <v/>
      </c>
      <c r="E937" t="str">
        <f>IF('Unit Mix &amp; Rents'!D18 = "", "", 'Unit Mix &amp; Rents'!D18)</f>
        <v/>
      </c>
      <c r="F937" t="str">
        <f>IF('Unit Mix &amp; Rents'!E18 = "", "", 'Unit Mix &amp; Rents'!E18)</f>
        <v/>
      </c>
    </row>
    <row r="938" spans="1:10">
      <c r="A938" s="195" t="str">
        <f>IF(B938="","",MAX(A$934:A937)+1)</f>
        <v/>
      </c>
      <c r="B938" s="70" t="str">
        <f>IF('Unit Mix &amp; Rents'!A19 = "", "", 'Unit Mix &amp; Rents'!A19)</f>
        <v/>
      </c>
      <c r="C938" t="str">
        <f>IF('Unit Mix &amp; Rents'!B19 = "", "", 'Unit Mix &amp; Rents'!B19)</f>
        <v/>
      </c>
      <c r="D938" t="str">
        <f>IF('Unit Mix &amp; Rents'!C19 = "", "", 'Unit Mix &amp; Rents'!C19)</f>
        <v/>
      </c>
      <c r="E938" t="str">
        <f>IF('Unit Mix &amp; Rents'!D19 = "", "", 'Unit Mix &amp; Rents'!D19)</f>
        <v/>
      </c>
      <c r="F938" t="str">
        <f>IF('Unit Mix &amp; Rents'!E19 = "", "", 'Unit Mix &amp; Rents'!E19)</f>
        <v/>
      </c>
    </row>
    <row r="939" spans="1:10">
      <c r="A939" s="195" t="str">
        <f>IF(B939="","",MAX(A$934:A938)+1)</f>
        <v/>
      </c>
      <c r="B939" s="70" t="str">
        <f>IF('Unit Mix &amp; Rents'!A20 = "", "", 'Unit Mix &amp; Rents'!A20)</f>
        <v/>
      </c>
      <c r="C939" t="str">
        <f>IF('Unit Mix &amp; Rents'!B20 = "", "", 'Unit Mix &amp; Rents'!B20)</f>
        <v/>
      </c>
      <c r="D939" t="str">
        <f>IF('Unit Mix &amp; Rents'!C20 = "", "", 'Unit Mix &amp; Rents'!C20)</f>
        <v/>
      </c>
      <c r="E939" t="str">
        <f>IF('Unit Mix &amp; Rents'!D20 = "", "", 'Unit Mix &amp; Rents'!D20)</f>
        <v/>
      </c>
      <c r="F939" t="str">
        <f>IF('Unit Mix &amp; Rents'!E20 = "", "", 'Unit Mix &amp; Rents'!E20)</f>
        <v/>
      </c>
    </row>
    <row r="940" spans="1:10">
      <c r="A940" s="195" t="str">
        <f>IF(B940="","",MAX(A$934:A939)+1)</f>
        <v/>
      </c>
      <c r="B940" s="70" t="str">
        <f>IF('Unit Mix &amp; Rents'!A21 = "", "", 'Unit Mix &amp; Rents'!A21)</f>
        <v/>
      </c>
      <c r="C940" t="str">
        <f>IF('Unit Mix &amp; Rents'!B21 = "", "", 'Unit Mix &amp; Rents'!B21)</f>
        <v/>
      </c>
      <c r="D940" t="str">
        <f>IF('Unit Mix &amp; Rents'!C21 = "", "", 'Unit Mix &amp; Rents'!C21)</f>
        <v/>
      </c>
      <c r="E940" t="str">
        <f>IF('Unit Mix &amp; Rents'!D21 = "", "", 'Unit Mix &amp; Rents'!D21)</f>
        <v/>
      </c>
      <c r="F940" t="str">
        <f>IF('Unit Mix &amp; Rents'!E21 = "", "", 'Unit Mix &amp; Rents'!E21)</f>
        <v/>
      </c>
    </row>
    <row r="941" spans="1:10">
      <c r="A941" s="195" t="str">
        <f>IF(B941="","",MAX(A$934:A940)+1)</f>
        <v/>
      </c>
      <c r="B941" s="70" t="str">
        <f>IF('Unit Mix &amp; Rents'!A22 = "", "", 'Unit Mix &amp; Rents'!A22)</f>
        <v/>
      </c>
      <c r="C941" t="str">
        <f>IF('Unit Mix &amp; Rents'!B22 = "", "", 'Unit Mix &amp; Rents'!B22)</f>
        <v/>
      </c>
      <c r="D941" t="str">
        <f>IF('Unit Mix &amp; Rents'!C22 = "", "", 'Unit Mix &amp; Rents'!C22)</f>
        <v/>
      </c>
      <c r="E941" t="str">
        <f>IF('Unit Mix &amp; Rents'!D22 = "", "", 'Unit Mix &amp; Rents'!D22)</f>
        <v/>
      </c>
      <c r="F941" t="str">
        <f>IF('Unit Mix &amp; Rents'!E22 = "", "", 'Unit Mix &amp; Rents'!E22)</f>
        <v/>
      </c>
    </row>
    <row r="942" spans="1:10">
      <c r="A942" s="195" t="str">
        <f>IF(B942="","",MAX(A$934:A941)+1)</f>
        <v/>
      </c>
      <c r="B942" s="70" t="str">
        <f>IF('Unit Mix &amp; Rents'!A23 = "", "", 'Unit Mix &amp; Rents'!A23)</f>
        <v/>
      </c>
      <c r="C942" t="str">
        <f>IF('Unit Mix &amp; Rents'!B23 = "", "", 'Unit Mix &amp; Rents'!B23)</f>
        <v/>
      </c>
      <c r="D942" t="str">
        <f>IF('Unit Mix &amp; Rents'!C23 = "", "", 'Unit Mix &amp; Rents'!C23)</f>
        <v/>
      </c>
      <c r="E942" t="str">
        <f>IF('Unit Mix &amp; Rents'!D23 = "", "", 'Unit Mix &amp; Rents'!D23)</f>
        <v/>
      </c>
      <c r="F942" t="str">
        <f>IF('Unit Mix &amp; Rents'!E23 = "", "", 'Unit Mix &amp; Rents'!E23)</f>
        <v/>
      </c>
    </row>
    <row r="943" spans="1:10">
      <c r="A943" s="195" t="str">
        <f>IF(B943="","",MAX(A$934:A942)+1)</f>
        <v/>
      </c>
      <c r="B943" s="70" t="str">
        <f>IF('Unit Mix &amp; Rents'!A24 = "", "", 'Unit Mix &amp; Rents'!A24)</f>
        <v/>
      </c>
      <c r="C943" t="str">
        <f>IF('Unit Mix &amp; Rents'!B24 = "", "", 'Unit Mix &amp; Rents'!B24)</f>
        <v/>
      </c>
      <c r="D943" t="str">
        <f>IF('Unit Mix &amp; Rents'!C24 = "", "", 'Unit Mix &amp; Rents'!C24)</f>
        <v/>
      </c>
      <c r="E943" t="str">
        <f>IF('Unit Mix &amp; Rents'!D24 = "", "", 'Unit Mix &amp; Rents'!D24)</f>
        <v/>
      </c>
      <c r="F943" t="str">
        <f>IF('Unit Mix &amp; Rents'!E24 = "", "", 'Unit Mix &amp; Rents'!E24)</f>
        <v/>
      </c>
    </row>
    <row r="944" spans="1:10">
      <c r="A944" s="195" t="str">
        <f>IF(B944="","",MAX(A$934:A943)+1)</f>
        <v/>
      </c>
      <c r="B944" s="70" t="str">
        <f>IF('Unit Mix &amp; Rents'!A25 = "", "", 'Unit Mix &amp; Rents'!A25)</f>
        <v/>
      </c>
      <c r="C944" t="str">
        <f>IF('Unit Mix &amp; Rents'!B25 = "", "", 'Unit Mix &amp; Rents'!B25)</f>
        <v/>
      </c>
      <c r="D944" t="str">
        <f>IF('Unit Mix &amp; Rents'!C25 = "", "", 'Unit Mix &amp; Rents'!C25)</f>
        <v/>
      </c>
      <c r="E944" t="str">
        <f>IF('Unit Mix &amp; Rents'!D25 = "", "", 'Unit Mix &amp; Rents'!D25)</f>
        <v/>
      </c>
      <c r="F944" t="str">
        <f>IF('Unit Mix &amp; Rents'!E25 = "", "", 'Unit Mix &amp; Rents'!E25)</f>
        <v/>
      </c>
    </row>
    <row r="945" spans="1:6">
      <c r="A945" s="195" t="str">
        <f>IF(B945="","",MAX(A$934:A944)+1)</f>
        <v/>
      </c>
      <c r="B945" s="70" t="str">
        <f>IF('Unit Mix &amp; Rents'!A26 = "", "", 'Unit Mix &amp; Rents'!A26)</f>
        <v/>
      </c>
      <c r="C945" t="str">
        <f>IF('Unit Mix &amp; Rents'!B26 = "", "", 'Unit Mix &amp; Rents'!B26)</f>
        <v/>
      </c>
      <c r="D945" t="str">
        <f>IF('Unit Mix &amp; Rents'!C26 = "", "", 'Unit Mix &amp; Rents'!C26)</f>
        <v/>
      </c>
      <c r="E945" t="str">
        <f>IF('Unit Mix &amp; Rents'!D26 = "", "", 'Unit Mix &amp; Rents'!D26)</f>
        <v/>
      </c>
      <c r="F945" t="str">
        <f>IF('Unit Mix &amp; Rents'!E26 = "", "", 'Unit Mix &amp; Rents'!E26)</f>
        <v/>
      </c>
    </row>
    <row r="946" spans="1:6">
      <c r="A946" s="195" t="str">
        <f>IF(B946="","",MAX(A$934:A945)+1)</f>
        <v/>
      </c>
      <c r="B946" s="70" t="str">
        <f>IF('Unit Mix &amp; Rents'!A27 = "", "", 'Unit Mix &amp; Rents'!A27)</f>
        <v/>
      </c>
      <c r="C946" t="str">
        <f>IF('Unit Mix &amp; Rents'!B27 = "", "", 'Unit Mix &amp; Rents'!B27)</f>
        <v/>
      </c>
      <c r="D946" t="str">
        <f>IF('Unit Mix &amp; Rents'!C27 = "", "", 'Unit Mix &amp; Rents'!C27)</f>
        <v/>
      </c>
      <c r="E946" t="str">
        <f>IF('Unit Mix &amp; Rents'!D27 = "", "", 'Unit Mix &amp; Rents'!D27)</f>
        <v/>
      </c>
      <c r="F946" t="str">
        <f>IF('Unit Mix &amp; Rents'!E27 = "", "", 'Unit Mix &amp; Rents'!E27)</f>
        <v/>
      </c>
    </row>
    <row r="947" spans="1:6">
      <c r="A947" s="195" t="str">
        <f>IF(B947="","",MAX(A$934:A946)+1)</f>
        <v/>
      </c>
      <c r="B947" s="70" t="str">
        <f>IF('Unit Mix &amp; Rents'!A28 = "", "", 'Unit Mix &amp; Rents'!A28)</f>
        <v/>
      </c>
      <c r="C947" t="str">
        <f>IF('Unit Mix &amp; Rents'!B28 = "", "", 'Unit Mix &amp; Rents'!B28)</f>
        <v/>
      </c>
      <c r="D947" t="str">
        <f>IF('Unit Mix &amp; Rents'!C28 = "", "", 'Unit Mix &amp; Rents'!C28)</f>
        <v/>
      </c>
      <c r="E947" t="str">
        <f>IF('Unit Mix &amp; Rents'!D28 = "", "", 'Unit Mix &amp; Rents'!D28)</f>
        <v/>
      </c>
      <c r="F947" t="str">
        <f>IF('Unit Mix &amp; Rents'!E28 = "", "", 'Unit Mix &amp; Rents'!E28)</f>
        <v/>
      </c>
    </row>
    <row r="948" spans="1:6">
      <c r="A948" s="195" t="str">
        <f>IF(B948="","",MAX(A$934:A947)+1)</f>
        <v/>
      </c>
      <c r="B948" s="70" t="str">
        <f>IF('Unit Mix &amp; Rents'!A29 = "", "", 'Unit Mix &amp; Rents'!A29)</f>
        <v/>
      </c>
      <c r="C948" t="str">
        <f>IF('Unit Mix &amp; Rents'!B29 = "", "", 'Unit Mix &amp; Rents'!B29)</f>
        <v/>
      </c>
      <c r="D948" t="str">
        <f>IF('Unit Mix &amp; Rents'!C29 = "", "", 'Unit Mix &amp; Rents'!C29)</f>
        <v/>
      </c>
      <c r="E948" t="str">
        <f>IF('Unit Mix &amp; Rents'!D29 = "", "", 'Unit Mix &amp; Rents'!D29)</f>
        <v/>
      </c>
      <c r="F948" t="str">
        <f>IF('Unit Mix &amp; Rents'!E29 = "", "", 'Unit Mix &amp; Rents'!E29)</f>
        <v/>
      </c>
    </row>
    <row r="949" spans="1:6">
      <c r="A949" s="195" t="str">
        <f>IF(B949="","",MAX(A$934:A948)+1)</f>
        <v/>
      </c>
      <c r="B949" s="70" t="str">
        <f>IF('Unit Mix &amp; Rents'!A30 = "", "", 'Unit Mix &amp; Rents'!A30)</f>
        <v/>
      </c>
      <c r="C949" t="str">
        <f>IF('Unit Mix &amp; Rents'!B30 = "", "", 'Unit Mix &amp; Rents'!B30)</f>
        <v/>
      </c>
      <c r="D949" t="str">
        <f>IF('Unit Mix &amp; Rents'!C30 = "", "", 'Unit Mix &amp; Rents'!C30)</f>
        <v/>
      </c>
      <c r="E949" t="str">
        <f>IF('Unit Mix &amp; Rents'!D30 = "", "", 'Unit Mix &amp; Rents'!D30)</f>
        <v/>
      </c>
      <c r="F949" t="str">
        <f>IF('Unit Mix &amp; Rents'!E30 = "", "", 'Unit Mix &amp; Rents'!E30)</f>
        <v/>
      </c>
    </row>
    <row r="950" spans="1:6">
      <c r="A950" s="195" t="str">
        <f>IF(B950="","",MAX(A$934:A949)+1)</f>
        <v/>
      </c>
      <c r="B950" s="70" t="str">
        <f>IF('Unit Mix &amp; Rents'!A31 = "", "", 'Unit Mix &amp; Rents'!A31)</f>
        <v/>
      </c>
      <c r="C950" t="str">
        <f>IF('Unit Mix &amp; Rents'!B31 = "", "", 'Unit Mix &amp; Rents'!B31)</f>
        <v/>
      </c>
      <c r="D950" t="str">
        <f>IF('Unit Mix &amp; Rents'!C31 = "", "", 'Unit Mix &amp; Rents'!C31)</f>
        <v/>
      </c>
      <c r="E950" t="str">
        <f>IF('Unit Mix &amp; Rents'!D31 = "", "", 'Unit Mix &amp; Rents'!D31)</f>
        <v/>
      </c>
      <c r="F950" t="str">
        <f>IF('Unit Mix &amp; Rents'!E31 = "", "", 'Unit Mix &amp; Rents'!E31)</f>
        <v/>
      </c>
    </row>
    <row r="951" spans="1:6">
      <c r="A951" s="195" t="str">
        <f>IF(B951="","",MAX(A$934:A950)+1)</f>
        <v/>
      </c>
      <c r="B951" s="70" t="str">
        <f>IF('Unit Mix &amp; Rents'!A32 = "", "", 'Unit Mix &amp; Rents'!A32)</f>
        <v/>
      </c>
      <c r="C951" t="str">
        <f>IF('Unit Mix &amp; Rents'!B32 = "", "", 'Unit Mix &amp; Rents'!B32)</f>
        <v/>
      </c>
      <c r="D951" t="str">
        <f>IF('Unit Mix &amp; Rents'!C32 = "", "", 'Unit Mix &amp; Rents'!C32)</f>
        <v/>
      </c>
      <c r="E951" t="str">
        <f>IF('Unit Mix &amp; Rents'!D32 = "", "", 'Unit Mix &amp; Rents'!D32)</f>
        <v/>
      </c>
      <c r="F951" t="str">
        <f>IF('Unit Mix &amp; Rents'!E32 = "", "", 'Unit Mix &amp; Rents'!E32)</f>
        <v/>
      </c>
    </row>
    <row r="952" spans="1:6">
      <c r="A952" s="195" t="str">
        <f>IF(B952="","",MAX(A$934:A951)+1)</f>
        <v/>
      </c>
      <c r="B952" s="70" t="str">
        <f>IF('Unit Mix &amp; Rents'!A33 = "", "", 'Unit Mix &amp; Rents'!A33)</f>
        <v/>
      </c>
      <c r="C952" t="str">
        <f>IF('Unit Mix &amp; Rents'!B33 = "", "", 'Unit Mix &amp; Rents'!B33)</f>
        <v/>
      </c>
      <c r="D952" t="str">
        <f>IF('Unit Mix &amp; Rents'!C33 = "", "", 'Unit Mix &amp; Rents'!C33)</f>
        <v/>
      </c>
      <c r="E952" t="str">
        <f>IF('Unit Mix &amp; Rents'!D33 = "", "", 'Unit Mix &amp; Rents'!D33)</f>
        <v/>
      </c>
      <c r="F952" t="str">
        <f>IF('Unit Mix &amp; Rents'!E33 = "", "", 'Unit Mix &amp; Rents'!E33)</f>
        <v/>
      </c>
    </row>
    <row r="953" spans="1:6">
      <c r="A953" s="195" t="str">
        <f>IF(B953="","",MAX(A$934:A952)+1)</f>
        <v/>
      </c>
      <c r="B953" s="70" t="str">
        <f>IF('Unit Mix &amp; Rents'!A34 = "", "", 'Unit Mix &amp; Rents'!A34)</f>
        <v/>
      </c>
      <c r="C953" t="str">
        <f>IF('Unit Mix &amp; Rents'!B34 = "", "", 'Unit Mix &amp; Rents'!B34)</f>
        <v/>
      </c>
      <c r="D953" t="str">
        <f>IF('Unit Mix &amp; Rents'!C34 = "", "", 'Unit Mix &amp; Rents'!C34)</f>
        <v/>
      </c>
      <c r="E953" t="str">
        <f>IF('Unit Mix &amp; Rents'!D34 = "", "", 'Unit Mix &amp; Rents'!D34)</f>
        <v/>
      </c>
      <c r="F953" t="str">
        <f>IF('Unit Mix &amp; Rents'!E34 = "", "", 'Unit Mix &amp; Rents'!E34)</f>
        <v/>
      </c>
    </row>
    <row r="954" spans="1:6">
      <c r="A954" s="195" t="str">
        <f>IF(B954="","",MAX(A$934:A953)+1)</f>
        <v/>
      </c>
      <c r="B954" s="70" t="str">
        <f>IF('Unit Mix &amp; Rents'!A35 = "", "", 'Unit Mix &amp; Rents'!A35)</f>
        <v/>
      </c>
      <c r="C954" t="str">
        <f>IF('Unit Mix &amp; Rents'!B35 = "", "", 'Unit Mix &amp; Rents'!B35)</f>
        <v/>
      </c>
      <c r="D954" t="str">
        <f>IF('Unit Mix &amp; Rents'!C35 = "", "", 'Unit Mix &amp; Rents'!C35)</f>
        <v/>
      </c>
      <c r="E954" t="str">
        <f>IF('Unit Mix &amp; Rents'!D35 = "", "", 'Unit Mix &amp; Rents'!D35)</f>
        <v/>
      </c>
      <c r="F954" t="str">
        <f>IF('Unit Mix &amp; Rents'!E35 = "", "", 'Unit Mix &amp; Rents'!E35)</f>
        <v/>
      </c>
    </row>
    <row r="955" spans="1:6">
      <c r="A955" s="195" t="str">
        <f>IF(B955="","",MAX(A$934:A954)+1)</f>
        <v/>
      </c>
      <c r="B955" s="70" t="str">
        <f>IF('Unit Mix &amp; Rents'!A36 = "", "", 'Unit Mix &amp; Rents'!A36)</f>
        <v/>
      </c>
      <c r="C955" t="str">
        <f>IF('Unit Mix &amp; Rents'!B36 = "", "", 'Unit Mix &amp; Rents'!B36)</f>
        <v/>
      </c>
      <c r="D955" t="str">
        <f>IF('Unit Mix &amp; Rents'!C36 = "", "", 'Unit Mix &amp; Rents'!C36)</f>
        <v/>
      </c>
      <c r="E955" t="str">
        <f>IF('Unit Mix &amp; Rents'!D36 = "", "", 'Unit Mix &amp; Rents'!D36)</f>
        <v/>
      </c>
      <c r="F955" t="str">
        <f>IF('Unit Mix &amp; Rents'!E36 = "", "", 'Unit Mix &amp; Rents'!E36)</f>
        <v/>
      </c>
    </row>
    <row r="956" spans="1:6">
      <c r="A956" s="195" t="str">
        <f>IF(B956="","",MAX(A$934:A955)+1)</f>
        <v/>
      </c>
      <c r="B956" s="70" t="str">
        <f>IF('Unit Mix &amp; Rents'!A37 = "", "", 'Unit Mix &amp; Rents'!A37)</f>
        <v/>
      </c>
      <c r="C956" t="str">
        <f>IF('Unit Mix &amp; Rents'!B37 = "", "", 'Unit Mix &amp; Rents'!B37)</f>
        <v/>
      </c>
      <c r="D956" t="str">
        <f>IF('Unit Mix &amp; Rents'!C37 = "", "", 'Unit Mix &amp; Rents'!C37)</f>
        <v/>
      </c>
      <c r="E956" t="str">
        <f>IF('Unit Mix &amp; Rents'!D37 = "", "", 'Unit Mix &amp; Rents'!D37)</f>
        <v/>
      </c>
      <c r="F956" t="str">
        <f>IF('Unit Mix &amp; Rents'!E37 = "", "", 'Unit Mix &amp; Rents'!E37)</f>
        <v/>
      </c>
    </row>
    <row r="957" spans="1:6">
      <c r="A957" s="195" t="str">
        <f>IF(B957="","",MAX(A$934:A956)+1)</f>
        <v/>
      </c>
      <c r="B957" s="70" t="str">
        <f>IF('Unit Mix &amp; Rents'!A38 = "", "", 'Unit Mix &amp; Rents'!A38)</f>
        <v/>
      </c>
      <c r="C957" t="str">
        <f>IF('Unit Mix &amp; Rents'!B38 = "", "", 'Unit Mix &amp; Rents'!B38)</f>
        <v/>
      </c>
      <c r="D957" t="str">
        <f>IF('Unit Mix &amp; Rents'!C38 = "", "", 'Unit Mix &amp; Rents'!C38)</f>
        <v/>
      </c>
      <c r="E957" t="str">
        <f>IF('Unit Mix &amp; Rents'!D38 = "", "", 'Unit Mix &amp; Rents'!D38)</f>
        <v/>
      </c>
      <c r="F957" t="str">
        <f>IF('Unit Mix &amp; Rents'!E38 = "", "", 'Unit Mix &amp; Rents'!E38)</f>
        <v/>
      </c>
    </row>
    <row r="958" spans="1:6">
      <c r="A958" s="195" t="str">
        <f>IF(B958="","",MAX(A$934:A957)+1)</f>
        <v/>
      </c>
      <c r="B958" s="70" t="str">
        <f>IF('Unit Mix &amp; Rents'!A39 = "", "", 'Unit Mix &amp; Rents'!A39)</f>
        <v/>
      </c>
      <c r="C958" t="str">
        <f>IF('Unit Mix &amp; Rents'!B39 = "", "", 'Unit Mix &amp; Rents'!B39)</f>
        <v/>
      </c>
      <c r="D958" t="str">
        <f>IF('Unit Mix &amp; Rents'!C39 = "", "", 'Unit Mix &amp; Rents'!C39)</f>
        <v/>
      </c>
      <c r="E958" t="str">
        <f>IF('Unit Mix &amp; Rents'!D39 = "", "", 'Unit Mix &amp; Rents'!D39)</f>
        <v/>
      </c>
      <c r="F958" t="str">
        <f>IF('Unit Mix &amp; Rents'!E39 = "", "", 'Unit Mix &amp; Rents'!E39)</f>
        <v/>
      </c>
    </row>
    <row r="959" spans="1:6">
      <c r="A959" s="195" t="str">
        <f>IF(B959="","",MAX(A$934:A958)+1)</f>
        <v/>
      </c>
      <c r="B959" s="70" t="str">
        <f>IF('Unit Mix &amp; Rents'!A40 = "", "", 'Unit Mix &amp; Rents'!A40)</f>
        <v/>
      </c>
      <c r="C959" t="str">
        <f>IF('Unit Mix &amp; Rents'!B40 = "", "", 'Unit Mix &amp; Rents'!B40)</f>
        <v/>
      </c>
      <c r="D959" t="str">
        <f>IF('Unit Mix &amp; Rents'!C40 = "", "", 'Unit Mix &amp; Rents'!C40)</f>
        <v/>
      </c>
      <c r="E959" t="str">
        <f>IF('Unit Mix &amp; Rents'!D40 = "", "", 'Unit Mix &amp; Rents'!D40)</f>
        <v/>
      </c>
      <c r="F959" t="str">
        <f>IF('Unit Mix &amp; Rents'!E40 = "", "", 'Unit Mix &amp; Rents'!E40)</f>
        <v/>
      </c>
    </row>
    <row r="960" spans="1:6">
      <c r="A960" s="195" t="str">
        <f>IF(B960="","",MAX(A$934:A959)+1)</f>
        <v/>
      </c>
      <c r="B960" s="70" t="str">
        <f>IF('Unit Mix &amp; Rents'!A41 = "", "", 'Unit Mix &amp; Rents'!A41)</f>
        <v/>
      </c>
      <c r="C960" t="str">
        <f>IF('Unit Mix &amp; Rents'!B41 = "", "", 'Unit Mix &amp; Rents'!B41)</f>
        <v/>
      </c>
      <c r="D960" t="str">
        <f>IF('Unit Mix &amp; Rents'!C41 = "", "", 'Unit Mix &amp; Rents'!C41)</f>
        <v/>
      </c>
      <c r="E960" t="str">
        <f>IF('Unit Mix &amp; Rents'!D41 = "", "", 'Unit Mix &amp; Rents'!D41)</f>
        <v/>
      </c>
      <c r="F960" t="str">
        <f>IF('Unit Mix &amp; Rents'!E41 = "", "", 'Unit Mix &amp; Rents'!E41)</f>
        <v/>
      </c>
    </row>
    <row r="961" spans="1:6">
      <c r="A961" s="195" t="str">
        <f>IF(B961="","",MAX(A$934:A960)+1)</f>
        <v/>
      </c>
      <c r="B961" s="70" t="str">
        <f>IF('Unit Mix &amp; Rents'!A42 = "", "", 'Unit Mix &amp; Rents'!A42)</f>
        <v/>
      </c>
      <c r="C961" t="str">
        <f>IF('Unit Mix &amp; Rents'!B42 = "", "", 'Unit Mix &amp; Rents'!B42)</f>
        <v/>
      </c>
      <c r="D961" t="str">
        <f>IF('Unit Mix &amp; Rents'!C42 = "", "", 'Unit Mix &amp; Rents'!C42)</f>
        <v/>
      </c>
      <c r="E961" t="str">
        <f>IF('Unit Mix &amp; Rents'!D42 = "", "", 'Unit Mix &amp; Rents'!D42)</f>
        <v/>
      </c>
      <c r="F961" t="str">
        <f>IF('Unit Mix &amp; Rents'!E42 = "", "", 'Unit Mix &amp; Rents'!E42)</f>
        <v/>
      </c>
    </row>
    <row r="962" spans="1:6">
      <c r="A962" s="195" t="str">
        <f>IF(B962="","",MAX(A$934:A961)+1)</f>
        <v/>
      </c>
      <c r="B962" s="70" t="str">
        <f>IF('Unit Mix &amp; Rents'!A43 = "", "", 'Unit Mix &amp; Rents'!A43)</f>
        <v/>
      </c>
      <c r="C962" t="str">
        <f>IF('Unit Mix &amp; Rents'!B43 = "", "", 'Unit Mix &amp; Rents'!B43)</f>
        <v/>
      </c>
      <c r="D962" t="str">
        <f>IF('Unit Mix &amp; Rents'!C43 = "", "", 'Unit Mix &amp; Rents'!C43)</f>
        <v/>
      </c>
      <c r="E962" t="str">
        <f>IF('Unit Mix &amp; Rents'!D43 = "", "", 'Unit Mix &amp; Rents'!D43)</f>
        <v/>
      </c>
      <c r="F962" t="str">
        <f>IF('Unit Mix &amp; Rents'!E43 = "", "", 'Unit Mix &amp; Rents'!E43)</f>
        <v/>
      </c>
    </row>
    <row r="963" spans="1:6">
      <c r="A963" s="195" t="str">
        <f>IF(B963="","",MAX(A$934:A962)+1)</f>
        <v/>
      </c>
      <c r="B963" s="70" t="str">
        <f>IF('Unit Mix &amp; Rents'!A44 = "", "", 'Unit Mix &amp; Rents'!A44)</f>
        <v/>
      </c>
      <c r="C963" t="str">
        <f>IF('Unit Mix &amp; Rents'!B44 = "", "", 'Unit Mix &amp; Rents'!B44)</f>
        <v/>
      </c>
      <c r="D963" t="str">
        <f>IF('Unit Mix &amp; Rents'!C44 = "", "", 'Unit Mix &amp; Rents'!C44)</f>
        <v/>
      </c>
      <c r="E963" t="str">
        <f>IF('Unit Mix &amp; Rents'!D44 = "", "", 'Unit Mix &amp; Rents'!D44)</f>
        <v/>
      </c>
      <c r="F963" t="str">
        <f>IF('Unit Mix &amp; Rents'!E44 = "", "", 'Unit Mix &amp; Rents'!E44)</f>
        <v/>
      </c>
    </row>
    <row r="964" spans="1:6">
      <c r="A964" s="195" t="str">
        <f>IF(B964="","",MAX(A$934:A963)+1)</f>
        <v/>
      </c>
      <c r="B964" s="70" t="str">
        <f>IF('Unit Mix &amp; Rents'!A45 = "", "", 'Unit Mix &amp; Rents'!A45)</f>
        <v/>
      </c>
      <c r="C964" t="str">
        <f>IF('Unit Mix &amp; Rents'!B45 = "", "", 'Unit Mix &amp; Rents'!B45)</f>
        <v/>
      </c>
      <c r="D964" t="str">
        <f>IF('Unit Mix &amp; Rents'!C45 = "", "", 'Unit Mix &amp; Rents'!C45)</f>
        <v/>
      </c>
      <c r="E964" t="str">
        <f>IF('Unit Mix &amp; Rents'!D45 = "", "", 'Unit Mix &amp; Rents'!D45)</f>
        <v/>
      </c>
      <c r="F964" t="str">
        <f>IF('Unit Mix &amp; Rents'!E45 = "", "", 'Unit Mix &amp; Rents'!E45)</f>
        <v/>
      </c>
    </row>
    <row r="965" spans="1:6">
      <c r="A965" s="195" t="str">
        <f>IF(B965="","",MAX(A$934:A964)+1)</f>
        <v/>
      </c>
      <c r="B965" s="70" t="str">
        <f>IF('Unit Mix &amp; Rents'!A46 = "", "", 'Unit Mix &amp; Rents'!A46)</f>
        <v/>
      </c>
      <c r="C965" t="str">
        <f>IF('Unit Mix &amp; Rents'!B46 = "", "", 'Unit Mix &amp; Rents'!B46)</f>
        <v/>
      </c>
      <c r="D965" t="str">
        <f>IF('Unit Mix &amp; Rents'!C46 = "", "", 'Unit Mix &amp; Rents'!C46)</f>
        <v/>
      </c>
      <c r="E965" t="str">
        <f>IF('Unit Mix &amp; Rents'!D46 = "", "", 'Unit Mix &amp; Rents'!D46)</f>
        <v/>
      </c>
      <c r="F965" t="str">
        <f>IF('Unit Mix &amp; Rents'!E46 = "", "", 'Unit Mix &amp; Rents'!E46)</f>
        <v/>
      </c>
    </row>
    <row r="966" spans="1:6">
      <c r="A966" s="195" t="str">
        <f>IF(B966="","",MAX(A$934:A965)+1)</f>
        <v/>
      </c>
      <c r="B966" s="70" t="str">
        <f>IF('Unit Mix &amp; Rents'!A47 = "", "", 'Unit Mix &amp; Rents'!A47)</f>
        <v/>
      </c>
      <c r="C966" t="str">
        <f>IF('Unit Mix &amp; Rents'!B47 = "", "", 'Unit Mix &amp; Rents'!B47)</f>
        <v/>
      </c>
      <c r="D966" t="str">
        <f>IF('Unit Mix &amp; Rents'!C47 = "", "", 'Unit Mix &amp; Rents'!C47)</f>
        <v/>
      </c>
      <c r="E966" t="str">
        <f>IF('Unit Mix &amp; Rents'!D47 = "", "", 'Unit Mix &amp; Rents'!D47)</f>
        <v/>
      </c>
      <c r="F966" t="str">
        <f>IF('Unit Mix &amp; Rents'!E47 = "", "", 'Unit Mix &amp; Rents'!E47)</f>
        <v/>
      </c>
    </row>
    <row r="967" spans="1:6">
      <c r="A967" s="195" t="str">
        <f>IF(B967="","",MAX(A$934:A966)+1)</f>
        <v/>
      </c>
      <c r="B967" s="70" t="str">
        <f>IF('Unit Mix &amp; Rents'!A48 = "", "", 'Unit Mix &amp; Rents'!A48)</f>
        <v/>
      </c>
      <c r="C967" t="str">
        <f>IF('Unit Mix &amp; Rents'!B48 = "", "", 'Unit Mix &amp; Rents'!B48)</f>
        <v/>
      </c>
      <c r="D967" t="str">
        <f>IF('Unit Mix &amp; Rents'!C48 = "", "", 'Unit Mix &amp; Rents'!C48)</f>
        <v/>
      </c>
      <c r="E967" t="str">
        <f>IF('Unit Mix &amp; Rents'!D48 = "", "", 'Unit Mix &amp; Rents'!D48)</f>
        <v/>
      </c>
      <c r="F967" t="str">
        <f>IF('Unit Mix &amp; Rents'!E48 = "", "", 'Unit Mix &amp; Rents'!E48)</f>
        <v/>
      </c>
    </row>
    <row r="968" spans="1:6">
      <c r="A968" s="195" t="str">
        <f>IF(B968="","",MAX(A$934:A967)+1)</f>
        <v/>
      </c>
      <c r="B968" s="70" t="str">
        <f>IF('Unit Mix &amp; Rents'!A49 = "", "", 'Unit Mix &amp; Rents'!A49)</f>
        <v/>
      </c>
      <c r="C968" t="str">
        <f>IF('Unit Mix &amp; Rents'!B49 = "", "", 'Unit Mix &amp; Rents'!B49)</f>
        <v/>
      </c>
      <c r="D968" t="str">
        <f>IF('Unit Mix &amp; Rents'!C49 = "", "", 'Unit Mix &amp; Rents'!C49)</f>
        <v/>
      </c>
      <c r="E968" t="str">
        <f>IF('Unit Mix &amp; Rents'!D49 = "", "", 'Unit Mix &amp; Rents'!D49)</f>
        <v/>
      </c>
      <c r="F968" t="str">
        <f>IF('Unit Mix &amp; Rents'!E49 = "", "", 'Unit Mix &amp; Rents'!E49)</f>
        <v/>
      </c>
    </row>
    <row r="969" spans="1:6">
      <c r="A969" s="195" t="str">
        <f>IF(B969="","",MAX(A$934:A968)+1)</f>
        <v/>
      </c>
      <c r="B969" s="70" t="str">
        <f>IF('Unit Mix &amp; Rents'!A50 = "", "", 'Unit Mix &amp; Rents'!A50)</f>
        <v/>
      </c>
      <c r="C969" t="str">
        <f>IF('Unit Mix &amp; Rents'!B50 = "", "", 'Unit Mix &amp; Rents'!B50)</f>
        <v/>
      </c>
      <c r="D969" t="str">
        <f>IF('Unit Mix &amp; Rents'!C50 = "", "", 'Unit Mix &amp; Rents'!C50)</f>
        <v/>
      </c>
      <c r="E969" t="str">
        <f>IF('Unit Mix &amp; Rents'!D50 = "", "", 'Unit Mix &amp; Rents'!D50)</f>
        <v/>
      </c>
      <c r="F969" t="str">
        <f>IF('Unit Mix &amp; Rents'!E50 = "", "", 'Unit Mix &amp; Rents'!E50)</f>
        <v/>
      </c>
    </row>
    <row r="970" spans="1:6">
      <c r="A970" s="195" t="str">
        <f>IF(B970="","",MAX(A$934:A969)+1)</f>
        <v/>
      </c>
      <c r="B970" s="70" t="str">
        <f>IF('Unit Mix &amp; Rents'!A51 = "", "", 'Unit Mix &amp; Rents'!A51)</f>
        <v/>
      </c>
      <c r="C970" t="str">
        <f>IF('Unit Mix &amp; Rents'!B51 = "", "", 'Unit Mix &amp; Rents'!B51)</f>
        <v/>
      </c>
      <c r="D970" t="str">
        <f>IF('Unit Mix &amp; Rents'!C51 = "", "", 'Unit Mix &amp; Rents'!C51)</f>
        <v/>
      </c>
      <c r="E970" t="str">
        <f>IF('Unit Mix &amp; Rents'!D51 = "", "", 'Unit Mix &amp; Rents'!D51)</f>
        <v/>
      </c>
      <c r="F970" t="str">
        <f>IF('Unit Mix &amp; Rents'!E51 = "", "", 'Unit Mix &amp; Rents'!E51)</f>
        <v/>
      </c>
    </row>
    <row r="971" spans="1:6">
      <c r="A971" s="195" t="str">
        <f>IF(B971="","",MAX(A$934:A970)+1)</f>
        <v/>
      </c>
      <c r="B971" s="70" t="str">
        <f>IF('Unit Mix &amp; Rents'!A52 = "", "", 'Unit Mix &amp; Rents'!A52)</f>
        <v/>
      </c>
      <c r="C971" t="str">
        <f>IF('Unit Mix &amp; Rents'!B52 = "", "", 'Unit Mix &amp; Rents'!B52)</f>
        <v/>
      </c>
      <c r="D971" t="str">
        <f>IF('Unit Mix &amp; Rents'!C52 = "", "", 'Unit Mix &amp; Rents'!C52)</f>
        <v/>
      </c>
      <c r="E971" t="str">
        <f>IF('Unit Mix &amp; Rents'!D52 = "", "", 'Unit Mix &amp; Rents'!D52)</f>
        <v/>
      </c>
      <c r="F971" t="str">
        <f>IF('Unit Mix &amp; Rents'!E52 = "", "", 'Unit Mix &amp; Rents'!E52)</f>
        <v/>
      </c>
    </row>
    <row r="972" spans="1:6">
      <c r="A972" s="195" t="str">
        <f>IF(B972="","",MAX(A$934:A971)+1)</f>
        <v/>
      </c>
      <c r="B972" s="70" t="str">
        <f>IF('Unit Mix &amp; Rents'!A53 = "", "", 'Unit Mix &amp; Rents'!A53)</f>
        <v/>
      </c>
      <c r="C972" t="str">
        <f>IF('Unit Mix &amp; Rents'!B53 = "", "", 'Unit Mix &amp; Rents'!B53)</f>
        <v/>
      </c>
      <c r="D972" t="str">
        <f>IF('Unit Mix &amp; Rents'!C53 = "", "", 'Unit Mix &amp; Rents'!C53)</f>
        <v/>
      </c>
      <c r="E972" t="str">
        <f>IF('Unit Mix &amp; Rents'!D53 = "", "", 'Unit Mix &amp; Rents'!D53)</f>
        <v/>
      </c>
      <c r="F972" t="str">
        <f>IF('Unit Mix &amp; Rents'!E53 = "", "", 'Unit Mix &amp; Rents'!E53)</f>
        <v/>
      </c>
    </row>
    <row r="973" spans="1:6">
      <c r="A973" s="195" t="str">
        <f>IF(B973="","",MAX(A$934:A972)+1)</f>
        <v/>
      </c>
      <c r="B973" s="70" t="str">
        <f>IF('Unit Mix &amp; Rents'!A54 = "", "", 'Unit Mix &amp; Rents'!A54)</f>
        <v/>
      </c>
      <c r="C973" t="str">
        <f>IF('Unit Mix &amp; Rents'!B54 = "", "", 'Unit Mix &amp; Rents'!B54)</f>
        <v/>
      </c>
      <c r="D973" t="str">
        <f>IF('Unit Mix &amp; Rents'!C54 = "", "", 'Unit Mix &amp; Rents'!C54)</f>
        <v/>
      </c>
      <c r="E973" t="str">
        <f>IF('Unit Mix &amp; Rents'!D54 = "", "", 'Unit Mix &amp; Rents'!D54)</f>
        <v/>
      </c>
      <c r="F973" t="str">
        <f>IF('Unit Mix &amp; Rents'!E54 = "", "", 'Unit Mix &amp; Rents'!E54)</f>
        <v/>
      </c>
    </row>
    <row r="974" spans="1:6">
      <c r="A974" s="195" t="str">
        <f>IF(B974="","",MAX(A$934:A973)+1)</f>
        <v/>
      </c>
      <c r="B974" s="70" t="str">
        <f>IF('Unit Mix &amp; Rents'!A55 = "", "", 'Unit Mix &amp; Rents'!A55)</f>
        <v/>
      </c>
      <c r="C974" t="str">
        <f>IF('Unit Mix &amp; Rents'!B55 = "", "", 'Unit Mix &amp; Rents'!B55)</f>
        <v/>
      </c>
      <c r="D974" t="str">
        <f>IF('Unit Mix &amp; Rents'!C55 = "", "", 'Unit Mix &amp; Rents'!C55)</f>
        <v/>
      </c>
      <c r="E974" t="str">
        <f>IF('Unit Mix &amp; Rents'!D55 = "", "", 'Unit Mix &amp; Rents'!D55)</f>
        <v/>
      </c>
      <c r="F974" t="str">
        <f>IF('Unit Mix &amp; Rents'!E55 = "", "", 'Unit Mix &amp; Rents'!E55)</f>
        <v/>
      </c>
    </row>
    <row r="975" spans="1:6">
      <c r="A975" s="195" t="str">
        <f>IF(B975="","",MAX(A$934:A974)+1)</f>
        <v/>
      </c>
      <c r="B975" s="70" t="str">
        <f>IF('Unit Mix &amp; Rents'!A56 = "", "", 'Unit Mix &amp; Rents'!A56)</f>
        <v/>
      </c>
      <c r="C975" t="str">
        <f>IF('Unit Mix &amp; Rents'!B56 = "", "", 'Unit Mix &amp; Rents'!B56)</f>
        <v/>
      </c>
      <c r="D975" t="str">
        <f>IF('Unit Mix &amp; Rents'!C56 = "", "", 'Unit Mix &amp; Rents'!C56)</f>
        <v/>
      </c>
      <c r="E975" t="str">
        <f>IF('Unit Mix &amp; Rents'!D56 = "", "", 'Unit Mix &amp; Rents'!D56)</f>
        <v/>
      </c>
      <c r="F975" t="str">
        <f>IF('Unit Mix &amp; Rents'!E56 = "", "", 'Unit Mix &amp; Rents'!E56)</f>
        <v/>
      </c>
    </row>
    <row r="976" spans="1:6">
      <c r="A976" s="195" t="str">
        <f>IF(B976="","",MAX(A$934:A975)+1)</f>
        <v/>
      </c>
      <c r="B976" s="70" t="str">
        <f>IF('Unit Mix &amp; Rents'!A57 = "", "", 'Unit Mix &amp; Rents'!A57)</f>
        <v/>
      </c>
      <c r="C976" t="str">
        <f>IF('Unit Mix &amp; Rents'!B57 = "", "", 'Unit Mix &amp; Rents'!B57)</f>
        <v/>
      </c>
      <c r="D976" t="str">
        <f>IF('Unit Mix &amp; Rents'!C57 = "", "", 'Unit Mix &amp; Rents'!C57)</f>
        <v/>
      </c>
      <c r="E976" t="str">
        <f>IF('Unit Mix &amp; Rents'!D57 = "", "", 'Unit Mix &amp; Rents'!D57)</f>
        <v/>
      </c>
      <c r="F976" t="str">
        <f>IF('Unit Mix &amp; Rents'!E57 = "", "", 'Unit Mix &amp; Rents'!E57)</f>
        <v/>
      </c>
    </row>
    <row r="977" spans="1:6">
      <c r="A977" s="195" t="str">
        <f>IF(B977="","",MAX(A$934:A976)+1)</f>
        <v/>
      </c>
      <c r="B977" s="70" t="str">
        <f>IF('Unit Mix &amp; Rents'!A58 = "", "", 'Unit Mix &amp; Rents'!A58)</f>
        <v/>
      </c>
      <c r="C977" t="str">
        <f>IF('Unit Mix &amp; Rents'!B58 = "", "", 'Unit Mix &amp; Rents'!B58)</f>
        <v/>
      </c>
      <c r="D977" t="str">
        <f>IF('Unit Mix &amp; Rents'!C58 = "", "", 'Unit Mix &amp; Rents'!C58)</f>
        <v/>
      </c>
      <c r="E977" t="str">
        <f>IF('Unit Mix &amp; Rents'!D58 = "", "", 'Unit Mix &amp; Rents'!D58)</f>
        <v/>
      </c>
      <c r="F977" t="str">
        <f>IF('Unit Mix &amp; Rents'!E58 = "", "", 'Unit Mix &amp; Rents'!E58)</f>
        <v/>
      </c>
    </row>
    <row r="978" spans="1:6">
      <c r="A978" s="195" t="str">
        <f>IF(B978="","",MAX(A$934:A977)+1)</f>
        <v/>
      </c>
      <c r="B978" s="70" t="str">
        <f>IF('Unit Mix &amp; Rents'!A59 = "", "", 'Unit Mix &amp; Rents'!A59)</f>
        <v/>
      </c>
      <c r="C978" t="str">
        <f>IF('Unit Mix &amp; Rents'!B59 = "", "", 'Unit Mix &amp; Rents'!B59)</f>
        <v/>
      </c>
      <c r="D978" t="str">
        <f>IF('Unit Mix &amp; Rents'!C59 = "", "", 'Unit Mix &amp; Rents'!C59)</f>
        <v/>
      </c>
      <c r="E978" t="str">
        <f>IF('Unit Mix &amp; Rents'!D59 = "", "", 'Unit Mix &amp; Rents'!D59)</f>
        <v/>
      </c>
      <c r="F978" t="str">
        <f>IF('Unit Mix &amp; Rents'!E59 = "", "", 'Unit Mix &amp; Rents'!E59)</f>
        <v/>
      </c>
    </row>
    <row r="979" spans="1:6">
      <c r="A979" s="195" t="str">
        <f>IF(B979="","",MAX(A$934:A978)+1)</f>
        <v/>
      </c>
      <c r="B979" s="70" t="str">
        <f>IF('Unit Mix &amp; Rents'!A60 = "", "", 'Unit Mix &amp; Rents'!A60)</f>
        <v/>
      </c>
      <c r="C979" t="str">
        <f>IF('Unit Mix &amp; Rents'!B60 = "", "", 'Unit Mix &amp; Rents'!B60)</f>
        <v/>
      </c>
      <c r="D979" t="str">
        <f>IF('Unit Mix &amp; Rents'!C60 = "", "", 'Unit Mix &amp; Rents'!C60)</f>
        <v/>
      </c>
      <c r="E979" t="str">
        <f>IF('Unit Mix &amp; Rents'!D60 = "", "", 'Unit Mix &amp; Rents'!D60)</f>
        <v/>
      </c>
      <c r="F979" t="str">
        <f>IF('Unit Mix &amp; Rents'!E60 = "", "", 'Unit Mix &amp; Rents'!E60)</f>
        <v/>
      </c>
    </row>
    <row r="980" spans="1:6">
      <c r="A980" s="195" t="str">
        <f>IF(B980="","",MAX(A$934:A979)+1)</f>
        <v/>
      </c>
      <c r="B980" s="70" t="str">
        <f>IF('Unit Mix &amp; Rents'!A61 = "", "", 'Unit Mix &amp; Rents'!A61)</f>
        <v/>
      </c>
      <c r="C980" t="str">
        <f>IF('Unit Mix &amp; Rents'!B61 = "", "", 'Unit Mix &amp; Rents'!B61)</f>
        <v/>
      </c>
      <c r="D980" t="str">
        <f>IF('Unit Mix &amp; Rents'!C61 = "", "", 'Unit Mix &amp; Rents'!C61)</f>
        <v/>
      </c>
      <c r="E980" t="str">
        <f>IF('Unit Mix &amp; Rents'!D61 = "", "", 'Unit Mix &amp; Rents'!D61)</f>
        <v/>
      </c>
      <c r="F980" t="str">
        <f>IF('Unit Mix &amp; Rents'!E61 = "", "", 'Unit Mix &amp; Rents'!E61)</f>
        <v/>
      </c>
    </row>
    <row r="981" spans="1:6">
      <c r="A981" s="195" t="str">
        <f>IF(B981="","",MAX(A$934:A980)+1)</f>
        <v/>
      </c>
      <c r="B981" s="70" t="str">
        <f>IF('Unit Mix &amp; Rents'!A62 = "", "", 'Unit Mix &amp; Rents'!A62)</f>
        <v/>
      </c>
      <c r="C981" t="str">
        <f>IF('Unit Mix &amp; Rents'!B62 = "", "", 'Unit Mix &amp; Rents'!B62)</f>
        <v/>
      </c>
      <c r="D981" t="str">
        <f>IF('Unit Mix &amp; Rents'!C62 = "", "", 'Unit Mix &amp; Rents'!C62)</f>
        <v/>
      </c>
      <c r="E981" t="str">
        <f>IF('Unit Mix &amp; Rents'!D62 = "", "", 'Unit Mix &amp; Rents'!D62)</f>
        <v/>
      </c>
      <c r="F981" t="str">
        <f>IF('Unit Mix &amp; Rents'!E62 = "", "", 'Unit Mix &amp; Rents'!E62)</f>
        <v/>
      </c>
    </row>
    <row r="982" spans="1:6">
      <c r="A982" s="195" t="str">
        <f>IF(B982="","",MAX(A$934:A981)+1)</f>
        <v/>
      </c>
      <c r="B982" s="70" t="str">
        <f>IF('Unit Mix &amp; Rents'!A63 = "", "", 'Unit Mix &amp; Rents'!A63)</f>
        <v/>
      </c>
      <c r="C982" t="str">
        <f>IF('Unit Mix &amp; Rents'!B63 = "", "", 'Unit Mix &amp; Rents'!B63)</f>
        <v/>
      </c>
      <c r="D982" t="str">
        <f>IF('Unit Mix &amp; Rents'!C63 = "", "", 'Unit Mix &amp; Rents'!C63)</f>
        <v/>
      </c>
      <c r="E982" t="str">
        <f>IF('Unit Mix &amp; Rents'!D63 = "", "", 'Unit Mix &amp; Rents'!D63)</f>
        <v/>
      </c>
      <c r="F982" t="str">
        <f>IF('Unit Mix &amp; Rents'!E63 = "", "", 'Unit Mix &amp; Rents'!E63)</f>
        <v/>
      </c>
    </row>
    <row r="983" spans="1:6">
      <c r="A983" s="195" t="str">
        <f>IF(B983="","",MAX(A$934:A982)+1)</f>
        <v/>
      </c>
      <c r="B983" s="70" t="str">
        <f>IF('Unit Mix &amp; Rents'!A64 = "", "", 'Unit Mix &amp; Rents'!A64)</f>
        <v/>
      </c>
      <c r="C983" t="str">
        <f>IF('Unit Mix &amp; Rents'!B64 = "", "", 'Unit Mix &amp; Rents'!B64)</f>
        <v/>
      </c>
      <c r="D983" t="str">
        <f>IF('Unit Mix &amp; Rents'!C64 = "", "", 'Unit Mix &amp; Rents'!C64)</f>
        <v/>
      </c>
      <c r="E983" t="str">
        <f>IF('Unit Mix &amp; Rents'!D64 = "", "", 'Unit Mix &amp; Rents'!D64)</f>
        <v/>
      </c>
      <c r="F983" t="str">
        <f>IF('Unit Mix &amp; Rents'!E64 = "", "", 'Unit Mix &amp; Rents'!E64)</f>
        <v/>
      </c>
    </row>
    <row r="984" spans="1:6">
      <c r="A984" s="195" t="str">
        <f>IF(B984="","",MAX(A$934:A983)+1)</f>
        <v/>
      </c>
      <c r="B984" s="70" t="str">
        <f>IF('Unit Mix &amp; Rents'!A65 = "", "", 'Unit Mix &amp; Rents'!A65)</f>
        <v/>
      </c>
      <c r="C984" t="str">
        <f>IF('Unit Mix &amp; Rents'!B65 = "", "", 'Unit Mix &amp; Rents'!B65)</f>
        <v/>
      </c>
      <c r="D984" t="str">
        <f>IF('Unit Mix &amp; Rents'!C65 = "", "", 'Unit Mix &amp; Rents'!C65)</f>
        <v/>
      </c>
      <c r="E984" t="str">
        <f>IF('Unit Mix &amp; Rents'!D65 = "", "", 'Unit Mix &amp; Rents'!D65)</f>
        <v/>
      </c>
      <c r="F984" t="str">
        <f>IF('Unit Mix &amp; Rents'!E65 = "", "", 'Unit Mix &amp; Rents'!E65)</f>
        <v/>
      </c>
    </row>
    <row r="985" spans="1:6">
      <c r="A985" s="195" t="str">
        <f>IF(B985="","",MAX(A$934:A984)+1)</f>
        <v/>
      </c>
      <c r="B985" s="70" t="str">
        <f>IF('Unit Mix &amp; Rents'!A66 = "", "", 'Unit Mix &amp; Rents'!A66)</f>
        <v/>
      </c>
      <c r="C985" t="str">
        <f>IF('Unit Mix &amp; Rents'!B66 = "", "", 'Unit Mix &amp; Rents'!B66)</f>
        <v/>
      </c>
      <c r="D985" t="str">
        <f>IF('Unit Mix &amp; Rents'!C66 = "", "", 'Unit Mix &amp; Rents'!C66)</f>
        <v/>
      </c>
      <c r="E985" t="str">
        <f>IF('Unit Mix &amp; Rents'!D66 = "", "", 'Unit Mix &amp; Rents'!D66)</f>
        <v/>
      </c>
      <c r="F985" t="str">
        <f>IF('Unit Mix &amp; Rents'!E66 = "", "", 'Unit Mix &amp; Rents'!E66)</f>
        <v/>
      </c>
    </row>
    <row r="986" spans="1:6">
      <c r="A986" s="195" t="str">
        <f>IF(B986="","",MAX(A$934:A985)+1)</f>
        <v/>
      </c>
      <c r="B986" s="70" t="str">
        <f>IF('Unit Mix &amp; Rents'!A67 = "", "", 'Unit Mix &amp; Rents'!A67)</f>
        <v/>
      </c>
      <c r="C986" t="str">
        <f>IF('Unit Mix &amp; Rents'!B67 = "", "", 'Unit Mix &amp; Rents'!B67)</f>
        <v/>
      </c>
      <c r="D986" t="str">
        <f>IF('Unit Mix &amp; Rents'!C67 = "", "", 'Unit Mix &amp; Rents'!C67)</f>
        <v/>
      </c>
      <c r="E986" t="str">
        <f>IF('Unit Mix &amp; Rents'!D67 = "", "", 'Unit Mix &amp; Rents'!D67)</f>
        <v/>
      </c>
      <c r="F986" t="str">
        <f>IF('Unit Mix &amp; Rents'!E67 = "", "", 'Unit Mix &amp; Rents'!E67)</f>
        <v/>
      </c>
    </row>
    <row r="987" spans="1:6">
      <c r="A987" s="195" t="str">
        <f>IF(B987="","",MAX(A$934:A986)+1)</f>
        <v/>
      </c>
      <c r="B987" s="70" t="str">
        <f>IF('Unit Mix &amp; Rents'!A68 = "", "", 'Unit Mix &amp; Rents'!A68)</f>
        <v/>
      </c>
      <c r="C987" t="str">
        <f>IF('Unit Mix &amp; Rents'!B68 = "", "", 'Unit Mix &amp; Rents'!B68)</f>
        <v/>
      </c>
      <c r="D987" t="str">
        <f>IF('Unit Mix &amp; Rents'!C68 = "", "", 'Unit Mix &amp; Rents'!C68)</f>
        <v/>
      </c>
      <c r="E987" t="str">
        <f>IF('Unit Mix &amp; Rents'!D68 = "", "", 'Unit Mix &amp; Rents'!D68)</f>
        <v/>
      </c>
      <c r="F987" t="str">
        <f>IF('Unit Mix &amp; Rents'!E68 = "", "", 'Unit Mix &amp; Rents'!E68)</f>
        <v/>
      </c>
    </row>
    <row r="988" spans="1:6">
      <c r="A988" s="195" t="str">
        <f>IF(B988="","",MAX(A$934:A987)+1)</f>
        <v/>
      </c>
      <c r="B988" s="70" t="str">
        <f>IF('Unit Mix &amp; Rents'!A69 = "", "", 'Unit Mix &amp; Rents'!A69)</f>
        <v/>
      </c>
      <c r="C988" t="str">
        <f>IF('Unit Mix &amp; Rents'!B69 = "", "", 'Unit Mix &amp; Rents'!B69)</f>
        <v/>
      </c>
      <c r="D988" t="str">
        <f>IF('Unit Mix &amp; Rents'!C69 = "", "", 'Unit Mix &amp; Rents'!C69)</f>
        <v/>
      </c>
      <c r="E988" t="str">
        <f>IF('Unit Mix &amp; Rents'!D69 = "", "", 'Unit Mix &amp; Rents'!D69)</f>
        <v/>
      </c>
      <c r="F988" t="str">
        <f>IF('Unit Mix &amp; Rents'!E69 = "", "", 'Unit Mix &amp; Rents'!E69)</f>
        <v/>
      </c>
    </row>
    <row r="989" spans="1:6">
      <c r="A989" s="195" t="str">
        <f>IF(B989="","",MAX(A$934:A988)+1)</f>
        <v/>
      </c>
      <c r="B989" s="70" t="str">
        <f>IF('Unit Mix &amp; Rents'!A70 = "", "", 'Unit Mix &amp; Rents'!A70)</f>
        <v/>
      </c>
      <c r="C989" t="str">
        <f>IF('Unit Mix &amp; Rents'!B70 = "", "", 'Unit Mix &amp; Rents'!B70)</f>
        <v/>
      </c>
      <c r="D989" t="str">
        <f>IF('Unit Mix &amp; Rents'!C70 = "", "", 'Unit Mix &amp; Rents'!C70)</f>
        <v/>
      </c>
      <c r="E989" t="str">
        <f>IF('Unit Mix &amp; Rents'!D70 = "", "", 'Unit Mix &amp; Rents'!D70)</f>
        <v/>
      </c>
      <c r="F989" t="str">
        <f>IF('Unit Mix &amp; Rents'!E70 = "", "", 'Unit Mix &amp; Rents'!E70)</f>
        <v/>
      </c>
    </row>
    <row r="990" spans="1:6">
      <c r="A990" s="195" t="str">
        <f>IF(B990="","",MAX(A$934:A989)+1)</f>
        <v/>
      </c>
      <c r="B990" s="70" t="str">
        <f>IF('Unit Mix &amp; Rents'!A71 = "", "", 'Unit Mix &amp; Rents'!A71)</f>
        <v/>
      </c>
      <c r="C990" t="str">
        <f>IF('Unit Mix &amp; Rents'!B71 = "", "", 'Unit Mix &amp; Rents'!B71)</f>
        <v/>
      </c>
      <c r="D990" t="str">
        <f>IF('Unit Mix &amp; Rents'!C71 = "", "", 'Unit Mix &amp; Rents'!C71)</f>
        <v/>
      </c>
      <c r="E990" t="str">
        <f>IF('Unit Mix &amp; Rents'!D71 = "", "", 'Unit Mix &amp; Rents'!D71)</f>
        <v/>
      </c>
      <c r="F990" t="str">
        <f>IF('Unit Mix &amp; Rents'!E71 = "", "", 'Unit Mix &amp; Rents'!E71)</f>
        <v/>
      </c>
    </row>
    <row r="991" spans="1:6">
      <c r="A991" s="195" t="str">
        <f>IF(B991="","",MAX(A$934:A990)+1)</f>
        <v/>
      </c>
      <c r="B991" s="70" t="str">
        <f>IF('Unit Mix &amp; Rents'!A72 = "", "", 'Unit Mix &amp; Rents'!A72)</f>
        <v/>
      </c>
      <c r="C991" t="str">
        <f>IF('Unit Mix &amp; Rents'!B72 = "", "", 'Unit Mix &amp; Rents'!B72)</f>
        <v/>
      </c>
      <c r="D991" t="str">
        <f>IF('Unit Mix &amp; Rents'!C72 = "", "", 'Unit Mix &amp; Rents'!C72)</f>
        <v/>
      </c>
      <c r="E991" t="str">
        <f>IF('Unit Mix &amp; Rents'!D72 = "", "", 'Unit Mix &amp; Rents'!D72)</f>
        <v/>
      </c>
      <c r="F991" t="str">
        <f>IF('Unit Mix &amp; Rents'!E72 = "", "", 'Unit Mix &amp; Rents'!E72)</f>
        <v/>
      </c>
    </row>
    <row r="992" spans="1:6">
      <c r="A992" s="195" t="str">
        <f>IF(B992="","",MAX(A$934:A991)+1)</f>
        <v/>
      </c>
      <c r="B992" s="70" t="str">
        <f>IF('Unit Mix &amp; Rents'!A73 = "", "", 'Unit Mix &amp; Rents'!A73)</f>
        <v/>
      </c>
      <c r="C992" t="str">
        <f>IF('Unit Mix &amp; Rents'!B73 = "", "", 'Unit Mix &amp; Rents'!B73)</f>
        <v/>
      </c>
      <c r="D992" t="str">
        <f>IF('Unit Mix &amp; Rents'!C73 = "", "", 'Unit Mix &amp; Rents'!C73)</f>
        <v/>
      </c>
      <c r="E992" t="str">
        <f>IF('Unit Mix &amp; Rents'!D73 = "", "", 'Unit Mix &amp; Rents'!D73)</f>
        <v/>
      </c>
      <c r="F992" t="str">
        <f>IF('Unit Mix &amp; Rents'!E73 = "", "", 'Unit Mix &amp; Rents'!E73)</f>
        <v/>
      </c>
    </row>
    <row r="993" spans="1:7">
      <c r="A993" s="195" t="str">
        <f>IF(B993="","",MAX(A$934:A992)+1)</f>
        <v/>
      </c>
      <c r="B993" s="70" t="str">
        <f>IF('Unit Mix &amp; Rents'!A74 = "", "", 'Unit Mix &amp; Rents'!A74)</f>
        <v/>
      </c>
      <c r="C993" t="str">
        <f>IF('Unit Mix &amp; Rents'!B74 = "", "", 'Unit Mix &amp; Rents'!B74)</f>
        <v/>
      </c>
      <c r="D993" t="str">
        <f>IF('Unit Mix &amp; Rents'!C74 = "", "", 'Unit Mix &amp; Rents'!C74)</f>
        <v/>
      </c>
      <c r="E993" t="str">
        <f>IF('Unit Mix &amp; Rents'!D74 = "", "", 'Unit Mix &amp; Rents'!D74)</f>
        <v/>
      </c>
      <c r="F993" t="str">
        <f>IF('Unit Mix &amp; Rents'!E74 = "", "", 'Unit Mix &amp; Rents'!E74)</f>
        <v/>
      </c>
    </row>
    <row r="994" spans="1:7">
      <c r="A994" s="195" t="str">
        <f>IF(B994="","",MAX(A$934:A993)+1)</f>
        <v/>
      </c>
      <c r="B994" s="70" t="str">
        <f>IF('Unit Mix &amp; Rents'!A75 = "", "", 'Unit Mix &amp; Rents'!A75)</f>
        <v/>
      </c>
      <c r="C994" t="str">
        <f>IF('Unit Mix &amp; Rents'!B75 = "", "", 'Unit Mix &amp; Rents'!B75)</f>
        <v/>
      </c>
      <c r="D994" t="str">
        <f>IF('Unit Mix &amp; Rents'!C75 = "", "", 'Unit Mix &amp; Rents'!C75)</f>
        <v/>
      </c>
      <c r="E994" t="str">
        <f>IF('Unit Mix &amp; Rents'!D75 = "", "", 'Unit Mix &amp; Rents'!D75)</f>
        <v/>
      </c>
      <c r="F994" t="str">
        <f>IF('Unit Mix &amp; Rents'!E75 = "", "", 'Unit Mix &amp; Rents'!E75)</f>
        <v/>
      </c>
    </row>
    <row r="995" spans="1:7">
      <c r="A995" s="195" t="str">
        <f>IF(B995="","",MAX(A$934:A994)+1)</f>
        <v/>
      </c>
      <c r="B995" s="70" t="str">
        <f>IF('Unit Mix &amp; Rents'!A76 = "", "", 'Unit Mix &amp; Rents'!A76)</f>
        <v/>
      </c>
      <c r="C995" t="str">
        <f>IF('Unit Mix &amp; Rents'!B76 = "", "", 'Unit Mix &amp; Rents'!B76)</f>
        <v/>
      </c>
      <c r="D995" t="str">
        <f>IF('Unit Mix &amp; Rents'!C76 = "", "", 'Unit Mix &amp; Rents'!C76)</f>
        <v/>
      </c>
      <c r="E995" t="str">
        <f>IF('Unit Mix &amp; Rents'!D76 = "", "", 'Unit Mix &amp; Rents'!D76)</f>
        <v/>
      </c>
      <c r="F995" t="str">
        <f>IF('Unit Mix &amp; Rents'!E76 = "", "", 'Unit Mix &amp; Rents'!E76)</f>
        <v/>
      </c>
    </row>
    <row r="998" spans="1:7">
      <c r="A998" t="s">
        <v>2517</v>
      </c>
      <c r="C998" t="s">
        <v>2512</v>
      </c>
      <c r="D998" t="s">
        <v>2513</v>
      </c>
      <c r="E998" t="s">
        <v>2514</v>
      </c>
      <c r="F998" t="s">
        <v>2515</v>
      </c>
      <c r="G998" t="s">
        <v>2516</v>
      </c>
    </row>
    <row r="999" spans="1:7">
      <c r="A999" t="s">
        <v>2239</v>
      </c>
      <c r="B999" t="s">
        <v>2240</v>
      </c>
      <c r="C999">
        <v>1</v>
      </c>
      <c r="D999">
        <v>2</v>
      </c>
      <c r="E999">
        <v>3</v>
      </c>
      <c r="F999">
        <v>4</v>
      </c>
      <c r="G999">
        <v>5</v>
      </c>
    </row>
    <row r="1000" spans="1:7">
      <c r="A1000" s="195">
        <f t="shared" ref="A1000:A1059" si="13">IF(ISNA(MATCH(B1000, $A$935:$A$995, 0)), 1, MATCH(B1000, $A$935:$A$995, 0))</f>
        <v>1</v>
      </c>
      <c r="B1000">
        <v>1</v>
      </c>
      <c r="C1000" s="894" t="str" cm="1">
        <f t="array" ref="C1000">IF(_xlfn.SINGLE(INDEX($B$935:$F$995, $A1000, C$999)) = "", "", INDEX($B$935:$F$995, $A1000, C$999))</f>
        <v/>
      </c>
      <c r="D1000" s="488" t="str">
        <f t="shared" ref="D1000:G1015" si="14">CONCATENATE(INDEX($B$935:$F$995, $A1000, D$999))</f>
        <v/>
      </c>
      <c r="E1000" t="str">
        <f t="shared" si="14"/>
        <v/>
      </c>
      <c r="F1000" t="str">
        <f t="shared" si="14"/>
        <v/>
      </c>
      <c r="G1000" t="str">
        <f t="shared" si="14"/>
        <v/>
      </c>
    </row>
    <row r="1001" spans="1:7">
      <c r="A1001" s="195">
        <f t="shared" si="13"/>
        <v>1</v>
      </c>
      <c r="B1001">
        <v>2</v>
      </c>
      <c r="C1001" s="894" t="str" cm="1">
        <f t="array" ref="C1001">IF(_xlfn.SINGLE(INDEX($B$935:$F$995, $A1001, C$999)) = "", "", INDEX($B$935:$F$995, $A1001, C$999))</f>
        <v/>
      </c>
      <c r="D1001" s="488" t="str">
        <f t="shared" si="14"/>
        <v/>
      </c>
      <c r="E1001" t="str">
        <f t="shared" si="14"/>
        <v/>
      </c>
      <c r="F1001" t="str">
        <f t="shared" si="14"/>
        <v/>
      </c>
      <c r="G1001" t="str">
        <f t="shared" si="14"/>
        <v/>
      </c>
    </row>
    <row r="1002" spans="1:7">
      <c r="A1002" s="195">
        <f t="shared" si="13"/>
        <v>1</v>
      </c>
      <c r="B1002">
        <v>3</v>
      </c>
      <c r="C1002" s="894" t="str" cm="1">
        <f t="array" ref="C1002">IF(_xlfn.SINGLE(INDEX($B$935:$F$995, $A1002, C$999)) = "", "", INDEX($B$935:$F$995, $A1002, C$999))</f>
        <v/>
      </c>
      <c r="D1002" s="488" t="str">
        <f t="shared" si="14"/>
        <v/>
      </c>
      <c r="E1002" t="str">
        <f t="shared" si="14"/>
        <v/>
      </c>
      <c r="F1002" t="str">
        <f t="shared" si="14"/>
        <v/>
      </c>
      <c r="G1002" t="str">
        <f t="shared" si="14"/>
        <v/>
      </c>
    </row>
    <row r="1003" spans="1:7">
      <c r="A1003" s="195">
        <f t="shared" si="13"/>
        <v>1</v>
      </c>
      <c r="B1003">
        <v>4</v>
      </c>
      <c r="C1003" s="894" t="str" cm="1">
        <f t="array" ref="C1003">IF(_xlfn.SINGLE(INDEX($B$935:$F$995, $A1003, C$999)) = "", "", INDEX($B$935:$F$995, $A1003, C$999))</f>
        <v/>
      </c>
      <c r="D1003" s="488" t="str">
        <f t="shared" si="14"/>
        <v/>
      </c>
      <c r="E1003" t="str">
        <f t="shared" si="14"/>
        <v/>
      </c>
      <c r="F1003" t="str">
        <f t="shared" si="14"/>
        <v/>
      </c>
      <c r="G1003" t="str">
        <f t="shared" si="14"/>
        <v/>
      </c>
    </row>
    <row r="1004" spans="1:7">
      <c r="A1004" s="195">
        <f t="shared" si="13"/>
        <v>1</v>
      </c>
      <c r="B1004">
        <v>5</v>
      </c>
      <c r="C1004" s="894" t="str" cm="1">
        <f t="array" ref="C1004">IF(_xlfn.SINGLE(INDEX($B$935:$F$995, $A1004, C$999)) = "", "", INDEX($B$935:$F$995, $A1004, C$999))</f>
        <v/>
      </c>
      <c r="D1004" s="488" t="str">
        <f t="shared" si="14"/>
        <v/>
      </c>
      <c r="E1004" t="str">
        <f t="shared" si="14"/>
        <v/>
      </c>
      <c r="F1004" t="str">
        <f t="shared" si="14"/>
        <v/>
      </c>
      <c r="G1004" t="str">
        <f t="shared" si="14"/>
        <v/>
      </c>
    </row>
    <row r="1005" spans="1:7">
      <c r="A1005" s="195">
        <f t="shared" si="13"/>
        <v>1</v>
      </c>
      <c r="B1005">
        <v>6</v>
      </c>
      <c r="C1005" s="894" t="str" cm="1">
        <f t="array" ref="C1005">IF(_xlfn.SINGLE(INDEX($B$935:$F$995, $A1005, C$999)) = "", "", INDEX($B$935:$F$995, $A1005, C$999))</f>
        <v/>
      </c>
      <c r="D1005" s="488" t="str">
        <f t="shared" si="14"/>
        <v/>
      </c>
      <c r="E1005" t="str">
        <f t="shared" si="14"/>
        <v/>
      </c>
      <c r="F1005" t="str">
        <f t="shared" si="14"/>
        <v/>
      </c>
      <c r="G1005" t="str">
        <f t="shared" si="14"/>
        <v/>
      </c>
    </row>
    <row r="1006" spans="1:7">
      <c r="A1006" s="195">
        <f t="shared" si="13"/>
        <v>1</v>
      </c>
      <c r="B1006">
        <v>7</v>
      </c>
      <c r="C1006" s="894" t="str" cm="1">
        <f t="array" ref="C1006">IF(_xlfn.SINGLE(INDEX($B$935:$F$995, $A1006, C$999)) = "", "", INDEX($B$935:$F$995, $A1006, C$999))</f>
        <v/>
      </c>
      <c r="D1006" s="488" t="str">
        <f t="shared" si="14"/>
        <v/>
      </c>
      <c r="E1006" t="str">
        <f t="shared" si="14"/>
        <v/>
      </c>
      <c r="F1006" t="str">
        <f t="shared" si="14"/>
        <v/>
      </c>
      <c r="G1006" t="str">
        <f t="shared" si="14"/>
        <v/>
      </c>
    </row>
    <row r="1007" spans="1:7">
      <c r="A1007" s="195">
        <f t="shared" si="13"/>
        <v>1</v>
      </c>
      <c r="B1007">
        <v>8</v>
      </c>
      <c r="C1007" s="894" t="str" cm="1">
        <f t="array" ref="C1007">IF(_xlfn.SINGLE(INDEX($B$935:$F$995, $A1007, C$999)) = "", "", INDEX($B$935:$F$995, $A1007, C$999))</f>
        <v/>
      </c>
      <c r="D1007" s="488" t="str">
        <f t="shared" si="14"/>
        <v/>
      </c>
      <c r="E1007" t="str">
        <f t="shared" si="14"/>
        <v/>
      </c>
      <c r="F1007" t="str">
        <f t="shared" si="14"/>
        <v/>
      </c>
      <c r="G1007" t="str">
        <f t="shared" si="14"/>
        <v/>
      </c>
    </row>
    <row r="1008" spans="1:7">
      <c r="A1008" s="195">
        <f t="shared" si="13"/>
        <v>1</v>
      </c>
      <c r="B1008">
        <v>9</v>
      </c>
      <c r="C1008" s="894" t="str" cm="1">
        <f t="array" ref="C1008">IF(_xlfn.SINGLE(INDEX($B$935:$F$995, $A1008, C$999)) = "", "", INDEX($B$935:$F$995, $A1008, C$999))</f>
        <v/>
      </c>
      <c r="D1008" s="488" t="str">
        <f t="shared" si="14"/>
        <v/>
      </c>
      <c r="E1008" t="str">
        <f t="shared" si="14"/>
        <v/>
      </c>
      <c r="F1008" t="str">
        <f t="shared" si="14"/>
        <v/>
      </c>
      <c r="G1008" t="str">
        <f t="shared" si="14"/>
        <v/>
      </c>
    </row>
    <row r="1009" spans="1:7">
      <c r="A1009" s="195">
        <f t="shared" si="13"/>
        <v>1</v>
      </c>
      <c r="B1009">
        <v>10</v>
      </c>
      <c r="C1009" s="894" t="str" cm="1">
        <f t="array" ref="C1009">IF(_xlfn.SINGLE(INDEX($B$935:$F$995, $A1009, C$999)) = "", "", INDEX($B$935:$F$995, $A1009, C$999))</f>
        <v/>
      </c>
      <c r="D1009" s="488" t="str">
        <f t="shared" si="14"/>
        <v/>
      </c>
      <c r="E1009" t="str">
        <f t="shared" si="14"/>
        <v/>
      </c>
      <c r="F1009" t="str">
        <f t="shared" si="14"/>
        <v/>
      </c>
      <c r="G1009" t="str">
        <f t="shared" si="14"/>
        <v/>
      </c>
    </row>
    <row r="1010" spans="1:7">
      <c r="A1010" s="195">
        <f t="shared" si="13"/>
        <v>1</v>
      </c>
      <c r="B1010">
        <v>11</v>
      </c>
      <c r="C1010" s="894" t="str" cm="1">
        <f t="array" ref="C1010">IF(_xlfn.SINGLE(INDEX($B$935:$F$995, $A1010, C$999)) = "", "", INDEX($B$935:$F$995, $A1010, C$999))</f>
        <v/>
      </c>
      <c r="D1010" s="488" t="str">
        <f t="shared" si="14"/>
        <v/>
      </c>
      <c r="E1010" t="str">
        <f t="shared" si="14"/>
        <v/>
      </c>
      <c r="F1010" t="str">
        <f t="shared" si="14"/>
        <v/>
      </c>
      <c r="G1010" t="str">
        <f t="shared" si="14"/>
        <v/>
      </c>
    </row>
    <row r="1011" spans="1:7">
      <c r="A1011" s="195">
        <f t="shared" si="13"/>
        <v>1</v>
      </c>
      <c r="B1011">
        <v>12</v>
      </c>
      <c r="C1011" s="894" t="str" cm="1">
        <f t="array" ref="C1011">IF(_xlfn.SINGLE(INDEX($B$935:$F$995, $A1011, C$999)) = "", "", INDEX($B$935:$F$995, $A1011, C$999))</f>
        <v/>
      </c>
      <c r="D1011" s="488" t="str">
        <f t="shared" si="14"/>
        <v/>
      </c>
      <c r="E1011" t="str">
        <f t="shared" si="14"/>
        <v/>
      </c>
      <c r="F1011" t="str">
        <f t="shared" si="14"/>
        <v/>
      </c>
      <c r="G1011" t="str">
        <f t="shared" si="14"/>
        <v/>
      </c>
    </row>
    <row r="1012" spans="1:7">
      <c r="A1012" s="195">
        <f t="shared" si="13"/>
        <v>1</v>
      </c>
      <c r="B1012">
        <v>13</v>
      </c>
      <c r="C1012" s="894" t="str" cm="1">
        <f t="array" ref="C1012">IF(_xlfn.SINGLE(INDEX($B$935:$F$995, $A1012, C$999)) = "", "", INDEX($B$935:$F$995, $A1012, C$999))</f>
        <v/>
      </c>
      <c r="D1012" s="488" t="str">
        <f t="shared" si="14"/>
        <v/>
      </c>
      <c r="E1012" t="str">
        <f t="shared" si="14"/>
        <v/>
      </c>
      <c r="F1012" t="str">
        <f t="shared" si="14"/>
        <v/>
      </c>
      <c r="G1012" t="str">
        <f t="shared" si="14"/>
        <v/>
      </c>
    </row>
    <row r="1013" spans="1:7">
      <c r="A1013" s="195">
        <f t="shared" si="13"/>
        <v>1</v>
      </c>
      <c r="B1013">
        <v>14</v>
      </c>
      <c r="C1013" s="894" t="str" cm="1">
        <f t="array" ref="C1013">IF(_xlfn.SINGLE(INDEX($B$935:$F$995, $A1013, C$999)) = "", "", INDEX($B$935:$F$995, $A1013, C$999))</f>
        <v/>
      </c>
      <c r="D1013" s="488" t="str">
        <f t="shared" si="14"/>
        <v/>
      </c>
      <c r="E1013" t="str">
        <f t="shared" si="14"/>
        <v/>
      </c>
      <c r="F1013" t="str">
        <f t="shared" si="14"/>
        <v/>
      </c>
      <c r="G1013" t="str">
        <f t="shared" si="14"/>
        <v/>
      </c>
    </row>
    <row r="1014" spans="1:7">
      <c r="A1014" s="195">
        <f t="shared" si="13"/>
        <v>1</v>
      </c>
      <c r="B1014">
        <v>15</v>
      </c>
      <c r="C1014" s="894" t="str" cm="1">
        <f t="array" ref="C1014">IF(_xlfn.SINGLE(INDEX($B$935:$F$995, $A1014, C$999)) = "", "", INDEX($B$935:$F$995, $A1014, C$999))</f>
        <v/>
      </c>
      <c r="D1014" s="488" t="str">
        <f t="shared" si="14"/>
        <v/>
      </c>
      <c r="E1014" t="str">
        <f t="shared" si="14"/>
        <v/>
      </c>
      <c r="F1014" t="str">
        <f t="shared" si="14"/>
        <v/>
      </c>
      <c r="G1014" t="str">
        <f t="shared" si="14"/>
        <v/>
      </c>
    </row>
    <row r="1015" spans="1:7">
      <c r="A1015" s="195">
        <f t="shared" si="13"/>
        <v>1</v>
      </c>
      <c r="B1015">
        <v>16</v>
      </c>
      <c r="C1015" s="894" t="str" cm="1">
        <f t="array" ref="C1015">IF(_xlfn.SINGLE(INDEX($B$935:$F$995, $A1015, C$999)) = "", "", INDEX($B$935:$F$995, $A1015, C$999))</f>
        <v/>
      </c>
      <c r="D1015" s="488" t="str">
        <f t="shared" si="14"/>
        <v/>
      </c>
      <c r="E1015" t="str">
        <f t="shared" si="14"/>
        <v/>
      </c>
      <c r="F1015" t="str">
        <f t="shared" si="14"/>
        <v/>
      </c>
      <c r="G1015" t="str">
        <f t="shared" si="14"/>
        <v/>
      </c>
    </row>
    <row r="1016" spans="1:7">
      <c r="A1016" s="195">
        <f t="shared" si="13"/>
        <v>1</v>
      </c>
      <c r="B1016">
        <v>17</v>
      </c>
      <c r="C1016" s="894" t="str" cm="1">
        <f t="array" ref="C1016">IF(_xlfn.SINGLE(INDEX($B$935:$F$995, $A1016, C$999)) = "", "", INDEX($B$935:$F$995, $A1016, C$999))</f>
        <v/>
      </c>
      <c r="D1016" s="488" t="str">
        <f t="shared" ref="D1016:G1055" si="15">CONCATENATE(INDEX($B$935:$F$995, $A1016, D$999))</f>
        <v/>
      </c>
      <c r="E1016" t="str">
        <f t="shared" si="15"/>
        <v/>
      </c>
      <c r="F1016" t="str">
        <f t="shared" si="15"/>
        <v/>
      </c>
      <c r="G1016" t="str">
        <f t="shared" si="15"/>
        <v/>
      </c>
    </row>
    <row r="1017" spans="1:7">
      <c r="A1017" s="195">
        <f t="shared" si="13"/>
        <v>1</v>
      </c>
      <c r="B1017">
        <v>18</v>
      </c>
      <c r="C1017" s="894" t="str" cm="1">
        <f t="array" ref="C1017">IF(_xlfn.SINGLE(INDEX($B$935:$F$995, $A1017, C$999)) = "", "", INDEX($B$935:$F$995, $A1017, C$999))</f>
        <v/>
      </c>
      <c r="D1017" s="488" t="str">
        <f t="shared" si="15"/>
        <v/>
      </c>
      <c r="E1017" t="str">
        <f t="shared" si="15"/>
        <v/>
      </c>
      <c r="F1017" t="str">
        <f t="shared" si="15"/>
        <v/>
      </c>
      <c r="G1017" t="str">
        <f t="shared" si="15"/>
        <v/>
      </c>
    </row>
    <row r="1018" spans="1:7">
      <c r="A1018" s="195">
        <f t="shared" si="13"/>
        <v>1</v>
      </c>
      <c r="B1018">
        <v>19</v>
      </c>
      <c r="C1018" s="894" t="str" cm="1">
        <f t="array" ref="C1018">IF(_xlfn.SINGLE(INDEX($B$935:$F$995, $A1018, C$999)) = "", "", INDEX($B$935:$F$995, $A1018, C$999))</f>
        <v/>
      </c>
      <c r="D1018" s="488" t="str">
        <f t="shared" si="15"/>
        <v/>
      </c>
      <c r="E1018" t="str">
        <f t="shared" si="15"/>
        <v/>
      </c>
      <c r="F1018" t="str">
        <f t="shared" si="15"/>
        <v/>
      </c>
      <c r="G1018" t="str">
        <f t="shared" si="15"/>
        <v/>
      </c>
    </row>
    <row r="1019" spans="1:7">
      <c r="A1019" s="195">
        <f t="shared" si="13"/>
        <v>1</v>
      </c>
      <c r="B1019">
        <v>20</v>
      </c>
      <c r="C1019" s="894" t="str" cm="1">
        <f t="array" ref="C1019">IF(_xlfn.SINGLE(INDEX($B$935:$F$995, $A1019, C$999)) = "", "", INDEX($B$935:$F$995, $A1019, C$999))</f>
        <v/>
      </c>
      <c r="D1019" s="488" t="str">
        <f t="shared" si="15"/>
        <v/>
      </c>
      <c r="E1019" t="str">
        <f t="shared" si="15"/>
        <v/>
      </c>
      <c r="F1019" t="str">
        <f t="shared" si="15"/>
        <v/>
      </c>
      <c r="G1019" t="str">
        <f t="shared" si="15"/>
        <v/>
      </c>
    </row>
    <row r="1020" spans="1:7">
      <c r="A1020" s="195">
        <f t="shared" si="13"/>
        <v>1</v>
      </c>
      <c r="B1020">
        <v>21</v>
      </c>
      <c r="C1020" s="894" t="str" cm="1">
        <f t="array" ref="C1020">IF(_xlfn.SINGLE(INDEX($B$935:$F$995, $A1020, C$999)) = "", "", INDEX($B$935:$F$995, $A1020, C$999))</f>
        <v/>
      </c>
      <c r="D1020" s="488" t="str">
        <f t="shared" si="15"/>
        <v/>
      </c>
      <c r="E1020" t="str">
        <f t="shared" si="15"/>
        <v/>
      </c>
      <c r="F1020" t="str">
        <f t="shared" si="15"/>
        <v/>
      </c>
      <c r="G1020" t="str">
        <f t="shared" si="15"/>
        <v/>
      </c>
    </row>
    <row r="1021" spans="1:7">
      <c r="A1021" s="195">
        <f t="shared" si="13"/>
        <v>1</v>
      </c>
      <c r="B1021">
        <v>22</v>
      </c>
      <c r="C1021" s="894" t="str" cm="1">
        <f t="array" ref="C1021">IF(_xlfn.SINGLE(INDEX($B$935:$F$995, $A1021, C$999)) = "", "", INDEX($B$935:$F$995, $A1021, C$999))</f>
        <v/>
      </c>
      <c r="D1021" s="488" t="str">
        <f t="shared" si="15"/>
        <v/>
      </c>
      <c r="E1021" t="str">
        <f t="shared" si="15"/>
        <v/>
      </c>
      <c r="F1021" t="str">
        <f t="shared" si="15"/>
        <v/>
      </c>
      <c r="G1021" t="str">
        <f t="shared" si="15"/>
        <v/>
      </c>
    </row>
    <row r="1022" spans="1:7">
      <c r="A1022" s="195">
        <f t="shared" si="13"/>
        <v>1</v>
      </c>
      <c r="B1022">
        <v>23</v>
      </c>
      <c r="C1022" s="894" t="str" cm="1">
        <f t="array" ref="C1022">IF(_xlfn.SINGLE(INDEX($B$935:$F$995, $A1022, C$999)) = "", "", INDEX($B$935:$F$995, $A1022, C$999))</f>
        <v/>
      </c>
      <c r="D1022" s="488" t="str">
        <f t="shared" si="15"/>
        <v/>
      </c>
      <c r="E1022" t="str">
        <f t="shared" si="15"/>
        <v/>
      </c>
      <c r="F1022" t="str">
        <f t="shared" si="15"/>
        <v/>
      </c>
      <c r="G1022" t="str">
        <f t="shared" si="15"/>
        <v/>
      </c>
    </row>
    <row r="1023" spans="1:7">
      <c r="A1023" s="195">
        <f t="shared" si="13"/>
        <v>1</v>
      </c>
      <c r="B1023">
        <v>24</v>
      </c>
      <c r="C1023" s="894" t="str" cm="1">
        <f t="array" ref="C1023">IF(_xlfn.SINGLE(INDEX($B$935:$F$995, $A1023, C$999)) = "", "", INDEX($B$935:$F$995, $A1023, C$999))</f>
        <v/>
      </c>
      <c r="D1023" s="488" t="str">
        <f t="shared" si="15"/>
        <v/>
      </c>
      <c r="E1023" t="str">
        <f t="shared" si="15"/>
        <v/>
      </c>
      <c r="F1023" t="str">
        <f t="shared" si="15"/>
        <v/>
      </c>
      <c r="G1023" t="str">
        <f t="shared" si="15"/>
        <v/>
      </c>
    </row>
    <row r="1024" spans="1:7">
      <c r="A1024" s="195">
        <f t="shared" si="13"/>
        <v>1</v>
      </c>
      <c r="B1024">
        <v>25</v>
      </c>
      <c r="C1024" s="894" t="str" cm="1">
        <f t="array" ref="C1024">IF(_xlfn.SINGLE(INDEX($B$935:$F$995, $A1024, C$999)) = "", "", INDEX($B$935:$F$995, $A1024, C$999))</f>
        <v/>
      </c>
      <c r="D1024" s="488" t="str">
        <f t="shared" si="15"/>
        <v/>
      </c>
      <c r="E1024" t="str">
        <f t="shared" si="15"/>
        <v/>
      </c>
      <c r="F1024" t="str">
        <f t="shared" si="15"/>
        <v/>
      </c>
      <c r="G1024" t="str">
        <f t="shared" si="15"/>
        <v/>
      </c>
    </row>
    <row r="1025" spans="1:7">
      <c r="A1025" s="195">
        <f t="shared" si="13"/>
        <v>1</v>
      </c>
      <c r="B1025">
        <v>26</v>
      </c>
      <c r="C1025" s="894" t="str" cm="1">
        <f t="array" ref="C1025">IF(_xlfn.SINGLE(INDEX($B$935:$F$995, $A1025, C$999)) = "", "", INDEX($B$935:$F$995, $A1025, C$999))</f>
        <v/>
      </c>
      <c r="D1025" s="488" t="str">
        <f t="shared" si="15"/>
        <v/>
      </c>
      <c r="E1025" t="str">
        <f t="shared" si="15"/>
        <v/>
      </c>
      <c r="F1025" t="str">
        <f t="shared" si="15"/>
        <v/>
      </c>
      <c r="G1025" t="str">
        <f t="shared" si="15"/>
        <v/>
      </c>
    </row>
    <row r="1026" spans="1:7">
      <c r="A1026" s="195">
        <f t="shared" si="13"/>
        <v>1</v>
      </c>
      <c r="B1026">
        <v>27</v>
      </c>
      <c r="C1026" s="894" t="str" cm="1">
        <f t="array" ref="C1026">IF(_xlfn.SINGLE(INDEX($B$935:$F$995, $A1026, C$999)) = "", "", INDEX($B$935:$F$995, $A1026, C$999))</f>
        <v/>
      </c>
      <c r="D1026" s="488" t="str">
        <f t="shared" si="15"/>
        <v/>
      </c>
      <c r="E1026" t="str">
        <f t="shared" si="15"/>
        <v/>
      </c>
      <c r="F1026" t="str">
        <f t="shared" si="15"/>
        <v/>
      </c>
      <c r="G1026" t="str">
        <f t="shared" si="15"/>
        <v/>
      </c>
    </row>
    <row r="1027" spans="1:7">
      <c r="A1027" s="195">
        <f t="shared" si="13"/>
        <v>1</v>
      </c>
      <c r="B1027">
        <v>28</v>
      </c>
      <c r="C1027" s="894" t="str" cm="1">
        <f t="array" ref="C1027">IF(_xlfn.SINGLE(INDEX($B$935:$F$995, $A1027, C$999)) = "", "", INDEX($B$935:$F$995, $A1027, C$999))</f>
        <v/>
      </c>
      <c r="D1027" s="488" t="str">
        <f t="shared" si="15"/>
        <v/>
      </c>
      <c r="E1027" t="str">
        <f t="shared" si="15"/>
        <v/>
      </c>
      <c r="F1027" t="str">
        <f t="shared" si="15"/>
        <v/>
      </c>
      <c r="G1027" t="str">
        <f t="shared" si="15"/>
        <v/>
      </c>
    </row>
    <row r="1028" spans="1:7">
      <c r="A1028" s="195">
        <f t="shared" si="13"/>
        <v>1</v>
      </c>
      <c r="B1028">
        <v>29</v>
      </c>
      <c r="C1028" s="894" t="str" cm="1">
        <f t="array" ref="C1028">IF(_xlfn.SINGLE(INDEX($B$935:$F$995, $A1028, C$999)) = "", "", INDEX($B$935:$F$995, $A1028, C$999))</f>
        <v/>
      </c>
      <c r="D1028" s="488" t="str">
        <f t="shared" si="15"/>
        <v/>
      </c>
      <c r="E1028" t="str">
        <f t="shared" si="15"/>
        <v/>
      </c>
      <c r="F1028" t="str">
        <f t="shared" si="15"/>
        <v/>
      </c>
      <c r="G1028" t="str">
        <f t="shared" si="15"/>
        <v/>
      </c>
    </row>
    <row r="1029" spans="1:7">
      <c r="A1029" s="195">
        <f t="shared" si="13"/>
        <v>1</v>
      </c>
      <c r="B1029">
        <v>30</v>
      </c>
      <c r="C1029" s="894" t="str" cm="1">
        <f t="array" ref="C1029">IF(_xlfn.SINGLE(INDEX($B$935:$F$995, $A1029, C$999)) = "", "", INDEX($B$935:$F$995, $A1029, C$999))</f>
        <v/>
      </c>
      <c r="D1029" s="488" t="str">
        <f t="shared" si="15"/>
        <v/>
      </c>
      <c r="E1029" t="str">
        <f t="shared" si="15"/>
        <v/>
      </c>
      <c r="F1029" t="str">
        <f t="shared" si="15"/>
        <v/>
      </c>
      <c r="G1029" t="str">
        <f t="shared" si="15"/>
        <v/>
      </c>
    </row>
    <row r="1030" spans="1:7">
      <c r="A1030" s="195">
        <f t="shared" si="13"/>
        <v>1</v>
      </c>
      <c r="B1030">
        <v>31</v>
      </c>
      <c r="C1030" s="894" t="str" cm="1">
        <f t="array" ref="C1030">IF(_xlfn.SINGLE(INDEX($B$935:$F$995, $A1030, C$999)) = "", "", INDEX($B$935:$F$995, $A1030, C$999))</f>
        <v/>
      </c>
      <c r="D1030" s="488" t="str">
        <f t="shared" si="15"/>
        <v/>
      </c>
      <c r="E1030" t="str">
        <f t="shared" si="15"/>
        <v/>
      </c>
      <c r="F1030" t="str">
        <f t="shared" si="15"/>
        <v/>
      </c>
      <c r="G1030" t="str">
        <f t="shared" si="15"/>
        <v/>
      </c>
    </row>
    <row r="1031" spans="1:7">
      <c r="A1031" s="195">
        <f t="shared" si="13"/>
        <v>1</v>
      </c>
      <c r="B1031">
        <v>32</v>
      </c>
      <c r="C1031" s="894" t="str" cm="1">
        <f t="array" ref="C1031">IF(_xlfn.SINGLE(INDEX($B$935:$F$995, $A1031, C$999)) = "", "", INDEX($B$935:$F$995, $A1031, C$999))</f>
        <v/>
      </c>
      <c r="D1031" s="488" t="str">
        <f t="shared" si="15"/>
        <v/>
      </c>
      <c r="E1031" t="str">
        <f t="shared" si="15"/>
        <v/>
      </c>
      <c r="F1031" t="str">
        <f t="shared" si="15"/>
        <v/>
      </c>
      <c r="G1031" t="str">
        <f t="shared" si="15"/>
        <v/>
      </c>
    </row>
    <row r="1032" spans="1:7">
      <c r="A1032" s="195">
        <f t="shared" si="13"/>
        <v>1</v>
      </c>
      <c r="B1032">
        <v>33</v>
      </c>
      <c r="C1032" s="894" t="str" cm="1">
        <f t="array" ref="C1032">IF(_xlfn.SINGLE(INDEX($B$935:$F$995, $A1032, C$999)) = "", "", INDEX($B$935:$F$995, $A1032, C$999))</f>
        <v/>
      </c>
      <c r="D1032" s="488" t="str">
        <f t="shared" si="15"/>
        <v/>
      </c>
      <c r="E1032" t="str">
        <f t="shared" si="15"/>
        <v/>
      </c>
      <c r="F1032" t="str">
        <f t="shared" si="15"/>
        <v/>
      </c>
      <c r="G1032" t="str">
        <f t="shared" si="15"/>
        <v/>
      </c>
    </row>
    <row r="1033" spans="1:7">
      <c r="A1033" s="195">
        <f t="shared" si="13"/>
        <v>1</v>
      </c>
      <c r="B1033">
        <v>34</v>
      </c>
      <c r="C1033" s="894" t="str" cm="1">
        <f t="array" ref="C1033">IF(_xlfn.SINGLE(INDEX($B$935:$F$995, $A1033, C$999)) = "", "", INDEX($B$935:$F$995, $A1033, C$999))</f>
        <v/>
      </c>
      <c r="D1033" s="488" t="str">
        <f t="shared" si="15"/>
        <v/>
      </c>
      <c r="E1033" t="str">
        <f t="shared" si="15"/>
        <v/>
      </c>
      <c r="F1033" t="str">
        <f t="shared" si="15"/>
        <v/>
      </c>
      <c r="G1033" t="str">
        <f t="shared" si="15"/>
        <v/>
      </c>
    </row>
    <row r="1034" spans="1:7">
      <c r="A1034" s="195">
        <f t="shared" si="13"/>
        <v>1</v>
      </c>
      <c r="B1034">
        <v>35</v>
      </c>
      <c r="C1034" s="894" t="str" cm="1">
        <f t="array" ref="C1034">IF(_xlfn.SINGLE(INDEX($B$935:$F$995, $A1034, C$999)) = "", "", INDEX($B$935:$F$995, $A1034, C$999))</f>
        <v/>
      </c>
      <c r="D1034" s="488" t="str">
        <f t="shared" si="15"/>
        <v/>
      </c>
      <c r="E1034" t="str">
        <f t="shared" si="15"/>
        <v/>
      </c>
      <c r="F1034" t="str">
        <f t="shared" si="15"/>
        <v/>
      </c>
      <c r="G1034" t="str">
        <f t="shared" si="15"/>
        <v/>
      </c>
    </row>
    <row r="1035" spans="1:7">
      <c r="A1035" s="195">
        <f t="shared" si="13"/>
        <v>1</v>
      </c>
      <c r="B1035">
        <v>36</v>
      </c>
      <c r="C1035" s="894" t="str" cm="1">
        <f t="array" ref="C1035">IF(_xlfn.SINGLE(INDEX($B$935:$F$995, $A1035, C$999)) = "", "", INDEX($B$935:$F$995, $A1035, C$999))</f>
        <v/>
      </c>
      <c r="D1035" s="488" t="str">
        <f t="shared" si="15"/>
        <v/>
      </c>
      <c r="E1035" t="str">
        <f t="shared" si="15"/>
        <v/>
      </c>
      <c r="F1035" t="str">
        <f t="shared" si="15"/>
        <v/>
      </c>
      <c r="G1035" t="str">
        <f t="shared" si="15"/>
        <v/>
      </c>
    </row>
    <row r="1036" spans="1:7">
      <c r="A1036" s="195">
        <f t="shared" si="13"/>
        <v>1</v>
      </c>
      <c r="B1036">
        <v>37</v>
      </c>
      <c r="C1036" s="894" t="str" cm="1">
        <f t="array" ref="C1036">IF(_xlfn.SINGLE(INDEX($B$935:$F$995, $A1036, C$999)) = "", "", INDEX($B$935:$F$995, $A1036, C$999))</f>
        <v/>
      </c>
      <c r="D1036" s="488" t="str">
        <f t="shared" si="15"/>
        <v/>
      </c>
      <c r="E1036" t="str">
        <f t="shared" si="15"/>
        <v/>
      </c>
      <c r="F1036" t="str">
        <f t="shared" si="15"/>
        <v/>
      </c>
      <c r="G1036" t="str">
        <f t="shared" si="15"/>
        <v/>
      </c>
    </row>
    <row r="1037" spans="1:7">
      <c r="A1037" s="195">
        <f t="shared" si="13"/>
        <v>1</v>
      </c>
      <c r="B1037">
        <v>38</v>
      </c>
      <c r="C1037" s="894" t="str" cm="1">
        <f t="array" ref="C1037">IF(_xlfn.SINGLE(INDEX($B$935:$F$995, $A1037, C$999)) = "", "", INDEX($B$935:$F$995, $A1037, C$999))</f>
        <v/>
      </c>
      <c r="D1037" s="488" t="str">
        <f t="shared" si="15"/>
        <v/>
      </c>
      <c r="E1037" t="str">
        <f t="shared" si="15"/>
        <v/>
      </c>
      <c r="F1037" t="str">
        <f t="shared" si="15"/>
        <v/>
      </c>
      <c r="G1037" t="str">
        <f t="shared" si="15"/>
        <v/>
      </c>
    </row>
    <row r="1038" spans="1:7">
      <c r="A1038" s="195">
        <f t="shared" si="13"/>
        <v>1</v>
      </c>
      <c r="B1038">
        <v>39</v>
      </c>
      <c r="C1038" s="894" t="str" cm="1">
        <f t="array" ref="C1038">IF(_xlfn.SINGLE(INDEX($B$935:$F$995, $A1038, C$999)) = "", "", INDEX($B$935:$F$995, $A1038, C$999))</f>
        <v/>
      </c>
      <c r="D1038" s="488" t="str">
        <f t="shared" si="15"/>
        <v/>
      </c>
      <c r="E1038" t="str">
        <f t="shared" si="15"/>
        <v/>
      </c>
      <c r="F1038" t="str">
        <f t="shared" si="15"/>
        <v/>
      </c>
      <c r="G1038" t="str">
        <f t="shared" si="15"/>
        <v/>
      </c>
    </row>
    <row r="1039" spans="1:7">
      <c r="A1039" s="195">
        <f t="shared" si="13"/>
        <v>1</v>
      </c>
      <c r="B1039">
        <v>40</v>
      </c>
      <c r="C1039" s="894" t="str" cm="1">
        <f t="array" ref="C1039">IF(_xlfn.SINGLE(INDEX($B$935:$F$995, $A1039, C$999)) = "", "", INDEX($B$935:$F$995, $A1039, C$999))</f>
        <v/>
      </c>
      <c r="D1039" s="488" t="str">
        <f t="shared" si="15"/>
        <v/>
      </c>
      <c r="E1039" t="str">
        <f t="shared" si="15"/>
        <v/>
      </c>
      <c r="F1039" t="str">
        <f t="shared" si="15"/>
        <v/>
      </c>
      <c r="G1039" t="str">
        <f t="shared" si="15"/>
        <v/>
      </c>
    </row>
    <row r="1040" spans="1:7">
      <c r="A1040" s="195">
        <f t="shared" si="13"/>
        <v>1</v>
      </c>
      <c r="B1040">
        <v>41</v>
      </c>
      <c r="C1040" s="894" t="str" cm="1">
        <f t="array" ref="C1040">IF(_xlfn.SINGLE(INDEX($B$935:$F$995, $A1040, C$999)) = "", "", INDEX($B$935:$F$995, $A1040, C$999))</f>
        <v/>
      </c>
      <c r="D1040" s="488" t="str">
        <f t="shared" si="15"/>
        <v/>
      </c>
      <c r="E1040" t="str">
        <f t="shared" si="15"/>
        <v/>
      </c>
      <c r="F1040" t="str">
        <f t="shared" si="15"/>
        <v/>
      </c>
      <c r="G1040" t="str">
        <f t="shared" si="15"/>
        <v/>
      </c>
    </row>
    <row r="1041" spans="1:7">
      <c r="A1041" s="195">
        <f t="shared" si="13"/>
        <v>1</v>
      </c>
      <c r="B1041">
        <v>42</v>
      </c>
      <c r="C1041" s="894" t="str" cm="1">
        <f t="array" ref="C1041">IF(_xlfn.SINGLE(INDEX($B$935:$F$995, $A1041, C$999)) = "", "", INDEX($B$935:$F$995, $A1041, C$999))</f>
        <v/>
      </c>
      <c r="D1041" s="488" t="str">
        <f t="shared" si="15"/>
        <v/>
      </c>
      <c r="E1041" t="str">
        <f t="shared" si="15"/>
        <v/>
      </c>
      <c r="F1041" t="str">
        <f t="shared" si="15"/>
        <v/>
      </c>
      <c r="G1041" t="str">
        <f t="shared" si="15"/>
        <v/>
      </c>
    </row>
    <row r="1042" spans="1:7">
      <c r="A1042" s="195">
        <f t="shared" si="13"/>
        <v>1</v>
      </c>
      <c r="B1042">
        <v>43</v>
      </c>
      <c r="C1042" s="894" t="str" cm="1">
        <f t="array" ref="C1042">IF(_xlfn.SINGLE(INDEX($B$935:$F$995, $A1042, C$999)) = "", "", INDEX($B$935:$F$995, $A1042, C$999))</f>
        <v/>
      </c>
      <c r="D1042" s="488" t="str">
        <f t="shared" si="15"/>
        <v/>
      </c>
      <c r="E1042" t="str">
        <f t="shared" si="15"/>
        <v/>
      </c>
      <c r="F1042" t="str">
        <f t="shared" si="15"/>
        <v/>
      </c>
      <c r="G1042" t="str">
        <f t="shared" si="15"/>
        <v/>
      </c>
    </row>
    <row r="1043" spans="1:7">
      <c r="A1043" s="195">
        <f t="shared" si="13"/>
        <v>1</v>
      </c>
      <c r="B1043">
        <v>44</v>
      </c>
      <c r="C1043" s="894" t="str" cm="1">
        <f t="array" ref="C1043">IF(_xlfn.SINGLE(INDEX($B$935:$F$995, $A1043, C$999)) = "", "", INDEX($B$935:$F$995, $A1043, C$999))</f>
        <v/>
      </c>
      <c r="D1043" s="488" t="str">
        <f t="shared" si="15"/>
        <v/>
      </c>
      <c r="E1043" t="str">
        <f t="shared" si="15"/>
        <v/>
      </c>
      <c r="F1043" t="str">
        <f t="shared" si="15"/>
        <v/>
      </c>
      <c r="G1043" t="str">
        <f t="shared" si="15"/>
        <v/>
      </c>
    </row>
    <row r="1044" spans="1:7">
      <c r="A1044" s="195">
        <f t="shared" si="13"/>
        <v>1</v>
      </c>
      <c r="B1044">
        <v>45</v>
      </c>
      <c r="C1044" s="894" t="str" cm="1">
        <f t="array" ref="C1044">IF(_xlfn.SINGLE(INDEX($B$935:$F$995, $A1044, C$999)) = "", "", INDEX($B$935:$F$995, $A1044, C$999))</f>
        <v/>
      </c>
      <c r="D1044" s="488" t="str">
        <f t="shared" si="15"/>
        <v/>
      </c>
      <c r="E1044" t="str">
        <f t="shared" si="15"/>
        <v/>
      </c>
      <c r="F1044" t="str">
        <f t="shared" si="15"/>
        <v/>
      </c>
      <c r="G1044" t="str">
        <f t="shared" si="15"/>
        <v/>
      </c>
    </row>
    <row r="1045" spans="1:7">
      <c r="A1045" s="195">
        <f t="shared" si="13"/>
        <v>1</v>
      </c>
      <c r="B1045">
        <v>46</v>
      </c>
      <c r="C1045" s="894" t="str" cm="1">
        <f t="array" ref="C1045">IF(_xlfn.SINGLE(INDEX($B$935:$F$995, $A1045, C$999)) = "", "", INDEX($B$935:$F$995, $A1045, C$999))</f>
        <v/>
      </c>
      <c r="D1045" s="488" t="str">
        <f t="shared" si="15"/>
        <v/>
      </c>
      <c r="E1045" t="str">
        <f t="shared" si="15"/>
        <v/>
      </c>
      <c r="F1045" t="str">
        <f t="shared" si="15"/>
        <v/>
      </c>
      <c r="G1045" t="str">
        <f t="shared" si="15"/>
        <v/>
      </c>
    </row>
    <row r="1046" spans="1:7">
      <c r="A1046" s="195">
        <f t="shared" si="13"/>
        <v>1</v>
      </c>
      <c r="B1046">
        <v>47</v>
      </c>
      <c r="C1046" s="894" t="str" cm="1">
        <f t="array" ref="C1046">IF(_xlfn.SINGLE(INDEX($B$935:$F$995, $A1046, C$999)) = "", "", INDEX($B$935:$F$995, $A1046, C$999))</f>
        <v/>
      </c>
      <c r="D1046" s="488" t="str">
        <f t="shared" si="15"/>
        <v/>
      </c>
      <c r="E1046" t="str">
        <f t="shared" si="15"/>
        <v/>
      </c>
      <c r="F1046" t="str">
        <f t="shared" si="15"/>
        <v/>
      </c>
      <c r="G1046" t="str">
        <f t="shared" si="15"/>
        <v/>
      </c>
    </row>
    <row r="1047" spans="1:7">
      <c r="A1047" s="195">
        <f t="shared" si="13"/>
        <v>1</v>
      </c>
      <c r="B1047">
        <v>48</v>
      </c>
      <c r="C1047" s="894" t="str" cm="1">
        <f t="array" ref="C1047">IF(_xlfn.SINGLE(INDEX($B$935:$F$995, $A1047, C$999)) = "", "", INDEX($B$935:$F$995, $A1047, C$999))</f>
        <v/>
      </c>
      <c r="D1047" s="488" t="str">
        <f t="shared" si="15"/>
        <v/>
      </c>
      <c r="E1047" t="str">
        <f t="shared" si="15"/>
        <v/>
      </c>
      <c r="F1047" t="str">
        <f t="shared" si="15"/>
        <v/>
      </c>
      <c r="G1047" t="str">
        <f t="shared" si="15"/>
        <v/>
      </c>
    </row>
    <row r="1048" spans="1:7">
      <c r="A1048" s="195">
        <f t="shared" si="13"/>
        <v>1</v>
      </c>
      <c r="B1048">
        <v>49</v>
      </c>
      <c r="C1048" s="894" t="str" cm="1">
        <f t="array" ref="C1048">IF(_xlfn.SINGLE(INDEX($B$935:$F$995, $A1048, C$999)) = "", "", INDEX($B$935:$F$995, $A1048, C$999))</f>
        <v/>
      </c>
      <c r="D1048" s="488" t="str">
        <f t="shared" si="15"/>
        <v/>
      </c>
      <c r="E1048" t="str">
        <f t="shared" si="15"/>
        <v/>
      </c>
      <c r="F1048" t="str">
        <f t="shared" si="15"/>
        <v/>
      </c>
      <c r="G1048" t="str">
        <f t="shared" si="15"/>
        <v/>
      </c>
    </row>
    <row r="1049" spans="1:7">
      <c r="A1049" s="195">
        <f t="shared" si="13"/>
        <v>1</v>
      </c>
      <c r="B1049">
        <v>50</v>
      </c>
      <c r="C1049" s="894" t="str" cm="1">
        <f t="array" ref="C1049">IF(_xlfn.SINGLE(INDEX($B$935:$F$995, $A1049, C$999)) = "", "", INDEX($B$935:$F$995, $A1049, C$999))</f>
        <v/>
      </c>
      <c r="D1049" s="488" t="str">
        <f t="shared" si="15"/>
        <v/>
      </c>
      <c r="E1049" t="str">
        <f t="shared" si="15"/>
        <v/>
      </c>
      <c r="F1049" t="str">
        <f t="shared" si="15"/>
        <v/>
      </c>
      <c r="G1049" t="str">
        <f t="shared" si="15"/>
        <v/>
      </c>
    </row>
    <row r="1050" spans="1:7">
      <c r="A1050" s="195">
        <f t="shared" si="13"/>
        <v>1</v>
      </c>
      <c r="B1050">
        <v>51</v>
      </c>
      <c r="C1050" s="894" t="str" cm="1">
        <f t="array" ref="C1050">IF(_xlfn.SINGLE(INDEX($B$935:$F$995, $A1050, C$999)) = "", "", INDEX($B$935:$F$995, $A1050, C$999))</f>
        <v/>
      </c>
      <c r="D1050" s="488" t="str">
        <f t="shared" si="15"/>
        <v/>
      </c>
      <c r="E1050" t="str">
        <f t="shared" si="15"/>
        <v/>
      </c>
      <c r="F1050" t="str">
        <f t="shared" si="15"/>
        <v/>
      </c>
      <c r="G1050" t="str">
        <f t="shared" si="15"/>
        <v/>
      </c>
    </row>
    <row r="1051" spans="1:7">
      <c r="A1051" s="195">
        <f t="shared" si="13"/>
        <v>1</v>
      </c>
      <c r="B1051">
        <v>52</v>
      </c>
      <c r="C1051" s="894" t="str" cm="1">
        <f t="array" ref="C1051">IF(_xlfn.SINGLE(INDEX($B$935:$F$995, $A1051, C$999)) = "", "", INDEX($B$935:$F$995, $A1051, C$999))</f>
        <v/>
      </c>
      <c r="D1051" s="488" t="str">
        <f t="shared" si="15"/>
        <v/>
      </c>
      <c r="E1051" t="str">
        <f t="shared" si="15"/>
        <v/>
      </c>
      <c r="F1051" t="str">
        <f t="shared" si="15"/>
        <v/>
      </c>
      <c r="G1051" t="str">
        <f t="shared" si="15"/>
        <v/>
      </c>
    </row>
    <row r="1052" spans="1:7">
      <c r="A1052" s="195">
        <f t="shared" si="13"/>
        <v>1</v>
      </c>
      <c r="B1052">
        <v>53</v>
      </c>
      <c r="C1052" s="894" t="str" cm="1">
        <f t="array" ref="C1052">IF(_xlfn.SINGLE(INDEX($B$935:$F$995, $A1052, C$999)) = "", "", INDEX($B$935:$F$995, $A1052, C$999))</f>
        <v/>
      </c>
      <c r="D1052" s="488" t="str">
        <f t="shared" si="15"/>
        <v/>
      </c>
      <c r="E1052" t="str">
        <f t="shared" si="15"/>
        <v/>
      </c>
      <c r="F1052" t="str">
        <f t="shared" si="15"/>
        <v/>
      </c>
      <c r="G1052" t="str">
        <f t="shared" si="15"/>
        <v/>
      </c>
    </row>
    <row r="1053" spans="1:7">
      <c r="A1053" s="195">
        <f t="shared" si="13"/>
        <v>1</v>
      </c>
      <c r="B1053">
        <v>54</v>
      </c>
      <c r="C1053" s="894" t="str" cm="1">
        <f t="array" ref="C1053">IF(_xlfn.SINGLE(INDEX($B$935:$F$995, $A1053, C$999)) = "", "", INDEX($B$935:$F$995, $A1053, C$999))</f>
        <v/>
      </c>
      <c r="D1053" s="488" t="str">
        <f t="shared" si="15"/>
        <v/>
      </c>
      <c r="E1053" t="str">
        <f t="shared" si="15"/>
        <v/>
      </c>
      <c r="F1053" t="str">
        <f t="shared" si="15"/>
        <v/>
      </c>
      <c r="G1053" t="str">
        <f t="shared" si="15"/>
        <v/>
      </c>
    </row>
    <row r="1054" spans="1:7">
      <c r="A1054" s="195">
        <f t="shared" si="13"/>
        <v>1</v>
      </c>
      <c r="B1054">
        <v>55</v>
      </c>
      <c r="C1054" s="894" t="str" cm="1">
        <f t="array" ref="C1054">IF(_xlfn.SINGLE(INDEX($B$935:$F$995, $A1054, C$999)) = "", "", INDEX($B$935:$F$995, $A1054, C$999))</f>
        <v/>
      </c>
      <c r="D1054" s="488" t="str">
        <f t="shared" si="15"/>
        <v/>
      </c>
      <c r="E1054" t="str">
        <f t="shared" si="15"/>
        <v/>
      </c>
      <c r="F1054" t="str">
        <f t="shared" si="15"/>
        <v/>
      </c>
      <c r="G1054" t="str">
        <f t="shared" si="15"/>
        <v/>
      </c>
    </row>
    <row r="1055" spans="1:7">
      <c r="A1055" s="195">
        <f t="shared" si="13"/>
        <v>1</v>
      </c>
      <c r="B1055">
        <v>56</v>
      </c>
      <c r="C1055" s="894" t="str" cm="1">
        <f t="array" ref="C1055">IF(_xlfn.SINGLE(INDEX($B$935:$F$995, $A1055, C$999)) = "", "", INDEX($B$935:$F$995, $A1055, C$999))</f>
        <v/>
      </c>
      <c r="D1055" s="488" t="str">
        <f t="shared" si="15"/>
        <v/>
      </c>
      <c r="E1055" t="str">
        <f t="shared" si="15"/>
        <v/>
      </c>
      <c r="F1055" t="str">
        <f t="shared" si="15"/>
        <v/>
      </c>
      <c r="G1055" t="str">
        <f t="shared" si="15"/>
        <v/>
      </c>
    </row>
    <row r="1056" spans="1:7">
      <c r="A1056" s="195">
        <f t="shared" si="13"/>
        <v>1</v>
      </c>
      <c r="B1056">
        <v>57</v>
      </c>
      <c r="C1056" s="894" t="str" cm="1">
        <f t="array" ref="C1056">IF(_xlfn.SINGLE(INDEX($B$935:$F$995, $A1056, C$999)) = "", "", INDEX($B$935:$F$995, $A1056, C$999))</f>
        <v/>
      </c>
      <c r="D1056" s="488" t="str">
        <f t="shared" ref="D1056:G1059" si="16">CONCATENATE(INDEX($B$935:$F$995, $A1056, D$999))</f>
        <v/>
      </c>
      <c r="E1056" t="str">
        <f t="shared" si="16"/>
        <v/>
      </c>
      <c r="F1056" t="str">
        <f t="shared" si="16"/>
        <v/>
      </c>
      <c r="G1056" t="str">
        <f t="shared" si="16"/>
        <v/>
      </c>
    </row>
    <row r="1057" spans="1:7">
      <c r="A1057" s="195">
        <f t="shared" si="13"/>
        <v>1</v>
      </c>
      <c r="B1057">
        <v>58</v>
      </c>
      <c r="C1057" s="894" t="str" cm="1">
        <f t="array" ref="C1057">IF(_xlfn.SINGLE(INDEX($B$935:$F$995, $A1057, C$999)) = "", "", INDEX($B$935:$F$995, $A1057, C$999))</f>
        <v/>
      </c>
      <c r="D1057" s="488" t="str">
        <f t="shared" si="16"/>
        <v/>
      </c>
      <c r="E1057" t="str">
        <f t="shared" si="16"/>
        <v/>
      </c>
      <c r="F1057" t="str">
        <f t="shared" si="16"/>
        <v/>
      </c>
      <c r="G1057" t="str">
        <f t="shared" si="16"/>
        <v/>
      </c>
    </row>
    <row r="1058" spans="1:7">
      <c r="A1058" s="195">
        <f t="shared" si="13"/>
        <v>1</v>
      </c>
      <c r="B1058">
        <v>59</v>
      </c>
      <c r="C1058" s="894" t="str" cm="1">
        <f t="array" ref="C1058">IF(_xlfn.SINGLE(INDEX($B$935:$F$995, $A1058, C$999)) = "", "", INDEX($B$935:$F$995, $A1058, C$999))</f>
        <v/>
      </c>
      <c r="D1058" s="488" t="str">
        <f t="shared" si="16"/>
        <v/>
      </c>
      <c r="E1058" t="str">
        <f t="shared" si="16"/>
        <v/>
      </c>
      <c r="F1058" t="str">
        <f t="shared" si="16"/>
        <v/>
      </c>
      <c r="G1058" t="str">
        <f t="shared" si="16"/>
        <v/>
      </c>
    </row>
    <row r="1059" spans="1:7">
      <c r="A1059" s="195">
        <f t="shared" si="13"/>
        <v>1</v>
      </c>
      <c r="B1059">
        <v>60</v>
      </c>
      <c r="C1059" s="894" t="str" cm="1">
        <f t="array" ref="C1059">IF(_xlfn.SINGLE(INDEX($B$935:$F$995, $A1059, C$999)) = "", "", INDEX($B$935:$F$995, $A1059, C$999))</f>
        <v/>
      </c>
      <c r="D1059" s="488" t="str">
        <f t="shared" si="16"/>
        <v/>
      </c>
      <c r="E1059" t="str">
        <f t="shared" si="16"/>
        <v/>
      </c>
      <c r="F1059" t="str">
        <f t="shared" si="16"/>
        <v/>
      </c>
      <c r="G1059" t="str">
        <f t="shared" si="16"/>
        <v/>
      </c>
    </row>
    <row r="1061" spans="1:7">
      <c r="B1061" t="s">
        <v>2516</v>
      </c>
      <c r="D1061" t="s">
        <v>2518</v>
      </c>
    </row>
    <row r="1062" spans="1:7">
      <c r="B1062" t="s">
        <v>2512</v>
      </c>
      <c r="D1062" t="s">
        <v>2519</v>
      </c>
    </row>
    <row r="1063" spans="1:7">
      <c r="B1063" t="s">
        <v>2513</v>
      </c>
      <c r="D1063" t="s">
        <v>2520</v>
      </c>
    </row>
    <row r="1064" spans="1:7">
      <c r="B1064" t="s">
        <v>2514</v>
      </c>
      <c r="D1064" t="s">
        <v>2521</v>
      </c>
    </row>
    <row r="1065" spans="1:7">
      <c r="B1065" t="s">
        <v>2515</v>
      </c>
      <c r="D1065" t="s">
        <v>2522</v>
      </c>
    </row>
    <row r="1073" spans="1:20">
      <c r="A1073" t="s">
        <v>888</v>
      </c>
      <c r="B1073" t="s">
        <v>2523</v>
      </c>
      <c r="C1073" t="e">
        <f>Calculations!$B$510</f>
        <v>#N/A</v>
      </c>
      <c r="D1073" t="s">
        <v>2524</v>
      </c>
    </row>
    <row r="1074" spans="1:20">
      <c r="A1074" t="s">
        <v>2525</v>
      </c>
      <c r="B1074" t="s">
        <v>2526</v>
      </c>
      <c r="C1074">
        <f>Calculations!R807</f>
        <v>0</v>
      </c>
      <c r="D1074" t="s">
        <v>2527</v>
      </c>
    </row>
    <row r="1075" spans="1:20">
      <c r="A1075" t="s">
        <v>2528</v>
      </c>
      <c r="B1075" t="s">
        <v>2529</v>
      </c>
      <c r="C1075">
        <f>Calculations!T807</f>
        <v>0</v>
      </c>
      <c r="D1075" t="s">
        <v>2530</v>
      </c>
    </row>
    <row r="1076" spans="1:20">
      <c r="A1076" t="s">
        <v>2531</v>
      </c>
      <c r="B1076" t="s">
        <v>2532</v>
      </c>
      <c r="C1076">
        <f>Calculations!V807</f>
        <v>0</v>
      </c>
      <c r="D1076" t="s">
        <v>2533</v>
      </c>
    </row>
    <row r="1077" spans="1:20">
      <c r="A1077" t="s">
        <v>2534</v>
      </c>
      <c r="B1077" t="s">
        <v>2535</v>
      </c>
      <c r="C1077" s="401">
        <f>Calculations!W807</f>
        <v>0</v>
      </c>
      <c r="D1077" t="s">
        <v>2536</v>
      </c>
      <c r="E1077" t="s">
        <v>2537</v>
      </c>
    </row>
    <row r="1078" spans="1:20">
      <c r="A1078" t="s">
        <v>2538</v>
      </c>
      <c r="B1078" t="s">
        <v>2539</v>
      </c>
      <c r="C1078" s="401">
        <f>Calculations!X807</f>
        <v>0</v>
      </c>
      <c r="D1078" t="s">
        <v>2540</v>
      </c>
      <c r="E1078" t="s">
        <v>2541</v>
      </c>
    </row>
    <row r="1079" spans="1:20">
      <c r="A1079" t="s">
        <v>2542</v>
      </c>
      <c r="B1079" t="s">
        <v>2543</v>
      </c>
      <c r="C1079" s="401" t="e">
        <f>Calculations!AA807</f>
        <v>#DIV/0!</v>
      </c>
      <c r="D1079" t="s">
        <v>2544</v>
      </c>
      <c r="E1079" t="s">
        <v>2545</v>
      </c>
    </row>
    <row r="1082" spans="1:20">
      <c r="A1082" t="s">
        <v>2546</v>
      </c>
    </row>
    <row r="1083" spans="1:20">
      <c r="B1083" t="s">
        <v>2547</v>
      </c>
      <c r="C1083" t="s">
        <v>2548</v>
      </c>
      <c r="D1083" t="s">
        <v>1636</v>
      </c>
      <c r="E1083" t="s">
        <v>2489</v>
      </c>
      <c r="F1083" t="s">
        <v>2549</v>
      </c>
      <c r="G1083" t="s">
        <v>2550</v>
      </c>
      <c r="H1083" t="s">
        <v>2551</v>
      </c>
      <c r="I1083" t="s">
        <v>2552</v>
      </c>
      <c r="J1083" t="s">
        <v>2553</v>
      </c>
      <c r="K1083" t="s">
        <v>2554</v>
      </c>
      <c r="L1083" t="s">
        <v>2555</v>
      </c>
      <c r="M1083" t="s">
        <v>2556</v>
      </c>
      <c r="N1083" t="s">
        <v>2557</v>
      </c>
      <c r="O1083" t="s">
        <v>2558</v>
      </c>
      <c r="P1083" t="s">
        <v>2559</v>
      </c>
      <c r="Q1083" t="s">
        <v>2560</v>
      </c>
      <c r="R1083" t="s">
        <v>2561</v>
      </c>
      <c r="S1083" t="s">
        <v>2562</v>
      </c>
      <c r="T1083" t="s">
        <v>2563</v>
      </c>
    </row>
    <row r="1084" spans="1:20">
      <c r="A1084" s="314" t="s">
        <v>2250</v>
      </c>
      <c r="B1084" s="314"/>
    </row>
    <row r="1085" spans="1:20">
      <c r="A1085" s="195" t="str">
        <f>IF(D1085="","",MAX(A$1083:A1084)+1)</f>
        <v/>
      </c>
      <c r="B1085" s="195" t="b">
        <f>A1085&lt;&gt;""</f>
        <v>0</v>
      </c>
      <c r="C1085" t="str">
        <f>CONCATENATE('Final Building Profile'!B4)</f>
        <v/>
      </c>
      <c r="D1085" t="str">
        <f>CONCATENATE('Final Building Profile'!C4)</f>
        <v/>
      </c>
      <c r="E1085" t="str">
        <f>CONCATENATE('Final Building Profile'!F4)</f>
        <v/>
      </c>
      <c r="F1085" s="315" t="str">
        <f>IF(AND($B1085, Calculations!$B$9), 'Final Building Profile'!J4, "")</f>
        <v/>
      </c>
      <c r="G1085" s="250" t="str">
        <f>IF(AND($B1085, Calculations!$B$9), 'Final Building Profile'!K4, "")</f>
        <v/>
      </c>
      <c r="H1085" t="str">
        <f>IF(AND($B1085, Calculations!$B$9),'Final Building Profile'!M4,"")</f>
        <v/>
      </c>
      <c r="I1085" t="str">
        <f>IF(AND($B1085, Calculations!$B$9),Calculations!AB708,"")</f>
        <v/>
      </c>
      <c r="J1085" t="str">
        <f>IF(AND($B1085, Calculations!$B$9),Calculations!AC708,"")</f>
        <v/>
      </c>
      <c r="K1085" s="315" t="str">
        <f>IF(AND($B1085, Calculations!$B$8), 'Final Building Profile'!J4, "")</f>
        <v/>
      </c>
      <c r="L1085" s="250" t="str">
        <f>IF(AND($B1085, Calculations!$B$8), 'Final Building Profile'!K4, "")</f>
        <v/>
      </c>
      <c r="M1085" t="str">
        <f>IF(AND($B1085, Calculations!$B$8), 'Final Building Profile'!L4, "")</f>
        <v/>
      </c>
      <c r="N1085" t="str">
        <f>IF(AND($B1085, Calculations!$B$8),Calculations!AB708,"")</f>
        <v/>
      </c>
      <c r="O1085" t="str">
        <f>IF(AND($B1085, Calculations!$B$8),Calculations!AC708,"")</f>
        <v/>
      </c>
      <c r="P1085" s="315" t="str">
        <f>IF(AND($B1085, Calculations!$B$7), 'Final Building Profile'!P4, "")</f>
        <v/>
      </c>
      <c r="Q1085" s="204" t="str">
        <f>IF(AND($B1085, Calculations!$B$7), 'Final Building Profile'!Q4, "")</f>
        <v/>
      </c>
      <c r="R1085" t="str">
        <f>IF(AND($B1085, Calculations!$B$7), 'Final Building Profile'!N4-'Final Building Profile'!O4, "")</f>
        <v/>
      </c>
      <c r="S1085" t="str">
        <f>IF(AND($B1085, Calculations!$B$7),Calculations!AD708,"")</f>
        <v/>
      </c>
      <c r="T1085" t="str">
        <f>IF(AND($B1085, Calculations!$B$7),Calculations!AE708,"")</f>
        <v/>
      </c>
    </row>
    <row r="1086" spans="1:20">
      <c r="A1086" s="195" t="str">
        <f>IF(C1086="","",MAX(A$1083:A1085)+1)</f>
        <v/>
      </c>
      <c r="B1086" s="195" t="b">
        <f t="shared" ref="B1086:B1149" si="17">A1086&lt;&gt;""</f>
        <v>0</v>
      </c>
      <c r="C1086" t="str">
        <f>CONCATENATE('Final Building Profile'!B5)</f>
        <v/>
      </c>
      <c r="D1086" t="str">
        <f>CONCATENATE('Final Building Profile'!C5)</f>
        <v/>
      </c>
      <c r="E1086" t="str">
        <f>CONCATENATE('Final Building Profile'!F5)</f>
        <v/>
      </c>
      <c r="F1086" s="315" t="str">
        <f>IF(AND($B1086, Calculations!$B$9), 'Final Building Profile'!J5, "")</f>
        <v/>
      </c>
      <c r="G1086" s="250" t="str">
        <f>IF(AND($B1086, Calculations!$B$9), 'Final Building Profile'!K5, "")</f>
        <v/>
      </c>
      <c r="H1086" t="str">
        <f>IF(AND($B1086, Calculations!$B$9),'Final Building Profile'!M5,"")</f>
        <v/>
      </c>
      <c r="I1086" t="str">
        <f>IF(AND($B1086, Calculations!$B$9),Calculations!AB709,"")</f>
        <v/>
      </c>
      <c r="J1086" t="str">
        <f>IF(AND($B1086, Calculations!$B$9),Calculations!AC709,"")</f>
        <v/>
      </c>
      <c r="K1086" s="315" t="str">
        <f>IF(AND($B1086, Calculations!$B$8), 'Final Building Profile'!J5, "")</f>
        <v/>
      </c>
      <c r="L1086" s="250" t="str">
        <f>IF(AND($B1086, Calculations!$B$8), 'Final Building Profile'!K5, "")</f>
        <v/>
      </c>
      <c r="M1086" t="str">
        <f>IF(AND($B1086, Calculations!$B$8), 'Final Building Profile'!L5, "")</f>
        <v/>
      </c>
      <c r="N1086" t="str">
        <f>IF(AND($B1086, Calculations!$B$8),Calculations!AB709,"")</f>
        <v/>
      </c>
      <c r="O1086" t="str">
        <f>IF(AND($B1086, Calculations!$B$8),Calculations!AC709,"")</f>
        <v/>
      </c>
      <c r="P1086" s="315" t="str">
        <f>IF(AND($B1086, Calculations!$B$7), 'Final Building Profile'!P5, "")</f>
        <v/>
      </c>
      <c r="Q1086" s="204" t="str">
        <f>IF(AND($B1086, Calculations!$B$7), 'Final Building Profile'!Q5, "")</f>
        <v/>
      </c>
      <c r="R1086" t="str">
        <f>IF(AND($B1086, Calculations!$B$7), 'Final Building Profile'!N5-'Final Building Profile'!O5, "")</f>
        <v/>
      </c>
      <c r="S1086" t="str">
        <f>IF(AND($B1086, Calculations!$B$7),Calculations!AD709,"")</f>
        <v/>
      </c>
      <c r="T1086" t="str">
        <f>IF(AND($B1086, Calculations!$B$7),Calculations!AE709,"")</f>
        <v/>
      </c>
    </row>
    <row r="1087" spans="1:20">
      <c r="A1087" s="195" t="str">
        <f>IF(C1087="","",MAX(A$1083:A1086)+1)</f>
        <v/>
      </c>
      <c r="B1087" s="195" t="b">
        <f t="shared" si="17"/>
        <v>0</v>
      </c>
      <c r="C1087" t="str">
        <f>CONCATENATE('Final Building Profile'!B6)</f>
        <v/>
      </c>
      <c r="D1087" t="str">
        <f>CONCATENATE('Final Building Profile'!C6)</f>
        <v/>
      </c>
      <c r="E1087" t="str">
        <f>CONCATENATE('Final Building Profile'!F6)</f>
        <v/>
      </c>
      <c r="F1087" s="315" t="str">
        <f>IF(AND($B1087, Calculations!$B$9), 'Final Building Profile'!J6, "")</f>
        <v/>
      </c>
      <c r="G1087" s="250" t="str">
        <f>IF(AND($B1087, Calculations!$B$9), 'Final Building Profile'!K6, "")</f>
        <v/>
      </c>
      <c r="H1087" t="str">
        <f>IF(AND($B1087, Calculations!$B$9),'Final Building Profile'!M6,"")</f>
        <v/>
      </c>
      <c r="I1087" t="str">
        <f>IF(AND($B1087, Calculations!$B$9),Calculations!AB710,"")</f>
        <v/>
      </c>
      <c r="J1087" t="str">
        <f>IF(AND($B1087, Calculations!$B$9),Calculations!AC710,"")</f>
        <v/>
      </c>
      <c r="K1087" s="315" t="str">
        <f>IF(AND($B1087, Calculations!$B$8), 'Final Building Profile'!J6, "")</f>
        <v/>
      </c>
      <c r="L1087" s="250" t="str">
        <f>IF(AND($B1087, Calculations!$B$8), 'Final Building Profile'!K6, "")</f>
        <v/>
      </c>
      <c r="M1087" t="str">
        <f>IF(AND($B1087, Calculations!$B$8), 'Final Building Profile'!L6, "")</f>
        <v/>
      </c>
      <c r="N1087" t="str">
        <f>IF(AND($B1087, Calculations!$B$8),Calculations!AB710,"")</f>
        <v/>
      </c>
      <c r="O1087" t="str">
        <f>IF(AND($B1087, Calculations!$B$8),Calculations!AC710,"")</f>
        <v/>
      </c>
      <c r="P1087" s="315" t="str">
        <f>IF(AND($B1087, Calculations!$B$7), 'Final Building Profile'!P6, "")</f>
        <v/>
      </c>
      <c r="Q1087" s="204" t="str">
        <f>IF(AND($B1087, Calculations!$B$7), 'Final Building Profile'!Q6, "")</f>
        <v/>
      </c>
      <c r="R1087" t="str">
        <f>IF(AND($B1087, Calculations!$B$7), 'Final Building Profile'!N6-'Final Building Profile'!O6, "")</f>
        <v/>
      </c>
      <c r="S1087" t="str">
        <f>IF(AND($B1087, Calculations!$B$7),Calculations!AD710,"")</f>
        <v/>
      </c>
      <c r="T1087" t="str">
        <f>IF(AND($B1087, Calculations!$B$7),Calculations!AE710,"")</f>
        <v/>
      </c>
    </row>
    <row r="1088" spans="1:20">
      <c r="A1088" s="195" t="str">
        <f>IF(C1088="","",MAX(A$1083:A1087)+1)</f>
        <v/>
      </c>
      <c r="B1088" s="195" t="b">
        <f t="shared" si="17"/>
        <v>0</v>
      </c>
      <c r="C1088" t="str">
        <f>CONCATENATE('Final Building Profile'!B7)</f>
        <v/>
      </c>
      <c r="D1088" t="str">
        <f>CONCATENATE('Final Building Profile'!C7)</f>
        <v/>
      </c>
      <c r="E1088" t="str">
        <f>CONCATENATE('Final Building Profile'!F7)</f>
        <v/>
      </c>
      <c r="F1088" s="315" t="str">
        <f>IF(AND($B1088, Calculations!$B$9), 'Final Building Profile'!J7, "")</f>
        <v/>
      </c>
      <c r="G1088" s="250" t="str">
        <f>IF(AND($B1088, Calculations!$B$9), 'Final Building Profile'!K7, "")</f>
        <v/>
      </c>
      <c r="H1088" t="str">
        <f>IF(AND($B1088, Calculations!$B$9),'Final Building Profile'!M7,"")</f>
        <v/>
      </c>
      <c r="I1088" t="str">
        <f>IF(AND($B1088, Calculations!$B$9),Calculations!AB711,"")</f>
        <v/>
      </c>
      <c r="J1088" t="str">
        <f>IF(AND($B1088, Calculations!$B$9),Calculations!AC711,"")</f>
        <v/>
      </c>
      <c r="K1088" s="315" t="str">
        <f>IF(AND($B1088, Calculations!$B$8), 'Final Building Profile'!J7, "")</f>
        <v/>
      </c>
      <c r="L1088" s="250" t="str">
        <f>IF(AND($B1088, Calculations!$B$8), 'Final Building Profile'!K7, "")</f>
        <v/>
      </c>
      <c r="M1088" t="str">
        <f>IF(AND($B1088, Calculations!$B$8), 'Final Building Profile'!L7, "")</f>
        <v/>
      </c>
      <c r="N1088" t="str">
        <f>IF(AND($B1088, Calculations!$B$8),Calculations!AB711,"")</f>
        <v/>
      </c>
      <c r="O1088" t="str">
        <f>IF(AND($B1088, Calculations!$B$8),Calculations!AC711,"")</f>
        <v/>
      </c>
      <c r="P1088" s="315" t="str">
        <f>IF(AND($B1088, Calculations!$B$7), 'Final Building Profile'!P7, "")</f>
        <v/>
      </c>
      <c r="Q1088" s="204" t="str">
        <f>IF(AND($B1088, Calculations!$B$7), 'Final Building Profile'!Q7, "")</f>
        <v/>
      </c>
      <c r="R1088" t="str">
        <f>IF(AND($B1088, Calculations!$B$7), 'Final Building Profile'!N7-'Final Building Profile'!O7, "")</f>
        <v/>
      </c>
      <c r="S1088" t="str">
        <f>IF(AND($B1088, Calculations!$B$7),Calculations!AD711,"")</f>
        <v/>
      </c>
      <c r="T1088" t="str">
        <f>IF(AND($B1088, Calculations!$B$7),Calculations!AE711,"")</f>
        <v/>
      </c>
    </row>
    <row r="1089" spans="1:20">
      <c r="A1089" s="195" t="str">
        <f>IF(C1089="","",MAX(A$1083:A1088)+1)</f>
        <v/>
      </c>
      <c r="B1089" s="195" t="b">
        <f t="shared" si="17"/>
        <v>0</v>
      </c>
      <c r="C1089" t="str">
        <f>CONCATENATE('Final Building Profile'!B8)</f>
        <v/>
      </c>
      <c r="D1089" t="str">
        <f>CONCATENATE('Final Building Profile'!C8)</f>
        <v/>
      </c>
      <c r="E1089" t="str">
        <f>CONCATENATE('Final Building Profile'!F8)</f>
        <v/>
      </c>
      <c r="F1089" s="315" t="str">
        <f>IF(AND($B1089, Calculations!$B$9), 'Final Building Profile'!J8, "")</f>
        <v/>
      </c>
      <c r="G1089" s="250" t="str">
        <f>IF(AND($B1089, Calculations!$B$9), 'Final Building Profile'!K8, "")</f>
        <v/>
      </c>
      <c r="H1089" t="str">
        <f>IF(AND($B1089, Calculations!$B$9),'Final Building Profile'!M8,"")</f>
        <v/>
      </c>
      <c r="I1089" t="str">
        <f>IF(AND($B1089, Calculations!$B$9),Calculations!AB712,"")</f>
        <v/>
      </c>
      <c r="J1089" t="str">
        <f>IF(AND($B1089, Calculations!$B$9),Calculations!AC712,"")</f>
        <v/>
      </c>
      <c r="K1089" s="315" t="str">
        <f>IF(AND($B1089, Calculations!$B$8), 'Final Building Profile'!J8, "")</f>
        <v/>
      </c>
      <c r="L1089" s="250" t="str">
        <f>IF(AND($B1089, Calculations!$B$8), 'Final Building Profile'!K8, "")</f>
        <v/>
      </c>
      <c r="M1089" t="str">
        <f>IF(AND($B1089, Calculations!$B$8), 'Final Building Profile'!L8, "")</f>
        <v/>
      </c>
      <c r="N1089" t="str">
        <f>IF(AND($B1089, Calculations!$B$8),Calculations!AB712,"")</f>
        <v/>
      </c>
      <c r="O1089" t="str">
        <f>IF(AND($B1089, Calculations!$B$8),Calculations!AC712,"")</f>
        <v/>
      </c>
      <c r="P1089" s="315" t="str">
        <f>IF(AND($B1089, Calculations!$B$7), 'Final Building Profile'!P8, "")</f>
        <v/>
      </c>
      <c r="Q1089" s="204" t="str">
        <f>IF(AND($B1089, Calculations!$B$7), 'Final Building Profile'!Q8, "")</f>
        <v/>
      </c>
      <c r="R1089" t="str">
        <f>IF(AND($B1089, Calculations!$B$7), 'Final Building Profile'!N8-'Final Building Profile'!O8, "")</f>
        <v/>
      </c>
      <c r="S1089" t="str">
        <f>IF(AND($B1089, Calculations!$B$7),Calculations!AD712,"")</f>
        <v/>
      </c>
      <c r="T1089" t="str">
        <f>IF(AND($B1089, Calculations!$B$7),Calculations!AE712,"")</f>
        <v/>
      </c>
    </row>
    <row r="1090" spans="1:20">
      <c r="A1090" s="195" t="str">
        <f>IF(C1090="","",MAX(A$1083:A1089)+1)</f>
        <v/>
      </c>
      <c r="B1090" s="195" t="b">
        <f t="shared" si="17"/>
        <v>0</v>
      </c>
      <c r="C1090" t="str">
        <f>CONCATENATE('Final Building Profile'!B9)</f>
        <v/>
      </c>
      <c r="D1090" t="str">
        <f>CONCATENATE('Final Building Profile'!C9)</f>
        <v/>
      </c>
      <c r="E1090" t="str">
        <f>CONCATENATE('Final Building Profile'!F9)</f>
        <v/>
      </c>
      <c r="F1090" s="315" t="str">
        <f>IF(AND($B1090, Calculations!$B$9), 'Final Building Profile'!J9, "")</f>
        <v/>
      </c>
      <c r="G1090" s="250" t="str">
        <f>IF(AND($B1090, Calculations!$B$9), 'Final Building Profile'!K9, "")</f>
        <v/>
      </c>
      <c r="H1090" t="str">
        <f>IF(AND($B1090, Calculations!$B$9),'Final Building Profile'!M9,"")</f>
        <v/>
      </c>
      <c r="I1090" t="str">
        <f>IF(AND($B1090, Calculations!$B$9),Calculations!AB713,"")</f>
        <v/>
      </c>
      <c r="J1090" t="str">
        <f>IF(AND($B1090, Calculations!$B$9),Calculations!AC713,"")</f>
        <v/>
      </c>
      <c r="K1090" s="315" t="str">
        <f>IF(AND($B1090, Calculations!$B$8), 'Final Building Profile'!J9, "")</f>
        <v/>
      </c>
      <c r="L1090" s="250" t="str">
        <f>IF(AND($B1090, Calculations!$B$8), 'Final Building Profile'!K9, "")</f>
        <v/>
      </c>
      <c r="M1090" t="str">
        <f>IF(AND($B1090, Calculations!$B$8), 'Final Building Profile'!L9, "")</f>
        <v/>
      </c>
      <c r="N1090" t="str">
        <f>IF(AND($B1090, Calculations!$B$8),Calculations!AB713,"")</f>
        <v/>
      </c>
      <c r="O1090" t="str">
        <f>IF(AND($B1090, Calculations!$B$8),Calculations!AC713,"")</f>
        <v/>
      </c>
      <c r="P1090" s="315" t="str">
        <f>IF(AND($B1090, Calculations!$B$7), 'Final Building Profile'!P9, "")</f>
        <v/>
      </c>
      <c r="Q1090" s="204" t="str">
        <f>IF(AND($B1090, Calculations!$B$7), 'Final Building Profile'!Q9, "")</f>
        <v/>
      </c>
      <c r="R1090" t="str">
        <f>IF(AND($B1090, Calculations!$B$7), 'Final Building Profile'!N9-'Final Building Profile'!O9, "")</f>
        <v/>
      </c>
      <c r="S1090" t="str">
        <f>IF(AND($B1090, Calculations!$B$7),Calculations!AD713,"")</f>
        <v/>
      </c>
      <c r="T1090" t="str">
        <f>IF(AND($B1090, Calculations!$B$7),Calculations!AE713,"")</f>
        <v/>
      </c>
    </row>
    <row r="1091" spans="1:20">
      <c r="A1091" s="195" t="str">
        <f>IF(C1091="","",MAX(A$1083:A1090)+1)</f>
        <v/>
      </c>
      <c r="B1091" s="195" t="b">
        <f t="shared" si="17"/>
        <v>0</v>
      </c>
      <c r="C1091" t="str">
        <f>CONCATENATE('Final Building Profile'!B10)</f>
        <v/>
      </c>
      <c r="D1091" t="str">
        <f>CONCATENATE('Final Building Profile'!C10)</f>
        <v/>
      </c>
      <c r="E1091" t="str">
        <f>CONCATENATE('Final Building Profile'!F10)</f>
        <v/>
      </c>
      <c r="F1091" s="315" t="str">
        <f>IF(AND($B1091, Calculations!$B$9), 'Final Building Profile'!J10, "")</f>
        <v/>
      </c>
      <c r="G1091" s="250" t="str">
        <f>IF(AND($B1091, Calculations!$B$9), 'Final Building Profile'!K10, "")</f>
        <v/>
      </c>
      <c r="H1091" t="str">
        <f>IF(AND($B1091, Calculations!$B$9),'Final Building Profile'!M10,"")</f>
        <v/>
      </c>
      <c r="I1091" t="str">
        <f>IF(AND($B1091, Calculations!$B$9),Calculations!AB714,"")</f>
        <v/>
      </c>
      <c r="J1091" t="str">
        <f>IF(AND($B1091, Calculations!$B$9),Calculations!AC714,"")</f>
        <v/>
      </c>
      <c r="K1091" s="315" t="str">
        <f>IF(AND($B1091, Calculations!$B$8), 'Final Building Profile'!J10, "")</f>
        <v/>
      </c>
      <c r="L1091" s="250" t="str">
        <f>IF(AND($B1091, Calculations!$B$8), 'Final Building Profile'!K10, "")</f>
        <v/>
      </c>
      <c r="M1091" t="str">
        <f>IF(AND($B1091, Calculations!$B$8), 'Final Building Profile'!L10, "")</f>
        <v/>
      </c>
      <c r="N1091" t="str">
        <f>IF(AND($B1091, Calculations!$B$8),Calculations!AB714,"")</f>
        <v/>
      </c>
      <c r="O1091" t="str">
        <f>IF(AND($B1091, Calculations!$B$8),Calculations!AC714,"")</f>
        <v/>
      </c>
      <c r="P1091" s="315" t="str">
        <f>IF(AND($B1091, Calculations!$B$7), 'Final Building Profile'!P10, "")</f>
        <v/>
      </c>
      <c r="Q1091" s="204" t="str">
        <f>IF(AND($B1091, Calculations!$B$7), 'Final Building Profile'!Q10, "")</f>
        <v/>
      </c>
      <c r="R1091" t="str">
        <f>IF(AND($B1091, Calculations!$B$7), 'Final Building Profile'!N10-'Final Building Profile'!O10, "")</f>
        <v/>
      </c>
      <c r="S1091" t="str">
        <f>IF(AND($B1091, Calculations!$B$7),Calculations!AD714,"")</f>
        <v/>
      </c>
      <c r="T1091" t="str">
        <f>IF(AND($B1091, Calculations!$B$7),Calculations!AE714,"")</f>
        <v/>
      </c>
    </row>
    <row r="1092" spans="1:20">
      <c r="A1092" s="195" t="str">
        <f>IF(C1092="","",MAX(A$1083:A1091)+1)</f>
        <v/>
      </c>
      <c r="B1092" s="195" t="b">
        <f t="shared" si="17"/>
        <v>0</v>
      </c>
      <c r="C1092" t="str">
        <f>CONCATENATE('Final Building Profile'!B11)</f>
        <v/>
      </c>
      <c r="D1092" t="str">
        <f>CONCATENATE('Final Building Profile'!C11)</f>
        <v/>
      </c>
      <c r="E1092" t="str">
        <f>CONCATENATE('Final Building Profile'!F11)</f>
        <v/>
      </c>
      <c r="F1092" s="315" t="str">
        <f>IF(AND($B1092, Calculations!$B$9), 'Final Building Profile'!J11, "")</f>
        <v/>
      </c>
      <c r="G1092" s="250" t="str">
        <f>IF(AND($B1092, Calculations!$B$9), 'Final Building Profile'!K11, "")</f>
        <v/>
      </c>
      <c r="H1092" t="str">
        <f>IF(AND($B1092, Calculations!$B$9),'Final Building Profile'!M11,"")</f>
        <v/>
      </c>
      <c r="I1092" t="str">
        <f>IF(AND($B1092, Calculations!$B$9),Calculations!AB715,"")</f>
        <v/>
      </c>
      <c r="J1092" t="str">
        <f>IF(AND($B1092, Calculations!$B$9),Calculations!AC715,"")</f>
        <v/>
      </c>
      <c r="K1092" s="315" t="str">
        <f>IF(AND($B1092, Calculations!$B$8), 'Final Building Profile'!J11, "")</f>
        <v/>
      </c>
      <c r="L1092" s="250" t="str">
        <f>IF(AND($B1092, Calculations!$B$8), 'Final Building Profile'!K11, "")</f>
        <v/>
      </c>
      <c r="M1092" t="str">
        <f>IF(AND($B1092, Calculations!$B$8), 'Final Building Profile'!L11, "")</f>
        <v/>
      </c>
      <c r="N1092" t="str">
        <f>IF(AND($B1092, Calculations!$B$8),Calculations!AB715,"")</f>
        <v/>
      </c>
      <c r="O1092" t="str">
        <f>IF(AND($B1092, Calculations!$B$8),Calculations!AC715,"")</f>
        <v/>
      </c>
      <c r="P1092" s="315" t="str">
        <f>IF(AND($B1092, Calculations!$B$7), 'Final Building Profile'!P11, "")</f>
        <v/>
      </c>
      <c r="Q1092" s="204" t="str">
        <f>IF(AND($B1092, Calculations!$B$7), 'Final Building Profile'!Q11, "")</f>
        <v/>
      </c>
      <c r="R1092" t="str">
        <f>IF(AND($B1092, Calculations!$B$7), 'Final Building Profile'!N11-'Final Building Profile'!O11, "")</f>
        <v/>
      </c>
      <c r="S1092" t="str">
        <f>IF(AND($B1092, Calculations!$B$7),Calculations!AD715,"")</f>
        <v/>
      </c>
      <c r="T1092" t="str">
        <f>IF(AND($B1092, Calculations!$B$7),Calculations!AE715,"")</f>
        <v/>
      </c>
    </row>
    <row r="1093" spans="1:20">
      <c r="A1093" s="195" t="str">
        <f>IF(C1093="","",MAX(A$1083:A1092)+1)</f>
        <v/>
      </c>
      <c r="B1093" s="195" t="b">
        <f t="shared" si="17"/>
        <v>0</v>
      </c>
      <c r="C1093" t="str">
        <f>CONCATENATE('Final Building Profile'!B12)</f>
        <v/>
      </c>
      <c r="D1093" t="str">
        <f>CONCATENATE('Final Building Profile'!C12)</f>
        <v/>
      </c>
      <c r="E1093" t="str">
        <f>CONCATENATE('Final Building Profile'!F12)</f>
        <v/>
      </c>
      <c r="F1093" s="315" t="str">
        <f>IF(AND($B1093, Calculations!$B$9), 'Final Building Profile'!J12, "")</f>
        <v/>
      </c>
      <c r="G1093" s="250" t="str">
        <f>IF(AND($B1093, Calculations!$B$9), 'Final Building Profile'!K12, "")</f>
        <v/>
      </c>
      <c r="H1093" t="str">
        <f>IF(AND($B1093, Calculations!$B$9),'Final Building Profile'!M12,"")</f>
        <v/>
      </c>
      <c r="I1093" t="str">
        <f>IF(AND($B1093, Calculations!$B$9),Calculations!AB716,"")</f>
        <v/>
      </c>
      <c r="J1093" t="str">
        <f>IF(AND($B1093, Calculations!$B$9),Calculations!AC716,"")</f>
        <v/>
      </c>
      <c r="K1093" s="315" t="str">
        <f>IF(AND($B1093, Calculations!$B$8), 'Final Building Profile'!J12, "")</f>
        <v/>
      </c>
      <c r="L1093" s="250" t="str">
        <f>IF(AND($B1093, Calculations!$B$8), 'Final Building Profile'!K12, "")</f>
        <v/>
      </c>
      <c r="M1093" t="str">
        <f>IF(AND($B1093, Calculations!$B$8), 'Final Building Profile'!L12, "")</f>
        <v/>
      </c>
      <c r="N1093" t="str">
        <f>IF(AND($B1093, Calculations!$B$8),Calculations!AB716,"")</f>
        <v/>
      </c>
      <c r="O1093" t="str">
        <f>IF(AND($B1093, Calculations!$B$8),Calculations!AC716,"")</f>
        <v/>
      </c>
      <c r="P1093" s="315" t="str">
        <f>IF(AND($B1093, Calculations!$B$7), 'Final Building Profile'!P12, "")</f>
        <v/>
      </c>
      <c r="Q1093" s="204" t="str">
        <f>IF(AND($B1093, Calculations!$B$7), 'Final Building Profile'!Q12, "")</f>
        <v/>
      </c>
      <c r="R1093" t="str">
        <f>IF(AND($B1093, Calculations!$B$7), 'Final Building Profile'!N12-'Final Building Profile'!O12, "")</f>
        <v/>
      </c>
      <c r="S1093" t="str">
        <f>IF(AND($B1093, Calculations!$B$7),Calculations!AD716,"")</f>
        <v/>
      </c>
      <c r="T1093" t="str">
        <f>IF(AND($B1093, Calculations!$B$7),Calculations!AE716,"")</f>
        <v/>
      </c>
    </row>
    <row r="1094" spans="1:20">
      <c r="A1094" s="195" t="str">
        <f>IF(C1094="","",MAX(A$1083:A1093)+1)</f>
        <v/>
      </c>
      <c r="B1094" s="195" t="b">
        <f t="shared" si="17"/>
        <v>0</v>
      </c>
      <c r="C1094" t="str">
        <f>CONCATENATE('Final Building Profile'!B13)</f>
        <v/>
      </c>
      <c r="D1094" t="str">
        <f>CONCATENATE('Final Building Profile'!C13)</f>
        <v/>
      </c>
      <c r="E1094" t="str">
        <f>CONCATENATE('Final Building Profile'!F13)</f>
        <v/>
      </c>
      <c r="F1094" s="315" t="str">
        <f>IF(AND($B1094, Calculations!$B$9), 'Final Building Profile'!J13, "")</f>
        <v/>
      </c>
      <c r="G1094" s="250" t="str">
        <f>IF(AND($B1094, Calculations!$B$9), 'Final Building Profile'!K13, "")</f>
        <v/>
      </c>
      <c r="H1094" t="str">
        <f>IF(AND($B1094, Calculations!$B$9),'Final Building Profile'!M13,"")</f>
        <v/>
      </c>
      <c r="I1094" t="str">
        <f>IF(AND($B1094, Calculations!$B$9),Calculations!AB717,"")</f>
        <v/>
      </c>
      <c r="J1094" t="str">
        <f>IF(AND($B1094, Calculations!$B$9),Calculations!AC717,"")</f>
        <v/>
      </c>
      <c r="K1094" s="315" t="str">
        <f>IF(AND($B1094, Calculations!$B$8), 'Final Building Profile'!J13, "")</f>
        <v/>
      </c>
      <c r="L1094" s="250" t="str">
        <f>IF(AND($B1094, Calculations!$B$8), 'Final Building Profile'!K13, "")</f>
        <v/>
      </c>
      <c r="M1094" t="str">
        <f>IF(AND($B1094, Calculations!$B$8), 'Final Building Profile'!L13, "")</f>
        <v/>
      </c>
      <c r="N1094" t="str">
        <f>IF(AND($B1094, Calculations!$B$8),Calculations!AB717,"")</f>
        <v/>
      </c>
      <c r="O1094" t="str">
        <f>IF(AND($B1094, Calculations!$B$8),Calculations!AC717,"")</f>
        <v/>
      </c>
      <c r="P1094" s="315" t="str">
        <f>IF(AND($B1094, Calculations!$B$7), 'Final Building Profile'!P13, "")</f>
        <v/>
      </c>
      <c r="Q1094" s="204" t="str">
        <f>IF(AND($B1094, Calculations!$B$7), 'Final Building Profile'!Q13, "")</f>
        <v/>
      </c>
      <c r="R1094" t="str">
        <f>IF(AND($B1094, Calculations!$B$7), 'Final Building Profile'!N13-'Final Building Profile'!O13, "")</f>
        <v/>
      </c>
      <c r="S1094" t="str">
        <f>IF(AND($B1094, Calculations!$B$7),Calculations!AD717,"")</f>
        <v/>
      </c>
      <c r="T1094" t="str">
        <f>IF(AND($B1094, Calculations!$B$7),Calculations!AE717,"")</f>
        <v/>
      </c>
    </row>
    <row r="1095" spans="1:20">
      <c r="A1095" s="195" t="str">
        <f>IF(C1095="","",MAX(A$1083:A1094)+1)</f>
        <v/>
      </c>
      <c r="B1095" s="195" t="b">
        <f t="shared" si="17"/>
        <v>0</v>
      </c>
      <c r="C1095" t="str">
        <f>CONCATENATE('Final Building Profile'!B14)</f>
        <v/>
      </c>
      <c r="D1095" t="str">
        <f>CONCATENATE('Final Building Profile'!C14)</f>
        <v/>
      </c>
      <c r="E1095" t="str">
        <f>CONCATENATE('Final Building Profile'!F14)</f>
        <v/>
      </c>
      <c r="F1095" s="315" t="str">
        <f>IF(AND($B1095, Calculations!$B$9), 'Final Building Profile'!J14, "")</f>
        <v/>
      </c>
      <c r="G1095" s="250" t="str">
        <f>IF(AND($B1095, Calculations!$B$9), 'Final Building Profile'!K14, "")</f>
        <v/>
      </c>
      <c r="H1095" t="str">
        <f>IF(AND($B1095, Calculations!$B$9),'Final Building Profile'!M14,"")</f>
        <v/>
      </c>
      <c r="I1095" t="str">
        <f>IF(AND($B1095, Calculations!$B$9),Calculations!AB718,"")</f>
        <v/>
      </c>
      <c r="J1095" t="str">
        <f>IF(AND($B1095, Calculations!$B$9),Calculations!AC718,"")</f>
        <v/>
      </c>
      <c r="K1095" s="315" t="str">
        <f>IF(AND($B1095, Calculations!$B$8), 'Final Building Profile'!J14, "")</f>
        <v/>
      </c>
      <c r="L1095" s="250" t="str">
        <f>IF(AND($B1095, Calculations!$B$8), 'Final Building Profile'!K14, "")</f>
        <v/>
      </c>
      <c r="M1095" t="str">
        <f>IF(AND($B1095, Calculations!$B$8), 'Final Building Profile'!L14, "")</f>
        <v/>
      </c>
      <c r="N1095" t="str">
        <f>IF(AND($B1095, Calculations!$B$8),Calculations!AB718,"")</f>
        <v/>
      </c>
      <c r="O1095" t="str">
        <f>IF(AND($B1095, Calculations!$B$8),Calculations!AC718,"")</f>
        <v/>
      </c>
      <c r="P1095" s="315" t="str">
        <f>IF(AND($B1095, Calculations!$B$7), 'Final Building Profile'!P14, "")</f>
        <v/>
      </c>
      <c r="Q1095" s="204" t="str">
        <f>IF(AND($B1095, Calculations!$B$7), 'Final Building Profile'!Q14, "")</f>
        <v/>
      </c>
      <c r="R1095" t="str">
        <f>IF(AND($B1095, Calculations!$B$7), 'Final Building Profile'!N14-'Final Building Profile'!O14, "")</f>
        <v/>
      </c>
      <c r="S1095" t="str">
        <f>IF(AND($B1095, Calculations!$B$7),Calculations!AD718,"")</f>
        <v/>
      </c>
      <c r="T1095" t="str">
        <f>IF(AND($B1095, Calculations!$B$7),Calculations!AE718,"")</f>
        <v/>
      </c>
    </row>
    <row r="1096" spans="1:20">
      <c r="A1096" s="195" t="str">
        <f>IF(C1096="","",MAX(A$1083:A1095)+1)</f>
        <v/>
      </c>
      <c r="B1096" s="195" t="b">
        <f t="shared" si="17"/>
        <v>0</v>
      </c>
      <c r="C1096" t="str">
        <f>CONCATENATE('Final Building Profile'!B15)</f>
        <v/>
      </c>
      <c r="D1096" t="str">
        <f>CONCATENATE('Final Building Profile'!C15)</f>
        <v/>
      </c>
      <c r="E1096" t="str">
        <f>CONCATENATE('Final Building Profile'!F15)</f>
        <v/>
      </c>
      <c r="F1096" s="315" t="str">
        <f>IF(AND($B1096, Calculations!$B$9), 'Final Building Profile'!J15, "")</f>
        <v/>
      </c>
      <c r="G1096" s="250" t="str">
        <f>IF(AND($B1096, Calculations!$B$9), 'Final Building Profile'!K15, "")</f>
        <v/>
      </c>
      <c r="H1096" t="str">
        <f>IF(AND($B1096, Calculations!$B$9),'Final Building Profile'!M15,"")</f>
        <v/>
      </c>
      <c r="I1096" t="str">
        <f>IF(AND($B1096, Calculations!$B$9),Calculations!AB719,"")</f>
        <v/>
      </c>
      <c r="J1096" t="str">
        <f>IF(AND($B1096, Calculations!$B$9),Calculations!AC719,"")</f>
        <v/>
      </c>
      <c r="K1096" s="315" t="str">
        <f>IF(AND($B1096, Calculations!$B$8), 'Final Building Profile'!J15, "")</f>
        <v/>
      </c>
      <c r="L1096" s="250" t="str">
        <f>IF(AND($B1096, Calculations!$B$8), 'Final Building Profile'!K15, "")</f>
        <v/>
      </c>
      <c r="M1096" t="str">
        <f>IF(AND($B1096, Calculations!$B$8), 'Final Building Profile'!L15, "")</f>
        <v/>
      </c>
      <c r="N1096" t="str">
        <f>IF(AND($B1096, Calculations!$B$8),Calculations!AB719,"")</f>
        <v/>
      </c>
      <c r="O1096" t="str">
        <f>IF(AND($B1096, Calculations!$B$8),Calculations!AC719,"")</f>
        <v/>
      </c>
      <c r="P1096" s="315" t="str">
        <f>IF(AND($B1096, Calculations!$B$7), 'Final Building Profile'!P15, "")</f>
        <v/>
      </c>
      <c r="Q1096" s="204" t="str">
        <f>IF(AND($B1096, Calculations!$B$7), 'Final Building Profile'!Q15, "")</f>
        <v/>
      </c>
      <c r="R1096" t="str">
        <f>IF(AND($B1096, Calculations!$B$7), 'Final Building Profile'!N15-'Final Building Profile'!O15, "")</f>
        <v/>
      </c>
      <c r="S1096" t="str">
        <f>IF(AND($B1096, Calculations!$B$7),Calculations!AD719,"")</f>
        <v/>
      </c>
      <c r="T1096" t="str">
        <f>IF(AND($B1096, Calculations!$B$7),Calculations!AE719,"")</f>
        <v/>
      </c>
    </row>
    <row r="1097" spans="1:20">
      <c r="A1097" s="195" t="str">
        <f>IF(C1097="","",MAX(A$1083:A1096)+1)</f>
        <v/>
      </c>
      <c r="B1097" s="195" t="b">
        <f t="shared" si="17"/>
        <v>0</v>
      </c>
      <c r="C1097" t="str">
        <f>CONCATENATE('Final Building Profile'!B16)</f>
        <v/>
      </c>
      <c r="D1097" t="str">
        <f>CONCATENATE('Final Building Profile'!C16)</f>
        <v/>
      </c>
      <c r="E1097" t="str">
        <f>CONCATENATE('Final Building Profile'!F16)</f>
        <v/>
      </c>
      <c r="F1097" s="315" t="str">
        <f>IF(AND($B1097, Calculations!$B$9), 'Final Building Profile'!J16, "")</f>
        <v/>
      </c>
      <c r="G1097" s="250" t="str">
        <f>IF(AND($B1097, Calculations!$B$9), 'Final Building Profile'!K16, "")</f>
        <v/>
      </c>
      <c r="H1097" t="str">
        <f>IF(AND($B1097, Calculations!$B$9),'Final Building Profile'!M16,"")</f>
        <v/>
      </c>
      <c r="I1097" t="str">
        <f>IF(AND($B1097, Calculations!$B$9),Calculations!AB720,"")</f>
        <v/>
      </c>
      <c r="J1097" t="str">
        <f>IF(AND($B1097, Calculations!$B$9),Calculations!AC720,"")</f>
        <v/>
      </c>
      <c r="K1097" s="315" t="str">
        <f>IF(AND($B1097, Calculations!$B$8), 'Final Building Profile'!J16, "")</f>
        <v/>
      </c>
      <c r="L1097" s="250" t="str">
        <f>IF(AND($B1097, Calculations!$B$8), 'Final Building Profile'!K16, "")</f>
        <v/>
      </c>
      <c r="M1097" t="str">
        <f>IF(AND($B1097, Calculations!$B$8), 'Final Building Profile'!L16, "")</f>
        <v/>
      </c>
      <c r="N1097" t="str">
        <f>IF(AND($B1097, Calculations!$B$8),Calculations!AB720,"")</f>
        <v/>
      </c>
      <c r="O1097" t="str">
        <f>IF(AND($B1097, Calculations!$B$8),Calculations!AC720,"")</f>
        <v/>
      </c>
      <c r="P1097" s="315" t="str">
        <f>IF(AND($B1097, Calculations!$B$7), 'Final Building Profile'!P16, "")</f>
        <v/>
      </c>
      <c r="Q1097" s="204" t="str">
        <f>IF(AND($B1097, Calculations!$B$7), 'Final Building Profile'!Q16, "")</f>
        <v/>
      </c>
      <c r="R1097" t="str">
        <f>IF(AND($B1097, Calculations!$B$7), 'Final Building Profile'!N16-'Final Building Profile'!O16, "")</f>
        <v/>
      </c>
      <c r="S1097" t="str">
        <f>IF(AND($B1097, Calculations!$B$7),Calculations!AD720,"")</f>
        <v/>
      </c>
      <c r="T1097" t="str">
        <f>IF(AND($B1097, Calculations!$B$7),Calculations!AE720,"")</f>
        <v/>
      </c>
    </row>
    <row r="1098" spans="1:20">
      <c r="A1098" s="195" t="str">
        <f>IF(C1098="","",MAX(A$1083:A1097)+1)</f>
        <v/>
      </c>
      <c r="B1098" s="195" t="b">
        <f t="shared" si="17"/>
        <v>0</v>
      </c>
      <c r="C1098" t="str">
        <f>CONCATENATE('Final Building Profile'!B17)</f>
        <v/>
      </c>
      <c r="D1098" t="str">
        <f>CONCATENATE('Final Building Profile'!C17)</f>
        <v/>
      </c>
      <c r="E1098" t="str">
        <f>CONCATENATE('Final Building Profile'!F17)</f>
        <v/>
      </c>
      <c r="F1098" s="315" t="str">
        <f>IF(AND($B1098, Calculations!$B$9), 'Final Building Profile'!J17, "")</f>
        <v/>
      </c>
      <c r="G1098" s="250" t="str">
        <f>IF(AND($B1098, Calculations!$B$9), 'Final Building Profile'!K17, "")</f>
        <v/>
      </c>
      <c r="H1098" t="str">
        <f>IF(AND($B1098, Calculations!$B$9),'Final Building Profile'!M17,"")</f>
        <v/>
      </c>
      <c r="I1098" t="str">
        <f>IF(AND($B1098, Calculations!$B$9),Calculations!AB721,"")</f>
        <v/>
      </c>
      <c r="J1098" t="str">
        <f>IF(AND($B1098, Calculations!$B$9),Calculations!AC721,"")</f>
        <v/>
      </c>
      <c r="K1098" s="315" t="str">
        <f>IF(AND($B1098, Calculations!$B$8), 'Final Building Profile'!J17, "")</f>
        <v/>
      </c>
      <c r="L1098" s="250" t="str">
        <f>IF(AND($B1098, Calculations!$B$8), 'Final Building Profile'!K17, "")</f>
        <v/>
      </c>
      <c r="M1098" t="str">
        <f>IF(AND($B1098, Calculations!$B$8), 'Final Building Profile'!L17, "")</f>
        <v/>
      </c>
      <c r="N1098" t="str">
        <f>IF(AND($B1098, Calculations!$B$8),Calculations!AB721,"")</f>
        <v/>
      </c>
      <c r="O1098" t="str">
        <f>IF(AND($B1098, Calculations!$B$8),Calculations!AC721,"")</f>
        <v/>
      </c>
      <c r="P1098" s="315" t="str">
        <f>IF(AND($B1098, Calculations!$B$7), 'Final Building Profile'!P17, "")</f>
        <v/>
      </c>
      <c r="Q1098" s="204" t="str">
        <f>IF(AND($B1098, Calculations!$B$7), 'Final Building Profile'!Q17, "")</f>
        <v/>
      </c>
      <c r="R1098" t="str">
        <f>IF(AND($B1098, Calculations!$B$7), 'Final Building Profile'!N17-'Final Building Profile'!O17, "")</f>
        <v/>
      </c>
      <c r="S1098" t="str">
        <f>IF(AND($B1098, Calculations!$B$7),Calculations!AD721,"")</f>
        <v/>
      </c>
      <c r="T1098" t="str">
        <f>IF(AND($B1098, Calculations!$B$7),Calculations!AE721,"")</f>
        <v/>
      </c>
    </row>
    <row r="1099" spans="1:20">
      <c r="A1099" s="195" t="str">
        <f>IF(C1099="","",MAX(A$1083:A1098)+1)</f>
        <v/>
      </c>
      <c r="B1099" s="195" t="b">
        <f t="shared" si="17"/>
        <v>0</v>
      </c>
      <c r="C1099" t="str">
        <f>CONCATENATE('Final Building Profile'!B18)</f>
        <v/>
      </c>
      <c r="D1099" t="str">
        <f>CONCATENATE('Final Building Profile'!C18)</f>
        <v/>
      </c>
      <c r="E1099" t="str">
        <f>CONCATENATE('Final Building Profile'!F18)</f>
        <v/>
      </c>
      <c r="F1099" s="315" t="str">
        <f>IF(AND($B1099, Calculations!$B$9), 'Final Building Profile'!J18, "")</f>
        <v/>
      </c>
      <c r="G1099" s="250" t="str">
        <f>IF(AND($B1099, Calculations!$B$9), 'Final Building Profile'!K18, "")</f>
        <v/>
      </c>
      <c r="H1099" t="str">
        <f>IF(AND($B1099, Calculations!$B$9),'Final Building Profile'!M18,"")</f>
        <v/>
      </c>
      <c r="I1099" t="str">
        <f>IF(AND($B1099, Calculations!$B$9),Calculations!AB722,"")</f>
        <v/>
      </c>
      <c r="J1099" t="str">
        <f>IF(AND($B1099, Calculations!$B$9),Calculations!AC722,"")</f>
        <v/>
      </c>
      <c r="K1099" s="315" t="str">
        <f>IF(AND($B1099, Calculations!$B$8), 'Final Building Profile'!J18, "")</f>
        <v/>
      </c>
      <c r="L1099" s="250" t="str">
        <f>IF(AND($B1099, Calculations!$B$8), 'Final Building Profile'!K18, "")</f>
        <v/>
      </c>
      <c r="M1099" t="str">
        <f>IF(AND($B1099, Calculations!$B$8), 'Final Building Profile'!L18, "")</f>
        <v/>
      </c>
      <c r="N1099" t="str">
        <f>IF(AND($B1099, Calculations!$B$8),Calculations!AB722,"")</f>
        <v/>
      </c>
      <c r="O1099" t="str">
        <f>IF(AND($B1099, Calculations!$B$8),Calculations!AC722,"")</f>
        <v/>
      </c>
      <c r="P1099" s="315" t="str">
        <f>IF(AND($B1099, Calculations!$B$7), 'Final Building Profile'!P18, "")</f>
        <v/>
      </c>
      <c r="Q1099" s="204" t="str">
        <f>IF(AND($B1099, Calculations!$B$7), 'Final Building Profile'!Q18, "")</f>
        <v/>
      </c>
      <c r="R1099" t="str">
        <f>IF(AND($B1099, Calculations!$B$7), 'Final Building Profile'!N18-'Final Building Profile'!O18, "")</f>
        <v/>
      </c>
      <c r="S1099" t="str">
        <f>IF(AND($B1099, Calculations!$B$7),Calculations!AD722,"")</f>
        <v/>
      </c>
      <c r="T1099" t="str">
        <f>IF(AND($B1099, Calculations!$B$7),Calculations!AE722,"")</f>
        <v/>
      </c>
    </row>
    <row r="1100" spans="1:20">
      <c r="A1100" s="195" t="str">
        <f>IF(C1100="","",MAX(A$1083:A1099)+1)</f>
        <v/>
      </c>
      <c r="B1100" s="195" t="b">
        <f t="shared" si="17"/>
        <v>0</v>
      </c>
      <c r="C1100" t="str">
        <f>CONCATENATE('Final Building Profile'!B19)</f>
        <v/>
      </c>
      <c r="D1100" t="str">
        <f>CONCATENATE('Final Building Profile'!C19)</f>
        <v/>
      </c>
      <c r="E1100" t="str">
        <f>CONCATENATE('Final Building Profile'!F19)</f>
        <v/>
      </c>
      <c r="F1100" s="315" t="str">
        <f>IF(AND($B1100, Calculations!$B$9), 'Final Building Profile'!J19, "")</f>
        <v/>
      </c>
      <c r="G1100" s="250" t="str">
        <f>IF(AND($B1100, Calculations!$B$9), 'Final Building Profile'!K19, "")</f>
        <v/>
      </c>
      <c r="H1100" t="str">
        <f>IF(AND($B1100, Calculations!$B$9),'Final Building Profile'!M19,"")</f>
        <v/>
      </c>
      <c r="I1100" t="str">
        <f>IF(AND($B1100, Calculations!$B$9),Calculations!AB723,"")</f>
        <v/>
      </c>
      <c r="J1100" t="str">
        <f>IF(AND($B1100, Calculations!$B$9),Calculations!AC723,"")</f>
        <v/>
      </c>
      <c r="K1100" s="315" t="str">
        <f>IF(AND($B1100, Calculations!$B$8), 'Final Building Profile'!J19, "")</f>
        <v/>
      </c>
      <c r="L1100" s="250" t="str">
        <f>IF(AND($B1100, Calculations!$B$8), 'Final Building Profile'!K19, "")</f>
        <v/>
      </c>
      <c r="M1100" t="str">
        <f>IF(AND($B1100, Calculations!$B$8), 'Final Building Profile'!L19, "")</f>
        <v/>
      </c>
      <c r="N1100" t="str">
        <f>IF(AND($B1100, Calculations!$B$8),Calculations!AB723,"")</f>
        <v/>
      </c>
      <c r="O1100" t="str">
        <f>IF(AND($B1100, Calculations!$B$8),Calculations!AC723,"")</f>
        <v/>
      </c>
      <c r="P1100" s="315" t="str">
        <f>IF(AND($B1100, Calculations!$B$7), 'Final Building Profile'!P19, "")</f>
        <v/>
      </c>
      <c r="Q1100" s="204" t="str">
        <f>IF(AND($B1100, Calculations!$B$7), 'Final Building Profile'!Q19, "")</f>
        <v/>
      </c>
      <c r="R1100" t="str">
        <f>IF(AND($B1100, Calculations!$B$7), 'Final Building Profile'!N19-'Final Building Profile'!O19, "")</f>
        <v/>
      </c>
      <c r="S1100" t="str">
        <f>IF(AND($B1100, Calculations!$B$7),Calculations!AD723,"")</f>
        <v/>
      </c>
      <c r="T1100" t="str">
        <f>IF(AND($B1100, Calculations!$B$7),Calculations!AE723,"")</f>
        <v/>
      </c>
    </row>
    <row r="1101" spans="1:20">
      <c r="A1101" s="195" t="str">
        <f>IF(C1101="","",MAX(A$1083:A1100)+1)</f>
        <v/>
      </c>
      <c r="B1101" s="195" t="b">
        <f t="shared" si="17"/>
        <v>0</v>
      </c>
      <c r="C1101" t="str">
        <f>CONCATENATE('Final Building Profile'!B20)</f>
        <v/>
      </c>
      <c r="D1101" t="str">
        <f>CONCATENATE('Final Building Profile'!C20)</f>
        <v/>
      </c>
      <c r="E1101" t="str">
        <f>CONCATENATE('Final Building Profile'!F20)</f>
        <v/>
      </c>
      <c r="F1101" s="315" t="str">
        <f>IF(AND($B1101, Calculations!$B$9), 'Final Building Profile'!J20, "")</f>
        <v/>
      </c>
      <c r="G1101" s="250" t="str">
        <f>IF(AND($B1101, Calculations!$B$9), 'Final Building Profile'!K20, "")</f>
        <v/>
      </c>
      <c r="H1101" t="str">
        <f>IF(AND($B1101, Calculations!$B$9),'Final Building Profile'!M20,"")</f>
        <v/>
      </c>
      <c r="I1101" t="str">
        <f>IF(AND($B1101, Calculations!$B$9),Calculations!AB724,"")</f>
        <v/>
      </c>
      <c r="J1101" t="str">
        <f>IF(AND($B1101, Calculations!$B$9),Calculations!AC724,"")</f>
        <v/>
      </c>
      <c r="K1101" s="315" t="str">
        <f>IF(AND($B1101, Calculations!$B$8), 'Final Building Profile'!J20, "")</f>
        <v/>
      </c>
      <c r="L1101" s="250" t="str">
        <f>IF(AND($B1101, Calculations!$B$8), 'Final Building Profile'!K20, "")</f>
        <v/>
      </c>
      <c r="M1101" t="str">
        <f>IF(AND($B1101, Calculations!$B$8), 'Final Building Profile'!L20, "")</f>
        <v/>
      </c>
      <c r="N1101" t="str">
        <f>IF(AND($B1101, Calculations!$B$8),Calculations!AB724,"")</f>
        <v/>
      </c>
      <c r="O1101" t="str">
        <f>IF(AND($B1101, Calculations!$B$8),Calculations!AC724,"")</f>
        <v/>
      </c>
      <c r="P1101" s="315" t="str">
        <f>IF(AND($B1101, Calculations!$B$7), 'Final Building Profile'!P20, "")</f>
        <v/>
      </c>
      <c r="Q1101" s="204" t="str">
        <f>IF(AND($B1101, Calculations!$B$7), 'Final Building Profile'!Q20, "")</f>
        <v/>
      </c>
      <c r="R1101" t="str">
        <f>IF(AND($B1101, Calculations!$B$7), 'Final Building Profile'!N20-'Final Building Profile'!O20, "")</f>
        <v/>
      </c>
      <c r="S1101" t="str">
        <f>IF(AND($B1101, Calculations!$B$7),Calculations!AD724,"")</f>
        <v/>
      </c>
      <c r="T1101" t="str">
        <f>IF(AND($B1101, Calculations!$B$7),Calculations!AE724,"")</f>
        <v/>
      </c>
    </row>
    <row r="1102" spans="1:20">
      <c r="A1102" s="195" t="str">
        <f>IF(C1102="","",MAX(A$1083:A1101)+1)</f>
        <v/>
      </c>
      <c r="B1102" s="195" t="b">
        <f t="shared" si="17"/>
        <v>0</v>
      </c>
      <c r="C1102" t="str">
        <f>CONCATENATE('Final Building Profile'!B21)</f>
        <v/>
      </c>
      <c r="D1102" t="str">
        <f>CONCATENATE('Final Building Profile'!C21)</f>
        <v/>
      </c>
      <c r="E1102" t="str">
        <f>CONCATENATE('Final Building Profile'!F21)</f>
        <v/>
      </c>
      <c r="F1102" s="315" t="str">
        <f>IF(AND($B1102, Calculations!$B$9), 'Final Building Profile'!J21, "")</f>
        <v/>
      </c>
      <c r="G1102" s="250" t="str">
        <f>IF(AND($B1102, Calculations!$B$9), 'Final Building Profile'!K21, "")</f>
        <v/>
      </c>
      <c r="H1102" t="str">
        <f>IF(AND($B1102, Calculations!$B$9),'Final Building Profile'!M21,"")</f>
        <v/>
      </c>
      <c r="I1102" t="str">
        <f>IF(AND($B1102, Calculations!$B$9),Calculations!AB725,"")</f>
        <v/>
      </c>
      <c r="J1102" t="str">
        <f>IF(AND($B1102, Calculations!$B$9),Calculations!AC725,"")</f>
        <v/>
      </c>
      <c r="K1102" s="315" t="str">
        <f>IF(AND($B1102, Calculations!$B$8), 'Final Building Profile'!J21, "")</f>
        <v/>
      </c>
      <c r="L1102" s="250" t="str">
        <f>IF(AND($B1102, Calculations!$B$8), 'Final Building Profile'!K21, "")</f>
        <v/>
      </c>
      <c r="M1102" t="str">
        <f>IF(AND($B1102, Calculations!$B$8), 'Final Building Profile'!L21, "")</f>
        <v/>
      </c>
      <c r="N1102" t="str">
        <f>IF(AND($B1102, Calculations!$B$8),Calculations!AB725,"")</f>
        <v/>
      </c>
      <c r="O1102" t="str">
        <f>IF(AND($B1102, Calculations!$B$8),Calculations!AC725,"")</f>
        <v/>
      </c>
      <c r="P1102" s="315" t="str">
        <f>IF(AND($B1102, Calculations!$B$7), 'Final Building Profile'!P21, "")</f>
        <v/>
      </c>
      <c r="Q1102" s="204" t="str">
        <f>IF(AND($B1102, Calculations!$B$7), 'Final Building Profile'!Q21, "")</f>
        <v/>
      </c>
      <c r="R1102" t="str">
        <f>IF(AND($B1102, Calculations!$B$7), 'Final Building Profile'!N21-'Final Building Profile'!O21, "")</f>
        <v/>
      </c>
      <c r="S1102" t="str">
        <f>IF(AND($B1102, Calculations!$B$7),Calculations!AD725,"")</f>
        <v/>
      </c>
      <c r="T1102" t="str">
        <f>IF(AND($B1102, Calculations!$B$7),Calculations!AE725,"")</f>
        <v/>
      </c>
    </row>
    <row r="1103" spans="1:20">
      <c r="A1103" s="195" t="str">
        <f>IF(C1103="","",MAX(A$1083:A1102)+1)</f>
        <v/>
      </c>
      <c r="B1103" s="195" t="b">
        <f t="shared" si="17"/>
        <v>0</v>
      </c>
      <c r="C1103" t="str">
        <f>CONCATENATE('Final Building Profile'!B22)</f>
        <v/>
      </c>
      <c r="D1103" t="str">
        <f>CONCATENATE('Final Building Profile'!C22)</f>
        <v/>
      </c>
      <c r="E1103" t="str">
        <f>CONCATENATE('Final Building Profile'!F22)</f>
        <v/>
      </c>
      <c r="F1103" s="315" t="str">
        <f>IF(AND($B1103, Calculations!$B$9), 'Final Building Profile'!J22, "")</f>
        <v/>
      </c>
      <c r="G1103" s="250" t="str">
        <f>IF(AND($B1103, Calculations!$B$9), 'Final Building Profile'!K22, "")</f>
        <v/>
      </c>
      <c r="H1103" t="str">
        <f>IF(AND($B1103, Calculations!$B$9),'Final Building Profile'!M22,"")</f>
        <v/>
      </c>
      <c r="I1103" t="str">
        <f>IF(AND($B1103, Calculations!$B$9),Calculations!AB726,"")</f>
        <v/>
      </c>
      <c r="J1103" t="str">
        <f>IF(AND($B1103, Calculations!$B$9),Calculations!AC726,"")</f>
        <v/>
      </c>
      <c r="K1103" s="315" t="str">
        <f>IF(AND($B1103, Calculations!$B$8), 'Final Building Profile'!J22, "")</f>
        <v/>
      </c>
      <c r="L1103" s="250" t="str">
        <f>IF(AND($B1103, Calculations!$B$8), 'Final Building Profile'!K22, "")</f>
        <v/>
      </c>
      <c r="M1103" t="str">
        <f>IF(AND($B1103, Calculations!$B$8), 'Final Building Profile'!L22, "")</f>
        <v/>
      </c>
      <c r="N1103" t="str">
        <f>IF(AND($B1103, Calculations!$B$8),Calculations!AB726,"")</f>
        <v/>
      </c>
      <c r="O1103" t="str">
        <f>IF(AND($B1103, Calculations!$B$8),Calculations!AC726,"")</f>
        <v/>
      </c>
      <c r="P1103" s="315" t="str">
        <f>IF(AND($B1103, Calculations!$B$7), 'Final Building Profile'!P22, "")</f>
        <v/>
      </c>
      <c r="Q1103" s="204" t="str">
        <f>IF(AND($B1103, Calculations!$B$7), 'Final Building Profile'!Q22, "")</f>
        <v/>
      </c>
      <c r="R1103" t="str">
        <f>IF(AND($B1103, Calculations!$B$7), 'Final Building Profile'!N22-'Final Building Profile'!O22, "")</f>
        <v/>
      </c>
      <c r="S1103" t="str">
        <f>IF(AND($B1103, Calculations!$B$7),Calculations!AD726,"")</f>
        <v/>
      </c>
      <c r="T1103" t="str">
        <f>IF(AND($B1103, Calculations!$B$7),Calculations!AE726,"")</f>
        <v/>
      </c>
    </row>
    <row r="1104" spans="1:20">
      <c r="A1104" s="195" t="str">
        <f>IF(C1104="","",MAX(A$1083:A1103)+1)</f>
        <v/>
      </c>
      <c r="B1104" s="195" t="b">
        <f t="shared" si="17"/>
        <v>0</v>
      </c>
      <c r="C1104" t="str">
        <f>CONCATENATE('Final Building Profile'!B23)</f>
        <v/>
      </c>
      <c r="D1104" t="str">
        <f>CONCATENATE('Final Building Profile'!C23)</f>
        <v/>
      </c>
      <c r="E1104" t="str">
        <f>CONCATENATE('Final Building Profile'!F23)</f>
        <v/>
      </c>
      <c r="F1104" s="315" t="str">
        <f>IF(AND($B1104, Calculations!$B$9), 'Final Building Profile'!J23, "")</f>
        <v/>
      </c>
      <c r="G1104" s="250" t="str">
        <f>IF(AND($B1104, Calculations!$B$9), 'Final Building Profile'!K23, "")</f>
        <v/>
      </c>
      <c r="H1104" t="str">
        <f>IF(AND($B1104, Calculations!$B$9),'Final Building Profile'!M23,"")</f>
        <v/>
      </c>
      <c r="I1104" t="str">
        <f>IF(AND($B1104, Calculations!$B$9),Calculations!AB727,"")</f>
        <v/>
      </c>
      <c r="J1104" t="str">
        <f>IF(AND($B1104, Calculations!$B$9),Calculations!AC727,"")</f>
        <v/>
      </c>
      <c r="K1104" s="315" t="str">
        <f>IF(AND($B1104, Calculations!$B$8), 'Final Building Profile'!J23, "")</f>
        <v/>
      </c>
      <c r="L1104" s="250" t="str">
        <f>IF(AND($B1104, Calculations!$B$8), 'Final Building Profile'!K23, "")</f>
        <v/>
      </c>
      <c r="M1104" t="str">
        <f>IF(AND($B1104, Calculations!$B$8), 'Final Building Profile'!L23, "")</f>
        <v/>
      </c>
      <c r="N1104" t="str">
        <f>IF(AND($B1104, Calculations!$B$8),Calculations!AB727,"")</f>
        <v/>
      </c>
      <c r="O1104" t="str">
        <f>IF(AND($B1104, Calculations!$B$8),Calculations!AC727,"")</f>
        <v/>
      </c>
      <c r="P1104" s="315" t="str">
        <f>IF(AND($B1104, Calculations!$B$7), 'Final Building Profile'!P23, "")</f>
        <v/>
      </c>
      <c r="Q1104" s="204" t="str">
        <f>IF(AND($B1104, Calculations!$B$7), 'Final Building Profile'!Q23, "")</f>
        <v/>
      </c>
      <c r="R1104" t="str">
        <f>IF(AND($B1104, Calculations!$B$7), 'Final Building Profile'!N23-'Final Building Profile'!O23, "")</f>
        <v/>
      </c>
      <c r="S1104" t="str">
        <f>IF(AND($B1104, Calculations!$B$7),Calculations!AD727,"")</f>
        <v/>
      </c>
      <c r="T1104" t="str">
        <f>IF(AND($B1104, Calculations!$B$7),Calculations!AE727,"")</f>
        <v/>
      </c>
    </row>
    <row r="1105" spans="1:20">
      <c r="A1105" s="195" t="str">
        <f>IF(C1105="","",MAX(A$1083:A1104)+1)</f>
        <v/>
      </c>
      <c r="B1105" s="195" t="b">
        <f t="shared" si="17"/>
        <v>0</v>
      </c>
      <c r="C1105" t="str">
        <f>CONCATENATE('Final Building Profile'!B24)</f>
        <v/>
      </c>
      <c r="D1105" t="str">
        <f>CONCATENATE('Final Building Profile'!C24)</f>
        <v/>
      </c>
      <c r="E1105" t="str">
        <f>CONCATENATE('Final Building Profile'!F24)</f>
        <v/>
      </c>
      <c r="F1105" s="315" t="str">
        <f>IF(AND($B1105, Calculations!$B$9), 'Final Building Profile'!J24, "")</f>
        <v/>
      </c>
      <c r="G1105" s="250" t="str">
        <f>IF(AND($B1105, Calculations!$B$9), 'Final Building Profile'!K24, "")</f>
        <v/>
      </c>
      <c r="H1105" t="str">
        <f>IF(AND($B1105, Calculations!$B$9),'Final Building Profile'!M24,"")</f>
        <v/>
      </c>
      <c r="I1105" t="str">
        <f>IF(AND($B1105, Calculations!$B$9),Calculations!AB728,"")</f>
        <v/>
      </c>
      <c r="J1105" t="str">
        <f>IF(AND($B1105, Calculations!$B$9),Calculations!AC728,"")</f>
        <v/>
      </c>
      <c r="K1105" s="315" t="str">
        <f>IF(AND($B1105, Calculations!$B$8), 'Final Building Profile'!J24, "")</f>
        <v/>
      </c>
      <c r="L1105" s="250" t="str">
        <f>IF(AND($B1105, Calculations!$B$8), 'Final Building Profile'!K24, "")</f>
        <v/>
      </c>
      <c r="M1105" t="str">
        <f>IF(AND($B1105, Calculations!$B$8), 'Final Building Profile'!L24, "")</f>
        <v/>
      </c>
      <c r="N1105" t="str">
        <f>IF(AND($B1105, Calculations!$B$8),Calculations!AB728,"")</f>
        <v/>
      </c>
      <c r="O1105" t="str">
        <f>IF(AND($B1105, Calculations!$B$8),Calculations!AC728,"")</f>
        <v/>
      </c>
      <c r="P1105" s="315" t="str">
        <f>IF(AND($B1105, Calculations!$B$7), 'Final Building Profile'!P24, "")</f>
        <v/>
      </c>
      <c r="Q1105" s="204" t="str">
        <f>IF(AND($B1105, Calculations!$B$7), 'Final Building Profile'!Q24, "")</f>
        <v/>
      </c>
      <c r="R1105" t="str">
        <f>IF(AND($B1105, Calculations!$B$7), 'Final Building Profile'!N24-'Final Building Profile'!O24, "")</f>
        <v/>
      </c>
      <c r="S1105" t="str">
        <f>IF(AND($B1105, Calculations!$B$7),Calculations!AD728,"")</f>
        <v/>
      </c>
      <c r="T1105" t="str">
        <f>IF(AND($B1105, Calculations!$B$7),Calculations!AE728,"")</f>
        <v/>
      </c>
    </row>
    <row r="1106" spans="1:20">
      <c r="A1106" s="195" t="str">
        <f>IF(C1106="","",MAX(A$1083:A1105)+1)</f>
        <v/>
      </c>
      <c r="B1106" s="195" t="b">
        <f t="shared" si="17"/>
        <v>0</v>
      </c>
      <c r="C1106" t="str">
        <f>CONCATENATE('Final Building Profile'!B25)</f>
        <v/>
      </c>
      <c r="D1106" t="str">
        <f>CONCATENATE('Final Building Profile'!C25)</f>
        <v/>
      </c>
      <c r="E1106" t="str">
        <f>CONCATENATE('Final Building Profile'!F25)</f>
        <v/>
      </c>
      <c r="F1106" s="315" t="str">
        <f>IF(AND($B1106, Calculations!$B$9), 'Final Building Profile'!J25, "")</f>
        <v/>
      </c>
      <c r="G1106" s="250" t="str">
        <f>IF(AND($B1106, Calculations!$B$9), 'Final Building Profile'!K25, "")</f>
        <v/>
      </c>
      <c r="H1106" t="str">
        <f>IF(AND($B1106, Calculations!$B$9),'Final Building Profile'!M25,"")</f>
        <v/>
      </c>
      <c r="I1106" t="str">
        <f>IF(AND($B1106, Calculations!$B$9),Calculations!AB729,"")</f>
        <v/>
      </c>
      <c r="J1106" t="str">
        <f>IF(AND($B1106, Calculations!$B$9),Calculations!AC729,"")</f>
        <v/>
      </c>
      <c r="K1106" s="315" t="str">
        <f>IF(AND($B1106, Calculations!$B$8), 'Final Building Profile'!J25, "")</f>
        <v/>
      </c>
      <c r="L1106" s="250" t="str">
        <f>IF(AND($B1106, Calculations!$B$8), 'Final Building Profile'!K25, "")</f>
        <v/>
      </c>
      <c r="M1106" t="str">
        <f>IF(AND($B1106, Calculations!$B$8), 'Final Building Profile'!L25, "")</f>
        <v/>
      </c>
      <c r="N1106" t="str">
        <f>IF(AND($B1106, Calculations!$B$8),Calculations!AB729,"")</f>
        <v/>
      </c>
      <c r="O1106" t="str">
        <f>IF(AND($B1106, Calculations!$B$8),Calculations!AC729,"")</f>
        <v/>
      </c>
      <c r="P1106" s="315" t="str">
        <f>IF(AND($B1106, Calculations!$B$7), 'Final Building Profile'!P25, "")</f>
        <v/>
      </c>
      <c r="Q1106" s="204" t="str">
        <f>IF(AND($B1106, Calculations!$B$7), 'Final Building Profile'!Q25, "")</f>
        <v/>
      </c>
      <c r="R1106" t="str">
        <f>IF(AND($B1106, Calculations!$B$7), 'Final Building Profile'!N25-'Final Building Profile'!O25, "")</f>
        <v/>
      </c>
      <c r="S1106" t="str">
        <f>IF(AND($B1106, Calculations!$B$7),Calculations!AD729,"")</f>
        <v/>
      </c>
      <c r="T1106" t="str">
        <f>IF(AND($B1106, Calculations!$B$7),Calculations!AE729,"")</f>
        <v/>
      </c>
    </row>
    <row r="1107" spans="1:20">
      <c r="A1107" s="195" t="str">
        <f>IF(C1107="","",MAX(A$1083:A1106)+1)</f>
        <v/>
      </c>
      <c r="B1107" s="195" t="b">
        <f t="shared" si="17"/>
        <v>0</v>
      </c>
      <c r="C1107" t="str">
        <f>CONCATENATE('Final Building Profile'!B26)</f>
        <v/>
      </c>
      <c r="D1107" t="str">
        <f>CONCATENATE('Final Building Profile'!C26)</f>
        <v/>
      </c>
      <c r="E1107" t="str">
        <f>CONCATENATE('Final Building Profile'!F26)</f>
        <v/>
      </c>
      <c r="F1107" s="315" t="str">
        <f>IF(AND($B1107, Calculations!$B$9), 'Final Building Profile'!J26, "")</f>
        <v/>
      </c>
      <c r="G1107" s="250" t="str">
        <f>IF(AND($B1107, Calculations!$B$9), 'Final Building Profile'!K26, "")</f>
        <v/>
      </c>
      <c r="H1107" t="str">
        <f>IF(AND($B1107, Calculations!$B$9),'Final Building Profile'!M26,"")</f>
        <v/>
      </c>
      <c r="I1107" t="str">
        <f>IF(AND($B1107, Calculations!$B$9),Calculations!AB730,"")</f>
        <v/>
      </c>
      <c r="J1107" t="str">
        <f>IF(AND($B1107, Calculations!$B$9),Calculations!AC730,"")</f>
        <v/>
      </c>
      <c r="K1107" s="315" t="str">
        <f>IF(AND($B1107, Calculations!$B$8), 'Final Building Profile'!J26, "")</f>
        <v/>
      </c>
      <c r="L1107" s="250" t="str">
        <f>IF(AND($B1107, Calculations!$B$8), 'Final Building Profile'!K26, "")</f>
        <v/>
      </c>
      <c r="M1107" t="str">
        <f>IF(AND($B1107, Calculations!$B$8), 'Final Building Profile'!L26, "")</f>
        <v/>
      </c>
      <c r="N1107" t="str">
        <f>IF(AND($B1107, Calculations!$B$8),Calculations!AB730,"")</f>
        <v/>
      </c>
      <c r="O1107" t="str">
        <f>IF(AND($B1107, Calculations!$B$8),Calculations!AC730,"")</f>
        <v/>
      </c>
      <c r="P1107" s="315" t="str">
        <f>IF(AND($B1107, Calculations!$B$7), 'Final Building Profile'!P26, "")</f>
        <v/>
      </c>
      <c r="Q1107" s="204" t="str">
        <f>IF(AND($B1107, Calculations!$B$7), 'Final Building Profile'!Q26, "")</f>
        <v/>
      </c>
      <c r="R1107" t="str">
        <f>IF(AND($B1107, Calculations!$B$7), 'Final Building Profile'!N26-'Final Building Profile'!O26, "")</f>
        <v/>
      </c>
      <c r="S1107" t="str">
        <f>IF(AND($B1107, Calculations!$B$7),Calculations!AD730,"")</f>
        <v/>
      </c>
      <c r="T1107" t="str">
        <f>IF(AND($B1107, Calculations!$B$7),Calculations!AE730,"")</f>
        <v/>
      </c>
    </row>
    <row r="1108" spans="1:20">
      <c r="A1108" s="195" t="str">
        <f>IF(C1108="","",MAX(A$1083:A1107)+1)</f>
        <v/>
      </c>
      <c r="B1108" s="195" t="b">
        <f t="shared" si="17"/>
        <v>0</v>
      </c>
      <c r="C1108" t="str">
        <f>CONCATENATE('Final Building Profile'!B27)</f>
        <v/>
      </c>
      <c r="D1108" t="str">
        <f>CONCATENATE('Final Building Profile'!C27)</f>
        <v/>
      </c>
      <c r="E1108" t="str">
        <f>CONCATENATE('Final Building Profile'!F27)</f>
        <v/>
      </c>
      <c r="F1108" s="315" t="str">
        <f>IF(AND($B1108, Calculations!$B$9), 'Final Building Profile'!J27, "")</f>
        <v/>
      </c>
      <c r="G1108" s="250" t="str">
        <f>IF(AND($B1108, Calculations!$B$9), 'Final Building Profile'!K27, "")</f>
        <v/>
      </c>
      <c r="H1108" t="str">
        <f>IF(AND($B1108, Calculations!$B$9),'Final Building Profile'!M27,"")</f>
        <v/>
      </c>
      <c r="I1108" t="str">
        <f>IF(AND($B1108, Calculations!$B$9),Calculations!AB731,"")</f>
        <v/>
      </c>
      <c r="J1108" t="str">
        <f>IF(AND($B1108, Calculations!$B$9),Calculations!AC731,"")</f>
        <v/>
      </c>
      <c r="K1108" s="315" t="str">
        <f>IF(AND($B1108, Calculations!$B$8), 'Final Building Profile'!J27, "")</f>
        <v/>
      </c>
      <c r="L1108" s="250" t="str">
        <f>IF(AND($B1108, Calculations!$B$8), 'Final Building Profile'!K27, "")</f>
        <v/>
      </c>
      <c r="M1108" t="str">
        <f>IF(AND($B1108, Calculations!$B$8), 'Final Building Profile'!L27, "")</f>
        <v/>
      </c>
      <c r="N1108" t="str">
        <f>IF(AND($B1108, Calculations!$B$8),Calculations!AB731,"")</f>
        <v/>
      </c>
      <c r="O1108" t="str">
        <f>IF(AND($B1108, Calculations!$B$8),Calculations!AC731,"")</f>
        <v/>
      </c>
      <c r="P1108" s="315" t="str">
        <f>IF(AND($B1108, Calculations!$B$7), 'Final Building Profile'!P27, "")</f>
        <v/>
      </c>
      <c r="Q1108" s="204" t="str">
        <f>IF(AND($B1108, Calculations!$B$7), 'Final Building Profile'!Q27, "")</f>
        <v/>
      </c>
      <c r="R1108" t="str">
        <f>IF(AND($B1108, Calculations!$B$7), 'Final Building Profile'!N27-'Final Building Profile'!O27, "")</f>
        <v/>
      </c>
      <c r="S1108" t="str">
        <f>IF(AND($B1108, Calculations!$B$7),Calculations!AD731,"")</f>
        <v/>
      </c>
      <c r="T1108" t="str">
        <f>IF(AND($B1108, Calculations!$B$7),Calculations!AE731,"")</f>
        <v/>
      </c>
    </row>
    <row r="1109" spans="1:20">
      <c r="A1109" s="195" t="str">
        <f>IF(C1109="","",MAX(A$1083:A1108)+1)</f>
        <v/>
      </c>
      <c r="B1109" s="195" t="b">
        <f t="shared" si="17"/>
        <v>0</v>
      </c>
      <c r="C1109" t="str">
        <f>CONCATENATE('Final Building Profile'!B28)</f>
        <v/>
      </c>
      <c r="D1109" t="str">
        <f>CONCATENATE('Final Building Profile'!C28)</f>
        <v/>
      </c>
      <c r="E1109" t="str">
        <f>CONCATENATE('Final Building Profile'!F28)</f>
        <v/>
      </c>
      <c r="F1109" s="315" t="str">
        <f>IF(AND($B1109, Calculations!$B$9), 'Final Building Profile'!J28, "")</f>
        <v/>
      </c>
      <c r="G1109" s="250" t="str">
        <f>IF(AND($B1109, Calculations!$B$9), 'Final Building Profile'!K28, "")</f>
        <v/>
      </c>
      <c r="H1109" t="str">
        <f>IF(AND($B1109, Calculations!$B$9),'Final Building Profile'!M28,"")</f>
        <v/>
      </c>
      <c r="I1109" t="str">
        <f>IF(AND($B1109, Calculations!$B$9),Calculations!AB732,"")</f>
        <v/>
      </c>
      <c r="J1109" t="str">
        <f>IF(AND($B1109, Calculations!$B$9),Calculations!AC732,"")</f>
        <v/>
      </c>
      <c r="K1109" s="315" t="str">
        <f>IF(AND($B1109, Calculations!$B$8), 'Final Building Profile'!J28, "")</f>
        <v/>
      </c>
      <c r="L1109" s="250" t="str">
        <f>IF(AND($B1109, Calculations!$B$8), 'Final Building Profile'!K28, "")</f>
        <v/>
      </c>
      <c r="M1109" t="str">
        <f>IF(AND($B1109, Calculations!$B$8), 'Final Building Profile'!L28, "")</f>
        <v/>
      </c>
      <c r="N1109" t="str">
        <f>IF(AND($B1109, Calculations!$B$8),Calculations!AB732,"")</f>
        <v/>
      </c>
      <c r="O1109" t="str">
        <f>IF(AND($B1109, Calculations!$B$8),Calculations!AC732,"")</f>
        <v/>
      </c>
      <c r="P1109" s="315" t="str">
        <f>IF(AND($B1109, Calculations!$B$7), 'Final Building Profile'!P28, "")</f>
        <v/>
      </c>
      <c r="Q1109" s="204" t="str">
        <f>IF(AND($B1109, Calculations!$B$7), 'Final Building Profile'!Q28, "")</f>
        <v/>
      </c>
      <c r="R1109" t="str">
        <f>IF(AND($B1109, Calculations!$B$7), 'Final Building Profile'!N28-'Final Building Profile'!O28, "")</f>
        <v/>
      </c>
      <c r="S1109" t="str">
        <f>IF(AND($B1109, Calculations!$B$7),Calculations!AD732,"")</f>
        <v/>
      </c>
      <c r="T1109" t="str">
        <f>IF(AND($B1109, Calculations!$B$7),Calculations!AE732,"")</f>
        <v/>
      </c>
    </row>
    <row r="1110" spans="1:20">
      <c r="A1110" s="195" t="str">
        <f>IF(C1110="","",MAX(A$1083:A1109)+1)</f>
        <v/>
      </c>
      <c r="B1110" s="195" t="b">
        <f t="shared" si="17"/>
        <v>0</v>
      </c>
      <c r="C1110" t="str">
        <f>CONCATENATE('Final Building Profile'!B29)</f>
        <v/>
      </c>
      <c r="D1110" t="str">
        <f>CONCATENATE('Final Building Profile'!C29)</f>
        <v/>
      </c>
      <c r="E1110" t="str">
        <f>CONCATENATE('Final Building Profile'!F29)</f>
        <v/>
      </c>
      <c r="F1110" s="315" t="str">
        <f>IF(AND($B1110, Calculations!$B$9), 'Final Building Profile'!J29, "")</f>
        <v/>
      </c>
      <c r="G1110" s="250" t="str">
        <f>IF(AND($B1110, Calculations!$B$9), 'Final Building Profile'!K29, "")</f>
        <v/>
      </c>
      <c r="H1110" t="str">
        <f>IF(AND($B1110, Calculations!$B$9),'Final Building Profile'!M29,"")</f>
        <v/>
      </c>
      <c r="I1110" t="str">
        <f>IF(AND($B1110, Calculations!$B$9),Calculations!AB733,"")</f>
        <v/>
      </c>
      <c r="J1110" t="str">
        <f>IF(AND($B1110, Calculations!$B$9),Calculations!AC733,"")</f>
        <v/>
      </c>
      <c r="K1110" s="315" t="str">
        <f>IF(AND($B1110, Calculations!$B$8), 'Final Building Profile'!J29, "")</f>
        <v/>
      </c>
      <c r="L1110" s="250" t="str">
        <f>IF(AND($B1110, Calculations!$B$8), 'Final Building Profile'!K29, "")</f>
        <v/>
      </c>
      <c r="M1110" t="str">
        <f>IF(AND($B1110, Calculations!$B$8), 'Final Building Profile'!L29, "")</f>
        <v/>
      </c>
      <c r="N1110" t="str">
        <f>IF(AND($B1110, Calculations!$B$8),Calculations!AB733,"")</f>
        <v/>
      </c>
      <c r="O1110" t="str">
        <f>IF(AND($B1110, Calculations!$B$8),Calculations!AC733,"")</f>
        <v/>
      </c>
      <c r="P1110" s="315" t="str">
        <f>IF(AND($B1110, Calculations!$B$7), 'Final Building Profile'!P29, "")</f>
        <v/>
      </c>
      <c r="Q1110" s="204" t="str">
        <f>IF(AND($B1110, Calculations!$B$7), 'Final Building Profile'!Q29, "")</f>
        <v/>
      </c>
      <c r="R1110" t="str">
        <f>IF(AND($B1110, Calculations!$B$7), 'Final Building Profile'!N29-'Final Building Profile'!O29, "")</f>
        <v/>
      </c>
      <c r="S1110" t="str">
        <f>IF(AND($B1110, Calculations!$B$7),Calculations!AD733,"")</f>
        <v/>
      </c>
      <c r="T1110" t="str">
        <f>IF(AND($B1110, Calculations!$B$7),Calculations!AE733,"")</f>
        <v/>
      </c>
    </row>
    <row r="1111" spans="1:20">
      <c r="A1111" s="195" t="str">
        <f>IF(C1111="","",MAX(A$1083:A1110)+1)</f>
        <v/>
      </c>
      <c r="B1111" s="195" t="b">
        <f t="shared" si="17"/>
        <v>0</v>
      </c>
      <c r="C1111" t="str">
        <f>CONCATENATE('Final Building Profile'!B30)</f>
        <v/>
      </c>
      <c r="D1111" t="str">
        <f>CONCATENATE('Final Building Profile'!C30)</f>
        <v/>
      </c>
      <c r="E1111" t="str">
        <f>CONCATENATE('Final Building Profile'!F30)</f>
        <v/>
      </c>
      <c r="F1111" s="315" t="str">
        <f>IF(AND($B1111, Calculations!$B$9), 'Final Building Profile'!J30, "")</f>
        <v/>
      </c>
      <c r="G1111" s="250" t="str">
        <f>IF(AND($B1111, Calculations!$B$9), 'Final Building Profile'!K30, "")</f>
        <v/>
      </c>
      <c r="H1111" t="str">
        <f>IF(AND($B1111, Calculations!$B$9),'Final Building Profile'!M30,"")</f>
        <v/>
      </c>
      <c r="I1111" t="str">
        <f>IF(AND($B1111, Calculations!$B$9),Calculations!AB734,"")</f>
        <v/>
      </c>
      <c r="J1111" t="str">
        <f>IF(AND($B1111, Calculations!$B$9),Calculations!AC734,"")</f>
        <v/>
      </c>
      <c r="K1111" s="315" t="str">
        <f>IF(AND($B1111, Calculations!$B$8), 'Final Building Profile'!J30, "")</f>
        <v/>
      </c>
      <c r="L1111" s="250" t="str">
        <f>IF(AND($B1111, Calculations!$B$8), 'Final Building Profile'!K30, "")</f>
        <v/>
      </c>
      <c r="M1111" t="str">
        <f>IF(AND($B1111, Calculations!$B$8), 'Final Building Profile'!L30, "")</f>
        <v/>
      </c>
      <c r="N1111" t="str">
        <f>IF(AND($B1111, Calculations!$B$8),Calculations!AB734,"")</f>
        <v/>
      </c>
      <c r="O1111" t="str">
        <f>IF(AND($B1111, Calculations!$B$8),Calculations!AC734,"")</f>
        <v/>
      </c>
      <c r="P1111" s="315" t="str">
        <f>IF(AND($B1111, Calculations!$B$7), 'Final Building Profile'!P30, "")</f>
        <v/>
      </c>
      <c r="Q1111" s="204" t="str">
        <f>IF(AND($B1111, Calculations!$B$7), 'Final Building Profile'!Q30, "")</f>
        <v/>
      </c>
      <c r="R1111" t="str">
        <f>IF(AND($B1111, Calculations!$B$7), 'Final Building Profile'!N30-'Final Building Profile'!O30, "")</f>
        <v/>
      </c>
      <c r="S1111" t="str">
        <f>IF(AND($B1111, Calculations!$B$7),Calculations!AD734,"")</f>
        <v/>
      </c>
      <c r="T1111" t="str">
        <f>IF(AND($B1111, Calculations!$B$7),Calculations!AE734,"")</f>
        <v/>
      </c>
    </row>
    <row r="1112" spans="1:20">
      <c r="A1112" s="195" t="str">
        <f>IF(C1112="","",MAX(A$1083:A1111)+1)</f>
        <v/>
      </c>
      <c r="B1112" s="195" t="b">
        <f t="shared" si="17"/>
        <v>0</v>
      </c>
      <c r="C1112" t="str">
        <f>CONCATENATE('Final Building Profile'!B31)</f>
        <v/>
      </c>
      <c r="D1112" t="str">
        <f>CONCATENATE('Final Building Profile'!C31)</f>
        <v/>
      </c>
      <c r="E1112" t="str">
        <f>CONCATENATE('Final Building Profile'!F31)</f>
        <v/>
      </c>
      <c r="F1112" s="315" t="str">
        <f>IF(AND($B1112, Calculations!$B$9), 'Final Building Profile'!J31, "")</f>
        <v/>
      </c>
      <c r="G1112" s="250" t="str">
        <f>IF(AND($B1112, Calculations!$B$9), 'Final Building Profile'!K31, "")</f>
        <v/>
      </c>
      <c r="H1112" t="str">
        <f>IF(AND($B1112, Calculations!$B$9),'Final Building Profile'!M31,"")</f>
        <v/>
      </c>
      <c r="I1112" t="str">
        <f>IF(AND($B1112, Calculations!$B$9),Calculations!AB735,"")</f>
        <v/>
      </c>
      <c r="J1112" t="str">
        <f>IF(AND($B1112, Calculations!$B$9),Calculations!AC735,"")</f>
        <v/>
      </c>
      <c r="K1112" s="315" t="str">
        <f>IF(AND($B1112, Calculations!$B$8), 'Final Building Profile'!J31, "")</f>
        <v/>
      </c>
      <c r="L1112" s="250" t="str">
        <f>IF(AND($B1112, Calculations!$B$8), 'Final Building Profile'!K31, "")</f>
        <v/>
      </c>
      <c r="M1112" t="str">
        <f>IF(AND($B1112, Calculations!$B$8), 'Final Building Profile'!L31, "")</f>
        <v/>
      </c>
      <c r="N1112" t="str">
        <f>IF(AND($B1112, Calculations!$B$8),Calculations!AB735,"")</f>
        <v/>
      </c>
      <c r="O1112" t="str">
        <f>IF(AND($B1112, Calculations!$B$8),Calculations!AC735,"")</f>
        <v/>
      </c>
      <c r="P1112" s="315" t="str">
        <f>IF(AND($B1112, Calculations!$B$7), 'Final Building Profile'!P31, "")</f>
        <v/>
      </c>
      <c r="Q1112" s="204" t="str">
        <f>IF(AND($B1112, Calculations!$B$7), 'Final Building Profile'!Q31, "")</f>
        <v/>
      </c>
      <c r="R1112" t="str">
        <f>IF(AND($B1112, Calculations!$B$7), 'Final Building Profile'!N31-'Final Building Profile'!O31, "")</f>
        <v/>
      </c>
      <c r="S1112" t="str">
        <f>IF(AND($B1112, Calculations!$B$7),Calculations!AD735,"")</f>
        <v/>
      </c>
      <c r="T1112" t="str">
        <f>IF(AND($B1112, Calculations!$B$7),Calculations!AE735,"")</f>
        <v/>
      </c>
    </row>
    <row r="1113" spans="1:20">
      <c r="A1113" s="195" t="str">
        <f>IF(C1113="","",MAX(A$1083:A1112)+1)</f>
        <v/>
      </c>
      <c r="B1113" s="195" t="b">
        <f t="shared" si="17"/>
        <v>0</v>
      </c>
      <c r="C1113" t="str">
        <f>CONCATENATE('Final Building Profile'!B32)</f>
        <v/>
      </c>
      <c r="D1113" t="str">
        <f>CONCATENATE('Final Building Profile'!C32)</f>
        <v/>
      </c>
      <c r="E1113" t="str">
        <f>CONCATENATE('Final Building Profile'!F32)</f>
        <v/>
      </c>
      <c r="F1113" s="315" t="str">
        <f>IF(AND($B1113, Calculations!$B$9), 'Final Building Profile'!J32, "")</f>
        <v/>
      </c>
      <c r="G1113" s="250" t="str">
        <f>IF(AND($B1113, Calculations!$B$9), 'Final Building Profile'!K32, "")</f>
        <v/>
      </c>
      <c r="H1113" t="str">
        <f>IF(AND($B1113, Calculations!$B$9),'Final Building Profile'!M32,"")</f>
        <v/>
      </c>
      <c r="I1113" t="str">
        <f>IF(AND($B1113, Calculations!$B$9),Calculations!AB736,"")</f>
        <v/>
      </c>
      <c r="J1113" t="str">
        <f>IF(AND($B1113, Calculations!$B$9),Calculations!AC736,"")</f>
        <v/>
      </c>
      <c r="K1113" s="315" t="str">
        <f>IF(AND($B1113, Calculations!$B$8), 'Final Building Profile'!J32, "")</f>
        <v/>
      </c>
      <c r="L1113" s="250" t="str">
        <f>IF(AND($B1113, Calculations!$B$8), 'Final Building Profile'!K32, "")</f>
        <v/>
      </c>
      <c r="M1113" t="str">
        <f>IF(AND($B1113, Calculations!$B$8), 'Final Building Profile'!L32, "")</f>
        <v/>
      </c>
      <c r="N1113" t="str">
        <f>IF(AND($B1113, Calculations!$B$8),Calculations!AB736,"")</f>
        <v/>
      </c>
      <c r="O1113" t="str">
        <f>IF(AND($B1113, Calculations!$B$8),Calculations!AC736,"")</f>
        <v/>
      </c>
      <c r="P1113" s="315" t="str">
        <f>IF(AND($B1113, Calculations!$B$7), 'Final Building Profile'!P32, "")</f>
        <v/>
      </c>
      <c r="Q1113" s="204" t="str">
        <f>IF(AND($B1113, Calculations!$B$7), 'Final Building Profile'!Q32, "")</f>
        <v/>
      </c>
      <c r="R1113" t="str">
        <f>IF(AND($B1113, Calculations!$B$7), 'Final Building Profile'!N32-'Final Building Profile'!O32, "")</f>
        <v/>
      </c>
      <c r="S1113" t="str">
        <f>IF(AND($B1113, Calculations!$B$7),Calculations!AD736,"")</f>
        <v/>
      </c>
      <c r="T1113" t="str">
        <f>IF(AND($B1113, Calculations!$B$7),Calculations!AE736,"")</f>
        <v/>
      </c>
    </row>
    <row r="1114" spans="1:20">
      <c r="A1114" s="195" t="str">
        <f>IF(C1114="","",MAX(A$1083:A1113)+1)</f>
        <v/>
      </c>
      <c r="B1114" s="195" t="b">
        <f t="shared" si="17"/>
        <v>0</v>
      </c>
      <c r="C1114" t="str">
        <f>CONCATENATE('Final Building Profile'!B33)</f>
        <v/>
      </c>
      <c r="D1114" t="str">
        <f>CONCATENATE('Final Building Profile'!C33)</f>
        <v/>
      </c>
      <c r="E1114" t="str">
        <f>CONCATENATE('Final Building Profile'!F33)</f>
        <v/>
      </c>
      <c r="F1114" s="315" t="str">
        <f>IF(AND($B1114, Calculations!$B$9), 'Final Building Profile'!J33, "")</f>
        <v/>
      </c>
      <c r="G1114" s="250" t="str">
        <f>IF(AND($B1114, Calculations!$B$9), 'Final Building Profile'!K33, "")</f>
        <v/>
      </c>
      <c r="H1114" t="str">
        <f>IF(AND($B1114, Calculations!$B$9),'Final Building Profile'!M33,"")</f>
        <v/>
      </c>
      <c r="I1114" t="str">
        <f>IF(AND($B1114, Calculations!$B$9),Calculations!AB737,"")</f>
        <v/>
      </c>
      <c r="J1114" t="str">
        <f>IF(AND($B1114, Calculations!$B$9),Calculations!AC737,"")</f>
        <v/>
      </c>
      <c r="K1114" s="315" t="str">
        <f>IF(AND($B1114, Calculations!$B$8), 'Final Building Profile'!J33, "")</f>
        <v/>
      </c>
      <c r="L1114" s="250" t="str">
        <f>IF(AND($B1114, Calculations!$B$8), 'Final Building Profile'!K33, "")</f>
        <v/>
      </c>
      <c r="M1114" t="str">
        <f>IF(AND($B1114, Calculations!$B$8), 'Final Building Profile'!L33, "")</f>
        <v/>
      </c>
      <c r="N1114" t="str">
        <f>IF(AND($B1114, Calculations!$B$8),Calculations!AB737,"")</f>
        <v/>
      </c>
      <c r="O1114" t="str">
        <f>IF(AND($B1114, Calculations!$B$8),Calculations!AC737,"")</f>
        <v/>
      </c>
      <c r="P1114" s="315" t="str">
        <f>IF(AND($B1114, Calculations!$B$7), 'Final Building Profile'!P33, "")</f>
        <v/>
      </c>
      <c r="Q1114" s="204" t="str">
        <f>IF(AND($B1114, Calculations!$B$7), 'Final Building Profile'!Q33, "")</f>
        <v/>
      </c>
      <c r="R1114" t="str">
        <f>IF(AND($B1114, Calculations!$B$7), 'Final Building Profile'!N33-'Final Building Profile'!O33, "")</f>
        <v/>
      </c>
      <c r="S1114" t="str">
        <f>IF(AND($B1114, Calculations!$B$7),Calculations!AD737,"")</f>
        <v/>
      </c>
      <c r="T1114" t="str">
        <f>IF(AND($B1114, Calculations!$B$7),Calculations!AE737,"")</f>
        <v/>
      </c>
    </row>
    <row r="1115" spans="1:20">
      <c r="A1115" s="195" t="str">
        <f>IF(C1115="","",MAX(A$1083:A1114)+1)</f>
        <v/>
      </c>
      <c r="B1115" s="195" t="b">
        <f t="shared" si="17"/>
        <v>0</v>
      </c>
      <c r="C1115" t="str">
        <f>CONCATENATE('Final Building Profile'!B34)</f>
        <v/>
      </c>
      <c r="D1115" t="str">
        <f>CONCATENATE('Final Building Profile'!C34)</f>
        <v/>
      </c>
      <c r="E1115" t="str">
        <f>CONCATENATE('Final Building Profile'!F34)</f>
        <v/>
      </c>
      <c r="F1115" s="315" t="str">
        <f>IF(AND($B1115, Calculations!$B$9), 'Final Building Profile'!J34, "")</f>
        <v/>
      </c>
      <c r="G1115" s="250" t="str">
        <f>IF(AND($B1115, Calculations!$B$9), 'Final Building Profile'!K34, "")</f>
        <v/>
      </c>
      <c r="H1115" t="str">
        <f>IF(AND($B1115, Calculations!$B$9),'Final Building Profile'!M34,"")</f>
        <v/>
      </c>
      <c r="I1115" t="str">
        <f>IF(AND($B1115, Calculations!$B$9),Calculations!AB738,"")</f>
        <v/>
      </c>
      <c r="J1115" t="str">
        <f>IF(AND($B1115, Calculations!$B$9),Calculations!AC738,"")</f>
        <v/>
      </c>
      <c r="K1115" s="315" t="str">
        <f>IF(AND($B1115, Calculations!$B$8), 'Final Building Profile'!J34, "")</f>
        <v/>
      </c>
      <c r="L1115" s="250" t="str">
        <f>IF(AND($B1115, Calculations!$B$8), 'Final Building Profile'!K34, "")</f>
        <v/>
      </c>
      <c r="M1115" t="str">
        <f>IF(AND($B1115, Calculations!$B$8), 'Final Building Profile'!L34, "")</f>
        <v/>
      </c>
      <c r="N1115" t="str">
        <f>IF(AND($B1115, Calculations!$B$8),Calculations!AB738,"")</f>
        <v/>
      </c>
      <c r="O1115" t="str">
        <f>IF(AND($B1115, Calculations!$B$8),Calculations!AC738,"")</f>
        <v/>
      </c>
      <c r="P1115" s="315" t="str">
        <f>IF(AND($B1115, Calculations!$B$7), 'Final Building Profile'!P34, "")</f>
        <v/>
      </c>
      <c r="Q1115" s="204" t="str">
        <f>IF(AND($B1115, Calculations!$B$7), 'Final Building Profile'!Q34, "")</f>
        <v/>
      </c>
      <c r="R1115" t="str">
        <f>IF(AND($B1115, Calculations!$B$7), 'Final Building Profile'!N34-'Final Building Profile'!O34, "")</f>
        <v/>
      </c>
      <c r="S1115" t="str">
        <f>IF(AND($B1115, Calculations!$B$7),Calculations!AD738,"")</f>
        <v/>
      </c>
      <c r="T1115" t="str">
        <f>IF(AND($B1115, Calculations!$B$7),Calculations!AE738,"")</f>
        <v/>
      </c>
    </row>
    <row r="1116" spans="1:20">
      <c r="A1116" s="195" t="str">
        <f>IF(C1116="","",MAX(A$1083:A1115)+1)</f>
        <v/>
      </c>
      <c r="B1116" s="195" t="b">
        <f t="shared" si="17"/>
        <v>0</v>
      </c>
      <c r="C1116" t="str">
        <f>CONCATENATE('Final Building Profile'!B35)</f>
        <v/>
      </c>
      <c r="D1116" t="str">
        <f>CONCATENATE('Final Building Profile'!C35)</f>
        <v/>
      </c>
      <c r="E1116" t="str">
        <f>CONCATENATE('Final Building Profile'!F35)</f>
        <v/>
      </c>
      <c r="F1116" s="315" t="str">
        <f>IF(AND($B1116, Calculations!$B$9), 'Final Building Profile'!J35, "")</f>
        <v/>
      </c>
      <c r="G1116" s="250" t="str">
        <f>IF(AND($B1116, Calculations!$B$9), 'Final Building Profile'!K35, "")</f>
        <v/>
      </c>
      <c r="H1116" t="str">
        <f>IF(AND($B1116, Calculations!$B$9),'Final Building Profile'!M35,"")</f>
        <v/>
      </c>
      <c r="I1116" t="str">
        <f>IF(AND($B1116, Calculations!$B$9),Calculations!AB739,"")</f>
        <v/>
      </c>
      <c r="J1116" t="str">
        <f>IF(AND($B1116, Calculations!$B$9),Calculations!AC739,"")</f>
        <v/>
      </c>
      <c r="K1116" s="315" t="str">
        <f>IF(AND($B1116, Calculations!$B$8), 'Final Building Profile'!J35, "")</f>
        <v/>
      </c>
      <c r="L1116" s="250" t="str">
        <f>IF(AND($B1116, Calculations!$B$8), 'Final Building Profile'!K35, "")</f>
        <v/>
      </c>
      <c r="M1116" t="str">
        <f>IF(AND($B1116, Calculations!$B$8), 'Final Building Profile'!L35, "")</f>
        <v/>
      </c>
      <c r="N1116" t="str">
        <f>IF(AND($B1116, Calculations!$B$8),Calculations!AB739,"")</f>
        <v/>
      </c>
      <c r="O1116" t="str">
        <f>IF(AND($B1116, Calculations!$B$8),Calculations!AC739,"")</f>
        <v/>
      </c>
      <c r="P1116" s="315" t="str">
        <f>IF(AND($B1116, Calculations!$B$7), 'Final Building Profile'!P35, "")</f>
        <v/>
      </c>
      <c r="Q1116" s="204" t="str">
        <f>IF(AND($B1116, Calculations!$B$7), 'Final Building Profile'!Q35, "")</f>
        <v/>
      </c>
      <c r="R1116" t="str">
        <f>IF(AND($B1116, Calculations!$B$7), 'Final Building Profile'!N35-'Final Building Profile'!O35, "")</f>
        <v/>
      </c>
      <c r="S1116" t="str">
        <f>IF(AND($B1116, Calculations!$B$7),Calculations!AD739,"")</f>
        <v/>
      </c>
      <c r="T1116" t="str">
        <f>IF(AND($B1116, Calculations!$B$7),Calculations!AE739,"")</f>
        <v/>
      </c>
    </row>
    <row r="1117" spans="1:20">
      <c r="A1117" s="195" t="str">
        <f>IF(C1117="","",MAX(A$1083:A1116)+1)</f>
        <v/>
      </c>
      <c r="B1117" s="195" t="b">
        <f t="shared" si="17"/>
        <v>0</v>
      </c>
      <c r="C1117" t="str">
        <f>CONCATENATE('Final Building Profile'!B36)</f>
        <v/>
      </c>
      <c r="D1117" t="str">
        <f>CONCATENATE('Final Building Profile'!C36)</f>
        <v/>
      </c>
      <c r="E1117" t="str">
        <f>CONCATENATE('Final Building Profile'!F36)</f>
        <v/>
      </c>
      <c r="F1117" s="315" t="str">
        <f>IF(AND($B1117, Calculations!$B$9), 'Final Building Profile'!J36, "")</f>
        <v/>
      </c>
      <c r="G1117" s="250" t="str">
        <f>IF(AND($B1117, Calculations!$B$9), 'Final Building Profile'!K36, "")</f>
        <v/>
      </c>
      <c r="H1117" t="str">
        <f>IF(AND($B1117, Calculations!$B$9),'Final Building Profile'!M36,"")</f>
        <v/>
      </c>
      <c r="I1117" t="str">
        <f>IF(AND($B1117, Calculations!$B$9),Calculations!AB740,"")</f>
        <v/>
      </c>
      <c r="J1117" t="str">
        <f>IF(AND($B1117, Calculations!$B$9),Calculations!AC740,"")</f>
        <v/>
      </c>
      <c r="K1117" s="315" t="str">
        <f>IF(AND($B1117, Calculations!$B$8), 'Final Building Profile'!J36, "")</f>
        <v/>
      </c>
      <c r="L1117" s="250" t="str">
        <f>IF(AND($B1117, Calculations!$B$8), 'Final Building Profile'!K36, "")</f>
        <v/>
      </c>
      <c r="M1117" t="str">
        <f>IF(AND($B1117, Calculations!$B$8), 'Final Building Profile'!L36, "")</f>
        <v/>
      </c>
      <c r="N1117" t="str">
        <f>IF(AND($B1117, Calculations!$B$8),Calculations!AB740,"")</f>
        <v/>
      </c>
      <c r="O1117" t="str">
        <f>IF(AND($B1117, Calculations!$B$8),Calculations!AC740,"")</f>
        <v/>
      </c>
      <c r="P1117" s="315" t="str">
        <f>IF(AND($B1117, Calculations!$B$7), 'Final Building Profile'!P36, "")</f>
        <v/>
      </c>
      <c r="Q1117" s="204" t="str">
        <f>IF(AND($B1117, Calculations!$B$7), 'Final Building Profile'!Q36, "")</f>
        <v/>
      </c>
      <c r="R1117" t="str">
        <f>IF(AND($B1117, Calculations!$B$7), 'Final Building Profile'!N36-'Final Building Profile'!O36, "")</f>
        <v/>
      </c>
      <c r="S1117" t="str">
        <f>IF(AND($B1117, Calculations!$B$7),Calculations!AD740,"")</f>
        <v/>
      </c>
      <c r="T1117" t="str">
        <f>IF(AND($B1117, Calculations!$B$7),Calculations!AE740,"")</f>
        <v/>
      </c>
    </row>
    <row r="1118" spans="1:20">
      <c r="A1118" s="195" t="str">
        <f>IF(C1118="","",MAX(A$1083:A1117)+1)</f>
        <v/>
      </c>
      <c r="B1118" s="195" t="b">
        <f t="shared" si="17"/>
        <v>0</v>
      </c>
      <c r="C1118" t="str">
        <f>CONCATENATE('Final Building Profile'!B37)</f>
        <v/>
      </c>
      <c r="D1118" t="str">
        <f>CONCATENATE('Final Building Profile'!C37)</f>
        <v/>
      </c>
      <c r="E1118" t="str">
        <f>CONCATENATE('Final Building Profile'!F37)</f>
        <v/>
      </c>
      <c r="F1118" s="315" t="str">
        <f>IF(AND($B1118, Calculations!$B$9), 'Final Building Profile'!J37, "")</f>
        <v/>
      </c>
      <c r="G1118" s="250" t="str">
        <f>IF(AND($B1118, Calculations!$B$9), 'Final Building Profile'!K37, "")</f>
        <v/>
      </c>
      <c r="H1118" t="str">
        <f>IF(AND($B1118, Calculations!$B$9),'Final Building Profile'!M37,"")</f>
        <v/>
      </c>
      <c r="I1118" t="str">
        <f>IF(AND($B1118, Calculations!$B$9),Calculations!AB741,"")</f>
        <v/>
      </c>
      <c r="J1118" t="str">
        <f>IF(AND($B1118, Calculations!$B$9),Calculations!AC741,"")</f>
        <v/>
      </c>
      <c r="K1118" s="315" t="str">
        <f>IF(AND($B1118, Calculations!$B$8), 'Final Building Profile'!J37, "")</f>
        <v/>
      </c>
      <c r="L1118" s="250" t="str">
        <f>IF(AND($B1118, Calculations!$B$8), 'Final Building Profile'!K37, "")</f>
        <v/>
      </c>
      <c r="M1118" t="str">
        <f>IF(AND($B1118, Calculations!$B$8), 'Final Building Profile'!L37, "")</f>
        <v/>
      </c>
      <c r="N1118" t="str">
        <f>IF(AND($B1118, Calculations!$B$8),Calculations!AB741,"")</f>
        <v/>
      </c>
      <c r="O1118" t="str">
        <f>IF(AND($B1118, Calculations!$B$8),Calculations!AC741,"")</f>
        <v/>
      </c>
      <c r="P1118" s="315" t="str">
        <f>IF(AND($B1118, Calculations!$B$7), 'Final Building Profile'!P37, "")</f>
        <v/>
      </c>
      <c r="Q1118" s="204" t="str">
        <f>IF(AND($B1118, Calculations!$B$7), 'Final Building Profile'!Q37, "")</f>
        <v/>
      </c>
      <c r="R1118" t="str">
        <f>IF(AND($B1118, Calculations!$B$7), 'Final Building Profile'!N37-'Final Building Profile'!O37, "")</f>
        <v/>
      </c>
      <c r="S1118" t="str">
        <f>IF(AND($B1118, Calculations!$B$7),Calculations!AD741,"")</f>
        <v/>
      </c>
      <c r="T1118" t="str">
        <f>IF(AND($B1118, Calculations!$B$7),Calculations!AE741,"")</f>
        <v/>
      </c>
    </row>
    <row r="1119" spans="1:20">
      <c r="A1119" s="195" t="str">
        <f>IF(C1119="","",MAX(A$1083:A1118)+1)</f>
        <v/>
      </c>
      <c r="B1119" s="195" t="b">
        <f t="shared" si="17"/>
        <v>0</v>
      </c>
      <c r="C1119" t="str">
        <f>CONCATENATE('Final Building Profile'!B38)</f>
        <v/>
      </c>
      <c r="D1119" t="str">
        <f>CONCATENATE('Final Building Profile'!C38)</f>
        <v/>
      </c>
      <c r="E1119" t="str">
        <f>CONCATENATE('Final Building Profile'!F38)</f>
        <v/>
      </c>
      <c r="F1119" s="315" t="str">
        <f>IF(AND($B1119, Calculations!$B$9), 'Final Building Profile'!J38, "")</f>
        <v/>
      </c>
      <c r="G1119" s="250" t="str">
        <f>IF(AND($B1119, Calculations!$B$9), 'Final Building Profile'!K38, "")</f>
        <v/>
      </c>
      <c r="H1119" t="str">
        <f>IF(AND($B1119, Calculations!$B$9),'Final Building Profile'!M38,"")</f>
        <v/>
      </c>
      <c r="I1119" t="str">
        <f>IF(AND($B1119, Calculations!$B$9),Calculations!AB742,"")</f>
        <v/>
      </c>
      <c r="J1119" t="str">
        <f>IF(AND($B1119, Calculations!$B$9),Calculations!AC742,"")</f>
        <v/>
      </c>
      <c r="K1119" s="315" t="str">
        <f>IF(AND($B1119, Calculations!$B$8), 'Final Building Profile'!J38, "")</f>
        <v/>
      </c>
      <c r="L1119" s="250" t="str">
        <f>IF(AND($B1119, Calculations!$B$8), 'Final Building Profile'!K38, "")</f>
        <v/>
      </c>
      <c r="M1119" t="str">
        <f>IF(AND($B1119, Calculations!$B$8), 'Final Building Profile'!L38, "")</f>
        <v/>
      </c>
      <c r="N1119" t="str">
        <f>IF(AND($B1119, Calculations!$B$8),Calculations!AB742,"")</f>
        <v/>
      </c>
      <c r="O1119" t="str">
        <f>IF(AND($B1119, Calculations!$B$8),Calculations!AC742,"")</f>
        <v/>
      </c>
      <c r="P1119" s="315" t="str">
        <f>IF(AND($B1119, Calculations!$B$7), 'Final Building Profile'!P38, "")</f>
        <v/>
      </c>
      <c r="Q1119" s="204" t="str">
        <f>IF(AND($B1119, Calculations!$B$7), 'Final Building Profile'!Q38, "")</f>
        <v/>
      </c>
      <c r="R1119" t="str">
        <f>IF(AND($B1119, Calculations!$B$7), 'Final Building Profile'!N38-'Final Building Profile'!O38, "")</f>
        <v/>
      </c>
      <c r="S1119" t="str">
        <f>IF(AND($B1119, Calculations!$B$7),Calculations!AD742,"")</f>
        <v/>
      </c>
      <c r="T1119" t="str">
        <f>IF(AND($B1119, Calculations!$B$7),Calculations!AE742,"")</f>
        <v/>
      </c>
    </row>
    <row r="1120" spans="1:20">
      <c r="A1120" s="195" t="str">
        <f>IF(C1120="","",MAX(A$1083:A1119)+1)</f>
        <v/>
      </c>
      <c r="B1120" s="195" t="b">
        <f t="shared" si="17"/>
        <v>0</v>
      </c>
      <c r="C1120" t="str">
        <f>CONCATENATE('Final Building Profile'!B39)</f>
        <v/>
      </c>
      <c r="D1120" t="str">
        <f>CONCATENATE('Final Building Profile'!C39)</f>
        <v/>
      </c>
      <c r="E1120" t="str">
        <f>CONCATENATE('Final Building Profile'!F39)</f>
        <v/>
      </c>
      <c r="F1120" s="315" t="str">
        <f>IF(AND($B1120, Calculations!$B$9), 'Final Building Profile'!J39, "")</f>
        <v/>
      </c>
      <c r="G1120" s="250" t="str">
        <f>IF(AND($B1120, Calculations!$B$9), 'Final Building Profile'!K39, "")</f>
        <v/>
      </c>
      <c r="H1120" t="str">
        <f>IF(AND($B1120, Calculations!$B$9),'Final Building Profile'!M39,"")</f>
        <v/>
      </c>
      <c r="I1120" t="str">
        <f>IF(AND($B1120, Calculations!$B$9),Calculations!AB743,"")</f>
        <v/>
      </c>
      <c r="J1120" t="str">
        <f>IF(AND($B1120, Calculations!$B$9),Calculations!AC743,"")</f>
        <v/>
      </c>
      <c r="K1120" s="315" t="str">
        <f>IF(AND($B1120, Calculations!$B$8), 'Final Building Profile'!J39, "")</f>
        <v/>
      </c>
      <c r="L1120" s="250" t="str">
        <f>IF(AND($B1120, Calculations!$B$8), 'Final Building Profile'!K39, "")</f>
        <v/>
      </c>
      <c r="M1120" t="str">
        <f>IF(AND($B1120, Calculations!$B$8), 'Final Building Profile'!L39, "")</f>
        <v/>
      </c>
      <c r="N1120" t="str">
        <f>IF(AND($B1120, Calculations!$B$8),Calculations!AB743,"")</f>
        <v/>
      </c>
      <c r="O1120" t="str">
        <f>IF(AND($B1120, Calculations!$B$8),Calculations!AC743,"")</f>
        <v/>
      </c>
      <c r="P1120" s="315" t="str">
        <f>IF(AND($B1120, Calculations!$B$7), 'Final Building Profile'!P39, "")</f>
        <v/>
      </c>
      <c r="Q1120" s="204" t="str">
        <f>IF(AND($B1120, Calculations!$B$7), 'Final Building Profile'!Q39, "")</f>
        <v/>
      </c>
      <c r="R1120" t="str">
        <f>IF(AND($B1120, Calculations!$B$7), 'Final Building Profile'!N39-'Final Building Profile'!O39, "")</f>
        <v/>
      </c>
      <c r="S1120" t="str">
        <f>IF(AND($B1120, Calculations!$B$7),Calculations!AD743,"")</f>
        <v/>
      </c>
      <c r="T1120" t="str">
        <f>IF(AND($B1120, Calculations!$B$7),Calculations!AE743,"")</f>
        <v/>
      </c>
    </row>
    <row r="1121" spans="1:20">
      <c r="A1121" s="195" t="str">
        <f>IF(C1121="","",MAX(A$1083:A1120)+1)</f>
        <v/>
      </c>
      <c r="B1121" s="195" t="b">
        <f t="shared" si="17"/>
        <v>0</v>
      </c>
      <c r="C1121" t="str">
        <f>CONCATENATE('Final Building Profile'!B40)</f>
        <v/>
      </c>
      <c r="D1121" t="str">
        <f>CONCATENATE('Final Building Profile'!C40)</f>
        <v/>
      </c>
      <c r="E1121" t="str">
        <f>CONCATENATE('Final Building Profile'!F40)</f>
        <v/>
      </c>
      <c r="F1121" s="315" t="str">
        <f>IF(AND($B1121, Calculations!$B$9), 'Final Building Profile'!J40, "")</f>
        <v/>
      </c>
      <c r="G1121" s="250" t="str">
        <f>IF(AND($B1121, Calculations!$B$9), 'Final Building Profile'!K40, "")</f>
        <v/>
      </c>
      <c r="H1121" t="str">
        <f>IF(AND($B1121, Calculations!$B$9),'Final Building Profile'!M40,"")</f>
        <v/>
      </c>
      <c r="I1121" t="str">
        <f>IF(AND($B1121, Calculations!$B$9),Calculations!AB744,"")</f>
        <v/>
      </c>
      <c r="J1121" t="str">
        <f>IF(AND($B1121, Calculations!$B$9),Calculations!AC744,"")</f>
        <v/>
      </c>
      <c r="K1121" s="315" t="str">
        <f>IF(AND($B1121, Calculations!$B$8), 'Final Building Profile'!J40, "")</f>
        <v/>
      </c>
      <c r="L1121" s="250" t="str">
        <f>IF(AND($B1121, Calculations!$B$8), 'Final Building Profile'!K40, "")</f>
        <v/>
      </c>
      <c r="M1121" t="str">
        <f>IF(AND($B1121, Calculations!$B$8), 'Final Building Profile'!L40, "")</f>
        <v/>
      </c>
      <c r="N1121" t="str">
        <f>IF(AND($B1121, Calculations!$B$8),Calculations!AB744,"")</f>
        <v/>
      </c>
      <c r="O1121" t="str">
        <f>IF(AND($B1121, Calculations!$B$8),Calculations!AC744,"")</f>
        <v/>
      </c>
      <c r="P1121" s="315" t="str">
        <f>IF(AND($B1121, Calculations!$B$7), 'Final Building Profile'!P40, "")</f>
        <v/>
      </c>
      <c r="Q1121" s="204" t="str">
        <f>IF(AND($B1121, Calculations!$B$7), 'Final Building Profile'!Q40, "")</f>
        <v/>
      </c>
      <c r="R1121" t="str">
        <f>IF(AND($B1121, Calculations!$B$7), 'Final Building Profile'!N40-'Final Building Profile'!O40, "")</f>
        <v/>
      </c>
      <c r="S1121" t="str">
        <f>IF(AND($B1121, Calculations!$B$7),Calculations!AD744,"")</f>
        <v/>
      </c>
      <c r="T1121" t="str">
        <f>IF(AND($B1121, Calculations!$B$7),Calculations!AE744,"")</f>
        <v/>
      </c>
    </row>
    <row r="1122" spans="1:20">
      <c r="A1122" s="195" t="str">
        <f>IF(C1122="","",MAX(A$1083:A1121)+1)</f>
        <v/>
      </c>
      <c r="B1122" s="195" t="b">
        <f t="shared" si="17"/>
        <v>0</v>
      </c>
      <c r="C1122" t="str">
        <f>CONCATENATE('Final Building Profile'!B41)</f>
        <v/>
      </c>
      <c r="D1122" t="str">
        <f>CONCATENATE('Final Building Profile'!C41)</f>
        <v/>
      </c>
      <c r="E1122" t="str">
        <f>CONCATENATE('Final Building Profile'!F41)</f>
        <v/>
      </c>
      <c r="F1122" s="315" t="str">
        <f>IF(AND($B1122, Calculations!$B$9), 'Final Building Profile'!J41, "")</f>
        <v/>
      </c>
      <c r="G1122" s="250" t="str">
        <f>IF(AND($B1122, Calculations!$B$9), 'Final Building Profile'!K41, "")</f>
        <v/>
      </c>
      <c r="H1122" t="str">
        <f>IF(AND($B1122, Calculations!$B$9),'Final Building Profile'!M41,"")</f>
        <v/>
      </c>
      <c r="I1122" t="str">
        <f>IF(AND($B1122, Calculations!$B$9),Calculations!AB745,"")</f>
        <v/>
      </c>
      <c r="J1122" t="str">
        <f>IF(AND($B1122, Calculations!$B$9),Calculations!AC745,"")</f>
        <v/>
      </c>
      <c r="K1122" s="315" t="str">
        <f>IF(AND($B1122, Calculations!$B$8), 'Final Building Profile'!J41, "")</f>
        <v/>
      </c>
      <c r="L1122" s="250" t="str">
        <f>IF(AND($B1122, Calculations!$B$8), 'Final Building Profile'!K41, "")</f>
        <v/>
      </c>
      <c r="M1122" t="str">
        <f>IF(AND($B1122, Calculations!$B$8), 'Final Building Profile'!L41, "")</f>
        <v/>
      </c>
      <c r="N1122" t="str">
        <f>IF(AND($B1122, Calculations!$B$8),Calculations!AB745,"")</f>
        <v/>
      </c>
      <c r="O1122" t="str">
        <f>IF(AND($B1122, Calculations!$B$8),Calculations!AC745,"")</f>
        <v/>
      </c>
      <c r="P1122" s="315" t="str">
        <f>IF(AND($B1122, Calculations!$B$7), 'Final Building Profile'!P41, "")</f>
        <v/>
      </c>
      <c r="Q1122" s="204" t="str">
        <f>IF(AND($B1122, Calculations!$B$7), 'Final Building Profile'!Q41, "")</f>
        <v/>
      </c>
      <c r="R1122" t="str">
        <f>IF(AND($B1122, Calculations!$B$7), 'Final Building Profile'!N41-'Final Building Profile'!O41, "")</f>
        <v/>
      </c>
      <c r="S1122" t="str">
        <f>IF(AND($B1122, Calculations!$B$7),Calculations!AD745,"")</f>
        <v/>
      </c>
      <c r="T1122" t="str">
        <f>IF(AND($B1122, Calculations!$B$7),Calculations!AE745,"")</f>
        <v/>
      </c>
    </row>
    <row r="1123" spans="1:20">
      <c r="A1123" s="195" t="str">
        <f>IF(C1123="","",MAX(A$1083:A1122)+1)</f>
        <v/>
      </c>
      <c r="B1123" s="195" t="b">
        <f t="shared" si="17"/>
        <v>0</v>
      </c>
      <c r="C1123" t="str">
        <f>CONCATENATE('Final Building Profile'!B42)</f>
        <v/>
      </c>
      <c r="D1123" t="str">
        <f>CONCATENATE('Final Building Profile'!C42)</f>
        <v/>
      </c>
      <c r="E1123" t="str">
        <f>CONCATENATE('Final Building Profile'!F42)</f>
        <v/>
      </c>
      <c r="F1123" s="315" t="str">
        <f>IF(AND($B1123, Calculations!$B$9), 'Final Building Profile'!J42, "")</f>
        <v/>
      </c>
      <c r="G1123" s="250" t="str">
        <f>IF(AND($B1123, Calculations!$B$9), 'Final Building Profile'!K42, "")</f>
        <v/>
      </c>
      <c r="H1123" t="str">
        <f>IF(AND($B1123, Calculations!$B$9),'Final Building Profile'!M42,"")</f>
        <v/>
      </c>
      <c r="I1123" t="str">
        <f>IF(AND($B1123, Calculations!$B$9),Calculations!AB746,"")</f>
        <v/>
      </c>
      <c r="J1123" t="str">
        <f>IF(AND($B1123, Calculations!$B$9),Calculations!AC746,"")</f>
        <v/>
      </c>
      <c r="K1123" s="315" t="str">
        <f>IF(AND($B1123, Calculations!$B$8), 'Final Building Profile'!J42, "")</f>
        <v/>
      </c>
      <c r="L1123" s="250" t="str">
        <f>IF(AND($B1123, Calculations!$B$8), 'Final Building Profile'!K42, "")</f>
        <v/>
      </c>
      <c r="M1123" t="str">
        <f>IF(AND($B1123, Calculations!$B$8), 'Final Building Profile'!L42, "")</f>
        <v/>
      </c>
      <c r="N1123" t="str">
        <f>IF(AND($B1123, Calculations!$B$8),Calculations!AB746,"")</f>
        <v/>
      </c>
      <c r="O1123" t="str">
        <f>IF(AND($B1123, Calculations!$B$8),Calculations!AC746,"")</f>
        <v/>
      </c>
      <c r="P1123" s="315" t="str">
        <f>IF(AND($B1123, Calculations!$B$7), 'Final Building Profile'!P42, "")</f>
        <v/>
      </c>
      <c r="Q1123" s="204" t="str">
        <f>IF(AND($B1123, Calculations!$B$7), 'Final Building Profile'!Q42, "")</f>
        <v/>
      </c>
      <c r="R1123" t="str">
        <f>IF(AND($B1123, Calculations!$B$7), 'Final Building Profile'!N42-'Final Building Profile'!O42, "")</f>
        <v/>
      </c>
      <c r="S1123" t="str">
        <f>IF(AND($B1123, Calculations!$B$7),Calculations!AD746,"")</f>
        <v/>
      </c>
      <c r="T1123" t="str">
        <f>IF(AND($B1123, Calculations!$B$7),Calculations!AE746,"")</f>
        <v/>
      </c>
    </row>
    <row r="1124" spans="1:20">
      <c r="A1124" s="195" t="str">
        <f>IF(C1124="","",MAX(A$1083:A1123)+1)</f>
        <v/>
      </c>
      <c r="B1124" s="195" t="b">
        <f t="shared" si="17"/>
        <v>0</v>
      </c>
      <c r="C1124" t="str">
        <f>CONCATENATE('Final Building Profile'!B43)</f>
        <v/>
      </c>
      <c r="D1124" t="str">
        <f>CONCATENATE('Final Building Profile'!C43)</f>
        <v/>
      </c>
      <c r="E1124" t="str">
        <f>CONCATENATE('Final Building Profile'!F43)</f>
        <v/>
      </c>
      <c r="F1124" s="315" t="str">
        <f>IF(AND($B1124, Calculations!$B$9), 'Final Building Profile'!J43, "")</f>
        <v/>
      </c>
      <c r="G1124" s="250" t="str">
        <f>IF(AND($B1124, Calculations!$B$9), 'Final Building Profile'!K43, "")</f>
        <v/>
      </c>
      <c r="H1124" t="str">
        <f>IF(AND($B1124, Calculations!$B$9),'Final Building Profile'!M43,"")</f>
        <v/>
      </c>
      <c r="I1124" t="str">
        <f>IF(AND($B1124, Calculations!$B$9),Calculations!AB747,"")</f>
        <v/>
      </c>
      <c r="J1124" t="str">
        <f>IF(AND($B1124, Calculations!$B$9),Calculations!AC747,"")</f>
        <v/>
      </c>
      <c r="K1124" s="315" t="str">
        <f>IF(AND($B1124, Calculations!$B$8), 'Final Building Profile'!J43, "")</f>
        <v/>
      </c>
      <c r="L1124" s="250" t="str">
        <f>IF(AND($B1124, Calculations!$B$8), 'Final Building Profile'!K43, "")</f>
        <v/>
      </c>
      <c r="M1124" t="str">
        <f>IF(AND($B1124, Calculations!$B$8), 'Final Building Profile'!L43, "")</f>
        <v/>
      </c>
      <c r="N1124" t="str">
        <f>IF(AND($B1124, Calculations!$B$8),Calculations!AB747,"")</f>
        <v/>
      </c>
      <c r="O1124" t="str">
        <f>IF(AND($B1124, Calculations!$B$8),Calculations!AC747,"")</f>
        <v/>
      </c>
      <c r="P1124" s="315" t="str">
        <f>IF(AND($B1124, Calculations!$B$7), 'Final Building Profile'!P43, "")</f>
        <v/>
      </c>
      <c r="Q1124" s="204" t="str">
        <f>IF(AND($B1124, Calculations!$B$7), 'Final Building Profile'!Q43, "")</f>
        <v/>
      </c>
      <c r="R1124" t="str">
        <f>IF(AND($B1124, Calculations!$B$7), 'Final Building Profile'!N43-'Final Building Profile'!O43, "")</f>
        <v/>
      </c>
      <c r="S1124" t="str">
        <f>IF(AND($B1124, Calculations!$B$7),Calculations!AD747,"")</f>
        <v/>
      </c>
      <c r="T1124" t="str">
        <f>IF(AND($B1124, Calculations!$B$7),Calculations!AE747,"")</f>
        <v/>
      </c>
    </row>
    <row r="1125" spans="1:20">
      <c r="A1125" s="195" t="str">
        <f>IF(C1125="","",MAX(A$1083:A1124)+1)</f>
        <v/>
      </c>
      <c r="B1125" s="195" t="b">
        <f t="shared" si="17"/>
        <v>0</v>
      </c>
      <c r="C1125" t="str">
        <f>CONCATENATE('Final Building Profile'!B44)</f>
        <v/>
      </c>
      <c r="D1125" t="str">
        <f>CONCATENATE('Final Building Profile'!C44)</f>
        <v/>
      </c>
      <c r="E1125" t="str">
        <f>CONCATENATE('Final Building Profile'!F44)</f>
        <v/>
      </c>
      <c r="F1125" s="315" t="str">
        <f>IF(AND($B1125, Calculations!$B$9), 'Final Building Profile'!J44, "")</f>
        <v/>
      </c>
      <c r="G1125" s="250" t="str">
        <f>IF(AND($B1125, Calculations!$B$9), 'Final Building Profile'!K44, "")</f>
        <v/>
      </c>
      <c r="H1125" t="str">
        <f>IF(AND($B1125, Calculations!$B$9),'Final Building Profile'!M44,"")</f>
        <v/>
      </c>
      <c r="I1125" t="str">
        <f>IF(AND($B1125, Calculations!$B$9),Calculations!AB748,"")</f>
        <v/>
      </c>
      <c r="J1125" t="str">
        <f>IF(AND($B1125, Calculations!$B$9),Calculations!AC748,"")</f>
        <v/>
      </c>
      <c r="K1125" s="315" t="str">
        <f>IF(AND($B1125, Calculations!$B$8), 'Final Building Profile'!J44, "")</f>
        <v/>
      </c>
      <c r="L1125" s="250" t="str">
        <f>IF(AND($B1125, Calculations!$B$8), 'Final Building Profile'!K44, "")</f>
        <v/>
      </c>
      <c r="M1125" t="str">
        <f>IF(AND($B1125, Calculations!$B$8), 'Final Building Profile'!L44, "")</f>
        <v/>
      </c>
      <c r="N1125" t="str">
        <f>IF(AND($B1125, Calculations!$B$8),Calculations!AB748,"")</f>
        <v/>
      </c>
      <c r="O1125" t="str">
        <f>IF(AND($B1125, Calculations!$B$8),Calculations!AC748,"")</f>
        <v/>
      </c>
      <c r="P1125" s="315" t="str">
        <f>IF(AND($B1125, Calculations!$B$7), 'Final Building Profile'!P44, "")</f>
        <v/>
      </c>
      <c r="Q1125" s="204" t="str">
        <f>IF(AND($B1125, Calculations!$B$7), 'Final Building Profile'!Q44, "")</f>
        <v/>
      </c>
      <c r="R1125" t="str">
        <f>IF(AND($B1125, Calculations!$B$7), 'Final Building Profile'!N44-'Final Building Profile'!O44, "")</f>
        <v/>
      </c>
      <c r="S1125" t="str">
        <f>IF(AND($B1125, Calculations!$B$7),Calculations!AD748,"")</f>
        <v/>
      </c>
      <c r="T1125" t="str">
        <f>IF(AND($B1125, Calculations!$B$7),Calculations!AE748,"")</f>
        <v/>
      </c>
    </row>
    <row r="1126" spans="1:20">
      <c r="A1126" s="195" t="str">
        <f>IF(C1126="","",MAX(A$1083:A1125)+1)</f>
        <v/>
      </c>
      <c r="B1126" s="195" t="b">
        <f t="shared" si="17"/>
        <v>0</v>
      </c>
      <c r="C1126" t="str">
        <f>CONCATENATE('Final Building Profile'!B45)</f>
        <v/>
      </c>
      <c r="D1126" t="str">
        <f>CONCATENATE('Final Building Profile'!C45)</f>
        <v/>
      </c>
      <c r="E1126" t="str">
        <f>CONCATENATE('Final Building Profile'!F45)</f>
        <v/>
      </c>
      <c r="F1126" s="315" t="str">
        <f>IF(AND($B1126, Calculations!$B$9), 'Final Building Profile'!J45, "")</f>
        <v/>
      </c>
      <c r="G1126" s="250" t="str">
        <f>IF(AND($B1126, Calculations!$B$9), 'Final Building Profile'!K45, "")</f>
        <v/>
      </c>
      <c r="H1126" t="str">
        <f>IF(AND($B1126, Calculations!$B$9),'Final Building Profile'!M45,"")</f>
        <v/>
      </c>
      <c r="I1126" t="str">
        <f>IF(AND($B1126, Calculations!$B$9),Calculations!AB749,"")</f>
        <v/>
      </c>
      <c r="J1126" t="str">
        <f>IF(AND($B1126, Calculations!$B$9),Calculations!AC749,"")</f>
        <v/>
      </c>
      <c r="K1126" s="315" t="str">
        <f>IF(AND($B1126, Calculations!$B$8), 'Final Building Profile'!J45, "")</f>
        <v/>
      </c>
      <c r="L1126" s="250" t="str">
        <f>IF(AND($B1126, Calculations!$B$8), 'Final Building Profile'!K45, "")</f>
        <v/>
      </c>
      <c r="M1126" t="str">
        <f>IF(AND($B1126, Calculations!$B$8), 'Final Building Profile'!L45, "")</f>
        <v/>
      </c>
      <c r="N1126" t="str">
        <f>IF(AND($B1126, Calculations!$B$8),Calculations!AB749,"")</f>
        <v/>
      </c>
      <c r="O1126" t="str">
        <f>IF(AND($B1126, Calculations!$B$8),Calculations!AC749,"")</f>
        <v/>
      </c>
      <c r="P1126" s="315" t="str">
        <f>IF(AND($B1126, Calculations!$B$7), 'Final Building Profile'!P45, "")</f>
        <v/>
      </c>
      <c r="Q1126" s="204" t="str">
        <f>IF(AND($B1126, Calculations!$B$7), 'Final Building Profile'!Q45, "")</f>
        <v/>
      </c>
      <c r="R1126" t="str">
        <f>IF(AND($B1126, Calculations!$B$7), 'Final Building Profile'!N45-'Final Building Profile'!O45, "")</f>
        <v/>
      </c>
      <c r="S1126" t="str">
        <f>IF(AND($B1126, Calculations!$B$7),Calculations!AD749,"")</f>
        <v/>
      </c>
      <c r="T1126" t="str">
        <f>IF(AND($B1126, Calculations!$B$7),Calculations!AE749,"")</f>
        <v/>
      </c>
    </row>
    <row r="1127" spans="1:20">
      <c r="A1127" s="195" t="str">
        <f>IF(C1127="","",MAX(A$1083:A1126)+1)</f>
        <v/>
      </c>
      <c r="B1127" s="195" t="b">
        <f t="shared" si="17"/>
        <v>0</v>
      </c>
      <c r="C1127" t="str">
        <f>CONCATENATE('Final Building Profile'!B46)</f>
        <v/>
      </c>
      <c r="D1127" t="str">
        <f>CONCATENATE('Final Building Profile'!C46)</f>
        <v/>
      </c>
      <c r="E1127" t="str">
        <f>CONCATENATE('Final Building Profile'!F46)</f>
        <v/>
      </c>
      <c r="F1127" s="315" t="str">
        <f>IF(AND($B1127, Calculations!$B$9), 'Final Building Profile'!J46, "")</f>
        <v/>
      </c>
      <c r="G1127" s="250" t="str">
        <f>IF(AND($B1127, Calculations!$B$9), 'Final Building Profile'!K46, "")</f>
        <v/>
      </c>
      <c r="H1127" t="str">
        <f>IF(AND($B1127, Calculations!$B$9),'Final Building Profile'!M46,"")</f>
        <v/>
      </c>
      <c r="I1127" t="str">
        <f>IF(AND($B1127, Calculations!$B$9),Calculations!AB750,"")</f>
        <v/>
      </c>
      <c r="J1127" t="str">
        <f>IF(AND($B1127, Calculations!$B$9),Calculations!AC750,"")</f>
        <v/>
      </c>
      <c r="K1127" s="315" t="str">
        <f>IF(AND($B1127, Calculations!$B$8), 'Final Building Profile'!J46, "")</f>
        <v/>
      </c>
      <c r="L1127" s="250" t="str">
        <f>IF(AND($B1127, Calculations!$B$8), 'Final Building Profile'!K46, "")</f>
        <v/>
      </c>
      <c r="M1127" t="str">
        <f>IF(AND($B1127, Calculations!$B$8), 'Final Building Profile'!L46, "")</f>
        <v/>
      </c>
      <c r="N1127" t="str">
        <f>IF(AND($B1127, Calculations!$B$8),Calculations!AB750,"")</f>
        <v/>
      </c>
      <c r="O1127" t="str">
        <f>IF(AND($B1127, Calculations!$B$8),Calculations!AC750,"")</f>
        <v/>
      </c>
      <c r="P1127" s="315" t="str">
        <f>IF(AND($B1127, Calculations!$B$7), 'Final Building Profile'!P46, "")</f>
        <v/>
      </c>
      <c r="Q1127" s="204" t="str">
        <f>IF(AND($B1127, Calculations!$B$7), 'Final Building Profile'!Q46, "")</f>
        <v/>
      </c>
      <c r="R1127" t="str">
        <f>IF(AND($B1127, Calculations!$B$7), 'Final Building Profile'!N46-'Final Building Profile'!O46, "")</f>
        <v/>
      </c>
      <c r="S1127" t="str">
        <f>IF(AND($B1127, Calculations!$B$7),Calculations!AD750,"")</f>
        <v/>
      </c>
      <c r="T1127" t="str">
        <f>IF(AND($B1127, Calculations!$B$7),Calculations!AE750,"")</f>
        <v/>
      </c>
    </row>
    <row r="1128" spans="1:20">
      <c r="A1128" s="195" t="str">
        <f>IF(C1128="","",MAX(A$1083:A1127)+1)</f>
        <v/>
      </c>
      <c r="B1128" s="195" t="b">
        <f t="shared" si="17"/>
        <v>0</v>
      </c>
      <c r="C1128" t="str">
        <f>CONCATENATE('Final Building Profile'!B47)</f>
        <v/>
      </c>
      <c r="D1128" t="str">
        <f>CONCATENATE('Final Building Profile'!C47)</f>
        <v/>
      </c>
      <c r="E1128" t="str">
        <f>CONCATENATE('Final Building Profile'!F47)</f>
        <v/>
      </c>
      <c r="F1128" s="315" t="str">
        <f>IF(AND($B1128, Calculations!$B$9), 'Final Building Profile'!J47, "")</f>
        <v/>
      </c>
      <c r="G1128" s="250" t="str">
        <f>IF(AND($B1128, Calculations!$B$9), 'Final Building Profile'!K47, "")</f>
        <v/>
      </c>
      <c r="H1128" t="str">
        <f>IF(AND($B1128, Calculations!$B$9),'Final Building Profile'!M47,"")</f>
        <v/>
      </c>
      <c r="I1128" t="str">
        <f>IF(AND($B1128, Calculations!$B$9),Calculations!AB751,"")</f>
        <v/>
      </c>
      <c r="J1128" t="str">
        <f>IF(AND($B1128, Calculations!$B$9),Calculations!AC751,"")</f>
        <v/>
      </c>
      <c r="K1128" s="315" t="str">
        <f>IF(AND($B1128, Calculations!$B$8), 'Final Building Profile'!J47, "")</f>
        <v/>
      </c>
      <c r="L1128" s="250" t="str">
        <f>IF(AND($B1128, Calculations!$B$8), 'Final Building Profile'!K47, "")</f>
        <v/>
      </c>
      <c r="M1128" t="str">
        <f>IF(AND($B1128, Calculations!$B$8), 'Final Building Profile'!L47, "")</f>
        <v/>
      </c>
      <c r="N1128" t="str">
        <f>IF(AND($B1128, Calculations!$B$8),Calculations!AB751,"")</f>
        <v/>
      </c>
      <c r="O1128" t="str">
        <f>IF(AND($B1128, Calculations!$B$8),Calculations!AC751,"")</f>
        <v/>
      </c>
      <c r="P1128" s="315" t="str">
        <f>IF(AND($B1128, Calculations!$B$7), 'Final Building Profile'!P47, "")</f>
        <v/>
      </c>
      <c r="Q1128" s="204" t="str">
        <f>IF(AND($B1128, Calculations!$B$7), 'Final Building Profile'!Q47, "")</f>
        <v/>
      </c>
      <c r="R1128" t="str">
        <f>IF(AND($B1128, Calculations!$B$7), 'Final Building Profile'!N47-'Final Building Profile'!O47, "")</f>
        <v/>
      </c>
      <c r="S1128" t="str">
        <f>IF(AND($B1128, Calculations!$B$7),Calculations!AD751,"")</f>
        <v/>
      </c>
      <c r="T1128" t="str">
        <f>IF(AND($B1128, Calculations!$B$7),Calculations!AE751,"")</f>
        <v/>
      </c>
    </row>
    <row r="1129" spans="1:20">
      <c r="A1129" s="195" t="str">
        <f>IF(C1129="","",MAX(A$1083:A1128)+1)</f>
        <v/>
      </c>
      <c r="B1129" s="195" t="b">
        <f t="shared" si="17"/>
        <v>0</v>
      </c>
      <c r="C1129" t="str">
        <f>CONCATENATE('Final Building Profile'!B48)</f>
        <v/>
      </c>
      <c r="D1129" t="str">
        <f>CONCATENATE('Final Building Profile'!C48)</f>
        <v/>
      </c>
      <c r="E1129" t="str">
        <f>CONCATENATE('Final Building Profile'!F48)</f>
        <v/>
      </c>
      <c r="F1129" s="315" t="str">
        <f>IF(AND($B1129, Calculations!$B$9), 'Final Building Profile'!J48, "")</f>
        <v/>
      </c>
      <c r="G1129" s="250" t="str">
        <f>IF(AND($B1129, Calculations!$B$9), 'Final Building Profile'!K48, "")</f>
        <v/>
      </c>
      <c r="H1129" t="str">
        <f>IF(AND($B1129, Calculations!$B$9),'Final Building Profile'!M48,"")</f>
        <v/>
      </c>
      <c r="I1129" t="str">
        <f>IF(AND($B1129, Calculations!$B$9),Calculations!AB752,"")</f>
        <v/>
      </c>
      <c r="J1129" t="str">
        <f>IF(AND($B1129, Calculations!$B$9),Calculations!AC752,"")</f>
        <v/>
      </c>
      <c r="K1129" s="315" t="str">
        <f>IF(AND($B1129, Calculations!$B$8), 'Final Building Profile'!J48, "")</f>
        <v/>
      </c>
      <c r="L1129" s="250" t="str">
        <f>IF(AND($B1129, Calculations!$B$8), 'Final Building Profile'!K48, "")</f>
        <v/>
      </c>
      <c r="M1129" t="str">
        <f>IF(AND($B1129, Calculations!$B$8), 'Final Building Profile'!L48, "")</f>
        <v/>
      </c>
      <c r="N1129" t="str">
        <f>IF(AND($B1129, Calculations!$B$8),Calculations!AB752,"")</f>
        <v/>
      </c>
      <c r="O1129" t="str">
        <f>IF(AND($B1129, Calculations!$B$8),Calculations!AC752,"")</f>
        <v/>
      </c>
      <c r="P1129" s="315" t="str">
        <f>IF(AND($B1129, Calculations!$B$7), 'Final Building Profile'!P48, "")</f>
        <v/>
      </c>
      <c r="Q1129" s="204" t="str">
        <f>IF(AND($B1129, Calculations!$B$7), 'Final Building Profile'!Q48, "")</f>
        <v/>
      </c>
      <c r="R1129" t="str">
        <f>IF(AND($B1129, Calculations!$B$7), 'Final Building Profile'!N48-'Final Building Profile'!O48, "")</f>
        <v/>
      </c>
      <c r="S1129" t="str">
        <f>IF(AND($B1129, Calculations!$B$7),Calculations!AD752,"")</f>
        <v/>
      </c>
      <c r="T1129" t="str">
        <f>IF(AND($B1129, Calculations!$B$7),Calculations!AE752,"")</f>
        <v/>
      </c>
    </row>
    <row r="1130" spans="1:20">
      <c r="A1130" s="195" t="str">
        <f>IF(C1130="","",MAX(A$1083:A1129)+1)</f>
        <v/>
      </c>
      <c r="B1130" s="195" t="b">
        <f t="shared" si="17"/>
        <v>0</v>
      </c>
      <c r="C1130" t="str">
        <f>CONCATENATE('Final Building Profile'!B49)</f>
        <v/>
      </c>
      <c r="D1130" t="str">
        <f>CONCATENATE('Final Building Profile'!C49)</f>
        <v/>
      </c>
      <c r="E1130" t="str">
        <f>CONCATENATE('Final Building Profile'!F49)</f>
        <v/>
      </c>
      <c r="F1130" s="315" t="str">
        <f>IF(AND($B1130, Calculations!$B$9), 'Final Building Profile'!J49, "")</f>
        <v/>
      </c>
      <c r="G1130" s="250" t="str">
        <f>IF(AND($B1130, Calculations!$B$9), 'Final Building Profile'!K49, "")</f>
        <v/>
      </c>
      <c r="H1130" t="str">
        <f>IF(AND($B1130, Calculations!$B$9),'Final Building Profile'!M49,"")</f>
        <v/>
      </c>
      <c r="I1130" t="str">
        <f>IF(AND($B1130, Calculations!$B$9),Calculations!AB753,"")</f>
        <v/>
      </c>
      <c r="J1130" t="str">
        <f>IF(AND($B1130, Calculations!$B$9),Calculations!AC753,"")</f>
        <v/>
      </c>
      <c r="K1130" s="315" t="str">
        <f>IF(AND($B1130, Calculations!$B$8), 'Final Building Profile'!J49, "")</f>
        <v/>
      </c>
      <c r="L1130" s="250" t="str">
        <f>IF(AND($B1130, Calculations!$B$8), 'Final Building Profile'!K49, "")</f>
        <v/>
      </c>
      <c r="M1130" t="str">
        <f>IF(AND($B1130, Calculations!$B$8), 'Final Building Profile'!L49, "")</f>
        <v/>
      </c>
      <c r="N1130" t="str">
        <f>IF(AND($B1130, Calculations!$B$8),Calculations!AB753,"")</f>
        <v/>
      </c>
      <c r="O1130" t="str">
        <f>IF(AND($B1130, Calculations!$B$8),Calculations!AC753,"")</f>
        <v/>
      </c>
      <c r="P1130" s="315" t="str">
        <f>IF(AND($B1130, Calculations!$B$7), 'Final Building Profile'!P49, "")</f>
        <v/>
      </c>
      <c r="Q1130" s="204" t="str">
        <f>IF(AND($B1130, Calculations!$B$7), 'Final Building Profile'!Q49, "")</f>
        <v/>
      </c>
      <c r="R1130" t="str">
        <f>IF(AND($B1130, Calculations!$B$7), 'Final Building Profile'!N49-'Final Building Profile'!O49, "")</f>
        <v/>
      </c>
      <c r="S1130" t="str">
        <f>IF(AND($B1130, Calculations!$B$7),Calculations!AD753,"")</f>
        <v/>
      </c>
      <c r="T1130" t="str">
        <f>IF(AND($B1130, Calculations!$B$7),Calculations!AE753,"")</f>
        <v/>
      </c>
    </row>
    <row r="1131" spans="1:20">
      <c r="A1131" s="195" t="str">
        <f>IF(C1131="","",MAX(A$1083:A1130)+1)</f>
        <v/>
      </c>
      <c r="B1131" s="195" t="b">
        <f t="shared" si="17"/>
        <v>0</v>
      </c>
      <c r="C1131" t="str">
        <f>CONCATENATE('Final Building Profile'!B50)</f>
        <v/>
      </c>
      <c r="D1131" t="str">
        <f>CONCATENATE('Final Building Profile'!C50)</f>
        <v/>
      </c>
      <c r="E1131" t="str">
        <f>CONCATENATE('Final Building Profile'!F50)</f>
        <v/>
      </c>
      <c r="F1131" s="315" t="str">
        <f>IF(AND($B1131, Calculations!$B$9), 'Final Building Profile'!J50, "")</f>
        <v/>
      </c>
      <c r="G1131" s="250" t="str">
        <f>IF(AND($B1131, Calculations!$B$9), 'Final Building Profile'!K50, "")</f>
        <v/>
      </c>
      <c r="H1131" t="str">
        <f>IF(AND($B1131, Calculations!$B$9),'Final Building Profile'!M50,"")</f>
        <v/>
      </c>
      <c r="I1131" t="str">
        <f>IF(AND($B1131, Calculations!$B$9),Calculations!AB754,"")</f>
        <v/>
      </c>
      <c r="J1131" t="str">
        <f>IF(AND($B1131, Calculations!$B$9),Calculations!AC754,"")</f>
        <v/>
      </c>
      <c r="K1131" s="315" t="str">
        <f>IF(AND($B1131, Calculations!$B$8), 'Final Building Profile'!J50, "")</f>
        <v/>
      </c>
      <c r="L1131" s="250" t="str">
        <f>IF(AND($B1131, Calculations!$B$8), 'Final Building Profile'!K50, "")</f>
        <v/>
      </c>
      <c r="M1131" t="str">
        <f>IF(AND($B1131, Calculations!$B$8), 'Final Building Profile'!L50, "")</f>
        <v/>
      </c>
      <c r="N1131" t="str">
        <f>IF(AND($B1131, Calculations!$B$8),Calculations!AB754,"")</f>
        <v/>
      </c>
      <c r="O1131" t="str">
        <f>IF(AND($B1131, Calculations!$B$8),Calculations!AC754,"")</f>
        <v/>
      </c>
      <c r="P1131" s="315" t="str">
        <f>IF(AND($B1131, Calculations!$B$7), 'Final Building Profile'!P50, "")</f>
        <v/>
      </c>
      <c r="Q1131" s="204" t="str">
        <f>IF(AND($B1131, Calculations!$B$7), 'Final Building Profile'!Q50, "")</f>
        <v/>
      </c>
      <c r="R1131" t="str">
        <f>IF(AND($B1131, Calculations!$B$7), 'Final Building Profile'!N50-'Final Building Profile'!O50, "")</f>
        <v/>
      </c>
      <c r="S1131" t="str">
        <f>IF(AND($B1131, Calculations!$B$7),Calculations!AD754,"")</f>
        <v/>
      </c>
      <c r="T1131" t="str">
        <f>IF(AND($B1131, Calculations!$B$7),Calculations!AE754,"")</f>
        <v/>
      </c>
    </row>
    <row r="1132" spans="1:20">
      <c r="A1132" s="195" t="str">
        <f>IF(C1132="","",MAX(A$1083:A1131)+1)</f>
        <v/>
      </c>
      <c r="B1132" s="195" t="b">
        <f t="shared" si="17"/>
        <v>0</v>
      </c>
      <c r="C1132" t="str">
        <f>CONCATENATE('Final Building Profile'!B51)</f>
        <v/>
      </c>
      <c r="D1132" t="str">
        <f>CONCATENATE('Final Building Profile'!C51)</f>
        <v/>
      </c>
      <c r="E1132" t="str">
        <f>CONCATENATE('Final Building Profile'!F51)</f>
        <v/>
      </c>
      <c r="F1132" s="315" t="str">
        <f>IF(AND($B1132, Calculations!$B$9), 'Final Building Profile'!J51, "")</f>
        <v/>
      </c>
      <c r="G1132" s="250" t="str">
        <f>IF(AND($B1132, Calculations!$B$9), 'Final Building Profile'!K51, "")</f>
        <v/>
      </c>
      <c r="H1132" t="str">
        <f>IF(AND($B1132, Calculations!$B$9),'Final Building Profile'!M51,"")</f>
        <v/>
      </c>
      <c r="I1132" t="str">
        <f>IF(AND($B1132, Calculations!$B$9),Calculations!AB755,"")</f>
        <v/>
      </c>
      <c r="J1132" t="str">
        <f>IF(AND($B1132, Calculations!$B$9),Calculations!AC755,"")</f>
        <v/>
      </c>
      <c r="K1132" s="315" t="str">
        <f>IF(AND($B1132, Calculations!$B$8), 'Final Building Profile'!J51, "")</f>
        <v/>
      </c>
      <c r="L1132" s="250" t="str">
        <f>IF(AND($B1132, Calculations!$B$8), 'Final Building Profile'!K51, "")</f>
        <v/>
      </c>
      <c r="M1132" t="str">
        <f>IF(AND($B1132, Calculations!$B$8), 'Final Building Profile'!L51, "")</f>
        <v/>
      </c>
      <c r="N1132" t="str">
        <f>IF(AND($B1132, Calculations!$B$8),Calculations!AB755,"")</f>
        <v/>
      </c>
      <c r="O1132" t="str">
        <f>IF(AND($B1132, Calculations!$B$8),Calculations!AC755,"")</f>
        <v/>
      </c>
      <c r="P1132" s="315" t="str">
        <f>IF(AND($B1132, Calculations!$B$7), 'Final Building Profile'!P51, "")</f>
        <v/>
      </c>
      <c r="Q1132" s="204" t="str">
        <f>IF(AND($B1132, Calculations!$B$7), 'Final Building Profile'!Q51, "")</f>
        <v/>
      </c>
      <c r="R1132" t="str">
        <f>IF(AND($B1132, Calculations!$B$7), 'Final Building Profile'!N51-'Final Building Profile'!O51, "")</f>
        <v/>
      </c>
      <c r="S1132" t="str">
        <f>IF(AND($B1132, Calculations!$B$7),Calculations!AD755,"")</f>
        <v/>
      </c>
      <c r="T1132" t="str">
        <f>IF(AND($B1132, Calculations!$B$7),Calculations!AE755,"")</f>
        <v/>
      </c>
    </row>
    <row r="1133" spans="1:20">
      <c r="A1133" s="195" t="str">
        <f>IF(C1133="","",MAX(A$1083:A1132)+1)</f>
        <v/>
      </c>
      <c r="B1133" s="195" t="b">
        <f t="shared" si="17"/>
        <v>0</v>
      </c>
      <c r="C1133" t="str">
        <f>CONCATENATE('Final Building Profile'!B52)</f>
        <v/>
      </c>
      <c r="D1133" t="str">
        <f>CONCATENATE('Final Building Profile'!C52)</f>
        <v/>
      </c>
      <c r="E1133" t="str">
        <f>CONCATENATE('Final Building Profile'!F52)</f>
        <v/>
      </c>
      <c r="F1133" s="315" t="str">
        <f>IF(AND($B1133, Calculations!$B$9), 'Final Building Profile'!J52, "")</f>
        <v/>
      </c>
      <c r="G1133" s="250" t="str">
        <f>IF(AND($B1133, Calculations!$B$9), 'Final Building Profile'!K52, "")</f>
        <v/>
      </c>
      <c r="H1133" t="str">
        <f>IF(AND($B1133, Calculations!$B$9),'Final Building Profile'!M52,"")</f>
        <v/>
      </c>
      <c r="I1133" t="str">
        <f>IF(AND($B1133, Calculations!$B$9),Calculations!AB756,"")</f>
        <v/>
      </c>
      <c r="J1133" t="str">
        <f>IF(AND($B1133, Calculations!$B$9),Calculations!AC756,"")</f>
        <v/>
      </c>
      <c r="K1133" s="315" t="str">
        <f>IF(AND($B1133, Calculations!$B$8), 'Final Building Profile'!J52, "")</f>
        <v/>
      </c>
      <c r="L1133" s="250" t="str">
        <f>IF(AND($B1133, Calculations!$B$8), 'Final Building Profile'!K52, "")</f>
        <v/>
      </c>
      <c r="M1133" t="str">
        <f>IF(AND($B1133, Calculations!$B$8), 'Final Building Profile'!L52, "")</f>
        <v/>
      </c>
      <c r="N1133" t="str">
        <f>IF(AND($B1133, Calculations!$B$8),Calculations!AB756,"")</f>
        <v/>
      </c>
      <c r="O1133" t="str">
        <f>IF(AND($B1133, Calculations!$B$8),Calculations!AC756,"")</f>
        <v/>
      </c>
      <c r="P1133" s="315" t="str">
        <f>IF(AND($B1133, Calculations!$B$7), 'Final Building Profile'!P52, "")</f>
        <v/>
      </c>
      <c r="Q1133" s="204" t="str">
        <f>IF(AND($B1133, Calculations!$B$7), 'Final Building Profile'!Q52, "")</f>
        <v/>
      </c>
      <c r="R1133" t="str">
        <f>IF(AND($B1133, Calculations!$B$7), 'Final Building Profile'!N52-'Final Building Profile'!O52, "")</f>
        <v/>
      </c>
      <c r="S1133" t="str">
        <f>IF(AND($B1133, Calculations!$B$7),Calculations!AD756,"")</f>
        <v/>
      </c>
      <c r="T1133" t="str">
        <f>IF(AND($B1133, Calculations!$B$7),Calculations!AE756,"")</f>
        <v/>
      </c>
    </row>
    <row r="1134" spans="1:20">
      <c r="A1134" s="195" t="str">
        <f>IF(C1134="","",MAX(A$1083:A1133)+1)</f>
        <v/>
      </c>
      <c r="B1134" s="195" t="b">
        <f t="shared" si="17"/>
        <v>0</v>
      </c>
      <c r="C1134" t="str">
        <f>CONCATENATE('Final Building Profile'!B53)</f>
        <v/>
      </c>
      <c r="D1134" t="str">
        <f>CONCATENATE('Final Building Profile'!C53)</f>
        <v/>
      </c>
      <c r="E1134" t="str">
        <f>CONCATENATE('Final Building Profile'!F53)</f>
        <v/>
      </c>
      <c r="F1134" s="315" t="str">
        <f>IF(AND($B1134, Calculations!$B$9), 'Final Building Profile'!J53, "")</f>
        <v/>
      </c>
      <c r="G1134" s="250" t="str">
        <f>IF(AND($B1134, Calculations!$B$9), 'Final Building Profile'!K53, "")</f>
        <v/>
      </c>
      <c r="H1134" t="str">
        <f>IF(AND($B1134, Calculations!$B$9),'Final Building Profile'!M53,"")</f>
        <v/>
      </c>
      <c r="I1134" t="str">
        <f>IF(AND($B1134, Calculations!$B$9),Calculations!AB757,"")</f>
        <v/>
      </c>
      <c r="J1134" t="str">
        <f>IF(AND($B1134, Calculations!$B$9),Calculations!AC757,"")</f>
        <v/>
      </c>
      <c r="K1134" s="315" t="str">
        <f>IF(AND($B1134, Calculations!$B$8), 'Final Building Profile'!J53, "")</f>
        <v/>
      </c>
      <c r="L1134" s="250" t="str">
        <f>IF(AND($B1134, Calculations!$B$8), 'Final Building Profile'!K53, "")</f>
        <v/>
      </c>
      <c r="M1134" t="str">
        <f>IF(AND($B1134, Calculations!$B$8), 'Final Building Profile'!L53, "")</f>
        <v/>
      </c>
      <c r="N1134" t="str">
        <f>IF(AND($B1134, Calculations!$B$8),Calculations!AB757,"")</f>
        <v/>
      </c>
      <c r="O1134" t="str">
        <f>IF(AND($B1134, Calculations!$B$8),Calculations!AC757,"")</f>
        <v/>
      </c>
      <c r="P1134" s="315" t="str">
        <f>IF(AND($B1134, Calculations!$B$7), 'Final Building Profile'!P53, "")</f>
        <v/>
      </c>
      <c r="Q1134" s="204" t="str">
        <f>IF(AND($B1134, Calculations!$B$7), 'Final Building Profile'!Q53, "")</f>
        <v/>
      </c>
      <c r="R1134" t="str">
        <f>IF(AND($B1134, Calculations!$B$7), 'Final Building Profile'!N53-'Final Building Profile'!O53, "")</f>
        <v/>
      </c>
      <c r="S1134" t="str">
        <f>IF(AND($B1134, Calculations!$B$7),Calculations!AD757,"")</f>
        <v/>
      </c>
      <c r="T1134" t="str">
        <f>IF(AND($B1134, Calculations!$B$7),Calculations!AE757,"")</f>
        <v/>
      </c>
    </row>
    <row r="1135" spans="1:20">
      <c r="A1135" s="195" t="str">
        <f>IF(C1135="","",MAX(A$1083:A1134)+1)</f>
        <v/>
      </c>
      <c r="B1135" s="195" t="b">
        <f t="shared" si="17"/>
        <v>0</v>
      </c>
      <c r="C1135" t="str">
        <f>CONCATENATE('Final Building Profile'!B54)</f>
        <v/>
      </c>
      <c r="D1135" t="str">
        <f>CONCATENATE('Final Building Profile'!C54)</f>
        <v/>
      </c>
      <c r="E1135" t="str">
        <f>CONCATENATE('Final Building Profile'!F54)</f>
        <v/>
      </c>
      <c r="F1135" s="315" t="str">
        <f>IF(AND($B1135, Calculations!$B$9), 'Final Building Profile'!J54, "")</f>
        <v/>
      </c>
      <c r="G1135" s="250" t="str">
        <f>IF(AND($B1135, Calculations!$B$9), 'Final Building Profile'!K54, "")</f>
        <v/>
      </c>
      <c r="H1135" t="str">
        <f>IF(AND($B1135, Calculations!$B$9),'Final Building Profile'!M54,"")</f>
        <v/>
      </c>
      <c r="I1135" t="str">
        <f>IF(AND($B1135, Calculations!$B$9),Calculations!AB758,"")</f>
        <v/>
      </c>
      <c r="J1135" t="str">
        <f>IF(AND($B1135, Calculations!$B$9),Calculations!AC758,"")</f>
        <v/>
      </c>
      <c r="K1135" s="315" t="str">
        <f>IF(AND($B1135, Calculations!$B$8), 'Final Building Profile'!J54, "")</f>
        <v/>
      </c>
      <c r="L1135" s="250" t="str">
        <f>IF(AND($B1135, Calculations!$B$8), 'Final Building Profile'!K54, "")</f>
        <v/>
      </c>
      <c r="M1135" t="str">
        <f>IF(AND($B1135, Calculations!$B$8), 'Final Building Profile'!L54, "")</f>
        <v/>
      </c>
      <c r="N1135" t="str">
        <f>IF(AND($B1135, Calculations!$B$8),Calculations!AB758,"")</f>
        <v/>
      </c>
      <c r="O1135" t="str">
        <f>IF(AND($B1135, Calculations!$B$8),Calculations!AC758,"")</f>
        <v/>
      </c>
      <c r="P1135" s="315" t="str">
        <f>IF(AND($B1135, Calculations!$B$7), 'Final Building Profile'!P54, "")</f>
        <v/>
      </c>
      <c r="Q1135" s="204" t="str">
        <f>IF(AND($B1135, Calculations!$B$7), 'Final Building Profile'!Q54, "")</f>
        <v/>
      </c>
      <c r="R1135" t="str">
        <f>IF(AND($B1135, Calculations!$B$7), 'Final Building Profile'!N54-'Final Building Profile'!O54, "")</f>
        <v/>
      </c>
      <c r="S1135" t="str">
        <f>IF(AND($B1135, Calculations!$B$7),Calculations!AD758,"")</f>
        <v/>
      </c>
      <c r="T1135" t="str">
        <f>IF(AND($B1135, Calculations!$B$7),Calculations!AE758,"")</f>
        <v/>
      </c>
    </row>
    <row r="1136" spans="1:20">
      <c r="A1136" s="195" t="str">
        <f>IF(C1136="","",MAX(A$1083:A1135)+1)</f>
        <v/>
      </c>
      <c r="B1136" s="195" t="b">
        <f t="shared" si="17"/>
        <v>0</v>
      </c>
      <c r="C1136" t="str">
        <f>CONCATENATE('Final Building Profile'!B55)</f>
        <v/>
      </c>
      <c r="D1136" t="str">
        <f>CONCATENATE('Final Building Profile'!C55)</f>
        <v/>
      </c>
      <c r="E1136" t="str">
        <f>CONCATENATE('Final Building Profile'!F55)</f>
        <v/>
      </c>
      <c r="F1136" s="315" t="str">
        <f>IF(AND($B1136, Calculations!$B$9), 'Final Building Profile'!J55, "")</f>
        <v/>
      </c>
      <c r="G1136" s="250" t="str">
        <f>IF(AND($B1136, Calculations!$B$9), 'Final Building Profile'!K55, "")</f>
        <v/>
      </c>
      <c r="H1136" t="str">
        <f>IF(AND($B1136, Calculations!$B$9),'Final Building Profile'!M55,"")</f>
        <v/>
      </c>
      <c r="I1136" t="str">
        <f>IF(AND($B1136, Calculations!$B$9),Calculations!AB759,"")</f>
        <v/>
      </c>
      <c r="J1136" t="str">
        <f>IF(AND($B1136, Calculations!$B$9),Calculations!AC759,"")</f>
        <v/>
      </c>
      <c r="K1136" s="315" t="str">
        <f>IF(AND($B1136, Calculations!$B$8), 'Final Building Profile'!J55, "")</f>
        <v/>
      </c>
      <c r="L1136" s="250" t="str">
        <f>IF(AND($B1136, Calculations!$B$8), 'Final Building Profile'!K55, "")</f>
        <v/>
      </c>
      <c r="M1136" t="str">
        <f>IF(AND($B1136, Calculations!$B$8), 'Final Building Profile'!L55, "")</f>
        <v/>
      </c>
      <c r="N1136" t="str">
        <f>IF(AND($B1136, Calculations!$B$8),Calculations!AB759,"")</f>
        <v/>
      </c>
      <c r="O1136" t="str">
        <f>IF(AND($B1136, Calculations!$B$8),Calculations!AC759,"")</f>
        <v/>
      </c>
      <c r="P1136" s="315" t="str">
        <f>IF(AND($B1136, Calculations!$B$7), 'Final Building Profile'!P55, "")</f>
        <v/>
      </c>
      <c r="Q1136" s="204" t="str">
        <f>IF(AND($B1136, Calculations!$B$7), 'Final Building Profile'!Q55, "")</f>
        <v/>
      </c>
      <c r="R1136" t="str">
        <f>IF(AND($B1136, Calculations!$B$7), 'Final Building Profile'!N55-'Final Building Profile'!O55, "")</f>
        <v/>
      </c>
      <c r="S1136" t="str">
        <f>IF(AND($B1136, Calculations!$B$7),Calculations!AD759,"")</f>
        <v/>
      </c>
      <c r="T1136" t="str">
        <f>IF(AND($B1136, Calculations!$B$7),Calculations!AE759,"")</f>
        <v/>
      </c>
    </row>
    <row r="1137" spans="1:20">
      <c r="A1137" s="195" t="str">
        <f>IF(C1137="","",MAX(A$1083:A1136)+1)</f>
        <v/>
      </c>
      <c r="B1137" s="195" t="b">
        <f t="shared" si="17"/>
        <v>0</v>
      </c>
      <c r="C1137" t="str">
        <f>CONCATENATE('Final Building Profile'!B56)</f>
        <v/>
      </c>
      <c r="D1137" t="str">
        <f>CONCATENATE('Final Building Profile'!C56)</f>
        <v/>
      </c>
      <c r="E1137" t="str">
        <f>CONCATENATE('Final Building Profile'!F56)</f>
        <v/>
      </c>
      <c r="F1137" s="315" t="str">
        <f>IF(AND($B1137, Calculations!$B$9), 'Final Building Profile'!J56, "")</f>
        <v/>
      </c>
      <c r="G1137" s="250" t="str">
        <f>IF(AND($B1137, Calculations!$B$9), 'Final Building Profile'!K56, "")</f>
        <v/>
      </c>
      <c r="H1137" t="str">
        <f>IF(AND($B1137, Calculations!$B$9),'Final Building Profile'!M56,"")</f>
        <v/>
      </c>
      <c r="I1137" t="str">
        <f>IF(AND($B1137, Calculations!$B$9),Calculations!AB760,"")</f>
        <v/>
      </c>
      <c r="J1137" t="str">
        <f>IF(AND($B1137, Calculations!$B$9),Calculations!AC760,"")</f>
        <v/>
      </c>
      <c r="K1137" s="315" t="str">
        <f>IF(AND($B1137, Calculations!$B$8), 'Final Building Profile'!J56, "")</f>
        <v/>
      </c>
      <c r="L1137" s="250" t="str">
        <f>IF(AND($B1137, Calculations!$B$8), 'Final Building Profile'!K56, "")</f>
        <v/>
      </c>
      <c r="M1137" t="str">
        <f>IF(AND($B1137, Calculations!$B$8), 'Final Building Profile'!L56, "")</f>
        <v/>
      </c>
      <c r="N1137" t="str">
        <f>IF(AND($B1137, Calculations!$B$8),Calculations!AB760,"")</f>
        <v/>
      </c>
      <c r="O1137" t="str">
        <f>IF(AND($B1137, Calculations!$B$8),Calculations!AC760,"")</f>
        <v/>
      </c>
      <c r="P1137" s="315" t="str">
        <f>IF(AND($B1137, Calculations!$B$7), 'Final Building Profile'!P56, "")</f>
        <v/>
      </c>
      <c r="Q1137" s="204" t="str">
        <f>IF(AND($B1137, Calculations!$B$7), 'Final Building Profile'!Q56, "")</f>
        <v/>
      </c>
      <c r="R1137" t="str">
        <f>IF(AND($B1137, Calculations!$B$7), 'Final Building Profile'!N56-'Final Building Profile'!O56, "")</f>
        <v/>
      </c>
      <c r="S1137" t="str">
        <f>IF(AND($B1137, Calculations!$B$7),Calculations!AD760,"")</f>
        <v/>
      </c>
      <c r="T1137" t="str">
        <f>IF(AND($B1137, Calculations!$B$7),Calculations!AE760,"")</f>
        <v/>
      </c>
    </row>
    <row r="1138" spans="1:20">
      <c r="A1138" s="195" t="str">
        <f>IF(C1138="","",MAX(A$1083:A1137)+1)</f>
        <v/>
      </c>
      <c r="B1138" s="195" t="b">
        <f t="shared" si="17"/>
        <v>0</v>
      </c>
      <c r="C1138" t="str">
        <f>CONCATENATE('Final Building Profile'!B57)</f>
        <v/>
      </c>
      <c r="D1138" t="str">
        <f>CONCATENATE('Final Building Profile'!C57)</f>
        <v/>
      </c>
      <c r="E1138" t="str">
        <f>CONCATENATE('Final Building Profile'!F57)</f>
        <v/>
      </c>
      <c r="F1138" s="315" t="str">
        <f>IF(AND($B1138, Calculations!$B$9), 'Final Building Profile'!J57, "")</f>
        <v/>
      </c>
      <c r="G1138" s="250" t="str">
        <f>IF(AND($B1138, Calculations!$B$9), 'Final Building Profile'!K57, "")</f>
        <v/>
      </c>
      <c r="H1138" t="str">
        <f>IF(AND($B1138, Calculations!$B$9),'Final Building Profile'!M57,"")</f>
        <v/>
      </c>
      <c r="I1138" t="str">
        <f>IF(AND($B1138, Calculations!$B$9),Calculations!AB761,"")</f>
        <v/>
      </c>
      <c r="J1138" t="str">
        <f>IF(AND($B1138, Calculations!$B$9),Calculations!AC761,"")</f>
        <v/>
      </c>
      <c r="K1138" s="315" t="str">
        <f>IF(AND($B1138, Calculations!$B$8), 'Final Building Profile'!J57, "")</f>
        <v/>
      </c>
      <c r="L1138" s="250" t="str">
        <f>IF(AND($B1138, Calculations!$B$8), 'Final Building Profile'!K57, "")</f>
        <v/>
      </c>
      <c r="M1138" t="str">
        <f>IF(AND($B1138, Calculations!$B$8), 'Final Building Profile'!L57, "")</f>
        <v/>
      </c>
      <c r="N1138" t="str">
        <f>IF(AND($B1138, Calculations!$B$8),Calculations!AB761,"")</f>
        <v/>
      </c>
      <c r="O1138" t="str">
        <f>IF(AND($B1138, Calculations!$B$8),Calculations!AC761,"")</f>
        <v/>
      </c>
      <c r="P1138" s="315" t="str">
        <f>IF(AND($B1138, Calculations!$B$7), 'Final Building Profile'!P57, "")</f>
        <v/>
      </c>
      <c r="Q1138" s="204" t="str">
        <f>IF(AND($B1138, Calculations!$B$7), 'Final Building Profile'!Q57, "")</f>
        <v/>
      </c>
      <c r="R1138" t="str">
        <f>IF(AND($B1138, Calculations!$B$7), 'Final Building Profile'!N57-'Final Building Profile'!O57, "")</f>
        <v/>
      </c>
      <c r="S1138" t="str">
        <f>IF(AND($B1138, Calculations!$B$7),Calculations!AD761,"")</f>
        <v/>
      </c>
      <c r="T1138" t="str">
        <f>IF(AND($B1138, Calculations!$B$7),Calculations!AE761,"")</f>
        <v/>
      </c>
    </row>
    <row r="1139" spans="1:20">
      <c r="A1139" s="195" t="str">
        <f>IF(C1139="","",MAX(A$1083:A1138)+1)</f>
        <v/>
      </c>
      <c r="B1139" s="195" t="b">
        <f t="shared" si="17"/>
        <v>0</v>
      </c>
      <c r="C1139" t="str">
        <f>CONCATENATE('Final Building Profile'!B58)</f>
        <v/>
      </c>
      <c r="D1139" t="str">
        <f>CONCATENATE('Final Building Profile'!C58)</f>
        <v/>
      </c>
      <c r="E1139" t="str">
        <f>CONCATENATE('Final Building Profile'!F58)</f>
        <v/>
      </c>
      <c r="F1139" s="315" t="str">
        <f>IF(AND($B1139, Calculations!$B$9), 'Final Building Profile'!J58, "")</f>
        <v/>
      </c>
      <c r="G1139" s="250" t="str">
        <f>IF(AND($B1139, Calculations!$B$9), 'Final Building Profile'!K58, "")</f>
        <v/>
      </c>
      <c r="H1139" t="str">
        <f>IF(AND($B1139, Calculations!$B$9),'Final Building Profile'!M58,"")</f>
        <v/>
      </c>
      <c r="I1139" t="str">
        <f>IF(AND($B1139, Calculations!$B$9),Calculations!AB762,"")</f>
        <v/>
      </c>
      <c r="J1139" t="str">
        <f>IF(AND($B1139, Calculations!$B$9),Calculations!AC762,"")</f>
        <v/>
      </c>
      <c r="K1139" s="315" t="str">
        <f>IF(AND($B1139, Calculations!$B$8), 'Final Building Profile'!J58, "")</f>
        <v/>
      </c>
      <c r="L1139" s="250" t="str">
        <f>IF(AND($B1139, Calculations!$B$8), 'Final Building Profile'!K58, "")</f>
        <v/>
      </c>
      <c r="M1139" t="str">
        <f>IF(AND($B1139, Calculations!$B$8), 'Final Building Profile'!L58, "")</f>
        <v/>
      </c>
      <c r="N1139" t="str">
        <f>IF(AND($B1139, Calculations!$B$8),Calculations!AB762,"")</f>
        <v/>
      </c>
      <c r="O1139" t="str">
        <f>IF(AND($B1139, Calculations!$B$8),Calculations!AC762,"")</f>
        <v/>
      </c>
      <c r="P1139" s="315" t="str">
        <f>IF(AND($B1139, Calculations!$B$7), 'Final Building Profile'!P58, "")</f>
        <v/>
      </c>
      <c r="Q1139" s="204" t="str">
        <f>IF(AND($B1139, Calculations!$B$7), 'Final Building Profile'!Q58, "")</f>
        <v/>
      </c>
      <c r="R1139" t="str">
        <f>IF(AND($B1139, Calculations!$B$7), 'Final Building Profile'!N58-'Final Building Profile'!O58, "")</f>
        <v/>
      </c>
      <c r="S1139" t="str">
        <f>IF(AND($B1139, Calculations!$B$7),Calculations!AD762,"")</f>
        <v/>
      </c>
      <c r="T1139" t="str">
        <f>IF(AND($B1139, Calculations!$B$7),Calculations!AE762,"")</f>
        <v/>
      </c>
    </row>
    <row r="1140" spans="1:20">
      <c r="A1140" s="195" t="str">
        <f>IF(C1140="","",MAX(A$1083:A1139)+1)</f>
        <v/>
      </c>
      <c r="B1140" s="195" t="b">
        <f t="shared" si="17"/>
        <v>0</v>
      </c>
      <c r="C1140" t="str">
        <f>CONCATENATE('Final Building Profile'!B59)</f>
        <v/>
      </c>
      <c r="D1140" t="str">
        <f>CONCATENATE('Final Building Profile'!C59)</f>
        <v/>
      </c>
      <c r="E1140" t="str">
        <f>CONCATENATE('Final Building Profile'!F59)</f>
        <v/>
      </c>
      <c r="F1140" s="315" t="str">
        <f>IF(AND($B1140, Calculations!$B$9), 'Final Building Profile'!J59, "")</f>
        <v/>
      </c>
      <c r="G1140" s="250" t="str">
        <f>IF(AND($B1140, Calculations!$B$9), 'Final Building Profile'!K59, "")</f>
        <v/>
      </c>
      <c r="H1140" t="str">
        <f>IF(AND($B1140, Calculations!$B$9),'Final Building Profile'!M59,"")</f>
        <v/>
      </c>
      <c r="I1140" t="str">
        <f>IF(AND($B1140, Calculations!$B$9),Calculations!AB763,"")</f>
        <v/>
      </c>
      <c r="J1140" t="str">
        <f>IF(AND($B1140, Calculations!$B$9),Calculations!AC763,"")</f>
        <v/>
      </c>
      <c r="K1140" s="315" t="str">
        <f>IF(AND($B1140, Calculations!$B$8), 'Final Building Profile'!J59, "")</f>
        <v/>
      </c>
      <c r="L1140" s="250" t="str">
        <f>IF(AND($B1140, Calculations!$B$8), 'Final Building Profile'!K59, "")</f>
        <v/>
      </c>
      <c r="M1140" t="str">
        <f>IF(AND($B1140, Calculations!$B$8), 'Final Building Profile'!L59, "")</f>
        <v/>
      </c>
      <c r="N1140" t="str">
        <f>IF(AND($B1140, Calculations!$B$8),Calculations!AB763,"")</f>
        <v/>
      </c>
      <c r="O1140" t="str">
        <f>IF(AND($B1140, Calculations!$B$8),Calculations!AC763,"")</f>
        <v/>
      </c>
      <c r="P1140" s="315" t="str">
        <f>IF(AND($B1140, Calculations!$B$7), 'Final Building Profile'!P59, "")</f>
        <v/>
      </c>
      <c r="Q1140" s="204" t="str">
        <f>IF(AND($B1140, Calculations!$B$7), 'Final Building Profile'!Q59, "")</f>
        <v/>
      </c>
      <c r="R1140" t="str">
        <f>IF(AND($B1140, Calculations!$B$7), 'Final Building Profile'!N59-'Final Building Profile'!O59, "")</f>
        <v/>
      </c>
      <c r="S1140" t="str">
        <f>IF(AND($B1140, Calculations!$B$7),Calculations!AD763,"")</f>
        <v/>
      </c>
      <c r="T1140" t="str">
        <f>IF(AND($B1140, Calculations!$B$7),Calculations!AE763,"")</f>
        <v/>
      </c>
    </row>
    <row r="1141" spans="1:20">
      <c r="A1141" s="195" t="str">
        <f>IF(C1141="","",MAX(A$1083:A1140)+1)</f>
        <v/>
      </c>
      <c r="B1141" s="195" t="b">
        <f t="shared" si="17"/>
        <v>0</v>
      </c>
      <c r="C1141" t="str">
        <f>CONCATENATE('Final Building Profile'!B60)</f>
        <v/>
      </c>
      <c r="D1141" t="str">
        <f>CONCATENATE('Final Building Profile'!C60)</f>
        <v/>
      </c>
      <c r="E1141" t="str">
        <f>CONCATENATE('Final Building Profile'!F60)</f>
        <v/>
      </c>
      <c r="F1141" s="315" t="str">
        <f>IF(AND($B1141, Calculations!$B$9), 'Final Building Profile'!J60, "")</f>
        <v/>
      </c>
      <c r="G1141" s="250" t="str">
        <f>IF(AND($B1141, Calculations!$B$9), 'Final Building Profile'!K60, "")</f>
        <v/>
      </c>
      <c r="H1141" t="str">
        <f>IF(AND($B1141, Calculations!$B$9),'Final Building Profile'!M60,"")</f>
        <v/>
      </c>
      <c r="I1141" t="str">
        <f>IF(AND($B1141, Calculations!$B$9),Calculations!AB764,"")</f>
        <v/>
      </c>
      <c r="J1141" t="str">
        <f>IF(AND($B1141, Calculations!$B$9),Calculations!AC764,"")</f>
        <v/>
      </c>
      <c r="K1141" s="315" t="str">
        <f>IF(AND($B1141, Calculations!$B$8), 'Final Building Profile'!J60, "")</f>
        <v/>
      </c>
      <c r="L1141" s="250" t="str">
        <f>IF(AND($B1141, Calculations!$B$8), 'Final Building Profile'!K60, "")</f>
        <v/>
      </c>
      <c r="M1141" t="str">
        <f>IF(AND($B1141, Calculations!$B$8), 'Final Building Profile'!L60, "")</f>
        <v/>
      </c>
      <c r="N1141" t="str">
        <f>IF(AND($B1141, Calculations!$B$8),Calculations!AB764,"")</f>
        <v/>
      </c>
      <c r="O1141" t="str">
        <f>IF(AND($B1141, Calculations!$B$8),Calculations!AC764,"")</f>
        <v/>
      </c>
      <c r="P1141" s="315" t="str">
        <f>IF(AND($B1141, Calculations!$B$7), 'Final Building Profile'!P60, "")</f>
        <v/>
      </c>
      <c r="Q1141" s="204" t="str">
        <f>IF(AND($B1141, Calculations!$B$7), 'Final Building Profile'!Q60, "")</f>
        <v/>
      </c>
      <c r="R1141" t="str">
        <f>IF(AND($B1141, Calculations!$B$7), 'Final Building Profile'!N60-'Final Building Profile'!O60, "")</f>
        <v/>
      </c>
      <c r="S1141" t="str">
        <f>IF(AND($B1141, Calculations!$B$7),Calculations!AD764,"")</f>
        <v/>
      </c>
      <c r="T1141" t="str">
        <f>IF(AND($B1141, Calculations!$B$7),Calculations!AE764,"")</f>
        <v/>
      </c>
    </row>
    <row r="1142" spans="1:20">
      <c r="A1142" s="195" t="str">
        <f>IF(C1142="","",MAX(A$1083:A1141)+1)</f>
        <v/>
      </c>
      <c r="B1142" s="195" t="b">
        <f t="shared" si="17"/>
        <v>0</v>
      </c>
      <c r="C1142" t="str">
        <f>CONCATENATE('Final Building Profile'!B61)</f>
        <v/>
      </c>
      <c r="D1142" t="str">
        <f>CONCATENATE('Final Building Profile'!C61)</f>
        <v/>
      </c>
      <c r="E1142" t="str">
        <f>CONCATENATE('Final Building Profile'!F61)</f>
        <v/>
      </c>
      <c r="F1142" s="315" t="str">
        <f>IF(AND($B1142, Calculations!$B$9), 'Final Building Profile'!J61, "")</f>
        <v/>
      </c>
      <c r="G1142" s="250" t="str">
        <f>IF(AND($B1142, Calculations!$B$9), 'Final Building Profile'!K61, "")</f>
        <v/>
      </c>
      <c r="H1142" t="str">
        <f>IF(AND($B1142, Calculations!$B$9),'Final Building Profile'!M61,"")</f>
        <v/>
      </c>
      <c r="I1142" t="str">
        <f>IF(AND($B1142, Calculations!$B$9),Calculations!AB765,"")</f>
        <v/>
      </c>
      <c r="J1142" t="str">
        <f>IF(AND($B1142, Calculations!$B$9),Calculations!AC765,"")</f>
        <v/>
      </c>
      <c r="K1142" s="315" t="str">
        <f>IF(AND($B1142, Calculations!$B$8), 'Final Building Profile'!J61, "")</f>
        <v/>
      </c>
      <c r="L1142" s="250" t="str">
        <f>IF(AND($B1142, Calculations!$B$8), 'Final Building Profile'!K61, "")</f>
        <v/>
      </c>
      <c r="M1142" t="str">
        <f>IF(AND($B1142, Calculations!$B$8), 'Final Building Profile'!L61, "")</f>
        <v/>
      </c>
      <c r="N1142" t="str">
        <f>IF(AND($B1142, Calculations!$B$8),Calculations!AB765,"")</f>
        <v/>
      </c>
      <c r="O1142" t="str">
        <f>IF(AND($B1142, Calculations!$B$8),Calculations!AC765,"")</f>
        <v/>
      </c>
      <c r="P1142" s="315" t="str">
        <f>IF(AND($B1142, Calculations!$B$7), 'Final Building Profile'!P61, "")</f>
        <v/>
      </c>
      <c r="Q1142" s="204" t="str">
        <f>IF(AND($B1142, Calculations!$B$7), 'Final Building Profile'!Q61, "")</f>
        <v/>
      </c>
      <c r="R1142" t="str">
        <f>IF(AND($B1142, Calculations!$B$7), 'Final Building Profile'!N61-'Final Building Profile'!O61, "")</f>
        <v/>
      </c>
      <c r="S1142" t="str">
        <f>IF(AND($B1142, Calculations!$B$7),Calculations!AD765,"")</f>
        <v/>
      </c>
      <c r="T1142" t="str">
        <f>IF(AND($B1142, Calculations!$B$7),Calculations!AE765,"")</f>
        <v/>
      </c>
    </row>
    <row r="1143" spans="1:20">
      <c r="A1143" s="195" t="str">
        <f>IF(C1143="","",MAX(A$1083:A1142)+1)</f>
        <v/>
      </c>
      <c r="B1143" s="195" t="b">
        <f t="shared" si="17"/>
        <v>0</v>
      </c>
      <c r="C1143" t="str">
        <f>CONCATENATE('Final Building Profile'!B62)</f>
        <v/>
      </c>
      <c r="D1143" t="str">
        <f>CONCATENATE('Final Building Profile'!C62)</f>
        <v/>
      </c>
      <c r="E1143" t="str">
        <f>CONCATENATE('Final Building Profile'!F62)</f>
        <v/>
      </c>
      <c r="F1143" s="315" t="str">
        <f>IF(AND($B1143, Calculations!$B$9), 'Final Building Profile'!J62, "")</f>
        <v/>
      </c>
      <c r="G1143" s="250" t="str">
        <f>IF(AND($B1143, Calculations!$B$9), 'Final Building Profile'!K62, "")</f>
        <v/>
      </c>
      <c r="H1143" t="str">
        <f>IF(AND($B1143, Calculations!$B$9),'Final Building Profile'!M62,"")</f>
        <v/>
      </c>
      <c r="I1143" t="str">
        <f>IF(AND($B1143, Calculations!$B$9),Calculations!AB766,"")</f>
        <v/>
      </c>
      <c r="J1143" t="str">
        <f>IF(AND($B1143, Calculations!$B$9),Calculations!AC766,"")</f>
        <v/>
      </c>
      <c r="K1143" s="315" t="str">
        <f>IF(AND($B1143, Calculations!$B$8), 'Final Building Profile'!J62, "")</f>
        <v/>
      </c>
      <c r="L1143" s="250" t="str">
        <f>IF(AND($B1143, Calculations!$B$8), 'Final Building Profile'!K62, "")</f>
        <v/>
      </c>
      <c r="M1143" t="str">
        <f>IF(AND($B1143, Calculations!$B$8), 'Final Building Profile'!L62, "")</f>
        <v/>
      </c>
      <c r="N1143" t="str">
        <f>IF(AND($B1143, Calculations!$B$8),Calculations!AB766,"")</f>
        <v/>
      </c>
      <c r="O1143" t="str">
        <f>IF(AND($B1143, Calculations!$B$8),Calculations!AC766,"")</f>
        <v/>
      </c>
      <c r="P1143" s="315" t="str">
        <f>IF(AND($B1143, Calculations!$B$7), 'Final Building Profile'!P62, "")</f>
        <v/>
      </c>
      <c r="Q1143" s="204" t="str">
        <f>IF(AND($B1143, Calculations!$B$7), 'Final Building Profile'!Q62, "")</f>
        <v/>
      </c>
      <c r="R1143" t="str">
        <f>IF(AND($B1143, Calculations!$B$7), 'Final Building Profile'!N62-'Final Building Profile'!O62, "")</f>
        <v/>
      </c>
      <c r="S1143" t="str">
        <f>IF(AND($B1143, Calculations!$B$7),Calculations!AD766,"")</f>
        <v/>
      </c>
      <c r="T1143" t="str">
        <f>IF(AND($B1143, Calculations!$B$7),Calculations!AE766,"")</f>
        <v/>
      </c>
    </row>
    <row r="1144" spans="1:20">
      <c r="A1144" s="195" t="str">
        <f>IF(C1144="","",MAX(A$1083:A1143)+1)</f>
        <v/>
      </c>
      <c r="B1144" s="195" t="b">
        <f t="shared" si="17"/>
        <v>0</v>
      </c>
      <c r="C1144" t="str">
        <f>CONCATENATE('Final Building Profile'!B63)</f>
        <v/>
      </c>
      <c r="D1144" t="str">
        <f>CONCATENATE('Final Building Profile'!C63)</f>
        <v/>
      </c>
      <c r="E1144" t="str">
        <f>CONCATENATE('Final Building Profile'!F63)</f>
        <v/>
      </c>
      <c r="F1144" s="315" t="str">
        <f>IF(AND($B1144, Calculations!$B$9), 'Final Building Profile'!J63, "")</f>
        <v/>
      </c>
      <c r="G1144" s="250" t="str">
        <f>IF(AND($B1144, Calculations!$B$9), 'Final Building Profile'!K63, "")</f>
        <v/>
      </c>
      <c r="H1144" t="str">
        <f>IF(AND($B1144, Calculations!$B$9),'Final Building Profile'!M63,"")</f>
        <v/>
      </c>
      <c r="I1144" t="str">
        <f>IF(AND($B1144, Calculations!$B$9),Calculations!AB767,"")</f>
        <v/>
      </c>
      <c r="J1144" t="str">
        <f>IF(AND($B1144, Calculations!$B$9),Calculations!AC767,"")</f>
        <v/>
      </c>
      <c r="K1144" s="315" t="str">
        <f>IF(AND($B1144, Calculations!$B$8), 'Final Building Profile'!J63, "")</f>
        <v/>
      </c>
      <c r="L1144" s="250" t="str">
        <f>IF(AND($B1144, Calculations!$B$8), 'Final Building Profile'!K63, "")</f>
        <v/>
      </c>
      <c r="M1144" t="str">
        <f>IF(AND($B1144, Calculations!$B$8), 'Final Building Profile'!L63, "")</f>
        <v/>
      </c>
      <c r="N1144" t="str">
        <f>IF(AND($B1144, Calculations!$B$8),Calculations!AB767,"")</f>
        <v/>
      </c>
      <c r="O1144" t="str">
        <f>IF(AND($B1144, Calculations!$B$8),Calculations!AC767,"")</f>
        <v/>
      </c>
      <c r="P1144" s="315" t="str">
        <f>IF(AND($B1144, Calculations!$B$7), 'Final Building Profile'!P63, "")</f>
        <v/>
      </c>
      <c r="Q1144" s="204" t="str">
        <f>IF(AND($B1144, Calculations!$B$7), 'Final Building Profile'!Q63, "")</f>
        <v/>
      </c>
      <c r="R1144" t="str">
        <f>IF(AND($B1144, Calculations!$B$7), 'Final Building Profile'!N63-'Final Building Profile'!O63, "")</f>
        <v/>
      </c>
      <c r="S1144" t="str">
        <f>IF(AND($B1144, Calculations!$B$7),Calculations!AD767,"")</f>
        <v/>
      </c>
      <c r="T1144" t="str">
        <f>IF(AND($B1144, Calculations!$B$7),Calculations!AE767,"")</f>
        <v/>
      </c>
    </row>
    <row r="1145" spans="1:20">
      <c r="A1145" s="195" t="str">
        <f>IF(C1145="","",MAX(A$1083:A1144)+1)</f>
        <v/>
      </c>
      <c r="B1145" s="195" t="b">
        <f t="shared" si="17"/>
        <v>0</v>
      </c>
      <c r="C1145" t="str">
        <f>CONCATENATE('Final Building Profile'!B64)</f>
        <v/>
      </c>
      <c r="D1145" t="str">
        <f>CONCATENATE('Final Building Profile'!C64)</f>
        <v/>
      </c>
      <c r="E1145" t="str">
        <f>CONCATENATE('Final Building Profile'!F64)</f>
        <v/>
      </c>
      <c r="F1145" s="315" t="str">
        <f>IF(AND($B1145, Calculations!$B$9), 'Final Building Profile'!J64, "")</f>
        <v/>
      </c>
      <c r="G1145" s="250" t="str">
        <f>IF(AND($B1145, Calculations!$B$9), 'Final Building Profile'!K64, "")</f>
        <v/>
      </c>
      <c r="H1145" t="str">
        <f>IF(AND($B1145, Calculations!$B$9),'Final Building Profile'!M64,"")</f>
        <v/>
      </c>
      <c r="I1145" t="str">
        <f>IF(AND($B1145, Calculations!$B$9),Calculations!AB768,"")</f>
        <v/>
      </c>
      <c r="J1145" t="str">
        <f>IF(AND($B1145, Calculations!$B$9),Calculations!AC768,"")</f>
        <v/>
      </c>
      <c r="K1145" s="315" t="str">
        <f>IF(AND($B1145, Calculations!$B$8), 'Final Building Profile'!J64, "")</f>
        <v/>
      </c>
      <c r="L1145" s="250" t="str">
        <f>IF(AND($B1145, Calculations!$B$8), 'Final Building Profile'!K64, "")</f>
        <v/>
      </c>
      <c r="M1145" t="str">
        <f>IF(AND($B1145, Calculations!$B$8), 'Final Building Profile'!L64, "")</f>
        <v/>
      </c>
      <c r="N1145" t="str">
        <f>IF(AND($B1145, Calculations!$B$8),Calculations!AB768,"")</f>
        <v/>
      </c>
      <c r="O1145" t="str">
        <f>IF(AND($B1145, Calculations!$B$8),Calculations!AC768,"")</f>
        <v/>
      </c>
      <c r="P1145" s="315" t="str">
        <f>IF(AND($B1145, Calculations!$B$7), 'Final Building Profile'!P64, "")</f>
        <v/>
      </c>
      <c r="Q1145" s="204" t="str">
        <f>IF(AND($B1145, Calculations!$B$7), 'Final Building Profile'!Q64, "")</f>
        <v/>
      </c>
      <c r="R1145" t="str">
        <f>IF(AND($B1145, Calculations!$B$7), 'Final Building Profile'!N64-'Final Building Profile'!O64, "")</f>
        <v/>
      </c>
      <c r="S1145" t="str">
        <f>IF(AND($B1145, Calculations!$B$7),Calculations!AD768,"")</f>
        <v/>
      </c>
      <c r="T1145" t="str">
        <f>IF(AND($B1145, Calculations!$B$7),Calculations!AE768,"")</f>
        <v/>
      </c>
    </row>
    <row r="1146" spans="1:20">
      <c r="A1146" s="195" t="str">
        <f>IF(C1146="","",MAX(A$1083:A1145)+1)</f>
        <v/>
      </c>
      <c r="B1146" s="195" t="b">
        <f t="shared" si="17"/>
        <v>0</v>
      </c>
      <c r="C1146" t="str">
        <f>CONCATENATE('Final Building Profile'!B65)</f>
        <v/>
      </c>
      <c r="D1146" t="str">
        <f>CONCATENATE('Final Building Profile'!C65)</f>
        <v/>
      </c>
      <c r="E1146" t="str">
        <f>CONCATENATE('Final Building Profile'!F65)</f>
        <v/>
      </c>
      <c r="F1146" s="315" t="str">
        <f>IF(AND($B1146, Calculations!$B$9), 'Final Building Profile'!J65, "")</f>
        <v/>
      </c>
      <c r="G1146" s="250" t="str">
        <f>IF(AND($B1146, Calculations!$B$9), 'Final Building Profile'!K65, "")</f>
        <v/>
      </c>
      <c r="H1146" t="str">
        <f>IF(AND($B1146, Calculations!$B$9),'Final Building Profile'!M65,"")</f>
        <v/>
      </c>
      <c r="I1146" t="str">
        <f>IF(AND($B1146, Calculations!$B$9),Calculations!AB769,"")</f>
        <v/>
      </c>
      <c r="J1146" t="str">
        <f>IF(AND($B1146, Calculations!$B$9),Calculations!AC769,"")</f>
        <v/>
      </c>
      <c r="K1146" s="315" t="str">
        <f>IF(AND($B1146, Calculations!$B$8), 'Final Building Profile'!J65, "")</f>
        <v/>
      </c>
      <c r="L1146" s="250" t="str">
        <f>IF(AND($B1146, Calculations!$B$8), 'Final Building Profile'!K65, "")</f>
        <v/>
      </c>
      <c r="M1146" t="str">
        <f>IF(AND($B1146, Calculations!$B$8), 'Final Building Profile'!L65, "")</f>
        <v/>
      </c>
      <c r="N1146" t="str">
        <f>IF(AND($B1146, Calculations!$B$8),Calculations!AB769,"")</f>
        <v/>
      </c>
      <c r="O1146" t="str">
        <f>IF(AND($B1146, Calculations!$B$8),Calculations!AC769,"")</f>
        <v/>
      </c>
      <c r="P1146" s="315" t="str">
        <f>IF(AND($B1146, Calculations!$B$7), 'Final Building Profile'!P65, "")</f>
        <v/>
      </c>
      <c r="Q1146" s="204" t="str">
        <f>IF(AND($B1146, Calculations!$B$7), 'Final Building Profile'!Q65, "")</f>
        <v/>
      </c>
      <c r="R1146" t="str">
        <f>IF(AND($B1146, Calculations!$B$7), 'Final Building Profile'!N65-'Final Building Profile'!O65, "")</f>
        <v/>
      </c>
      <c r="S1146" t="str">
        <f>IF(AND($B1146, Calculations!$B$7),Calculations!AD769,"")</f>
        <v/>
      </c>
      <c r="T1146" t="str">
        <f>IF(AND($B1146, Calculations!$B$7),Calculations!AE769,"")</f>
        <v/>
      </c>
    </row>
    <row r="1147" spans="1:20">
      <c r="A1147" s="195" t="str">
        <f>IF(C1147="","",MAX(A$1083:A1146)+1)</f>
        <v/>
      </c>
      <c r="B1147" s="195" t="b">
        <f t="shared" si="17"/>
        <v>0</v>
      </c>
      <c r="C1147" t="str">
        <f>CONCATENATE('Final Building Profile'!B66)</f>
        <v/>
      </c>
      <c r="D1147" t="str">
        <f>CONCATENATE('Final Building Profile'!C66)</f>
        <v/>
      </c>
      <c r="E1147" t="str">
        <f>CONCATENATE('Final Building Profile'!F66)</f>
        <v/>
      </c>
      <c r="F1147" s="315" t="str">
        <f>IF(AND($B1147, Calculations!$B$9), 'Final Building Profile'!J66, "")</f>
        <v/>
      </c>
      <c r="G1147" s="250" t="str">
        <f>IF(AND($B1147, Calculations!$B$9), 'Final Building Profile'!K66, "")</f>
        <v/>
      </c>
      <c r="H1147" t="str">
        <f>IF(AND($B1147, Calculations!$B$9),'Final Building Profile'!M66,"")</f>
        <v/>
      </c>
      <c r="I1147" t="str">
        <f>IF(AND($B1147, Calculations!$B$9),Calculations!AB770,"")</f>
        <v/>
      </c>
      <c r="J1147" t="str">
        <f>IF(AND($B1147, Calculations!$B$9),Calculations!AC770,"")</f>
        <v/>
      </c>
      <c r="K1147" s="315" t="str">
        <f>IF(AND($B1147, Calculations!$B$8), 'Final Building Profile'!J66, "")</f>
        <v/>
      </c>
      <c r="L1147" s="250" t="str">
        <f>IF(AND($B1147, Calculations!$B$8), 'Final Building Profile'!K66, "")</f>
        <v/>
      </c>
      <c r="M1147" t="str">
        <f>IF(AND($B1147, Calculations!$B$8), 'Final Building Profile'!L66, "")</f>
        <v/>
      </c>
      <c r="N1147" t="str">
        <f>IF(AND($B1147, Calculations!$B$8),Calculations!AB770,"")</f>
        <v/>
      </c>
      <c r="O1147" t="str">
        <f>IF(AND($B1147, Calculations!$B$8),Calculations!AC770,"")</f>
        <v/>
      </c>
      <c r="P1147" s="315" t="str">
        <f>IF(AND($B1147, Calculations!$B$7), 'Final Building Profile'!P66, "")</f>
        <v/>
      </c>
      <c r="Q1147" s="204" t="str">
        <f>IF(AND($B1147, Calculations!$B$7), 'Final Building Profile'!Q66, "")</f>
        <v/>
      </c>
      <c r="R1147" t="str">
        <f>IF(AND($B1147, Calculations!$B$7), 'Final Building Profile'!N66-'Final Building Profile'!O66, "")</f>
        <v/>
      </c>
      <c r="S1147" t="str">
        <f>IF(AND($B1147, Calculations!$B$7),Calculations!AD770,"")</f>
        <v/>
      </c>
      <c r="T1147" t="str">
        <f>IF(AND($B1147, Calculations!$B$7),Calculations!AE770,"")</f>
        <v/>
      </c>
    </row>
    <row r="1148" spans="1:20">
      <c r="A1148" s="195" t="str">
        <f>IF(C1148="","",MAX(A$1083:A1147)+1)</f>
        <v/>
      </c>
      <c r="B1148" s="195" t="b">
        <f t="shared" si="17"/>
        <v>0</v>
      </c>
      <c r="C1148" t="str">
        <f>CONCATENATE('Final Building Profile'!B67)</f>
        <v/>
      </c>
      <c r="D1148" t="str">
        <f>CONCATENATE('Final Building Profile'!C67)</f>
        <v/>
      </c>
      <c r="E1148" t="str">
        <f>CONCATENATE('Final Building Profile'!F67)</f>
        <v/>
      </c>
      <c r="F1148" s="315" t="str">
        <f>IF(AND($B1148, Calculations!$B$9), 'Final Building Profile'!J67, "")</f>
        <v/>
      </c>
      <c r="G1148" s="250" t="str">
        <f>IF(AND($B1148, Calculations!$B$9), 'Final Building Profile'!K67, "")</f>
        <v/>
      </c>
      <c r="H1148" t="str">
        <f>IF(AND($B1148, Calculations!$B$9),'Final Building Profile'!M67,"")</f>
        <v/>
      </c>
      <c r="I1148" t="str">
        <f>IF(AND($B1148, Calculations!$B$9),Calculations!AB771,"")</f>
        <v/>
      </c>
      <c r="J1148" t="str">
        <f>IF(AND($B1148, Calculations!$B$9),Calculations!AC771,"")</f>
        <v/>
      </c>
      <c r="K1148" s="315" t="str">
        <f>IF(AND($B1148, Calculations!$B$8), 'Final Building Profile'!J67, "")</f>
        <v/>
      </c>
      <c r="L1148" s="250" t="str">
        <f>IF(AND($B1148, Calculations!$B$8), 'Final Building Profile'!K67, "")</f>
        <v/>
      </c>
      <c r="M1148" t="str">
        <f>IF(AND($B1148, Calculations!$B$8), 'Final Building Profile'!L67, "")</f>
        <v/>
      </c>
      <c r="N1148" t="str">
        <f>IF(AND($B1148, Calculations!$B$8),Calculations!AB771,"")</f>
        <v/>
      </c>
      <c r="O1148" t="str">
        <f>IF(AND($B1148, Calculations!$B$8),Calculations!AC771,"")</f>
        <v/>
      </c>
      <c r="P1148" s="315" t="str">
        <f>IF(AND($B1148, Calculations!$B$7), 'Final Building Profile'!P67, "")</f>
        <v/>
      </c>
      <c r="Q1148" s="204" t="str">
        <f>IF(AND($B1148, Calculations!$B$7), 'Final Building Profile'!Q67, "")</f>
        <v/>
      </c>
      <c r="R1148" t="str">
        <f>IF(AND($B1148, Calculations!$B$7), 'Final Building Profile'!N67-'Final Building Profile'!O67, "")</f>
        <v/>
      </c>
      <c r="S1148" t="str">
        <f>IF(AND($B1148, Calculations!$B$7),Calculations!AD771,"")</f>
        <v/>
      </c>
      <c r="T1148" t="str">
        <f>IF(AND($B1148, Calculations!$B$7),Calculations!AE771,"")</f>
        <v/>
      </c>
    </row>
    <row r="1149" spans="1:20">
      <c r="A1149" s="195" t="str">
        <f>IF(C1149="","",MAX(A$1083:A1148)+1)</f>
        <v/>
      </c>
      <c r="B1149" s="195" t="b">
        <f t="shared" si="17"/>
        <v>0</v>
      </c>
      <c r="C1149" t="str">
        <f>CONCATENATE('Final Building Profile'!B68)</f>
        <v/>
      </c>
      <c r="D1149" t="str">
        <f>CONCATENATE('Final Building Profile'!C68)</f>
        <v/>
      </c>
      <c r="E1149" t="str">
        <f>CONCATENATE('Final Building Profile'!F68)</f>
        <v/>
      </c>
      <c r="F1149" s="315" t="str">
        <f>IF(AND($B1149, Calculations!$B$9), 'Final Building Profile'!J68, "")</f>
        <v/>
      </c>
      <c r="G1149" s="250" t="str">
        <f>IF(AND($B1149, Calculations!$B$9), 'Final Building Profile'!K68, "")</f>
        <v/>
      </c>
      <c r="H1149" t="str">
        <f>IF(AND($B1149, Calculations!$B$9),'Final Building Profile'!M68,"")</f>
        <v/>
      </c>
      <c r="I1149" t="str">
        <f>IF(AND($B1149, Calculations!$B$9),Calculations!AB772,"")</f>
        <v/>
      </c>
      <c r="J1149" t="str">
        <f>IF(AND($B1149, Calculations!$B$9),Calculations!AC772,"")</f>
        <v/>
      </c>
      <c r="K1149" s="315" t="str">
        <f>IF(AND($B1149, Calculations!$B$8), 'Final Building Profile'!J68, "")</f>
        <v/>
      </c>
      <c r="L1149" s="250" t="str">
        <f>IF(AND($B1149, Calculations!$B$8), 'Final Building Profile'!K68, "")</f>
        <v/>
      </c>
      <c r="M1149" t="str">
        <f>IF(AND($B1149, Calculations!$B$8), 'Final Building Profile'!L68, "")</f>
        <v/>
      </c>
      <c r="N1149" t="str">
        <f>IF(AND($B1149, Calculations!$B$8),Calculations!AB772,"")</f>
        <v/>
      </c>
      <c r="O1149" t="str">
        <f>IF(AND($B1149, Calculations!$B$8),Calculations!AC772,"")</f>
        <v/>
      </c>
      <c r="P1149" s="315" t="str">
        <f>IF(AND($B1149, Calculations!$B$7), 'Final Building Profile'!P68, "")</f>
        <v/>
      </c>
      <c r="Q1149" s="204" t="str">
        <f>IF(AND($B1149, Calculations!$B$7), 'Final Building Profile'!Q68, "")</f>
        <v/>
      </c>
      <c r="R1149" t="str">
        <f>IF(AND($B1149, Calculations!$B$7), 'Final Building Profile'!N68-'Final Building Profile'!O68, "")</f>
        <v/>
      </c>
      <c r="S1149" t="str">
        <f>IF(AND($B1149, Calculations!$B$7),Calculations!AD772,"")</f>
        <v/>
      </c>
      <c r="T1149" t="str">
        <f>IF(AND($B1149, Calculations!$B$7),Calculations!AE772,"")</f>
        <v/>
      </c>
    </row>
    <row r="1150" spans="1:20">
      <c r="A1150" s="195" t="str">
        <f>IF(C1150="","",MAX(A$1083:A1149)+1)</f>
        <v/>
      </c>
      <c r="B1150" s="195" t="b">
        <f t="shared" ref="B1150:B1183" si="18">A1150&lt;&gt;""</f>
        <v>0</v>
      </c>
      <c r="C1150" t="str">
        <f>CONCATENATE('Final Building Profile'!B69)</f>
        <v/>
      </c>
      <c r="D1150" t="str">
        <f>CONCATENATE('Final Building Profile'!C69)</f>
        <v/>
      </c>
      <c r="E1150" t="str">
        <f>CONCATENATE('Final Building Profile'!F69)</f>
        <v/>
      </c>
      <c r="F1150" s="315" t="str">
        <f>IF(AND($B1150, Calculations!$B$9), 'Final Building Profile'!J69, "")</f>
        <v/>
      </c>
      <c r="G1150" s="250" t="str">
        <f>IF(AND($B1150, Calculations!$B$9), 'Final Building Profile'!K69, "")</f>
        <v/>
      </c>
      <c r="H1150" t="str">
        <f>IF(AND($B1150, Calculations!$B$9),'Final Building Profile'!M69,"")</f>
        <v/>
      </c>
      <c r="I1150" t="str">
        <f>IF(AND($B1150, Calculations!$B$9),Calculations!AB773,"")</f>
        <v/>
      </c>
      <c r="J1150" t="str">
        <f>IF(AND($B1150, Calculations!$B$9),Calculations!AC773,"")</f>
        <v/>
      </c>
      <c r="K1150" s="315" t="str">
        <f>IF(AND($B1150, Calculations!$B$8), 'Final Building Profile'!J69, "")</f>
        <v/>
      </c>
      <c r="L1150" s="250" t="str">
        <f>IF(AND($B1150, Calculations!$B$8), 'Final Building Profile'!K69, "")</f>
        <v/>
      </c>
      <c r="M1150" t="str">
        <f>IF(AND($B1150, Calculations!$B$8), 'Final Building Profile'!L69, "")</f>
        <v/>
      </c>
      <c r="N1150" t="str">
        <f>IF(AND($B1150, Calculations!$B$8),Calculations!AB773,"")</f>
        <v/>
      </c>
      <c r="O1150" t="str">
        <f>IF(AND($B1150, Calculations!$B$8),Calculations!AC773,"")</f>
        <v/>
      </c>
      <c r="P1150" s="315" t="str">
        <f>IF(AND($B1150, Calculations!$B$7), 'Final Building Profile'!P69, "")</f>
        <v/>
      </c>
      <c r="Q1150" s="204" t="str">
        <f>IF(AND($B1150, Calculations!$B$7), 'Final Building Profile'!Q69, "")</f>
        <v/>
      </c>
      <c r="R1150" t="str">
        <f>IF(AND($B1150, Calculations!$B$7), 'Final Building Profile'!N69-'Final Building Profile'!O69, "")</f>
        <v/>
      </c>
      <c r="S1150" t="str">
        <f>IF(AND($B1150, Calculations!$B$7),Calculations!AD773,"")</f>
        <v/>
      </c>
      <c r="T1150" t="str">
        <f>IF(AND($B1150, Calculations!$B$7),Calculations!AE773,"")</f>
        <v/>
      </c>
    </row>
    <row r="1151" spans="1:20">
      <c r="A1151" s="195" t="str">
        <f>IF(C1151="","",MAX(A$1083:A1150)+1)</f>
        <v/>
      </c>
      <c r="B1151" s="195" t="b">
        <f t="shared" si="18"/>
        <v>0</v>
      </c>
      <c r="C1151" t="str">
        <f>CONCATENATE('Final Building Profile'!B70)</f>
        <v/>
      </c>
      <c r="D1151" t="str">
        <f>CONCATENATE('Final Building Profile'!C70)</f>
        <v/>
      </c>
      <c r="E1151" t="str">
        <f>CONCATENATE('Final Building Profile'!F70)</f>
        <v/>
      </c>
      <c r="F1151" s="315" t="str">
        <f>IF(AND($B1151, Calculations!$B$9), 'Final Building Profile'!J70, "")</f>
        <v/>
      </c>
      <c r="G1151" s="250" t="str">
        <f>IF(AND($B1151, Calculations!$B$9), 'Final Building Profile'!K70, "")</f>
        <v/>
      </c>
      <c r="H1151" t="str">
        <f>IF(AND($B1151, Calculations!$B$9),'Final Building Profile'!M70,"")</f>
        <v/>
      </c>
      <c r="I1151" t="str">
        <f>IF(AND($B1151, Calculations!$B$9),Calculations!AB774,"")</f>
        <v/>
      </c>
      <c r="J1151" t="str">
        <f>IF(AND($B1151, Calculations!$B$9),Calculations!AC774,"")</f>
        <v/>
      </c>
      <c r="K1151" s="315" t="str">
        <f>IF(AND($B1151, Calculations!$B$8), 'Final Building Profile'!J70, "")</f>
        <v/>
      </c>
      <c r="L1151" s="250" t="str">
        <f>IF(AND($B1151, Calculations!$B$8), 'Final Building Profile'!K70, "")</f>
        <v/>
      </c>
      <c r="M1151" t="str">
        <f>IF(AND($B1151, Calculations!$B$8), 'Final Building Profile'!L70, "")</f>
        <v/>
      </c>
      <c r="N1151" t="str">
        <f>IF(AND($B1151, Calculations!$B$8),Calculations!AB774,"")</f>
        <v/>
      </c>
      <c r="O1151" t="str">
        <f>IF(AND($B1151, Calculations!$B$8),Calculations!AC774,"")</f>
        <v/>
      </c>
      <c r="P1151" s="315" t="str">
        <f>IF(AND($B1151, Calculations!$B$7), 'Final Building Profile'!P70, "")</f>
        <v/>
      </c>
      <c r="Q1151" s="204" t="str">
        <f>IF(AND($B1151, Calculations!$B$7), 'Final Building Profile'!Q70, "")</f>
        <v/>
      </c>
      <c r="R1151" t="str">
        <f>IF(AND($B1151, Calculations!$B$7), 'Final Building Profile'!N70-'Final Building Profile'!O70, "")</f>
        <v/>
      </c>
      <c r="S1151" t="str">
        <f>IF(AND($B1151, Calculations!$B$7),Calculations!AD774,"")</f>
        <v/>
      </c>
      <c r="T1151" t="str">
        <f>IF(AND($B1151, Calculations!$B$7),Calculations!AE774,"")</f>
        <v/>
      </c>
    </row>
    <row r="1152" spans="1:20">
      <c r="A1152" s="195" t="str">
        <f>IF(C1152="","",MAX(A$1083:A1151)+1)</f>
        <v/>
      </c>
      <c r="B1152" s="195" t="b">
        <f t="shared" si="18"/>
        <v>0</v>
      </c>
      <c r="C1152" t="str">
        <f>CONCATENATE('Final Building Profile'!B71)</f>
        <v/>
      </c>
      <c r="D1152" t="str">
        <f>CONCATENATE('Final Building Profile'!C71)</f>
        <v/>
      </c>
      <c r="E1152" t="str">
        <f>CONCATENATE('Final Building Profile'!F71)</f>
        <v/>
      </c>
      <c r="F1152" s="315" t="str">
        <f>IF(AND($B1152, Calculations!$B$9), 'Final Building Profile'!J71, "")</f>
        <v/>
      </c>
      <c r="G1152" s="250" t="str">
        <f>IF(AND($B1152, Calculations!$B$9), 'Final Building Profile'!K71, "")</f>
        <v/>
      </c>
      <c r="H1152" t="str">
        <f>IF(AND($B1152, Calculations!$B$9),'Final Building Profile'!M71,"")</f>
        <v/>
      </c>
      <c r="I1152" t="str">
        <f>IF(AND($B1152, Calculations!$B$9),Calculations!AB775,"")</f>
        <v/>
      </c>
      <c r="J1152" t="str">
        <f>IF(AND($B1152, Calculations!$B$9),Calculations!AC775,"")</f>
        <v/>
      </c>
      <c r="K1152" s="315" t="str">
        <f>IF(AND($B1152, Calculations!$B$8), 'Final Building Profile'!J71, "")</f>
        <v/>
      </c>
      <c r="L1152" s="250" t="str">
        <f>IF(AND($B1152, Calculations!$B$8), 'Final Building Profile'!K71, "")</f>
        <v/>
      </c>
      <c r="M1152" t="str">
        <f>IF(AND($B1152, Calculations!$B$8), 'Final Building Profile'!L71, "")</f>
        <v/>
      </c>
      <c r="N1152" t="str">
        <f>IF(AND($B1152, Calculations!$B$8),Calculations!AB775,"")</f>
        <v/>
      </c>
      <c r="O1152" t="str">
        <f>IF(AND($B1152, Calculations!$B$8),Calculations!AC775,"")</f>
        <v/>
      </c>
      <c r="P1152" s="315" t="str">
        <f>IF(AND($B1152, Calculations!$B$7), 'Final Building Profile'!P71, "")</f>
        <v/>
      </c>
      <c r="Q1152" s="204" t="str">
        <f>IF(AND($B1152, Calculations!$B$7), 'Final Building Profile'!Q71, "")</f>
        <v/>
      </c>
      <c r="R1152" t="str">
        <f>IF(AND($B1152, Calculations!$B$7), 'Final Building Profile'!N71-'Final Building Profile'!O71, "")</f>
        <v/>
      </c>
      <c r="S1152" t="str">
        <f>IF(AND($B1152, Calculations!$B$7),Calculations!AD775,"")</f>
        <v/>
      </c>
      <c r="T1152" t="str">
        <f>IF(AND($B1152, Calculations!$B$7),Calculations!AE775,"")</f>
        <v/>
      </c>
    </row>
    <row r="1153" spans="1:20">
      <c r="A1153" s="195" t="str">
        <f>IF(C1153="","",MAX(A$1083:A1152)+1)</f>
        <v/>
      </c>
      <c r="B1153" s="195" t="b">
        <f t="shared" si="18"/>
        <v>0</v>
      </c>
      <c r="C1153" t="str">
        <f>CONCATENATE('Final Building Profile'!B72)</f>
        <v/>
      </c>
      <c r="D1153" t="str">
        <f>CONCATENATE('Final Building Profile'!C72)</f>
        <v/>
      </c>
      <c r="E1153" t="str">
        <f>CONCATENATE('Final Building Profile'!F72)</f>
        <v/>
      </c>
      <c r="F1153" s="315" t="str">
        <f>IF(AND($B1153, Calculations!$B$9), 'Final Building Profile'!J72, "")</f>
        <v/>
      </c>
      <c r="G1153" s="250" t="str">
        <f>IF(AND($B1153, Calculations!$B$9), 'Final Building Profile'!K72, "")</f>
        <v/>
      </c>
      <c r="H1153" t="str">
        <f>IF(AND($B1153, Calculations!$B$9),'Final Building Profile'!M72,"")</f>
        <v/>
      </c>
      <c r="I1153" t="str">
        <f>IF(AND($B1153, Calculations!$B$9),Calculations!AB776,"")</f>
        <v/>
      </c>
      <c r="J1153" t="str">
        <f>IF(AND($B1153, Calculations!$B$9),Calculations!AC776,"")</f>
        <v/>
      </c>
      <c r="K1153" s="315" t="str">
        <f>IF(AND($B1153, Calculations!$B$8), 'Final Building Profile'!J72, "")</f>
        <v/>
      </c>
      <c r="L1153" s="250" t="str">
        <f>IF(AND($B1153, Calculations!$B$8), 'Final Building Profile'!K72, "")</f>
        <v/>
      </c>
      <c r="M1153" t="str">
        <f>IF(AND($B1153, Calculations!$B$8), 'Final Building Profile'!L72, "")</f>
        <v/>
      </c>
      <c r="N1153" t="str">
        <f>IF(AND($B1153, Calculations!$B$8),Calculations!AB776,"")</f>
        <v/>
      </c>
      <c r="O1153" t="str">
        <f>IF(AND($B1153, Calculations!$B$8),Calculations!AC776,"")</f>
        <v/>
      </c>
      <c r="P1153" s="315" t="str">
        <f>IF(AND($B1153, Calculations!$B$7), 'Final Building Profile'!P72, "")</f>
        <v/>
      </c>
      <c r="Q1153" s="204" t="str">
        <f>IF(AND($B1153, Calculations!$B$7), 'Final Building Profile'!Q72, "")</f>
        <v/>
      </c>
      <c r="R1153" t="str">
        <f>IF(AND($B1153, Calculations!$B$7), 'Final Building Profile'!N72-'Final Building Profile'!O72, "")</f>
        <v/>
      </c>
      <c r="S1153" t="str">
        <f>IF(AND($B1153, Calculations!$B$7),Calculations!AD776,"")</f>
        <v/>
      </c>
      <c r="T1153" t="str">
        <f>IF(AND($B1153, Calculations!$B$7),Calculations!AE776,"")</f>
        <v/>
      </c>
    </row>
    <row r="1154" spans="1:20">
      <c r="A1154" s="195" t="str">
        <f>IF(C1154="","",MAX(A$1083:A1153)+1)</f>
        <v/>
      </c>
      <c r="B1154" s="195" t="b">
        <f t="shared" si="18"/>
        <v>0</v>
      </c>
      <c r="C1154" t="str">
        <f>CONCATENATE('Final Building Profile'!B73)</f>
        <v/>
      </c>
      <c r="D1154" t="str">
        <f>CONCATENATE('Final Building Profile'!C73)</f>
        <v/>
      </c>
      <c r="E1154" t="str">
        <f>CONCATENATE('Final Building Profile'!F73)</f>
        <v/>
      </c>
      <c r="F1154" s="315" t="str">
        <f>IF(AND($B1154, Calculations!$B$9), 'Final Building Profile'!J73, "")</f>
        <v/>
      </c>
      <c r="G1154" s="250" t="str">
        <f>IF(AND($B1154, Calculations!$B$9), 'Final Building Profile'!K73, "")</f>
        <v/>
      </c>
      <c r="H1154" t="str">
        <f>IF(AND($B1154, Calculations!$B$9),'Final Building Profile'!M73,"")</f>
        <v/>
      </c>
      <c r="I1154" t="str">
        <f>IF(AND($B1154, Calculations!$B$9),Calculations!AB777,"")</f>
        <v/>
      </c>
      <c r="J1154" t="str">
        <f>IF(AND($B1154, Calculations!$B$9),Calculations!AC777,"")</f>
        <v/>
      </c>
      <c r="K1154" s="315" t="str">
        <f>IF(AND($B1154, Calculations!$B$8), 'Final Building Profile'!J73, "")</f>
        <v/>
      </c>
      <c r="L1154" s="250" t="str">
        <f>IF(AND($B1154, Calculations!$B$8), 'Final Building Profile'!K73, "")</f>
        <v/>
      </c>
      <c r="M1154" t="str">
        <f>IF(AND($B1154, Calculations!$B$8), 'Final Building Profile'!L73, "")</f>
        <v/>
      </c>
      <c r="N1154" t="str">
        <f>IF(AND($B1154, Calculations!$B$8),Calculations!AB777,"")</f>
        <v/>
      </c>
      <c r="O1154" t="str">
        <f>IF(AND($B1154, Calculations!$B$8),Calculations!AC777,"")</f>
        <v/>
      </c>
      <c r="P1154" s="315" t="str">
        <f>IF(AND($B1154, Calculations!$B$7), 'Final Building Profile'!P73, "")</f>
        <v/>
      </c>
      <c r="Q1154" s="204" t="str">
        <f>IF(AND($B1154, Calculations!$B$7), 'Final Building Profile'!Q73, "")</f>
        <v/>
      </c>
      <c r="R1154" t="str">
        <f>IF(AND($B1154, Calculations!$B$7), 'Final Building Profile'!N73-'Final Building Profile'!O73, "")</f>
        <v/>
      </c>
      <c r="S1154" t="str">
        <f>IF(AND($B1154, Calculations!$B$7),Calculations!AD777,"")</f>
        <v/>
      </c>
      <c r="T1154" t="str">
        <f>IF(AND($B1154, Calculations!$B$7),Calculations!AE777,"")</f>
        <v/>
      </c>
    </row>
    <row r="1155" spans="1:20">
      <c r="A1155" s="195" t="str">
        <f>IF(C1155="","",MAX(A$1083:A1154)+1)</f>
        <v/>
      </c>
      <c r="B1155" s="195" t="b">
        <f t="shared" si="18"/>
        <v>0</v>
      </c>
      <c r="C1155" t="str">
        <f>CONCATENATE('Final Building Profile'!B74)</f>
        <v/>
      </c>
      <c r="D1155" t="str">
        <f>CONCATENATE('Final Building Profile'!C74)</f>
        <v/>
      </c>
      <c r="E1155" t="str">
        <f>CONCATENATE('Final Building Profile'!F74)</f>
        <v/>
      </c>
      <c r="F1155" s="315" t="str">
        <f>IF(AND($B1155, Calculations!$B$9), 'Final Building Profile'!J74, "")</f>
        <v/>
      </c>
      <c r="G1155" s="250" t="str">
        <f>IF(AND($B1155, Calculations!$B$9), 'Final Building Profile'!K74, "")</f>
        <v/>
      </c>
      <c r="H1155" t="str">
        <f>IF(AND($B1155, Calculations!$B$9),'Final Building Profile'!M74,"")</f>
        <v/>
      </c>
      <c r="I1155" t="str">
        <f>IF(AND($B1155, Calculations!$B$9),Calculations!AB778,"")</f>
        <v/>
      </c>
      <c r="J1155" t="str">
        <f>IF(AND($B1155, Calculations!$B$9),Calculations!AC778,"")</f>
        <v/>
      </c>
      <c r="K1155" s="315" t="str">
        <f>IF(AND($B1155, Calculations!$B$8), 'Final Building Profile'!J74, "")</f>
        <v/>
      </c>
      <c r="L1155" s="250" t="str">
        <f>IF(AND($B1155, Calculations!$B$8), 'Final Building Profile'!K74, "")</f>
        <v/>
      </c>
      <c r="M1155" t="str">
        <f>IF(AND($B1155, Calculations!$B$8), 'Final Building Profile'!L74, "")</f>
        <v/>
      </c>
      <c r="N1155" t="str">
        <f>IF(AND($B1155, Calculations!$B$8),Calculations!AB778,"")</f>
        <v/>
      </c>
      <c r="O1155" t="str">
        <f>IF(AND($B1155, Calculations!$B$8),Calculations!AC778,"")</f>
        <v/>
      </c>
      <c r="P1155" s="315" t="str">
        <f>IF(AND($B1155, Calculations!$B$7), 'Final Building Profile'!P74, "")</f>
        <v/>
      </c>
      <c r="Q1155" s="204" t="str">
        <f>IF(AND($B1155, Calculations!$B$7), 'Final Building Profile'!Q74, "")</f>
        <v/>
      </c>
      <c r="R1155" t="str">
        <f>IF(AND($B1155, Calculations!$B$7), 'Final Building Profile'!N74-'Final Building Profile'!O74, "")</f>
        <v/>
      </c>
      <c r="S1155" t="str">
        <f>IF(AND($B1155, Calculations!$B$7),Calculations!AD778,"")</f>
        <v/>
      </c>
      <c r="T1155" t="str">
        <f>IF(AND($B1155, Calculations!$B$7),Calculations!AE778,"")</f>
        <v/>
      </c>
    </row>
    <row r="1156" spans="1:20">
      <c r="A1156" s="195" t="str">
        <f>IF(C1156="","",MAX(A$1083:A1155)+1)</f>
        <v/>
      </c>
      <c r="B1156" s="195" t="b">
        <f t="shared" si="18"/>
        <v>0</v>
      </c>
      <c r="C1156" t="str">
        <f>CONCATENATE('Final Building Profile'!B75)</f>
        <v/>
      </c>
      <c r="D1156" t="str">
        <f>CONCATENATE('Final Building Profile'!C75)</f>
        <v/>
      </c>
      <c r="E1156" t="str">
        <f>CONCATENATE('Final Building Profile'!F75)</f>
        <v/>
      </c>
      <c r="F1156" s="315" t="str">
        <f>IF(AND($B1156, Calculations!$B$9), 'Final Building Profile'!J75, "")</f>
        <v/>
      </c>
      <c r="G1156" s="250" t="str">
        <f>IF(AND($B1156, Calculations!$B$9), 'Final Building Profile'!K75, "")</f>
        <v/>
      </c>
      <c r="H1156" t="str">
        <f>IF(AND($B1156, Calculations!$B$9),'Final Building Profile'!M75,"")</f>
        <v/>
      </c>
      <c r="I1156" t="str">
        <f>IF(AND($B1156, Calculations!$B$9),Calculations!AB779,"")</f>
        <v/>
      </c>
      <c r="J1156" t="str">
        <f>IF(AND($B1156, Calculations!$B$9),Calculations!AC779,"")</f>
        <v/>
      </c>
      <c r="K1156" s="315" t="str">
        <f>IF(AND($B1156, Calculations!$B$8), 'Final Building Profile'!J75, "")</f>
        <v/>
      </c>
      <c r="L1156" s="250" t="str">
        <f>IF(AND($B1156, Calculations!$B$8), 'Final Building Profile'!K75, "")</f>
        <v/>
      </c>
      <c r="M1156" t="str">
        <f>IF(AND($B1156, Calculations!$B$8), 'Final Building Profile'!L75, "")</f>
        <v/>
      </c>
      <c r="N1156" t="str">
        <f>IF(AND($B1156, Calculations!$B$8),Calculations!AB779,"")</f>
        <v/>
      </c>
      <c r="O1156" t="str">
        <f>IF(AND($B1156, Calculations!$B$8),Calculations!AC779,"")</f>
        <v/>
      </c>
      <c r="P1156" s="315" t="str">
        <f>IF(AND($B1156, Calculations!$B$7), 'Final Building Profile'!P75, "")</f>
        <v/>
      </c>
      <c r="Q1156" s="204" t="str">
        <f>IF(AND($B1156, Calculations!$B$7), 'Final Building Profile'!Q75, "")</f>
        <v/>
      </c>
      <c r="R1156" t="str">
        <f>IF(AND($B1156, Calculations!$B$7), 'Final Building Profile'!N75-'Final Building Profile'!O75, "")</f>
        <v/>
      </c>
      <c r="S1156" t="str">
        <f>IF(AND($B1156, Calculations!$B$7),Calculations!AD779,"")</f>
        <v/>
      </c>
      <c r="T1156" t="str">
        <f>IF(AND($B1156, Calculations!$B$7),Calculations!AE779,"")</f>
        <v/>
      </c>
    </row>
    <row r="1157" spans="1:20">
      <c r="A1157" s="195" t="str">
        <f>IF(C1157="","",MAX(A$1083:A1156)+1)</f>
        <v/>
      </c>
      <c r="B1157" s="195" t="b">
        <f t="shared" si="18"/>
        <v>0</v>
      </c>
      <c r="C1157" t="str">
        <f>CONCATENATE('Final Building Profile'!B76)</f>
        <v/>
      </c>
      <c r="D1157" t="str">
        <f>CONCATENATE('Final Building Profile'!C76)</f>
        <v/>
      </c>
      <c r="E1157" t="str">
        <f>CONCATENATE('Final Building Profile'!F76)</f>
        <v/>
      </c>
      <c r="F1157" s="315" t="str">
        <f>IF(AND($B1157, Calculations!$B$9), 'Final Building Profile'!J76, "")</f>
        <v/>
      </c>
      <c r="G1157" s="250" t="str">
        <f>IF(AND($B1157, Calculations!$B$9), 'Final Building Profile'!K76, "")</f>
        <v/>
      </c>
      <c r="H1157" t="str">
        <f>IF(AND($B1157, Calculations!$B$9),'Final Building Profile'!M76,"")</f>
        <v/>
      </c>
      <c r="I1157" t="str">
        <f>IF(AND($B1157, Calculations!$B$9),Calculations!AB780,"")</f>
        <v/>
      </c>
      <c r="J1157" t="str">
        <f>IF(AND($B1157, Calculations!$B$9),Calculations!AC780,"")</f>
        <v/>
      </c>
      <c r="K1157" s="315" t="str">
        <f>IF(AND($B1157, Calculations!$B$8), 'Final Building Profile'!J76, "")</f>
        <v/>
      </c>
      <c r="L1157" s="250" t="str">
        <f>IF(AND($B1157, Calculations!$B$8), 'Final Building Profile'!K76, "")</f>
        <v/>
      </c>
      <c r="M1157" t="str">
        <f>IF(AND($B1157, Calculations!$B$8), 'Final Building Profile'!L76, "")</f>
        <v/>
      </c>
      <c r="N1157" t="str">
        <f>IF(AND($B1157, Calculations!$B$8),Calculations!AB780,"")</f>
        <v/>
      </c>
      <c r="O1157" t="str">
        <f>IF(AND($B1157, Calculations!$B$8),Calculations!AC780,"")</f>
        <v/>
      </c>
      <c r="P1157" s="315" t="str">
        <f>IF(AND($B1157, Calculations!$B$7), 'Final Building Profile'!P76, "")</f>
        <v/>
      </c>
      <c r="Q1157" s="204" t="str">
        <f>IF(AND($B1157, Calculations!$B$7), 'Final Building Profile'!Q76, "")</f>
        <v/>
      </c>
      <c r="R1157" t="str">
        <f>IF(AND($B1157, Calculations!$B$7), 'Final Building Profile'!N76-'Final Building Profile'!O76, "")</f>
        <v/>
      </c>
      <c r="S1157" t="str">
        <f>IF(AND($B1157, Calculations!$B$7),Calculations!AD780,"")</f>
        <v/>
      </c>
      <c r="T1157" t="str">
        <f>IF(AND($B1157, Calculations!$B$7),Calculations!AE780,"")</f>
        <v/>
      </c>
    </row>
    <row r="1158" spans="1:20">
      <c r="A1158" s="195" t="str">
        <f>IF(C1158="","",MAX(A$1083:A1157)+1)</f>
        <v/>
      </c>
      <c r="B1158" s="195" t="b">
        <f t="shared" si="18"/>
        <v>0</v>
      </c>
      <c r="C1158" t="str">
        <f>CONCATENATE('Final Building Profile'!B77)</f>
        <v/>
      </c>
      <c r="D1158" t="str">
        <f>CONCATENATE('Final Building Profile'!C77)</f>
        <v/>
      </c>
      <c r="E1158" t="str">
        <f>CONCATENATE('Final Building Profile'!F77)</f>
        <v/>
      </c>
      <c r="F1158" s="315" t="str">
        <f>IF(AND($B1158, Calculations!$B$9), 'Final Building Profile'!J77, "")</f>
        <v/>
      </c>
      <c r="G1158" s="250" t="str">
        <f>IF(AND($B1158, Calculations!$B$9), 'Final Building Profile'!K77, "")</f>
        <v/>
      </c>
      <c r="H1158" t="str">
        <f>IF(AND($B1158, Calculations!$B$9),'Final Building Profile'!M77,"")</f>
        <v/>
      </c>
      <c r="I1158" t="str">
        <f>IF(AND($B1158, Calculations!$B$9),Calculations!AB781,"")</f>
        <v/>
      </c>
      <c r="J1158" t="str">
        <f>IF(AND($B1158, Calculations!$B$9),Calculations!AC781,"")</f>
        <v/>
      </c>
      <c r="K1158" s="315" t="str">
        <f>IF(AND($B1158, Calculations!$B$8), 'Final Building Profile'!J77, "")</f>
        <v/>
      </c>
      <c r="L1158" s="250" t="str">
        <f>IF(AND($B1158, Calculations!$B$8), 'Final Building Profile'!K77, "")</f>
        <v/>
      </c>
      <c r="M1158" t="str">
        <f>IF(AND($B1158, Calculations!$B$8), 'Final Building Profile'!L77, "")</f>
        <v/>
      </c>
      <c r="N1158" t="str">
        <f>IF(AND($B1158, Calculations!$B$8),Calculations!AB781,"")</f>
        <v/>
      </c>
      <c r="O1158" t="str">
        <f>IF(AND($B1158, Calculations!$B$8),Calculations!AC781,"")</f>
        <v/>
      </c>
      <c r="P1158" s="315" t="str">
        <f>IF(AND($B1158, Calculations!$B$7), 'Final Building Profile'!P77, "")</f>
        <v/>
      </c>
      <c r="Q1158" s="204" t="str">
        <f>IF(AND($B1158, Calculations!$B$7), 'Final Building Profile'!Q77, "")</f>
        <v/>
      </c>
      <c r="R1158" t="str">
        <f>IF(AND($B1158, Calculations!$B$7), 'Final Building Profile'!N77-'Final Building Profile'!O77, "")</f>
        <v/>
      </c>
      <c r="S1158" t="str">
        <f>IF(AND($B1158, Calculations!$B$7),Calculations!AD781,"")</f>
        <v/>
      </c>
      <c r="T1158" t="str">
        <f>IF(AND($B1158, Calculations!$B$7),Calculations!AE781,"")</f>
        <v/>
      </c>
    </row>
    <row r="1159" spans="1:20">
      <c r="A1159" s="195" t="str">
        <f>IF(C1159="","",MAX(A$1083:A1158)+1)</f>
        <v/>
      </c>
      <c r="B1159" s="195" t="b">
        <f t="shared" si="18"/>
        <v>0</v>
      </c>
      <c r="C1159" t="str">
        <f>CONCATENATE('Final Building Profile'!B78)</f>
        <v/>
      </c>
      <c r="D1159" t="str">
        <f>CONCATENATE('Final Building Profile'!C78)</f>
        <v/>
      </c>
      <c r="E1159" t="str">
        <f>CONCATENATE('Final Building Profile'!F78)</f>
        <v/>
      </c>
      <c r="F1159" s="315" t="str">
        <f>IF(AND($B1159, Calculations!$B$9), 'Final Building Profile'!J78, "")</f>
        <v/>
      </c>
      <c r="G1159" s="250" t="str">
        <f>IF(AND($B1159, Calculations!$B$9), 'Final Building Profile'!K78, "")</f>
        <v/>
      </c>
      <c r="H1159" t="str">
        <f>IF(AND($B1159, Calculations!$B$9),'Final Building Profile'!M78,"")</f>
        <v/>
      </c>
      <c r="I1159" t="str">
        <f>IF(AND($B1159, Calculations!$B$9),Calculations!AB782,"")</f>
        <v/>
      </c>
      <c r="J1159" t="str">
        <f>IF(AND($B1159, Calculations!$B$9),Calculations!AC782,"")</f>
        <v/>
      </c>
      <c r="K1159" s="315" t="str">
        <f>IF(AND($B1159, Calculations!$B$8), 'Final Building Profile'!J78, "")</f>
        <v/>
      </c>
      <c r="L1159" s="250" t="str">
        <f>IF(AND($B1159, Calculations!$B$8), 'Final Building Profile'!K78, "")</f>
        <v/>
      </c>
      <c r="M1159" t="str">
        <f>IF(AND($B1159, Calculations!$B$8), 'Final Building Profile'!L78, "")</f>
        <v/>
      </c>
      <c r="N1159" t="str">
        <f>IF(AND($B1159, Calculations!$B$8),Calculations!AB782,"")</f>
        <v/>
      </c>
      <c r="O1159" t="str">
        <f>IF(AND($B1159, Calculations!$B$8),Calculations!AC782,"")</f>
        <v/>
      </c>
      <c r="P1159" s="315" t="str">
        <f>IF(AND($B1159, Calculations!$B$7), 'Final Building Profile'!P78, "")</f>
        <v/>
      </c>
      <c r="Q1159" s="204" t="str">
        <f>IF(AND($B1159, Calculations!$B$7), 'Final Building Profile'!Q78, "")</f>
        <v/>
      </c>
      <c r="R1159" t="str">
        <f>IF(AND($B1159, Calculations!$B$7), 'Final Building Profile'!N78-'Final Building Profile'!O78, "")</f>
        <v/>
      </c>
      <c r="S1159" t="str">
        <f>IF(AND($B1159, Calculations!$B$7),Calculations!AD782,"")</f>
        <v/>
      </c>
      <c r="T1159" t="str">
        <f>IF(AND($B1159, Calculations!$B$7),Calculations!AE782,"")</f>
        <v/>
      </c>
    </row>
    <row r="1160" spans="1:20">
      <c r="A1160" s="195" t="str">
        <f>IF(C1160="","",MAX(A$1083:A1159)+1)</f>
        <v/>
      </c>
      <c r="B1160" s="195" t="b">
        <f t="shared" si="18"/>
        <v>0</v>
      </c>
      <c r="C1160" t="str">
        <f>CONCATENATE('Final Building Profile'!B79)</f>
        <v/>
      </c>
      <c r="D1160" t="str">
        <f>CONCATENATE('Final Building Profile'!C79)</f>
        <v/>
      </c>
      <c r="E1160" t="str">
        <f>CONCATENATE('Final Building Profile'!F79)</f>
        <v/>
      </c>
      <c r="F1160" s="315" t="str">
        <f>IF(AND($B1160, Calculations!$B$9), 'Final Building Profile'!J79, "")</f>
        <v/>
      </c>
      <c r="G1160" s="250" t="str">
        <f>IF(AND($B1160, Calculations!$B$9), 'Final Building Profile'!K79, "")</f>
        <v/>
      </c>
      <c r="H1160" t="str">
        <f>IF(AND($B1160, Calculations!$B$9),'Final Building Profile'!M79,"")</f>
        <v/>
      </c>
      <c r="I1160" t="str">
        <f>IF(AND($B1160, Calculations!$B$9),Calculations!AB783,"")</f>
        <v/>
      </c>
      <c r="J1160" t="str">
        <f>IF(AND($B1160, Calculations!$B$9),Calculations!AC783,"")</f>
        <v/>
      </c>
      <c r="K1160" s="315" t="str">
        <f>IF(AND($B1160, Calculations!$B$8), 'Final Building Profile'!J79, "")</f>
        <v/>
      </c>
      <c r="L1160" s="250" t="str">
        <f>IF(AND($B1160, Calculations!$B$8), 'Final Building Profile'!K79, "")</f>
        <v/>
      </c>
      <c r="M1160" t="str">
        <f>IF(AND($B1160, Calculations!$B$8), 'Final Building Profile'!L79, "")</f>
        <v/>
      </c>
      <c r="N1160" t="str">
        <f>IF(AND($B1160, Calculations!$B$8),Calculations!AB783,"")</f>
        <v/>
      </c>
      <c r="O1160" t="str">
        <f>IF(AND($B1160, Calculations!$B$8),Calculations!AC783,"")</f>
        <v/>
      </c>
      <c r="P1160" s="315" t="str">
        <f>IF(AND($B1160, Calculations!$B$7), 'Final Building Profile'!P79, "")</f>
        <v/>
      </c>
      <c r="Q1160" s="204" t="str">
        <f>IF(AND($B1160, Calculations!$B$7), 'Final Building Profile'!Q79, "")</f>
        <v/>
      </c>
      <c r="R1160" t="str">
        <f>IF(AND($B1160, Calculations!$B$7), 'Final Building Profile'!N79-'Final Building Profile'!O79, "")</f>
        <v/>
      </c>
      <c r="S1160" t="str">
        <f>IF(AND($B1160, Calculations!$B$7),Calculations!AD783,"")</f>
        <v/>
      </c>
      <c r="T1160" t="str">
        <f>IF(AND($B1160, Calculations!$B$7),Calculations!AE783,"")</f>
        <v/>
      </c>
    </row>
    <row r="1161" spans="1:20">
      <c r="A1161" s="195" t="str">
        <f>IF(C1161="","",MAX(A$1083:A1160)+1)</f>
        <v/>
      </c>
      <c r="B1161" s="195" t="b">
        <f t="shared" si="18"/>
        <v>0</v>
      </c>
      <c r="C1161" t="str">
        <f>CONCATENATE('Final Building Profile'!B80)</f>
        <v/>
      </c>
      <c r="D1161" t="str">
        <f>CONCATENATE('Final Building Profile'!C80)</f>
        <v/>
      </c>
      <c r="E1161" t="str">
        <f>CONCATENATE('Final Building Profile'!F80)</f>
        <v/>
      </c>
      <c r="F1161" s="315" t="str">
        <f>IF(AND($B1161, Calculations!$B$9), 'Final Building Profile'!J80, "")</f>
        <v/>
      </c>
      <c r="G1161" s="250" t="str">
        <f>IF(AND($B1161, Calculations!$B$9), 'Final Building Profile'!K80, "")</f>
        <v/>
      </c>
      <c r="H1161" t="str">
        <f>IF(AND($B1161, Calculations!$B$9),'Final Building Profile'!M80,"")</f>
        <v/>
      </c>
      <c r="I1161" t="str">
        <f>IF(AND($B1161, Calculations!$B$9),Calculations!AB784,"")</f>
        <v/>
      </c>
      <c r="J1161" t="str">
        <f>IF(AND($B1161, Calculations!$B$9),Calculations!AC784,"")</f>
        <v/>
      </c>
      <c r="K1161" s="315" t="str">
        <f>IF(AND($B1161, Calculations!$B$8), 'Final Building Profile'!J80, "")</f>
        <v/>
      </c>
      <c r="L1161" s="250" t="str">
        <f>IF(AND($B1161, Calculations!$B$8), 'Final Building Profile'!K80, "")</f>
        <v/>
      </c>
      <c r="M1161" t="str">
        <f>IF(AND($B1161, Calculations!$B$8), 'Final Building Profile'!L80, "")</f>
        <v/>
      </c>
      <c r="N1161" t="str">
        <f>IF(AND($B1161, Calculations!$B$8),Calculations!AB784,"")</f>
        <v/>
      </c>
      <c r="O1161" t="str">
        <f>IF(AND($B1161, Calculations!$B$8),Calculations!AC784,"")</f>
        <v/>
      </c>
      <c r="P1161" s="315" t="str">
        <f>IF(AND($B1161, Calculations!$B$7), 'Final Building Profile'!P80, "")</f>
        <v/>
      </c>
      <c r="Q1161" s="204" t="str">
        <f>IF(AND($B1161, Calculations!$B$7), 'Final Building Profile'!Q80, "")</f>
        <v/>
      </c>
      <c r="R1161" t="str">
        <f>IF(AND($B1161, Calculations!$B$7), 'Final Building Profile'!N80-'Final Building Profile'!O80, "")</f>
        <v/>
      </c>
      <c r="S1161" t="str">
        <f>IF(AND($B1161, Calculations!$B$7),Calculations!AD784,"")</f>
        <v/>
      </c>
      <c r="T1161" t="str">
        <f>IF(AND($B1161, Calculations!$B$7),Calculations!AE784,"")</f>
        <v/>
      </c>
    </row>
    <row r="1162" spans="1:20">
      <c r="A1162" s="195" t="str">
        <f>IF(C1162="","",MAX(A$1083:A1161)+1)</f>
        <v/>
      </c>
      <c r="B1162" s="195" t="b">
        <f t="shared" si="18"/>
        <v>0</v>
      </c>
      <c r="C1162" t="str">
        <f>CONCATENATE('Final Building Profile'!B81)</f>
        <v/>
      </c>
      <c r="D1162" t="str">
        <f>CONCATENATE('Final Building Profile'!C81)</f>
        <v/>
      </c>
      <c r="E1162" t="str">
        <f>CONCATENATE('Final Building Profile'!F81)</f>
        <v/>
      </c>
      <c r="F1162" s="315" t="str">
        <f>IF(AND($B1162, Calculations!$B$9), 'Final Building Profile'!J81, "")</f>
        <v/>
      </c>
      <c r="G1162" s="250" t="str">
        <f>IF(AND($B1162, Calculations!$B$9), 'Final Building Profile'!K81, "")</f>
        <v/>
      </c>
      <c r="H1162" t="str">
        <f>IF(AND($B1162, Calculations!$B$9),'Final Building Profile'!M81,"")</f>
        <v/>
      </c>
      <c r="I1162" t="str">
        <f>IF(AND($B1162, Calculations!$B$9),Calculations!AB785,"")</f>
        <v/>
      </c>
      <c r="J1162" t="str">
        <f>IF(AND($B1162, Calculations!$B$9),Calculations!AC785,"")</f>
        <v/>
      </c>
      <c r="K1162" s="315" t="str">
        <f>IF(AND($B1162, Calculations!$B$8), 'Final Building Profile'!J81, "")</f>
        <v/>
      </c>
      <c r="L1162" s="250" t="str">
        <f>IF(AND($B1162, Calculations!$B$8), 'Final Building Profile'!K81, "")</f>
        <v/>
      </c>
      <c r="M1162" t="str">
        <f>IF(AND($B1162, Calculations!$B$8), 'Final Building Profile'!L81, "")</f>
        <v/>
      </c>
      <c r="N1162" t="str">
        <f>IF(AND($B1162, Calculations!$B$8),Calculations!AB785,"")</f>
        <v/>
      </c>
      <c r="O1162" t="str">
        <f>IF(AND($B1162, Calculations!$B$8),Calculations!AC785,"")</f>
        <v/>
      </c>
      <c r="P1162" s="315" t="str">
        <f>IF(AND($B1162, Calculations!$B$7), 'Final Building Profile'!P81, "")</f>
        <v/>
      </c>
      <c r="Q1162" s="204" t="str">
        <f>IF(AND($B1162, Calculations!$B$7), 'Final Building Profile'!Q81, "")</f>
        <v/>
      </c>
      <c r="R1162" t="str">
        <f>IF(AND($B1162, Calculations!$B$7), 'Final Building Profile'!N81-'Final Building Profile'!O81, "")</f>
        <v/>
      </c>
      <c r="S1162" t="str">
        <f>IF(AND($B1162, Calculations!$B$7),Calculations!AD785,"")</f>
        <v/>
      </c>
      <c r="T1162" t="str">
        <f>IF(AND($B1162, Calculations!$B$7),Calculations!AE785,"")</f>
        <v/>
      </c>
    </row>
    <row r="1163" spans="1:20">
      <c r="A1163" s="195" t="str">
        <f>IF(C1163="","",MAX(A$1083:A1162)+1)</f>
        <v/>
      </c>
      <c r="B1163" s="195" t="b">
        <f t="shared" si="18"/>
        <v>0</v>
      </c>
      <c r="C1163" t="str">
        <f>CONCATENATE('Final Building Profile'!B82)</f>
        <v/>
      </c>
      <c r="D1163" t="str">
        <f>CONCATENATE('Final Building Profile'!C82)</f>
        <v/>
      </c>
      <c r="E1163" t="str">
        <f>CONCATENATE('Final Building Profile'!F82)</f>
        <v/>
      </c>
      <c r="F1163" s="315" t="str">
        <f>IF(AND($B1163, Calculations!$B$9), 'Final Building Profile'!J82, "")</f>
        <v/>
      </c>
      <c r="G1163" s="250" t="str">
        <f>IF(AND($B1163, Calculations!$B$9), 'Final Building Profile'!K82, "")</f>
        <v/>
      </c>
      <c r="H1163" t="str">
        <f>IF(AND($B1163, Calculations!$B$9),'Final Building Profile'!M82,"")</f>
        <v/>
      </c>
      <c r="I1163" t="str">
        <f>IF(AND($B1163, Calculations!$B$9),Calculations!AB786,"")</f>
        <v/>
      </c>
      <c r="J1163" t="str">
        <f>IF(AND($B1163, Calculations!$B$9),Calculations!AC786,"")</f>
        <v/>
      </c>
      <c r="K1163" s="315" t="str">
        <f>IF(AND($B1163, Calculations!$B$8), 'Final Building Profile'!J82, "")</f>
        <v/>
      </c>
      <c r="L1163" s="250" t="str">
        <f>IF(AND($B1163, Calculations!$B$8), 'Final Building Profile'!K82, "")</f>
        <v/>
      </c>
      <c r="M1163" t="str">
        <f>IF(AND($B1163, Calculations!$B$8), 'Final Building Profile'!L82, "")</f>
        <v/>
      </c>
      <c r="N1163" t="str">
        <f>IF(AND($B1163, Calculations!$B$8),Calculations!AB786,"")</f>
        <v/>
      </c>
      <c r="O1163" t="str">
        <f>IF(AND($B1163, Calculations!$B$8),Calculations!AC786,"")</f>
        <v/>
      </c>
      <c r="P1163" s="315" t="str">
        <f>IF(AND($B1163, Calculations!$B$7), 'Final Building Profile'!P82, "")</f>
        <v/>
      </c>
      <c r="Q1163" s="204" t="str">
        <f>IF(AND($B1163, Calculations!$B$7), 'Final Building Profile'!Q82, "")</f>
        <v/>
      </c>
      <c r="R1163" t="str">
        <f>IF(AND($B1163, Calculations!$B$7), 'Final Building Profile'!N82-'Final Building Profile'!O82, "")</f>
        <v/>
      </c>
      <c r="S1163" t="str">
        <f>IF(AND($B1163, Calculations!$B$7),Calculations!AD786,"")</f>
        <v/>
      </c>
      <c r="T1163" t="str">
        <f>IF(AND($B1163, Calculations!$B$7),Calculations!AE786,"")</f>
        <v/>
      </c>
    </row>
    <row r="1164" spans="1:20">
      <c r="A1164" s="195" t="str">
        <f>IF(C1164="","",MAX(A$1083:A1163)+1)</f>
        <v/>
      </c>
      <c r="B1164" s="195" t="b">
        <f t="shared" si="18"/>
        <v>0</v>
      </c>
      <c r="C1164" t="str">
        <f>CONCATENATE('Final Building Profile'!B83)</f>
        <v/>
      </c>
      <c r="D1164" t="str">
        <f>CONCATENATE('Final Building Profile'!C83)</f>
        <v/>
      </c>
      <c r="E1164" t="str">
        <f>CONCATENATE('Final Building Profile'!F83)</f>
        <v/>
      </c>
      <c r="F1164" s="315" t="str">
        <f>IF(AND($B1164, Calculations!$B$9), 'Final Building Profile'!J83, "")</f>
        <v/>
      </c>
      <c r="G1164" s="250" t="str">
        <f>IF(AND($B1164, Calculations!$B$9), 'Final Building Profile'!K83, "")</f>
        <v/>
      </c>
      <c r="H1164" t="str">
        <f>IF(AND($B1164, Calculations!$B$9),'Final Building Profile'!M83,"")</f>
        <v/>
      </c>
      <c r="I1164" t="str">
        <f>IF(AND($B1164, Calculations!$B$9),Calculations!AB787,"")</f>
        <v/>
      </c>
      <c r="J1164" t="str">
        <f>IF(AND($B1164, Calculations!$B$9),Calculations!AC787,"")</f>
        <v/>
      </c>
      <c r="K1164" s="315" t="str">
        <f>IF(AND($B1164, Calculations!$B$8), 'Final Building Profile'!J83, "")</f>
        <v/>
      </c>
      <c r="L1164" s="250" t="str">
        <f>IF(AND($B1164, Calculations!$B$8), 'Final Building Profile'!K83, "")</f>
        <v/>
      </c>
      <c r="M1164" t="str">
        <f>IF(AND($B1164, Calculations!$B$8), 'Final Building Profile'!L83, "")</f>
        <v/>
      </c>
      <c r="N1164" t="str">
        <f>IF(AND($B1164, Calculations!$B$8),Calculations!AB787,"")</f>
        <v/>
      </c>
      <c r="O1164" t="str">
        <f>IF(AND($B1164, Calculations!$B$8),Calculations!AC787,"")</f>
        <v/>
      </c>
      <c r="P1164" s="315" t="str">
        <f>IF(AND($B1164, Calculations!$B$7), 'Final Building Profile'!P83, "")</f>
        <v/>
      </c>
      <c r="Q1164" s="204" t="str">
        <f>IF(AND($B1164, Calculations!$B$7), 'Final Building Profile'!Q83, "")</f>
        <v/>
      </c>
      <c r="R1164" t="str">
        <f>IF(AND($B1164, Calculations!$B$7), 'Final Building Profile'!N83-'Final Building Profile'!O83, "")</f>
        <v/>
      </c>
      <c r="S1164" t="str">
        <f>IF(AND($B1164, Calculations!$B$7),Calculations!AD787,"")</f>
        <v/>
      </c>
      <c r="T1164" t="str">
        <f>IF(AND($B1164, Calculations!$B$7),Calculations!AE787,"")</f>
        <v/>
      </c>
    </row>
    <row r="1165" spans="1:20">
      <c r="A1165" s="195" t="str">
        <f>IF(C1165="","",MAX(A$1083:A1164)+1)</f>
        <v/>
      </c>
      <c r="B1165" s="195" t="b">
        <f t="shared" si="18"/>
        <v>0</v>
      </c>
      <c r="C1165" t="str">
        <f>CONCATENATE('Final Building Profile'!B84)</f>
        <v/>
      </c>
      <c r="D1165" t="str">
        <f>CONCATENATE('Final Building Profile'!C84)</f>
        <v/>
      </c>
      <c r="E1165" t="str">
        <f>CONCATENATE('Final Building Profile'!F84)</f>
        <v/>
      </c>
      <c r="F1165" s="315" t="str">
        <f>IF(AND($B1165, Calculations!$B$9), 'Final Building Profile'!J84, "")</f>
        <v/>
      </c>
      <c r="G1165" s="250" t="str">
        <f>IF(AND($B1165, Calculations!$B$9), 'Final Building Profile'!K84, "")</f>
        <v/>
      </c>
      <c r="H1165" t="str">
        <f>IF(AND($B1165, Calculations!$B$9),'Final Building Profile'!M84,"")</f>
        <v/>
      </c>
      <c r="I1165" t="str">
        <f>IF(AND($B1165, Calculations!$B$9),Calculations!AB788,"")</f>
        <v/>
      </c>
      <c r="J1165" t="str">
        <f>IF(AND($B1165, Calculations!$B$9),Calculations!AC788,"")</f>
        <v/>
      </c>
      <c r="K1165" s="315" t="str">
        <f>IF(AND($B1165, Calculations!$B$8), 'Final Building Profile'!J84, "")</f>
        <v/>
      </c>
      <c r="L1165" s="250" t="str">
        <f>IF(AND($B1165, Calculations!$B$8), 'Final Building Profile'!K84, "")</f>
        <v/>
      </c>
      <c r="M1165" t="str">
        <f>IF(AND($B1165, Calculations!$B$8), 'Final Building Profile'!L84, "")</f>
        <v/>
      </c>
      <c r="N1165" t="str">
        <f>IF(AND($B1165, Calculations!$B$8),Calculations!AB788,"")</f>
        <v/>
      </c>
      <c r="O1165" t="str">
        <f>IF(AND($B1165, Calculations!$B$8),Calculations!AC788,"")</f>
        <v/>
      </c>
      <c r="P1165" s="315" t="str">
        <f>IF(AND($B1165, Calculations!$B$7), 'Final Building Profile'!P84, "")</f>
        <v/>
      </c>
      <c r="Q1165" s="204" t="str">
        <f>IF(AND($B1165, Calculations!$B$7), 'Final Building Profile'!Q84, "")</f>
        <v/>
      </c>
      <c r="R1165" t="str">
        <f>IF(AND($B1165, Calculations!$B$7), 'Final Building Profile'!N84-'Final Building Profile'!O84, "")</f>
        <v/>
      </c>
      <c r="S1165" t="str">
        <f>IF(AND($B1165, Calculations!$B$7),Calculations!AD788,"")</f>
        <v/>
      </c>
      <c r="T1165" t="str">
        <f>IF(AND($B1165, Calculations!$B$7),Calculations!AE788,"")</f>
        <v/>
      </c>
    </row>
    <row r="1166" spans="1:20">
      <c r="A1166" s="195" t="str">
        <f>IF(C1166="","",MAX(A$1083:A1165)+1)</f>
        <v/>
      </c>
      <c r="B1166" s="195" t="b">
        <f t="shared" si="18"/>
        <v>0</v>
      </c>
      <c r="C1166" t="str">
        <f>CONCATENATE('Final Building Profile'!B85)</f>
        <v/>
      </c>
      <c r="D1166" t="str">
        <f>CONCATENATE('Final Building Profile'!C85)</f>
        <v/>
      </c>
      <c r="E1166" t="str">
        <f>CONCATENATE('Final Building Profile'!F85)</f>
        <v/>
      </c>
      <c r="F1166" s="315" t="str">
        <f>IF(AND($B1166, Calculations!$B$9), 'Final Building Profile'!J85, "")</f>
        <v/>
      </c>
      <c r="G1166" s="250" t="str">
        <f>IF(AND($B1166, Calculations!$B$9), 'Final Building Profile'!K85, "")</f>
        <v/>
      </c>
      <c r="H1166" t="str">
        <f>IF(AND($B1166, Calculations!$B$9),'Final Building Profile'!M85,"")</f>
        <v/>
      </c>
      <c r="I1166" t="str">
        <f>IF(AND($B1166, Calculations!$B$9),Calculations!AB789,"")</f>
        <v/>
      </c>
      <c r="J1166" t="str">
        <f>IF(AND($B1166, Calculations!$B$9),Calculations!AC789,"")</f>
        <v/>
      </c>
      <c r="K1166" s="315" t="str">
        <f>IF(AND($B1166, Calculations!$B$8), 'Final Building Profile'!J85, "")</f>
        <v/>
      </c>
      <c r="L1166" s="250" t="str">
        <f>IF(AND($B1166, Calculations!$B$8), 'Final Building Profile'!K85, "")</f>
        <v/>
      </c>
      <c r="M1166" t="str">
        <f>IF(AND($B1166, Calculations!$B$8), 'Final Building Profile'!L85, "")</f>
        <v/>
      </c>
      <c r="N1166" t="str">
        <f>IF(AND($B1166, Calculations!$B$8),Calculations!AB789,"")</f>
        <v/>
      </c>
      <c r="O1166" t="str">
        <f>IF(AND($B1166, Calculations!$B$8),Calculations!AC789,"")</f>
        <v/>
      </c>
      <c r="P1166" s="315" t="str">
        <f>IF(AND($B1166, Calculations!$B$7), 'Final Building Profile'!P85, "")</f>
        <v/>
      </c>
      <c r="Q1166" s="204" t="str">
        <f>IF(AND($B1166, Calculations!$B$7), 'Final Building Profile'!Q85, "")</f>
        <v/>
      </c>
      <c r="R1166" t="str">
        <f>IF(AND($B1166, Calculations!$B$7), 'Final Building Profile'!N85-'Final Building Profile'!O85, "")</f>
        <v/>
      </c>
      <c r="S1166" t="str">
        <f>IF(AND($B1166, Calculations!$B$7),Calculations!AD789,"")</f>
        <v/>
      </c>
      <c r="T1166" t="str">
        <f>IF(AND($B1166, Calculations!$B$7),Calculations!AE789,"")</f>
        <v/>
      </c>
    </row>
    <row r="1167" spans="1:20">
      <c r="A1167" s="195" t="str">
        <f>IF(C1167="","",MAX(A$1083:A1166)+1)</f>
        <v/>
      </c>
      <c r="B1167" s="195" t="b">
        <f t="shared" si="18"/>
        <v>0</v>
      </c>
      <c r="C1167" t="str">
        <f>CONCATENATE('Final Building Profile'!B86)</f>
        <v/>
      </c>
      <c r="D1167" t="str">
        <f>CONCATENATE('Final Building Profile'!C86)</f>
        <v/>
      </c>
      <c r="E1167" t="str">
        <f>CONCATENATE('Final Building Profile'!F86)</f>
        <v/>
      </c>
      <c r="F1167" s="315" t="str">
        <f>IF(AND($B1167, Calculations!$B$9), 'Final Building Profile'!J86, "")</f>
        <v/>
      </c>
      <c r="G1167" s="250" t="str">
        <f>IF(AND($B1167, Calculations!$B$9), 'Final Building Profile'!K86, "")</f>
        <v/>
      </c>
      <c r="H1167" t="str">
        <f>IF(AND($B1167, Calculations!$B$9),'Final Building Profile'!M86,"")</f>
        <v/>
      </c>
      <c r="I1167" t="str">
        <f>IF(AND($B1167, Calculations!$B$9),Calculations!AB790,"")</f>
        <v/>
      </c>
      <c r="J1167" t="str">
        <f>IF(AND($B1167, Calculations!$B$9),Calculations!AC790,"")</f>
        <v/>
      </c>
      <c r="K1167" s="315" t="str">
        <f>IF(AND($B1167, Calculations!$B$8), 'Final Building Profile'!J86, "")</f>
        <v/>
      </c>
      <c r="L1167" s="250" t="str">
        <f>IF(AND($B1167, Calculations!$B$8), 'Final Building Profile'!K86, "")</f>
        <v/>
      </c>
      <c r="M1167" t="str">
        <f>IF(AND($B1167, Calculations!$B$8), 'Final Building Profile'!L86, "")</f>
        <v/>
      </c>
      <c r="N1167" t="str">
        <f>IF(AND($B1167, Calculations!$B$8),Calculations!AB790,"")</f>
        <v/>
      </c>
      <c r="O1167" t="str">
        <f>IF(AND($B1167, Calculations!$B$8),Calculations!AC790,"")</f>
        <v/>
      </c>
      <c r="P1167" s="315" t="str">
        <f>IF(AND($B1167, Calculations!$B$7), 'Final Building Profile'!P86, "")</f>
        <v/>
      </c>
      <c r="Q1167" s="204" t="str">
        <f>IF(AND($B1167, Calculations!$B$7), 'Final Building Profile'!Q86, "")</f>
        <v/>
      </c>
      <c r="R1167" t="str">
        <f>IF(AND($B1167, Calculations!$B$7), 'Final Building Profile'!N86-'Final Building Profile'!O86, "")</f>
        <v/>
      </c>
      <c r="S1167" t="str">
        <f>IF(AND($B1167, Calculations!$B$7),Calculations!AD790,"")</f>
        <v/>
      </c>
      <c r="T1167" t="str">
        <f>IF(AND($B1167, Calculations!$B$7),Calculations!AE790,"")</f>
        <v/>
      </c>
    </row>
    <row r="1168" spans="1:20">
      <c r="A1168" s="195" t="str">
        <f>IF(C1168="","",MAX(A$1083:A1167)+1)</f>
        <v/>
      </c>
      <c r="B1168" s="195" t="b">
        <f t="shared" si="18"/>
        <v>0</v>
      </c>
      <c r="C1168" t="str">
        <f>CONCATENATE('Final Building Profile'!B87)</f>
        <v/>
      </c>
      <c r="D1168" t="str">
        <f>CONCATENATE('Final Building Profile'!C87)</f>
        <v/>
      </c>
      <c r="E1168" t="str">
        <f>CONCATENATE('Final Building Profile'!F87)</f>
        <v/>
      </c>
      <c r="F1168" s="315" t="str">
        <f>IF(AND($B1168, Calculations!$B$9), 'Final Building Profile'!J87, "")</f>
        <v/>
      </c>
      <c r="G1168" s="250" t="str">
        <f>IF(AND($B1168, Calculations!$B$9), 'Final Building Profile'!K87, "")</f>
        <v/>
      </c>
      <c r="H1168" t="str">
        <f>IF(AND($B1168, Calculations!$B$9),'Final Building Profile'!M87,"")</f>
        <v/>
      </c>
      <c r="I1168" t="str">
        <f>IF(AND($B1168, Calculations!$B$9),Calculations!AB791,"")</f>
        <v/>
      </c>
      <c r="J1168" t="str">
        <f>IF(AND($B1168, Calculations!$B$9),Calculations!AC791,"")</f>
        <v/>
      </c>
      <c r="K1168" s="315" t="str">
        <f>IF(AND($B1168, Calculations!$B$8), 'Final Building Profile'!J87, "")</f>
        <v/>
      </c>
      <c r="L1168" s="250" t="str">
        <f>IF(AND($B1168, Calculations!$B$8), 'Final Building Profile'!K87, "")</f>
        <v/>
      </c>
      <c r="M1168" t="str">
        <f>IF(AND($B1168, Calculations!$B$8), 'Final Building Profile'!L87, "")</f>
        <v/>
      </c>
      <c r="N1168" t="str">
        <f>IF(AND($B1168, Calculations!$B$8),Calculations!AB791,"")</f>
        <v/>
      </c>
      <c r="O1168" t="str">
        <f>IF(AND($B1168, Calculations!$B$8),Calculations!AC791,"")</f>
        <v/>
      </c>
      <c r="P1168" s="315" t="str">
        <f>IF(AND($B1168, Calculations!$B$7), 'Final Building Profile'!P87, "")</f>
        <v/>
      </c>
      <c r="Q1168" s="204" t="str">
        <f>IF(AND($B1168, Calculations!$B$7), 'Final Building Profile'!Q87, "")</f>
        <v/>
      </c>
      <c r="R1168" t="str">
        <f>IF(AND($B1168, Calculations!$B$7), 'Final Building Profile'!N87-'Final Building Profile'!O87, "")</f>
        <v/>
      </c>
      <c r="S1168" t="str">
        <f>IF(AND($B1168, Calculations!$B$7),Calculations!AD791,"")</f>
        <v/>
      </c>
      <c r="T1168" t="str">
        <f>IF(AND($B1168, Calculations!$B$7),Calculations!AE791,"")</f>
        <v/>
      </c>
    </row>
    <row r="1169" spans="1:20">
      <c r="A1169" s="195" t="str">
        <f>IF(C1169="","",MAX(A$1083:A1168)+1)</f>
        <v/>
      </c>
      <c r="B1169" s="195" t="b">
        <f t="shared" si="18"/>
        <v>0</v>
      </c>
      <c r="C1169" t="str">
        <f>CONCATENATE('Final Building Profile'!B88)</f>
        <v/>
      </c>
      <c r="D1169" t="str">
        <f>CONCATENATE('Final Building Profile'!C88)</f>
        <v/>
      </c>
      <c r="E1169" t="str">
        <f>CONCATENATE('Final Building Profile'!F88)</f>
        <v/>
      </c>
      <c r="F1169" s="315" t="str">
        <f>IF(AND($B1169, Calculations!$B$9), 'Final Building Profile'!J88, "")</f>
        <v/>
      </c>
      <c r="G1169" s="250" t="str">
        <f>IF(AND($B1169, Calculations!$B$9), 'Final Building Profile'!K88, "")</f>
        <v/>
      </c>
      <c r="H1169" t="str">
        <f>IF(AND($B1169, Calculations!$B$9),'Final Building Profile'!M88,"")</f>
        <v/>
      </c>
      <c r="I1169" t="str">
        <f>IF(AND($B1169, Calculations!$B$9),Calculations!AB792,"")</f>
        <v/>
      </c>
      <c r="J1169" t="str">
        <f>IF(AND($B1169, Calculations!$B$9),Calculations!AC792,"")</f>
        <v/>
      </c>
      <c r="K1169" s="315" t="str">
        <f>IF(AND($B1169, Calculations!$B$8), 'Final Building Profile'!J88, "")</f>
        <v/>
      </c>
      <c r="L1169" s="250" t="str">
        <f>IF(AND($B1169, Calculations!$B$8), 'Final Building Profile'!K88, "")</f>
        <v/>
      </c>
      <c r="M1169" t="str">
        <f>IF(AND($B1169, Calculations!$B$8), 'Final Building Profile'!L88, "")</f>
        <v/>
      </c>
      <c r="N1169" t="str">
        <f>IF(AND($B1169, Calculations!$B$8),Calculations!AB792,"")</f>
        <v/>
      </c>
      <c r="O1169" t="str">
        <f>IF(AND($B1169, Calculations!$B$8),Calculations!AC792,"")</f>
        <v/>
      </c>
      <c r="P1169" s="315" t="str">
        <f>IF(AND($B1169, Calculations!$B$7), 'Final Building Profile'!P88, "")</f>
        <v/>
      </c>
      <c r="Q1169" s="204" t="str">
        <f>IF(AND($B1169, Calculations!$B$7), 'Final Building Profile'!Q88, "")</f>
        <v/>
      </c>
      <c r="R1169" t="str">
        <f>IF(AND($B1169, Calculations!$B$7), 'Final Building Profile'!N88-'Final Building Profile'!O88, "")</f>
        <v/>
      </c>
      <c r="S1169" t="str">
        <f>IF(AND($B1169, Calculations!$B$7),Calculations!AD792,"")</f>
        <v/>
      </c>
      <c r="T1169" t="str">
        <f>IF(AND($B1169, Calculations!$B$7),Calculations!AE792,"")</f>
        <v/>
      </c>
    </row>
    <row r="1170" spans="1:20">
      <c r="A1170" s="195" t="str">
        <f>IF(C1170="","",MAX(A$1083:A1169)+1)</f>
        <v/>
      </c>
      <c r="B1170" s="195" t="b">
        <f t="shared" si="18"/>
        <v>0</v>
      </c>
      <c r="C1170" t="str">
        <f>CONCATENATE('Final Building Profile'!B89)</f>
        <v/>
      </c>
      <c r="D1170" t="str">
        <f>CONCATENATE('Final Building Profile'!C89)</f>
        <v/>
      </c>
      <c r="E1170" t="str">
        <f>CONCATENATE('Final Building Profile'!F89)</f>
        <v/>
      </c>
      <c r="F1170" s="315" t="str">
        <f>IF(AND($B1170, Calculations!$B$9), 'Final Building Profile'!J89, "")</f>
        <v/>
      </c>
      <c r="G1170" s="250" t="str">
        <f>IF(AND($B1170, Calculations!$B$9), 'Final Building Profile'!K89, "")</f>
        <v/>
      </c>
      <c r="H1170" t="str">
        <f>IF(AND($B1170, Calculations!$B$9),'Final Building Profile'!M89,"")</f>
        <v/>
      </c>
      <c r="I1170" t="str">
        <f>IF(AND($B1170, Calculations!$B$9),Calculations!AB793,"")</f>
        <v/>
      </c>
      <c r="J1170" t="str">
        <f>IF(AND($B1170, Calculations!$B$9),Calculations!AC793,"")</f>
        <v/>
      </c>
      <c r="K1170" s="315" t="str">
        <f>IF(AND($B1170, Calculations!$B$8), 'Final Building Profile'!J89, "")</f>
        <v/>
      </c>
      <c r="L1170" s="250" t="str">
        <f>IF(AND($B1170, Calculations!$B$8), 'Final Building Profile'!K89, "")</f>
        <v/>
      </c>
      <c r="M1170" t="str">
        <f>IF(AND($B1170, Calculations!$B$8), 'Final Building Profile'!L89, "")</f>
        <v/>
      </c>
      <c r="N1170" t="str">
        <f>IF(AND($B1170, Calculations!$B$8),Calculations!AB793,"")</f>
        <v/>
      </c>
      <c r="O1170" t="str">
        <f>IF(AND($B1170, Calculations!$B$8),Calculations!AC793,"")</f>
        <v/>
      </c>
      <c r="P1170" s="315" t="str">
        <f>IF(AND($B1170, Calculations!$B$7), 'Final Building Profile'!P89, "")</f>
        <v/>
      </c>
      <c r="Q1170" s="204" t="str">
        <f>IF(AND($B1170, Calculations!$B$7), 'Final Building Profile'!Q89, "")</f>
        <v/>
      </c>
      <c r="R1170" t="str">
        <f>IF(AND($B1170, Calculations!$B$7), 'Final Building Profile'!N89-'Final Building Profile'!O89, "")</f>
        <v/>
      </c>
      <c r="S1170" t="str">
        <f>IF(AND($B1170, Calculations!$B$7),Calculations!AD793,"")</f>
        <v/>
      </c>
      <c r="T1170" t="str">
        <f>IF(AND($B1170, Calculations!$B$7),Calculations!AE793,"")</f>
        <v/>
      </c>
    </row>
    <row r="1171" spans="1:20">
      <c r="A1171" s="195" t="str">
        <f>IF(C1171="","",MAX(A$1083:A1170)+1)</f>
        <v/>
      </c>
      <c r="B1171" s="195" t="b">
        <f t="shared" si="18"/>
        <v>0</v>
      </c>
      <c r="C1171" t="str">
        <f>CONCATENATE('Final Building Profile'!B90)</f>
        <v/>
      </c>
      <c r="D1171" t="str">
        <f>CONCATENATE('Final Building Profile'!C90)</f>
        <v/>
      </c>
      <c r="E1171" t="str">
        <f>CONCATENATE('Final Building Profile'!F90)</f>
        <v/>
      </c>
      <c r="F1171" s="315" t="str">
        <f>IF(AND($B1171, Calculations!$B$9), 'Final Building Profile'!J90, "")</f>
        <v/>
      </c>
      <c r="G1171" s="250" t="str">
        <f>IF(AND($B1171, Calculations!$B$9), 'Final Building Profile'!K90, "")</f>
        <v/>
      </c>
      <c r="H1171" t="str">
        <f>IF(AND($B1171, Calculations!$B$9),'Final Building Profile'!M90,"")</f>
        <v/>
      </c>
      <c r="I1171" t="str">
        <f>IF(AND($B1171, Calculations!$B$9),Calculations!AB794,"")</f>
        <v/>
      </c>
      <c r="J1171" t="str">
        <f>IF(AND($B1171, Calculations!$B$9),Calculations!AC794,"")</f>
        <v/>
      </c>
      <c r="K1171" s="315" t="str">
        <f>IF(AND($B1171, Calculations!$B$8), 'Final Building Profile'!J90, "")</f>
        <v/>
      </c>
      <c r="L1171" s="250" t="str">
        <f>IF(AND($B1171, Calculations!$B$8), 'Final Building Profile'!K90, "")</f>
        <v/>
      </c>
      <c r="M1171" t="str">
        <f>IF(AND($B1171, Calculations!$B$8), 'Final Building Profile'!L90, "")</f>
        <v/>
      </c>
      <c r="N1171" t="str">
        <f>IF(AND($B1171, Calculations!$B$8),Calculations!AB794,"")</f>
        <v/>
      </c>
      <c r="O1171" t="str">
        <f>IF(AND($B1171, Calculations!$B$8),Calculations!AC794,"")</f>
        <v/>
      </c>
      <c r="P1171" s="315" t="str">
        <f>IF(AND($B1171, Calculations!$B$7), 'Final Building Profile'!P90, "")</f>
        <v/>
      </c>
      <c r="Q1171" s="204" t="str">
        <f>IF(AND($B1171, Calculations!$B$7), 'Final Building Profile'!Q90, "")</f>
        <v/>
      </c>
      <c r="R1171" t="str">
        <f>IF(AND($B1171, Calculations!$B$7), 'Final Building Profile'!N90-'Final Building Profile'!O90, "")</f>
        <v/>
      </c>
      <c r="S1171" t="str">
        <f>IF(AND($B1171, Calculations!$B$7),Calculations!AD794,"")</f>
        <v/>
      </c>
      <c r="T1171" t="str">
        <f>IF(AND($B1171, Calculations!$B$7),Calculations!AE794,"")</f>
        <v/>
      </c>
    </row>
    <row r="1172" spans="1:20">
      <c r="A1172" s="195" t="str">
        <f>IF(C1172="","",MAX(A$1083:A1171)+1)</f>
        <v/>
      </c>
      <c r="B1172" s="195" t="b">
        <f t="shared" si="18"/>
        <v>0</v>
      </c>
      <c r="C1172" t="str">
        <f>CONCATENATE('Final Building Profile'!B91)</f>
        <v/>
      </c>
      <c r="D1172" t="str">
        <f>CONCATENATE('Final Building Profile'!C91)</f>
        <v/>
      </c>
      <c r="E1172" t="str">
        <f>CONCATENATE('Final Building Profile'!F91)</f>
        <v/>
      </c>
      <c r="F1172" s="315" t="str">
        <f>IF(AND($B1172, Calculations!$B$9), 'Final Building Profile'!J91, "")</f>
        <v/>
      </c>
      <c r="G1172" s="250" t="str">
        <f>IF(AND($B1172, Calculations!$B$9), 'Final Building Profile'!K91, "")</f>
        <v/>
      </c>
      <c r="H1172" t="str">
        <f>IF(AND($B1172, Calculations!$B$9),'Final Building Profile'!M91,"")</f>
        <v/>
      </c>
      <c r="I1172" t="str">
        <f>IF(AND($B1172, Calculations!$B$9),Calculations!AB795,"")</f>
        <v/>
      </c>
      <c r="J1172" t="str">
        <f>IF(AND($B1172, Calculations!$B$9),Calculations!AC795,"")</f>
        <v/>
      </c>
      <c r="K1172" s="315" t="str">
        <f>IF(AND($B1172, Calculations!$B$8), 'Final Building Profile'!J91, "")</f>
        <v/>
      </c>
      <c r="L1172" s="250" t="str">
        <f>IF(AND($B1172, Calculations!$B$8), 'Final Building Profile'!K91, "")</f>
        <v/>
      </c>
      <c r="M1172" t="str">
        <f>IF(AND($B1172, Calculations!$B$8), 'Final Building Profile'!L91, "")</f>
        <v/>
      </c>
      <c r="N1172" t="str">
        <f>IF(AND($B1172, Calculations!$B$8),Calculations!AB795,"")</f>
        <v/>
      </c>
      <c r="O1172" t="str">
        <f>IF(AND($B1172, Calculations!$B$8),Calculations!AC795,"")</f>
        <v/>
      </c>
      <c r="P1172" s="315" t="str">
        <f>IF(AND($B1172, Calculations!$B$7), 'Final Building Profile'!P91, "")</f>
        <v/>
      </c>
      <c r="Q1172" s="204" t="str">
        <f>IF(AND($B1172, Calculations!$B$7), 'Final Building Profile'!Q91, "")</f>
        <v/>
      </c>
      <c r="R1172" t="str">
        <f>IF(AND($B1172, Calculations!$B$7), 'Final Building Profile'!N91-'Final Building Profile'!O91, "")</f>
        <v/>
      </c>
      <c r="S1172" t="str">
        <f>IF(AND($B1172, Calculations!$B$7),Calculations!AD795,"")</f>
        <v/>
      </c>
      <c r="T1172" t="str">
        <f>IF(AND($B1172, Calculations!$B$7),Calculations!AE795,"")</f>
        <v/>
      </c>
    </row>
    <row r="1173" spans="1:20">
      <c r="A1173" s="195" t="str">
        <f>IF(C1173="","",MAX(A$1083:A1172)+1)</f>
        <v/>
      </c>
      <c r="B1173" s="195" t="b">
        <f t="shared" si="18"/>
        <v>0</v>
      </c>
      <c r="C1173" t="str">
        <f>CONCATENATE('Final Building Profile'!B92)</f>
        <v/>
      </c>
      <c r="D1173" t="str">
        <f>CONCATENATE('Final Building Profile'!C92)</f>
        <v/>
      </c>
      <c r="E1173" t="str">
        <f>CONCATENATE('Final Building Profile'!F92)</f>
        <v/>
      </c>
      <c r="F1173" s="315" t="str">
        <f>IF(AND($B1173, Calculations!$B$9), 'Final Building Profile'!J92, "")</f>
        <v/>
      </c>
      <c r="G1173" s="250" t="str">
        <f>IF(AND($B1173, Calculations!$B$9), 'Final Building Profile'!K92, "")</f>
        <v/>
      </c>
      <c r="H1173" t="str">
        <f>IF(AND($B1173, Calculations!$B$9),'Final Building Profile'!M92,"")</f>
        <v/>
      </c>
      <c r="I1173" t="str">
        <f>IF(AND($B1173, Calculations!$B$9),Calculations!AB796,"")</f>
        <v/>
      </c>
      <c r="J1173" t="str">
        <f>IF(AND($B1173, Calculations!$B$9),Calculations!AC796,"")</f>
        <v/>
      </c>
      <c r="K1173" s="315" t="str">
        <f>IF(AND($B1173, Calculations!$B$8), 'Final Building Profile'!J92, "")</f>
        <v/>
      </c>
      <c r="L1173" s="250" t="str">
        <f>IF(AND($B1173, Calculations!$B$8), 'Final Building Profile'!K92, "")</f>
        <v/>
      </c>
      <c r="M1173" t="str">
        <f>IF(AND($B1173, Calculations!$B$8), 'Final Building Profile'!L92, "")</f>
        <v/>
      </c>
      <c r="N1173" t="str">
        <f>IF(AND($B1173, Calculations!$B$8),Calculations!AB796,"")</f>
        <v/>
      </c>
      <c r="O1173" t="str">
        <f>IF(AND($B1173, Calculations!$B$8),Calculations!AC796,"")</f>
        <v/>
      </c>
      <c r="P1173" s="315" t="str">
        <f>IF(AND($B1173, Calculations!$B$7), 'Final Building Profile'!P92, "")</f>
        <v/>
      </c>
      <c r="Q1173" s="204" t="str">
        <f>IF(AND($B1173, Calculations!$B$7), 'Final Building Profile'!Q92, "")</f>
        <v/>
      </c>
      <c r="R1173" t="str">
        <f>IF(AND($B1173, Calculations!$B$7), 'Final Building Profile'!N92-'Final Building Profile'!O92, "")</f>
        <v/>
      </c>
      <c r="S1173" t="str">
        <f>IF(AND($B1173, Calculations!$B$7),Calculations!AD796,"")</f>
        <v/>
      </c>
      <c r="T1173" t="str">
        <f>IF(AND($B1173, Calculations!$B$7),Calculations!AE796,"")</f>
        <v/>
      </c>
    </row>
    <row r="1174" spans="1:20">
      <c r="A1174" s="195" t="str">
        <f>IF(C1174="","",MAX(A$1083:A1173)+1)</f>
        <v/>
      </c>
      <c r="B1174" s="195" t="b">
        <f t="shared" si="18"/>
        <v>0</v>
      </c>
      <c r="C1174" t="str">
        <f>CONCATENATE('Final Building Profile'!B93)</f>
        <v/>
      </c>
      <c r="D1174" t="str">
        <f>CONCATENATE('Final Building Profile'!C93)</f>
        <v/>
      </c>
      <c r="E1174" t="str">
        <f>CONCATENATE('Final Building Profile'!F93)</f>
        <v/>
      </c>
      <c r="F1174" s="315" t="str">
        <f>IF(AND($B1174, Calculations!$B$9), 'Final Building Profile'!J93, "")</f>
        <v/>
      </c>
      <c r="G1174" s="250" t="str">
        <f>IF(AND($B1174, Calculations!$B$9), 'Final Building Profile'!K93, "")</f>
        <v/>
      </c>
      <c r="H1174" t="str">
        <f>IF(AND($B1174, Calculations!$B$9),'Final Building Profile'!M93,"")</f>
        <v/>
      </c>
      <c r="I1174" t="str">
        <f>IF(AND($B1174, Calculations!$B$9),Calculations!AB797,"")</f>
        <v/>
      </c>
      <c r="J1174" t="str">
        <f>IF(AND($B1174, Calculations!$B$9),Calculations!AC797,"")</f>
        <v/>
      </c>
      <c r="K1174" s="315" t="str">
        <f>IF(AND($B1174, Calculations!$B$8), 'Final Building Profile'!J93, "")</f>
        <v/>
      </c>
      <c r="L1174" s="250" t="str">
        <f>IF(AND($B1174, Calculations!$B$8), 'Final Building Profile'!K93, "")</f>
        <v/>
      </c>
      <c r="M1174" t="str">
        <f>IF(AND($B1174, Calculations!$B$8), 'Final Building Profile'!L93, "")</f>
        <v/>
      </c>
      <c r="N1174" t="str">
        <f>IF(AND($B1174, Calculations!$B$8),Calculations!AB797,"")</f>
        <v/>
      </c>
      <c r="O1174" t="str">
        <f>IF(AND($B1174, Calculations!$B$8),Calculations!AC797,"")</f>
        <v/>
      </c>
      <c r="P1174" s="315" t="str">
        <f>IF(AND($B1174, Calculations!$B$7), 'Final Building Profile'!P93, "")</f>
        <v/>
      </c>
      <c r="Q1174" s="204" t="str">
        <f>IF(AND($B1174, Calculations!$B$7), 'Final Building Profile'!Q93, "")</f>
        <v/>
      </c>
      <c r="R1174" t="str">
        <f>IF(AND($B1174, Calculations!$B$7), 'Final Building Profile'!N93-'Final Building Profile'!O93, "")</f>
        <v/>
      </c>
      <c r="S1174" t="str">
        <f>IF(AND($B1174, Calculations!$B$7),Calculations!AD797,"")</f>
        <v/>
      </c>
      <c r="T1174" t="str">
        <f>IF(AND($B1174, Calculations!$B$7),Calculations!AE797,"")</f>
        <v/>
      </c>
    </row>
    <row r="1175" spans="1:20">
      <c r="A1175" s="195" t="str">
        <f>IF(C1175="","",MAX(A$1083:A1174)+1)</f>
        <v/>
      </c>
      <c r="B1175" s="195" t="b">
        <f t="shared" si="18"/>
        <v>0</v>
      </c>
      <c r="C1175" t="str">
        <f>CONCATENATE('Final Building Profile'!B94)</f>
        <v/>
      </c>
      <c r="D1175" t="str">
        <f>CONCATENATE('Final Building Profile'!C94)</f>
        <v/>
      </c>
      <c r="E1175" t="str">
        <f>CONCATENATE('Final Building Profile'!F94)</f>
        <v/>
      </c>
      <c r="F1175" s="315" t="str">
        <f>IF(AND($B1175, Calculations!$B$9), 'Final Building Profile'!J94, "")</f>
        <v/>
      </c>
      <c r="G1175" s="250" t="str">
        <f>IF(AND($B1175, Calculations!$B$9), 'Final Building Profile'!K94, "")</f>
        <v/>
      </c>
      <c r="H1175" t="str">
        <f>IF(AND($B1175, Calculations!$B$9),'Final Building Profile'!M94,"")</f>
        <v/>
      </c>
      <c r="I1175" t="str">
        <f>IF(AND($B1175, Calculations!$B$9),Calculations!AB798,"")</f>
        <v/>
      </c>
      <c r="J1175" t="str">
        <f>IF(AND($B1175, Calculations!$B$9),Calculations!AC798,"")</f>
        <v/>
      </c>
      <c r="K1175" s="315" t="str">
        <f>IF(AND($B1175, Calculations!$B$8), 'Final Building Profile'!J94, "")</f>
        <v/>
      </c>
      <c r="L1175" s="250" t="str">
        <f>IF(AND($B1175, Calculations!$B$8), 'Final Building Profile'!K94, "")</f>
        <v/>
      </c>
      <c r="M1175" t="str">
        <f>IF(AND($B1175, Calculations!$B$8), 'Final Building Profile'!L94, "")</f>
        <v/>
      </c>
      <c r="N1175" t="str">
        <f>IF(AND($B1175, Calculations!$B$8),Calculations!AB798,"")</f>
        <v/>
      </c>
      <c r="O1175" t="str">
        <f>IF(AND($B1175, Calculations!$B$8),Calculations!AC798,"")</f>
        <v/>
      </c>
      <c r="P1175" s="315" t="str">
        <f>IF(AND($B1175, Calculations!$B$7), 'Final Building Profile'!P94, "")</f>
        <v/>
      </c>
      <c r="Q1175" s="204" t="str">
        <f>IF(AND($B1175, Calculations!$B$7), 'Final Building Profile'!Q94, "")</f>
        <v/>
      </c>
      <c r="R1175" t="str">
        <f>IF(AND($B1175, Calculations!$B$7), 'Final Building Profile'!N94-'Final Building Profile'!O94, "")</f>
        <v/>
      </c>
      <c r="S1175" t="str">
        <f>IF(AND($B1175, Calculations!$B$7),Calculations!AD798,"")</f>
        <v/>
      </c>
      <c r="T1175" t="str">
        <f>IF(AND($B1175, Calculations!$B$7),Calculations!AE798,"")</f>
        <v/>
      </c>
    </row>
    <row r="1176" spans="1:20">
      <c r="A1176" s="195" t="str">
        <f>IF(C1176="","",MAX(A$1083:A1175)+1)</f>
        <v/>
      </c>
      <c r="B1176" s="195" t="b">
        <f t="shared" si="18"/>
        <v>0</v>
      </c>
      <c r="C1176" t="str">
        <f>CONCATENATE('Final Building Profile'!B95)</f>
        <v/>
      </c>
      <c r="D1176" t="str">
        <f>CONCATENATE('Final Building Profile'!C95)</f>
        <v/>
      </c>
      <c r="E1176" t="str">
        <f>CONCATENATE('Final Building Profile'!F95)</f>
        <v/>
      </c>
      <c r="F1176" s="315" t="str">
        <f>IF(AND($B1176, Calculations!$B$9), 'Final Building Profile'!J95, "")</f>
        <v/>
      </c>
      <c r="G1176" s="250" t="str">
        <f>IF(AND($B1176, Calculations!$B$9), 'Final Building Profile'!K95, "")</f>
        <v/>
      </c>
      <c r="H1176" t="str">
        <f>IF(AND($B1176, Calculations!$B$9),'Final Building Profile'!M95,"")</f>
        <v/>
      </c>
      <c r="I1176" t="str">
        <f>IF(AND($B1176, Calculations!$B$9),Calculations!AB799,"")</f>
        <v/>
      </c>
      <c r="J1176" t="str">
        <f>IF(AND($B1176, Calculations!$B$9),Calculations!AC799,"")</f>
        <v/>
      </c>
      <c r="K1176" s="315" t="str">
        <f>IF(AND($B1176, Calculations!$B$8), 'Final Building Profile'!J95, "")</f>
        <v/>
      </c>
      <c r="L1176" s="250" t="str">
        <f>IF(AND($B1176, Calculations!$B$8), 'Final Building Profile'!K95, "")</f>
        <v/>
      </c>
      <c r="M1176" t="str">
        <f>IF(AND($B1176, Calculations!$B$8), 'Final Building Profile'!L95, "")</f>
        <v/>
      </c>
      <c r="N1176" t="str">
        <f>IF(AND($B1176, Calculations!$B$8),Calculations!AB799,"")</f>
        <v/>
      </c>
      <c r="O1176" t="str">
        <f>IF(AND($B1176, Calculations!$B$8),Calculations!AC799,"")</f>
        <v/>
      </c>
      <c r="P1176" s="315" t="str">
        <f>IF(AND($B1176, Calculations!$B$7), 'Final Building Profile'!P95, "")</f>
        <v/>
      </c>
      <c r="Q1176" s="204" t="str">
        <f>IF(AND($B1176, Calculations!$B$7), 'Final Building Profile'!Q95, "")</f>
        <v/>
      </c>
      <c r="R1176" t="str">
        <f>IF(AND($B1176, Calculations!$B$7), 'Final Building Profile'!N95-'Final Building Profile'!O95, "")</f>
        <v/>
      </c>
      <c r="S1176" t="str">
        <f>IF(AND($B1176, Calculations!$B$7),Calculations!AD799,"")</f>
        <v/>
      </c>
      <c r="T1176" t="str">
        <f>IF(AND($B1176, Calculations!$B$7),Calculations!AE799,"")</f>
        <v/>
      </c>
    </row>
    <row r="1177" spans="1:20">
      <c r="A1177" s="195" t="str">
        <f>IF(C1177="","",MAX(A$1083:A1176)+1)</f>
        <v/>
      </c>
      <c r="B1177" s="195" t="b">
        <f t="shared" si="18"/>
        <v>0</v>
      </c>
      <c r="C1177" t="str">
        <f>CONCATENATE('Final Building Profile'!B96)</f>
        <v/>
      </c>
      <c r="D1177" t="str">
        <f>CONCATENATE('Final Building Profile'!C96)</f>
        <v/>
      </c>
      <c r="E1177" t="str">
        <f>CONCATENATE('Final Building Profile'!F96)</f>
        <v/>
      </c>
      <c r="F1177" s="315" t="str">
        <f>IF(AND($B1177, Calculations!$B$9), 'Final Building Profile'!J96, "")</f>
        <v/>
      </c>
      <c r="G1177" s="250" t="str">
        <f>IF(AND($B1177, Calculations!$B$9), 'Final Building Profile'!K96, "")</f>
        <v/>
      </c>
      <c r="H1177" t="str">
        <f>IF(AND($B1177, Calculations!$B$9),'Final Building Profile'!M96,"")</f>
        <v/>
      </c>
      <c r="I1177" t="str">
        <f>IF(AND($B1177, Calculations!$B$9),Calculations!AB800,"")</f>
        <v/>
      </c>
      <c r="J1177" t="str">
        <f>IF(AND($B1177, Calculations!$B$9),Calculations!AC800,"")</f>
        <v/>
      </c>
      <c r="K1177" s="315" t="str">
        <f>IF(AND($B1177, Calculations!$B$8), 'Final Building Profile'!J96, "")</f>
        <v/>
      </c>
      <c r="L1177" s="250" t="str">
        <f>IF(AND($B1177, Calculations!$B$8), 'Final Building Profile'!K96, "")</f>
        <v/>
      </c>
      <c r="M1177" t="str">
        <f>IF(AND($B1177, Calculations!$B$8), 'Final Building Profile'!L96, "")</f>
        <v/>
      </c>
      <c r="N1177" t="str">
        <f>IF(AND($B1177, Calculations!$B$8),Calculations!AB800,"")</f>
        <v/>
      </c>
      <c r="O1177" t="str">
        <f>IF(AND($B1177, Calculations!$B$8),Calculations!AC800,"")</f>
        <v/>
      </c>
      <c r="P1177" s="315" t="str">
        <f>IF(AND($B1177, Calculations!$B$7), 'Final Building Profile'!P96, "")</f>
        <v/>
      </c>
      <c r="Q1177" s="204" t="str">
        <f>IF(AND($B1177, Calculations!$B$7), 'Final Building Profile'!Q96, "")</f>
        <v/>
      </c>
      <c r="R1177" t="str">
        <f>IF(AND($B1177, Calculations!$B$7), 'Final Building Profile'!N96-'Final Building Profile'!O96, "")</f>
        <v/>
      </c>
      <c r="S1177" t="str">
        <f>IF(AND($B1177, Calculations!$B$7),Calculations!AD800,"")</f>
        <v/>
      </c>
      <c r="T1177" t="str">
        <f>IF(AND($B1177, Calculations!$B$7),Calculations!AE800,"")</f>
        <v/>
      </c>
    </row>
    <row r="1178" spans="1:20">
      <c r="A1178" s="195" t="str">
        <f>IF(C1178="","",MAX(A$1083:A1177)+1)</f>
        <v/>
      </c>
      <c r="B1178" s="195" t="b">
        <f t="shared" si="18"/>
        <v>0</v>
      </c>
      <c r="C1178" t="str">
        <f>CONCATENATE('Final Building Profile'!B97)</f>
        <v/>
      </c>
      <c r="D1178" t="str">
        <f>CONCATENATE('Final Building Profile'!C97)</f>
        <v/>
      </c>
      <c r="E1178" t="str">
        <f>CONCATENATE('Final Building Profile'!F97)</f>
        <v/>
      </c>
      <c r="F1178" s="315" t="str">
        <f>IF(AND($B1178, Calculations!$B$9), 'Final Building Profile'!J97, "")</f>
        <v/>
      </c>
      <c r="G1178" s="250" t="str">
        <f>IF(AND($B1178, Calculations!$B$9), 'Final Building Profile'!K97, "")</f>
        <v/>
      </c>
      <c r="H1178" t="str">
        <f>IF(AND($B1178, Calculations!$B$9),'Final Building Profile'!M97,"")</f>
        <v/>
      </c>
      <c r="I1178" t="str">
        <f>IF(AND($B1178, Calculations!$B$9),Calculations!AB801,"")</f>
        <v/>
      </c>
      <c r="J1178" t="str">
        <f>IF(AND($B1178, Calculations!$B$9),Calculations!AC801,"")</f>
        <v/>
      </c>
      <c r="K1178" s="315" t="str">
        <f>IF(AND($B1178, Calculations!$B$8), 'Final Building Profile'!J97, "")</f>
        <v/>
      </c>
      <c r="L1178" s="250" t="str">
        <f>IF(AND($B1178, Calculations!$B$8), 'Final Building Profile'!K97, "")</f>
        <v/>
      </c>
      <c r="M1178" t="str">
        <f>IF(AND($B1178, Calculations!$B$8), 'Final Building Profile'!L97, "")</f>
        <v/>
      </c>
      <c r="N1178" t="str">
        <f>IF(AND($B1178, Calculations!$B$8),Calculations!AB801,"")</f>
        <v/>
      </c>
      <c r="O1178" t="str">
        <f>IF(AND($B1178, Calculations!$B$8),Calculations!AC801,"")</f>
        <v/>
      </c>
      <c r="P1178" s="315" t="str">
        <f>IF(AND($B1178, Calculations!$B$7), 'Final Building Profile'!P97, "")</f>
        <v/>
      </c>
      <c r="Q1178" s="204" t="str">
        <f>IF(AND($B1178, Calculations!$B$7), 'Final Building Profile'!Q97, "")</f>
        <v/>
      </c>
      <c r="R1178" t="str">
        <f>IF(AND($B1178, Calculations!$B$7), 'Final Building Profile'!N97-'Final Building Profile'!O97, "")</f>
        <v/>
      </c>
      <c r="S1178" t="str">
        <f>IF(AND($B1178, Calculations!$B$7),Calculations!AD801,"")</f>
        <v/>
      </c>
      <c r="T1178" t="str">
        <f>IF(AND($B1178, Calculations!$B$7),Calculations!AE801,"")</f>
        <v/>
      </c>
    </row>
    <row r="1179" spans="1:20">
      <c r="A1179" s="195" t="str">
        <f>IF(C1179="","",MAX(A$1083:A1178)+1)</f>
        <v/>
      </c>
      <c r="B1179" s="195" t="b">
        <f t="shared" si="18"/>
        <v>0</v>
      </c>
      <c r="C1179" t="str">
        <f>CONCATENATE('Final Building Profile'!B98)</f>
        <v/>
      </c>
      <c r="D1179" t="str">
        <f>CONCATENATE('Final Building Profile'!C98)</f>
        <v/>
      </c>
      <c r="E1179" t="str">
        <f>CONCATENATE('Final Building Profile'!F98)</f>
        <v/>
      </c>
      <c r="F1179" s="315" t="str">
        <f>IF(AND($B1179, Calculations!$B$9), 'Final Building Profile'!J98, "")</f>
        <v/>
      </c>
      <c r="G1179" s="250" t="str">
        <f>IF(AND($B1179, Calculations!$B$9), 'Final Building Profile'!K98, "")</f>
        <v/>
      </c>
      <c r="H1179" t="str">
        <f>IF(AND($B1179, Calculations!$B$9),'Final Building Profile'!M98,"")</f>
        <v/>
      </c>
      <c r="I1179" t="str">
        <f>IF(AND($B1179, Calculations!$B$9),Calculations!AB802,"")</f>
        <v/>
      </c>
      <c r="J1179" t="str">
        <f>IF(AND($B1179, Calculations!$B$9),Calculations!AC802,"")</f>
        <v/>
      </c>
      <c r="K1179" s="315" t="str">
        <f>IF(AND($B1179, Calculations!$B$8), 'Final Building Profile'!J98, "")</f>
        <v/>
      </c>
      <c r="L1179" s="250" t="str">
        <f>IF(AND($B1179, Calculations!$B$8), 'Final Building Profile'!K98, "")</f>
        <v/>
      </c>
      <c r="M1179" t="str">
        <f>IF(AND($B1179, Calculations!$B$8), 'Final Building Profile'!L98, "")</f>
        <v/>
      </c>
      <c r="N1179" t="str">
        <f>IF(AND($B1179, Calculations!$B$8),Calculations!AB802,"")</f>
        <v/>
      </c>
      <c r="O1179" t="str">
        <f>IF(AND($B1179, Calculations!$B$8),Calculations!AC802,"")</f>
        <v/>
      </c>
      <c r="P1179" s="315" t="str">
        <f>IF(AND($B1179, Calculations!$B$7), 'Final Building Profile'!P98, "")</f>
        <v/>
      </c>
      <c r="Q1179" s="204" t="str">
        <f>IF(AND($B1179, Calculations!$B$7), 'Final Building Profile'!Q98, "")</f>
        <v/>
      </c>
      <c r="R1179" t="str">
        <f>IF(AND($B1179, Calculations!$B$7), 'Final Building Profile'!N98-'Final Building Profile'!O98, "")</f>
        <v/>
      </c>
      <c r="S1179" t="str">
        <f>IF(AND($B1179, Calculations!$B$7),Calculations!AD802,"")</f>
        <v/>
      </c>
      <c r="T1179" t="str">
        <f>IF(AND($B1179, Calculations!$B$7),Calculations!AE802,"")</f>
        <v/>
      </c>
    </row>
    <row r="1180" spans="1:20">
      <c r="A1180" s="195" t="str">
        <f>IF(C1180="","",MAX(A$1083:A1179)+1)</f>
        <v/>
      </c>
      <c r="B1180" s="195" t="b">
        <f t="shared" si="18"/>
        <v>0</v>
      </c>
      <c r="C1180" t="str">
        <f>CONCATENATE('Final Building Profile'!B99)</f>
        <v/>
      </c>
      <c r="D1180" t="str">
        <f>CONCATENATE('Final Building Profile'!C99)</f>
        <v/>
      </c>
      <c r="E1180" t="str">
        <f>CONCATENATE('Final Building Profile'!F99)</f>
        <v/>
      </c>
      <c r="F1180" s="315" t="str">
        <f>IF(AND($B1180, Calculations!$B$9), 'Final Building Profile'!J99, "")</f>
        <v/>
      </c>
      <c r="G1180" s="250" t="str">
        <f>IF(AND($B1180, Calculations!$B$9), 'Final Building Profile'!K99, "")</f>
        <v/>
      </c>
      <c r="H1180" t="str">
        <f>IF(AND($B1180, Calculations!$B$9),'Final Building Profile'!M99,"")</f>
        <v/>
      </c>
      <c r="I1180" t="str">
        <f>IF(AND($B1180, Calculations!$B$9),Calculations!AB803,"")</f>
        <v/>
      </c>
      <c r="J1180" t="str">
        <f>IF(AND($B1180, Calculations!$B$9),Calculations!AC803,"")</f>
        <v/>
      </c>
      <c r="K1180" s="315" t="str">
        <f>IF(AND($B1180, Calculations!$B$8), 'Final Building Profile'!J99, "")</f>
        <v/>
      </c>
      <c r="L1180" s="250" t="str">
        <f>IF(AND($B1180, Calculations!$B$8), 'Final Building Profile'!K99, "")</f>
        <v/>
      </c>
      <c r="M1180" t="str">
        <f>IF(AND($B1180, Calculations!$B$8), 'Final Building Profile'!L99, "")</f>
        <v/>
      </c>
      <c r="N1180" t="str">
        <f>IF(AND($B1180, Calculations!$B$8),Calculations!AB803,"")</f>
        <v/>
      </c>
      <c r="O1180" t="str">
        <f>IF(AND($B1180, Calculations!$B$8),Calculations!AC803,"")</f>
        <v/>
      </c>
      <c r="P1180" s="315" t="str">
        <f>IF(AND($B1180, Calculations!$B$7), 'Final Building Profile'!P99, "")</f>
        <v/>
      </c>
      <c r="Q1180" s="204" t="str">
        <f>IF(AND($B1180, Calculations!$B$7), 'Final Building Profile'!Q99, "")</f>
        <v/>
      </c>
      <c r="R1180" t="str">
        <f>IF(AND($B1180, Calculations!$B$7), 'Final Building Profile'!N99-'Final Building Profile'!O99, "")</f>
        <v/>
      </c>
      <c r="S1180" t="str">
        <f>IF(AND($B1180, Calculations!$B$7),Calculations!AD803,"")</f>
        <v/>
      </c>
      <c r="T1180" t="str">
        <f>IF(AND($B1180, Calculations!$B$7),Calculations!AE803,"")</f>
        <v/>
      </c>
    </row>
    <row r="1181" spans="1:20">
      <c r="A1181" s="195" t="str">
        <f>IF(C1181="","",MAX(A$1083:A1180)+1)</f>
        <v/>
      </c>
      <c r="B1181" s="195" t="b">
        <f t="shared" si="18"/>
        <v>0</v>
      </c>
      <c r="C1181" t="str">
        <f>CONCATENATE('Final Building Profile'!B100)</f>
        <v/>
      </c>
      <c r="D1181" t="str">
        <f>CONCATENATE('Final Building Profile'!C100)</f>
        <v/>
      </c>
      <c r="E1181" t="str">
        <f>CONCATENATE('Final Building Profile'!F100)</f>
        <v/>
      </c>
      <c r="F1181" s="315" t="str">
        <f>IF(AND($B1181, Calculations!$B$9), 'Final Building Profile'!J100, "")</f>
        <v/>
      </c>
      <c r="G1181" s="250" t="str">
        <f>IF(AND($B1181, Calculations!$B$9), 'Final Building Profile'!K100, "")</f>
        <v/>
      </c>
      <c r="H1181" t="str">
        <f>IF(AND($B1181, Calculations!$B$9),'Final Building Profile'!M100,"")</f>
        <v/>
      </c>
      <c r="I1181" t="str">
        <f>IF(AND($B1181, Calculations!$B$9),Calculations!AB804,"")</f>
        <v/>
      </c>
      <c r="J1181" t="str">
        <f>IF(AND($B1181, Calculations!$B$9),Calculations!AC804,"")</f>
        <v/>
      </c>
      <c r="K1181" s="315" t="str">
        <f>IF(AND($B1181, Calculations!$B$8), 'Final Building Profile'!J100, "")</f>
        <v/>
      </c>
      <c r="L1181" s="250" t="str">
        <f>IF(AND($B1181, Calculations!$B$8), 'Final Building Profile'!K100, "")</f>
        <v/>
      </c>
      <c r="M1181" t="str">
        <f>IF(AND($B1181, Calculations!$B$8), 'Final Building Profile'!L100, "")</f>
        <v/>
      </c>
      <c r="N1181" t="str">
        <f>IF(AND($B1181, Calculations!$B$8),Calculations!AB804,"")</f>
        <v/>
      </c>
      <c r="O1181" t="str">
        <f>IF(AND($B1181, Calculations!$B$8),Calculations!AC804,"")</f>
        <v/>
      </c>
      <c r="P1181" s="315" t="str">
        <f>IF(AND($B1181, Calculations!$B$7), 'Final Building Profile'!P100, "")</f>
        <v/>
      </c>
      <c r="Q1181" s="204" t="str">
        <f>IF(AND($B1181, Calculations!$B$7), 'Final Building Profile'!Q100, "")</f>
        <v/>
      </c>
      <c r="R1181" t="str">
        <f>IF(AND($B1181, Calculations!$B$7), 'Final Building Profile'!N100-'Final Building Profile'!O100, "")</f>
        <v/>
      </c>
      <c r="S1181" t="str">
        <f>IF(AND($B1181, Calculations!$B$7),Calculations!AD804,"")</f>
        <v/>
      </c>
      <c r="T1181" t="str">
        <f>IF(AND($B1181, Calculations!$B$7),Calculations!AE804,"")</f>
        <v/>
      </c>
    </row>
    <row r="1182" spans="1:20">
      <c r="A1182" s="195" t="str">
        <f>IF(C1182="","",MAX(A$1083:A1181)+1)</f>
        <v/>
      </c>
      <c r="B1182" s="195" t="b">
        <f t="shared" si="18"/>
        <v>0</v>
      </c>
      <c r="C1182" t="str">
        <f>CONCATENATE('Final Building Profile'!B101)</f>
        <v/>
      </c>
      <c r="D1182" t="str">
        <f>CONCATENATE('Final Building Profile'!C101)</f>
        <v/>
      </c>
      <c r="E1182" t="str">
        <f>CONCATENATE('Final Building Profile'!F101)</f>
        <v/>
      </c>
      <c r="F1182" s="315" t="str">
        <f>IF(AND($B1182, Calculations!$B$9), 'Final Building Profile'!J101, "")</f>
        <v/>
      </c>
      <c r="G1182" s="250" t="str">
        <f>IF(AND($B1182, Calculations!$B$9), 'Final Building Profile'!K101, "")</f>
        <v/>
      </c>
      <c r="H1182" t="str">
        <f>IF(AND($B1182, Calculations!$B$9),'Final Building Profile'!M101,"")</f>
        <v/>
      </c>
      <c r="I1182" t="str">
        <f>IF(AND($B1182, Calculations!$B$9),Calculations!AB805,"")</f>
        <v/>
      </c>
      <c r="J1182" t="str">
        <f>IF(AND($B1182, Calculations!$B$9),Calculations!AC805,"")</f>
        <v/>
      </c>
      <c r="K1182" s="315" t="str">
        <f>IF(AND($B1182, Calculations!$B$8), 'Final Building Profile'!J101, "")</f>
        <v/>
      </c>
      <c r="L1182" s="250" t="str">
        <f>IF(AND($B1182, Calculations!$B$8), 'Final Building Profile'!K101, "")</f>
        <v/>
      </c>
      <c r="M1182" t="str">
        <f>IF(AND($B1182, Calculations!$B$8), 'Final Building Profile'!L101, "")</f>
        <v/>
      </c>
      <c r="N1182" t="str">
        <f>IF(AND($B1182, Calculations!$B$8),Calculations!AB805,"")</f>
        <v/>
      </c>
      <c r="O1182" t="str">
        <f>IF(AND($B1182, Calculations!$B$8),Calculations!AC805,"")</f>
        <v/>
      </c>
      <c r="P1182" s="315" t="str">
        <f>IF(AND($B1182, Calculations!$B$7), 'Final Building Profile'!P101, "")</f>
        <v/>
      </c>
      <c r="Q1182" s="204" t="str">
        <f>IF(AND($B1182, Calculations!$B$7), 'Final Building Profile'!Q101, "")</f>
        <v/>
      </c>
      <c r="R1182" t="str">
        <f>IF(AND($B1182, Calculations!$B$7), 'Final Building Profile'!N101-'Final Building Profile'!O101, "")</f>
        <v/>
      </c>
      <c r="S1182" t="str">
        <f>IF(AND($B1182, Calculations!$B$7),Calculations!AD805,"")</f>
        <v/>
      </c>
      <c r="T1182" t="str">
        <f>IF(AND($B1182, Calculations!$B$7),Calculations!AE805,"")</f>
        <v/>
      </c>
    </row>
    <row r="1183" spans="1:20">
      <c r="A1183" s="195" t="str">
        <f>IF(C1183="","",MAX(A$1083:A1182)+1)</f>
        <v/>
      </c>
      <c r="B1183" s="195" t="b">
        <f t="shared" si="18"/>
        <v>0</v>
      </c>
      <c r="C1183" t="str">
        <f>CONCATENATE('Final Building Profile'!B102)</f>
        <v/>
      </c>
      <c r="D1183" t="str">
        <f>CONCATENATE('Final Building Profile'!C102)</f>
        <v/>
      </c>
      <c r="E1183" t="str">
        <f>CONCATENATE('Final Building Profile'!F102)</f>
        <v/>
      </c>
      <c r="F1183" s="315" t="str">
        <f>IF(AND($B1183, Calculations!$B$9), 'Final Building Profile'!J102, "")</f>
        <v/>
      </c>
      <c r="G1183" s="250" t="str">
        <f>IF(AND($B1183, Calculations!$B$9), 'Final Building Profile'!K102, "")</f>
        <v/>
      </c>
      <c r="H1183" t="str">
        <f>IF(AND($B1183, Calculations!$B$9),'Final Building Profile'!M102,"")</f>
        <v/>
      </c>
      <c r="I1183" t="str">
        <f>IF(AND($B1183, Calculations!$B$9),Calculations!AB806,"")</f>
        <v/>
      </c>
      <c r="J1183" t="str">
        <f>IF(AND($B1183, Calculations!$B$9),Calculations!AC806,"")</f>
        <v/>
      </c>
      <c r="K1183" s="315" t="str">
        <f>IF(AND($B1183, Calculations!$B$8), 'Final Building Profile'!J102, "")</f>
        <v/>
      </c>
      <c r="L1183" s="250" t="str">
        <f>IF(AND($B1183, Calculations!$B$8), 'Final Building Profile'!K102, "")</f>
        <v/>
      </c>
      <c r="M1183" t="str">
        <f>IF(AND($B1183, Calculations!$B$8), 'Final Building Profile'!L102, "")</f>
        <v/>
      </c>
      <c r="N1183" t="str">
        <f>IF(AND($B1183, Calculations!$B$8),Calculations!AB806,"")</f>
        <v/>
      </c>
      <c r="O1183" t="str">
        <f>IF(AND($B1183, Calculations!$B$8),Calculations!AC806,"")</f>
        <v/>
      </c>
      <c r="P1183" s="315" t="str">
        <f>IF(AND($B1183, Calculations!$B$7), 'Final Building Profile'!P102, "")</f>
        <v/>
      </c>
      <c r="Q1183" s="204" t="str">
        <f>IF(AND($B1183, Calculations!$B$7), 'Final Building Profile'!Q102, "")</f>
        <v/>
      </c>
      <c r="R1183" t="str">
        <f>IF(AND($B1183, Calculations!$B$7), 'Final Building Profile'!N102-'Final Building Profile'!O102, "")</f>
        <v/>
      </c>
      <c r="S1183" t="str">
        <f>IF(AND($B1183, Calculations!$B$7),Calculations!AD806,"")</f>
        <v/>
      </c>
      <c r="T1183" t="str">
        <f>IF(AND($B1183, Calculations!$B$7),Calculations!AE806,"")</f>
        <v/>
      </c>
    </row>
    <row r="1186" spans="1:20">
      <c r="A1186" t="s">
        <v>2564</v>
      </c>
      <c r="C1186" t="s">
        <v>2548</v>
      </c>
      <c r="D1186" t="s">
        <v>1636</v>
      </c>
      <c r="E1186" t="s">
        <v>2489</v>
      </c>
      <c r="F1186" t="s">
        <v>2549</v>
      </c>
      <c r="G1186" t="s">
        <v>2550</v>
      </c>
      <c r="H1186" t="s">
        <v>2551</v>
      </c>
      <c r="I1186" t="s">
        <v>2552</v>
      </c>
      <c r="J1186" t="s">
        <v>2553</v>
      </c>
      <c r="K1186" t="s">
        <v>2554</v>
      </c>
      <c r="L1186" t="s">
        <v>2555</v>
      </c>
      <c r="M1186" t="s">
        <v>2556</v>
      </c>
      <c r="N1186" t="s">
        <v>2557</v>
      </c>
      <c r="O1186" t="s">
        <v>2558</v>
      </c>
      <c r="P1186" t="s">
        <v>2559</v>
      </c>
      <c r="Q1186" t="s">
        <v>2560</v>
      </c>
      <c r="R1186" t="s">
        <v>2561</v>
      </c>
      <c r="S1186" t="s">
        <v>2562</v>
      </c>
      <c r="T1186" t="s">
        <v>2563</v>
      </c>
    </row>
    <row r="1187" spans="1:20">
      <c r="A1187" t="s">
        <v>2239</v>
      </c>
      <c r="B1187" t="s">
        <v>2240</v>
      </c>
      <c r="C1187">
        <v>2</v>
      </c>
      <c r="D1187">
        <v>3</v>
      </c>
      <c r="E1187">
        <v>4</v>
      </c>
      <c r="F1187">
        <v>5</v>
      </c>
      <c r="G1187">
        <v>6</v>
      </c>
      <c r="H1187">
        <v>7</v>
      </c>
      <c r="I1187">
        <v>8</v>
      </c>
      <c r="J1187">
        <v>9</v>
      </c>
      <c r="K1187">
        <v>10</v>
      </c>
      <c r="L1187">
        <v>11</v>
      </c>
      <c r="M1187">
        <v>12</v>
      </c>
      <c r="N1187">
        <v>13</v>
      </c>
      <c r="O1187">
        <v>14</v>
      </c>
      <c r="P1187">
        <v>15</v>
      </c>
      <c r="Q1187">
        <v>16</v>
      </c>
      <c r="R1187">
        <v>17</v>
      </c>
      <c r="S1187">
        <v>18</v>
      </c>
      <c r="T1187">
        <v>19</v>
      </c>
    </row>
    <row r="1188" spans="1:20">
      <c r="A1188" s="195">
        <f t="shared" ref="A1188:A1251" si="19">IF(ISNA(MATCH(B1188, $A$1084:$A$1183, 0)), 1, MATCH(B1188, $A$1084:$A$1183, 0))</f>
        <v>1</v>
      </c>
      <c r="B1188">
        <v>1</v>
      </c>
      <c r="C1188" s="8" t="str">
        <f t="shared" ref="C1188:C1219" si="20">IF(INDEX($B$1084:$T$1183, $A1188, C$1187) = "", "", INDEX($B$1084:$T$1183, $A1188, C$1187))</f>
        <v/>
      </c>
      <c r="D1188" t="str">
        <f t="shared" ref="D1188:E1207" si="21">CONCATENATE(INDEX($B$1084:$T$1183, $A1188, D$1187))</f>
        <v/>
      </c>
      <c r="E1188" t="str">
        <f t="shared" si="21"/>
        <v/>
      </c>
      <c r="F1188" s="315" t="str">
        <f t="shared" ref="F1188:F1219" si="22">IF(ISBLANK(INDEX($B$1084:$T$1183, $A1188, F$1187)), "", INDEX($B$1084:$T$1183, $A1188, F$1187))</f>
        <v/>
      </c>
      <c r="G1188" t="str">
        <f t="shared" ref="G1188:J1207" si="23">CONCATENATE(INDEX($B$1084:$T$1183, $A1188, G$1187))</f>
        <v/>
      </c>
      <c r="H1188" t="str">
        <f t="shared" si="23"/>
        <v/>
      </c>
      <c r="I1188" t="str">
        <f t="shared" si="23"/>
        <v/>
      </c>
      <c r="J1188" t="str">
        <f t="shared" si="23"/>
        <v/>
      </c>
      <c r="K1188" s="315" t="str">
        <f t="shared" ref="K1188:K1219" si="24">IF(ISBLANK(INDEX($B$1084:$T$1183, $A1188, K$1187)), "", INDEX($B$1084:$T$1183, $A1188, K$1187))</f>
        <v/>
      </c>
      <c r="L1188" t="str">
        <f t="shared" ref="L1188:O1207" si="25">CONCATENATE(INDEX($B$1084:$T$1183, $A1188, L$1187))</f>
        <v/>
      </c>
      <c r="M1188" t="str">
        <f t="shared" si="25"/>
        <v/>
      </c>
      <c r="N1188" t="str">
        <f t="shared" si="25"/>
        <v/>
      </c>
      <c r="O1188" t="str">
        <f t="shared" si="25"/>
        <v/>
      </c>
      <c r="P1188" s="315" t="str">
        <f t="shared" ref="P1188:P1219" si="26">IF(ISBLANK(INDEX($B$1084:$T$1183, $A1188, P$1187)), "", INDEX($B$1084:$T$1183, $A1188, P$1187))</f>
        <v/>
      </c>
      <c r="Q1188" t="str">
        <f t="shared" ref="Q1188:T1207" si="27">CONCATENATE(INDEX($B$1084:$T$1183, $A1188, Q$1187))</f>
        <v/>
      </c>
      <c r="R1188" t="str">
        <f t="shared" si="27"/>
        <v/>
      </c>
      <c r="S1188" t="str">
        <f t="shared" si="27"/>
        <v/>
      </c>
      <c r="T1188" t="str">
        <f t="shared" si="27"/>
        <v/>
      </c>
    </row>
    <row r="1189" spans="1:20">
      <c r="A1189" s="195">
        <f t="shared" si="19"/>
        <v>1</v>
      </c>
      <c r="B1189">
        <f>B1188+1</f>
        <v>2</v>
      </c>
      <c r="C1189" s="8" t="str">
        <f t="shared" si="20"/>
        <v/>
      </c>
      <c r="D1189" t="str">
        <f t="shared" si="21"/>
        <v/>
      </c>
      <c r="E1189" t="str">
        <f t="shared" si="21"/>
        <v/>
      </c>
      <c r="F1189" s="315" t="str">
        <f t="shared" si="22"/>
        <v/>
      </c>
      <c r="G1189" t="str">
        <f t="shared" si="23"/>
        <v/>
      </c>
      <c r="H1189" t="str">
        <f t="shared" si="23"/>
        <v/>
      </c>
      <c r="I1189" t="str">
        <f t="shared" si="23"/>
        <v/>
      </c>
      <c r="J1189" t="str">
        <f t="shared" si="23"/>
        <v/>
      </c>
      <c r="K1189" s="315" t="str">
        <f t="shared" si="24"/>
        <v/>
      </c>
      <c r="L1189" t="str">
        <f t="shared" si="25"/>
        <v/>
      </c>
      <c r="M1189" t="str">
        <f t="shared" si="25"/>
        <v/>
      </c>
      <c r="N1189" t="str">
        <f t="shared" si="25"/>
        <v/>
      </c>
      <c r="O1189" t="str">
        <f t="shared" si="25"/>
        <v/>
      </c>
      <c r="P1189" s="315" t="str">
        <f t="shared" si="26"/>
        <v/>
      </c>
      <c r="Q1189" t="str">
        <f t="shared" si="27"/>
        <v/>
      </c>
      <c r="R1189" t="str">
        <f t="shared" si="27"/>
        <v/>
      </c>
      <c r="S1189" t="str">
        <f t="shared" si="27"/>
        <v/>
      </c>
      <c r="T1189" t="str">
        <f t="shared" si="27"/>
        <v/>
      </c>
    </row>
    <row r="1190" spans="1:20">
      <c r="A1190" s="195">
        <f t="shared" si="19"/>
        <v>1</v>
      </c>
      <c r="B1190">
        <f t="shared" ref="B1190:B1253" si="28">B1189+1</f>
        <v>3</v>
      </c>
      <c r="C1190" s="8" t="str">
        <f t="shared" si="20"/>
        <v/>
      </c>
      <c r="D1190" t="str">
        <f t="shared" si="21"/>
        <v/>
      </c>
      <c r="E1190" t="str">
        <f t="shared" si="21"/>
        <v/>
      </c>
      <c r="F1190" s="315" t="str">
        <f t="shared" si="22"/>
        <v/>
      </c>
      <c r="G1190" t="str">
        <f t="shared" si="23"/>
        <v/>
      </c>
      <c r="H1190" t="str">
        <f t="shared" si="23"/>
        <v/>
      </c>
      <c r="I1190" t="str">
        <f t="shared" si="23"/>
        <v/>
      </c>
      <c r="J1190" t="str">
        <f t="shared" si="23"/>
        <v/>
      </c>
      <c r="K1190" s="315" t="str">
        <f t="shared" si="24"/>
        <v/>
      </c>
      <c r="L1190" t="str">
        <f t="shared" si="25"/>
        <v/>
      </c>
      <c r="M1190" t="str">
        <f t="shared" si="25"/>
        <v/>
      </c>
      <c r="N1190" t="str">
        <f t="shared" si="25"/>
        <v/>
      </c>
      <c r="O1190" t="str">
        <f t="shared" si="25"/>
        <v/>
      </c>
      <c r="P1190" s="315" t="str">
        <f t="shared" si="26"/>
        <v/>
      </c>
      <c r="Q1190" t="str">
        <f t="shared" si="27"/>
        <v/>
      </c>
      <c r="R1190" t="str">
        <f t="shared" si="27"/>
        <v/>
      </c>
      <c r="S1190" t="str">
        <f t="shared" si="27"/>
        <v/>
      </c>
      <c r="T1190" t="str">
        <f t="shared" si="27"/>
        <v/>
      </c>
    </row>
    <row r="1191" spans="1:20">
      <c r="A1191" s="195">
        <f t="shared" si="19"/>
        <v>1</v>
      </c>
      <c r="B1191">
        <f t="shared" si="28"/>
        <v>4</v>
      </c>
      <c r="C1191" s="8" t="str">
        <f t="shared" si="20"/>
        <v/>
      </c>
      <c r="D1191" t="str">
        <f t="shared" si="21"/>
        <v/>
      </c>
      <c r="E1191" t="str">
        <f t="shared" si="21"/>
        <v/>
      </c>
      <c r="F1191" s="315" t="str">
        <f t="shared" si="22"/>
        <v/>
      </c>
      <c r="G1191" t="str">
        <f t="shared" si="23"/>
        <v/>
      </c>
      <c r="H1191" t="str">
        <f t="shared" si="23"/>
        <v/>
      </c>
      <c r="I1191" t="str">
        <f t="shared" si="23"/>
        <v/>
      </c>
      <c r="J1191" t="str">
        <f t="shared" si="23"/>
        <v/>
      </c>
      <c r="K1191" s="315" t="str">
        <f t="shared" si="24"/>
        <v/>
      </c>
      <c r="L1191" t="str">
        <f t="shared" si="25"/>
        <v/>
      </c>
      <c r="M1191" t="str">
        <f t="shared" si="25"/>
        <v/>
      </c>
      <c r="N1191" t="str">
        <f t="shared" si="25"/>
        <v/>
      </c>
      <c r="O1191" t="str">
        <f t="shared" si="25"/>
        <v/>
      </c>
      <c r="P1191" s="315" t="str">
        <f t="shared" si="26"/>
        <v/>
      </c>
      <c r="Q1191" t="str">
        <f t="shared" si="27"/>
        <v/>
      </c>
      <c r="R1191" t="str">
        <f t="shared" si="27"/>
        <v/>
      </c>
      <c r="S1191" t="str">
        <f t="shared" si="27"/>
        <v/>
      </c>
      <c r="T1191" t="str">
        <f t="shared" si="27"/>
        <v/>
      </c>
    </row>
    <row r="1192" spans="1:20">
      <c r="A1192" s="195">
        <f t="shared" si="19"/>
        <v>1</v>
      </c>
      <c r="B1192">
        <f t="shared" si="28"/>
        <v>5</v>
      </c>
      <c r="C1192" s="8" t="str">
        <f t="shared" si="20"/>
        <v/>
      </c>
      <c r="D1192" t="str">
        <f t="shared" si="21"/>
        <v/>
      </c>
      <c r="E1192" t="str">
        <f t="shared" si="21"/>
        <v/>
      </c>
      <c r="F1192" s="315" t="str">
        <f t="shared" si="22"/>
        <v/>
      </c>
      <c r="G1192" t="str">
        <f t="shared" si="23"/>
        <v/>
      </c>
      <c r="H1192" t="str">
        <f t="shared" si="23"/>
        <v/>
      </c>
      <c r="I1192" t="str">
        <f t="shared" si="23"/>
        <v/>
      </c>
      <c r="J1192" t="str">
        <f t="shared" si="23"/>
        <v/>
      </c>
      <c r="K1192" s="315" t="str">
        <f t="shared" si="24"/>
        <v/>
      </c>
      <c r="L1192" t="str">
        <f t="shared" si="25"/>
        <v/>
      </c>
      <c r="M1192" t="str">
        <f t="shared" si="25"/>
        <v/>
      </c>
      <c r="N1192" t="str">
        <f t="shared" si="25"/>
        <v/>
      </c>
      <c r="O1192" t="str">
        <f t="shared" si="25"/>
        <v/>
      </c>
      <c r="P1192" s="315" t="str">
        <f t="shared" si="26"/>
        <v/>
      </c>
      <c r="Q1192" t="str">
        <f t="shared" si="27"/>
        <v/>
      </c>
      <c r="R1192" t="str">
        <f t="shared" si="27"/>
        <v/>
      </c>
      <c r="S1192" t="str">
        <f t="shared" si="27"/>
        <v/>
      </c>
      <c r="T1192" t="str">
        <f t="shared" si="27"/>
        <v/>
      </c>
    </row>
    <row r="1193" spans="1:20">
      <c r="A1193" s="195">
        <f t="shared" si="19"/>
        <v>1</v>
      </c>
      <c r="B1193">
        <f t="shared" si="28"/>
        <v>6</v>
      </c>
      <c r="C1193" s="8" t="str">
        <f t="shared" si="20"/>
        <v/>
      </c>
      <c r="D1193" t="str">
        <f t="shared" si="21"/>
        <v/>
      </c>
      <c r="E1193" t="str">
        <f t="shared" si="21"/>
        <v/>
      </c>
      <c r="F1193" s="315" t="str">
        <f t="shared" si="22"/>
        <v/>
      </c>
      <c r="G1193" t="str">
        <f t="shared" si="23"/>
        <v/>
      </c>
      <c r="H1193" t="str">
        <f t="shared" si="23"/>
        <v/>
      </c>
      <c r="I1193" t="str">
        <f t="shared" si="23"/>
        <v/>
      </c>
      <c r="J1193" t="str">
        <f t="shared" si="23"/>
        <v/>
      </c>
      <c r="K1193" s="315" t="str">
        <f t="shared" si="24"/>
        <v/>
      </c>
      <c r="L1193" t="str">
        <f t="shared" si="25"/>
        <v/>
      </c>
      <c r="M1193" t="str">
        <f t="shared" si="25"/>
        <v/>
      </c>
      <c r="N1193" t="str">
        <f t="shared" si="25"/>
        <v/>
      </c>
      <c r="O1193" t="str">
        <f t="shared" si="25"/>
        <v/>
      </c>
      <c r="P1193" s="315" t="str">
        <f t="shared" si="26"/>
        <v/>
      </c>
      <c r="Q1193" t="str">
        <f t="shared" si="27"/>
        <v/>
      </c>
      <c r="R1193" t="str">
        <f t="shared" si="27"/>
        <v/>
      </c>
      <c r="S1193" t="str">
        <f t="shared" si="27"/>
        <v/>
      </c>
      <c r="T1193" t="str">
        <f t="shared" si="27"/>
        <v/>
      </c>
    </row>
    <row r="1194" spans="1:20">
      <c r="A1194" s="195">
        <f t="shared" si="19"/>
        <v>1</v>
      </c>
      <c r="B1194">
        <f t="shared" si="28"/>
        <v>7</v>
      </c>
      <c r="C1194" s="8" t="str">
        <f t="shared" si="20"/>
        <v/>
      </c>
      <c r="D1194" t="str">
        <f t="shared" si="21"/>
        <v/>
      </c>
      <c r="E1194" t="str">
        <f t="shared" si="21"/>
        <v/>
      </c>
      <c r="F1194" s="315" t="str">
        <f t="shared" si="22"/>
        <v/>
      </c>
      <c r="G1194" t="str">
        <f t="shared" si="23"/>
        <v/>
      </c>
      <c r="H1194" t="str">
        <f t="shared" si="23"/>
        <v/>
      </c>
      <c r="I1194" t="str">
        <f t="shared" si="23"/>
        <v/>
      </c>
      <c r="J1194" t="str">
        <f t="shared" si="23"/>
        <v/>
      </c>
      <c r="K1194" s="315" t="str">
        <f t="shared" si="24"/>
        <v/>
      </c>
      <c r="L1194" t="str">
        <f t="shared" si="25"/>
        <v/>
      </c>
      <c r="M1194" t="str">
        <f t="shared" si="25"/>
        <v/>
      </c>
      <c r="N1194" t="str">
        <f t="shared" si="25"/>
        <v/>
      </c>
      <c r="O1194" t="str">
        <f t="shared" si="25"/>
        <v/>
      </c>
      <c r="P1194" s="315" t="str">
        <f t="shared" si="26"/>
        <v/>
      </c>
      <c r="Q1194" t="str">
        <f t="shared" si="27"/>
        <v/>
      </c>
      <c r="R1194" t="str">
        <f t="shared" si="27"/>
        <v/>
      </c>
      <c r="S1194" t="str">
        <f t="shared" si="27"/>
        <v/>
      </c>
      <c r="T1194" t="str">
        <f t="shared" si="27"/>
        <v/>
      </c>
    </row>
    <row r="1195" spans="1:20">
      <c r="A1195" s="195">
        <f t="shared" si="19"/>
        <v>1</v>
      </c>
      <c r="B1195">
        <f t="shared" si="28"/>
        <v>8</v>
      </c>
      <c r="C1195" s="8" t="str">
        <f t="shared" si="20"/>
        <v/>
      </c>
      <c r="D1195" t="str">
        <f t="shared" si="21"/>
        <v/>
      </c>
      <c r="E1195" t="str">
        <f t="shared" si="21"/>
        <v/>
      </c>
      <c r="F1195" s="315" t="str">
        <f t="shared" si="22"/>
        <v/>
      </c>
      <c r="G1195" t="str">
        <f t="shared" si="23"/>
        <v/>
      </c>
      <c r="H1195" t="str">
        <f t="shared" si="23"/>
        <v/>
      </c>
      <c r="I1195" t="str">
        <f t="shared" si="23"/>
        <v/>
      </c>
      <c r="J1195" t="str">
        <f t="shared" si="23"/>
        <v/>
      </c>
      <c r="K1195" s="315" t="str">
        <f t="shared" si="24"/>
        <v/>
      </c>
      <c r="L1195" t="str">
        <f t="shared" si="25"/>
        <v/>
      </c>
      <c r="M1195" t="str">
        <f t="shared" si="25"/>
        <v/>
      </c>
      <c r="N1195" t="str">
        <f t="shared" si="25"/>
        <v/>
      </c>
      <c r="O1195" t="str">
        <f t="shared" si="25"/>
        <v/>
      </c>
      <c r="P1195" s="315" t="str">
        <f t="shared" si="26"/>
        <v/>
      </c>
      <c r="Q1195" t="str">
        <f t="shared" si="27"/>
        <v/>
      </c>
      <c r="R1195" t="str">
        <f t="shared" si="27"/>
        <v/>
      </c>
      <c r="S1195" t="str">
        <f t="shared" si="27"/>
        <v/>
      </c>
      <c r="T1195" t="str">
        <f t="shared" si="27"/>
        <v/>
      </c>
    </row>
    <row r="1196" spans="1:20">
      <c r="A1196" s="195">
        <f t="shared" si="19"/>
        <v>1</v>
      </c>
      <c r="B1196">
        <f t="shared" si="28"/>
        <v>9</v>
      </c>
      <c r="C1196" s="8" t="str">
        <f t="shared" si="20"/>
        <v/>
      </c>
      <c r="D1196" t="str">
        <f t="shared" si="21"/>
        <v/>
      </c>
      <c r="E1196" t="str">
        <f t="shared" si="21"/>
        <v/>
      </c>
      <c r="F1196" s="315" t="str">
        <f t="shared" si="22"/>
        <v/>
      </c>
      <c r="G1196" t="str">
        <f t="shared" si="23"/>
        <v/>
      </c>
      <c r="H1196" t="str">
        <f t="shared" si="23"/>
        <v/>
      </c>
      <c r="I1196" t="str">
        <f t="shared" si="23"/>
        <v/>
      </c>
      <c r="J1196" t="str">
        <f t="shared" si="23"/>
        <v/>
      </c>
      <c r="K1196" s="315" t="str">
        <f t="shared" si="24"/>
        <v/>
      </c>
      <c r="L1196" t="str">
        <f t="shared" si="25"/>
        <v/>
      </c>
      <c r="M1196" t="str">
        <f t="shared" si="25"/>
        <v/>
      </c>
      <c r="N1196" t="str">
        <f t="shared" si="25"/>
        <v/>
      </c>
      <c r="O1196" t="str">
        <f t="shared" si="25"/>
        <v/>
      </c>
      <c r="P1196" s="315" t="str">
        <f t="shared" si="26"/>
        <v/>
      </c>
      <c r="Q1196" t="str">
        <f t="shared" si="27"/>
        <v/>
      </c>
      <c r="R1196" t="str">
        <f t="shared" si="27"/>
        <v/>
      </c>
      <c r="S1196" t="str">
        <f t="shared" si="27"/>
        <v/>
      </c>
      <c r="T1196" t="str">
        <f t="shared" si="27"/>
        <v/>
      </c>
    </row>
    <row r="1197" spans="1:20">
      <c r="A1197" s="195">
        <f t="shared" si="19"/>
        <v>1</v>
      </c>
      <c r="B1197">
        <f t="shared" si="28"/>
        <v>10</v>
      </c>
      <c r="C1197" s="8" t="str">
        <f t="shared" si="20"/>
        <v/>
      </c>
      <c r="D1197" t="str">
        <f t="shared" si="21"/>
        <v/>
      </c>
      <c r="E1197" t="str">
        <f t="shared" si="21"/>
        <v/>
      </c>
      <c r="F1197" s="315" t="str">
        <f t="shared" si="22"/>
        <v/>
      </c>
      <c r="G1197" t="str">
        <f t="shared" si="23"/>
        <v/>
      </c>
      <c r="H1197" t="str">
        <f t="shared" si="23"/>
        <v/>
      </c>
      <c r="I1197" t="str">
        <f t="shared" si="23"/>
        <v/>
      </c>
      <c r="J1197" t="str">
        <f t="shared" si="23"/>
        <v/>
      </c>
      <c r="K1197" s="315" t="str">
        <f t="shared" si="24"/>
        <v/>
      </c>
      <c r="L1197" t="str">
        <f t="shared" si="25"/>
        <v/>
      </c>
      <c r="M1197" t="str">
        <f t="shared" si="25"/>
        <v/>
      </c>
      <c r="N1197" t="str">
        <f t="shared" si="25"/>
        <v/>
      </c>
      <c r="O1197" t="str">
        <f t="shared" si="25"/>
        <v/>
      </c>
      <c r="P1197" s="315" t="str">
        <f t="shared" si="26"/>
        <v/>
      </c>
      <c r="Q1197" t="str">
        <f t="shared" si="27"/>
        <v/>
      </c>
      <c r="R1197" t="str">
        <f t="shared" si="27"/>
        <v/>
      </c>
      <c r="S1197" t="str">
        <f t="shared" si="27"/>
        <v/>
      </c>
      <c r="T1197" t="str">
        <f t="shared" si="27"/>
        <v/>
      </c>
    </row>
    <row r="1198" spans="1:20">
      <c r="A1198" s="195">
        <f t="shared" si="19"/>
        <v>1</v>
      </c>
      <c r="B1198">
        <f t="shared" si="28"/>
        <v>11</v>
      </c>
      <c r="C1198" s="8" t="str">
        <f t="shared" si="20"/>
        <v/>
      </c>
      <c r="D1198" t="str">
        <f t="shared" si="21"/>
        <v/>
      </c>
      <c r="E1198" t="str">
        <f t="shared" si="21"/>
        <v/>
      </c>
      <c r="F1198" s="315" t="str">
        <f t="shared" si="22"/>
        <v/>
      </c>
      <c r="G1198" t="str">
        <f t="shared" si="23"/>
        <v/>
      </c>
      <c r="H1198" t="str">
        <f t="shared" si="23"/>
        <v/>
      </c>
      <c r="I1198" t="str">
        <f t="shared" si="23"/>
        <v/>
      </c>
      <c r="J1198" t="str">
        <f t="shared" si="23"/>
        <v/>
      </c>
      <c r="K1198" s="315" t="str">
        <f t="shared" si="24"/>
        <v/>
      </c>
      <c r="L1198" t="str">
        <f t="shared" si="25"/>
        <v/>
      </c>
      <c r="M1198" t="str">
        <f t="shared" si="25"/>
        <v/>
      </c>
      <c r="N1198" t="str">
        <f t="shared" si="25"/>
        <v/>
      </c>
      <c r="O1198" t="str">
        <f t="shared" si="25"/>
        <v/>
      </c>
      <c r="P1198" s="315" t="str">
        <f t="shared" si="26"/>
        <v/>
      </c>
      <c r="Q1198" t="str">
        <f t="shared" si="27"/>
        <v/>
      </c>
      <c r="R1198" t="str">
        <f t="shared" si="27"/>
        <v/>
      </c>
      <c r="S1198" t="str">
        <f t="shared" si="27"/>
        <v/>
      </c>
      <c r="T1198" t="str">
        <f t="shared" si="27"/>
        <v/>
      </c>
    </row>
    <row r="1199" spans="1:20">
      <c r="A1199" s="195">
        <f t="shared" si="19"/>
        <v>1</v>
      </c>
      <c r="B1199">
        <f t="shared" si="28"/>
        <v>12</v>
      </c>
      <c r="C1199" s="8" t="str">
        <f t="shared" si="20"/>
        <v/>
      </c>
      <c r="D1199" t="str">
        <f t="shared" si="21"/>
        <v/>
      </c>
      <c r="E1199" t="str">
        <f t="shared" si="21"/>
        <v/>
      </c>
      <c r="F1199" s="315" t="str">
        <f t="shared" si="22"/>
        <v/>
      </c>
      <c r="G1199" t="str">
        <f t="shared" si="23"/>
        <v/>
      </c>
      <c r="H1199" t="str">
        <f t="shared" si="23"/>
        <v/>
      </c>
      <c r="I1199" t="str">
        <f t="shared" si="23"/>
        <v/>
      </c>
      <c r="J1199" t="str">
        <f t="shared" si="23"/>
        <v/>
      </c>
      <c r="K1199" s="315" t="str">
        <f t="shared" si="24"/>
        <v/>
      </c>
      <c r="L1199" t="str">
        <f t="shared" si="25"/>
        <v/>
      </c>
      <c r="M1199" t="str">
        <f t="shared" si="25"/>
        <v/>
      </c>
      <c r="N1199" t="str">
        <f t="shared" si="25"/>
        <v/>
      </c>
      <c r="O1199" t="str">
        <f t="shared" si="25"/>
        <v/>
      </c>
      <c r="P1199" s="315" t="str">
        <f t="shared" si="26"/>
        <v/>
      </c>
      <c r="Q1199" t="str">
        <f t="shared" si="27"/>
        <v/>
      </c>
      <c r="R1199" t="str">
        <f t="shared" si="27"/>
        <v/>
      </c>
      <c r="S1199" t="str">
        <f t="shared" si="27"/>
        <v/>
      </c>
      <c r="T1199" t="str">
        <f t="shared" si="27"/>
        <v/>
      </c>
    </row>
    <row r="1200" spans="1:20">
      <c r="A1200" s="195">
        <f t="shared" si="19"/>
        <v>1</v>
      </c>
      <c r="B1200">
        <f t="shared" si="28"/>
        <v>13</v>
      </c>
      <c r="C1200" s="8" t="str">
        <f t="shared" si="20"/>
        <v/>
      </c>
      <c r="D1200" t="str">
        <f t="shared" si="21"/>
        <v/>
      </c>
      <c r="E1200" t="str">
        <f t="shared" si="21"/>
        <v/>
      </c>
      <c r="F1200" s="315" t="str">
        <f t="shared" si="22"/>
        <v/>
      </c>
      <c r="G1200" t="str">
        <f t="shared" si="23"/>
        <v/>
      </c>
      <c r="H1200" t="str">
        <f t="shared" si="23"/>
        <v/>
      </c>
      <c r="I1200" t="str">
        <f t="shared" si="23"/>
        <v/>
      </c>
      <c r="J1200" t="str">
        <f t="shared" si="23"/>
        <v/>
      </c>
      <c r="K1200" s="315" t="str">
        <f t="shared" si="24"/>
        <v/>
      </c>
      <c r="L1200" t="str">
        <f t="shared" si="25"/>
        <v/>
      </c>
      <c r="M1200" t="str">
        <f t="shared" si="25"/>
        <v/>
      </c>
      <c r="N1200" t="str">
        <f t="shared" si="25"/>
        <v/>
      </c>
      <c r="O1200" t="str">
        <f t="shared" si="25"/>
        <v/>
      </c>
      <c r="P1200" s="315" t="str">
        <f t="shared" si="26"/>
        <v/>
      </c>
      <c r="Q1200" t="str">
        <f t="shared" si="27"/>
        <v/>
      </c>
      <c r="R1200" t="str">
        <f t="shared" si="27"/>
        <v/>
      </c>
      <c r="S1200" t="str">
        <f t="shared" si="27"/>
        <v/>
      </c>
      <c r="T1200" t="str">
        <f t="shared" si="27"/>
        <v/>
      </c>
    </row>
    <row r="1201" spans="1:20">
      <c r="A1201" s="195">
        <f t="shared" si="19"/>
        <v>1</v>
      </c>
      <c r="B1201">
        <f t="shared" si="28"/>
        <v>14</v>
      </c>
      <c r="C1201" s="8" t="str">
        <f t="shared" si="20"/>
        <v/>
      </c>
      <c r="D1201" t="str">
        <f t="shared" si="21"/>
        <v/>
      </c>
      <c r="E1201" t="str">
        <f t="shared" si="21"/>
        <v/>
      </c>
      <c r="F1201" s="315" t="str">
        <f t="shared" si="22"/>
        <v/>
      </c>
      <c r="G1201" t="str">
        <f t="shared" si="23"/>
        <v/>
      </c>
      <c r="H1201" t="str">
        <f t="shared" si="23"/>
        <v/>
      </c>
      <c r="I1201" t="str">
        <f t="shared" si="23"/>
        <v/>
      </c>
      <c r="J1201" t="str">
        <f t="shared" si="23"/>
        <v/>
      </c>
      <c r="K1201" s="315" t="str">
        <f t="shared" si="24"/>
        <v/>
      </c>
      <c r="L1201" t="str">
        <f t="shared" si="25"/>
        <v/>
      </c>
      <c r="M1201" t="str">
        <f t="shared" si="25"/>
        <v/>
      </c>
      <c r="N1201" t="str">
        <f t="shared" si="25"/>
        <v/>
      </c>
      <c r="O1201" t="str">
        <f t="shared" si="25"/>
        <v/>
      </c>
      <c r="P1201" s="315" t="str">
        <f t="shared" si="26"/>
        <v/>
      </c>
      <c r="Q1201" t="str">
        <f t="shared" si="27"/>
        <v/>
      </c>
      <c r="R1201" t="str">
        <f t="shared" si="27"/>
        <v/>
      </c>
      <c r="S1201" t="str">
        <f t="shared" si="27"/>
        <v/>
      </c>
      <c r="T1201" t="str">
        <f t="shared" si="27"/>
        <v/>
      </c>
    </row>
    <row r="1202" spans="1:20">
      <c r="A1202" s="195">
        <f t="shared" si="19"/>
        <v>1</v>
      </c>
      <c r="B1202">
        <f t="shared" si="28"/>
        <v>15</v>
      </c>
      <c r="C1202" s="8" t="str">
        <f t="shared" si="20"/>
        <v/>
      </c>
      <c r="D1202" t="str">
        <f t="shared" si="21"/>
        <v/>
      </c>
      <c r="E1202" t="str">
        <f t="shared" si="21"/>
        <v/>
      </c>
      <c r="F1202" s="315" t="str">
        <f t="shared" si="22"/>
        <v/>
      </c>
      <c r="G1202" t="str">
        <f t="shared" si="23"/>
        <v/>
      </c>
      <c r="H1202" t="str">
        <f t="shared" si="23"/>
        <v/>
      </c>
      <c r="I1202" t="str">
        <f t="shared" si="23"/>
        <v/>
      </c>
      <c r="J1202" t="str">
        <f t="shared" si="23"/>
        <v/>
      </c>
      <c r="K1202" s="315" t="str">
        <f t="shared" si="24"/>
        <v/>
      </c>
      <c r="L1202" t="str">
        <f t="shared" si="25"/>
        <v/>
      </c>
      <c r="M1202" t="str">
        <f t="shared" si="25"/>
        <v/>
      </c>
      <c r="N1202" t="str">
        <f t="shared" si="25"/>
        <v/>
      </c>
      <c r="O1202" t="str">
        <f t="shared" si="25"/>
        <v/>
      </c>
      <c r="P1202" s="315" t="str">
        <f t="shared" si="26"/>
        <v/>
      </c>
      <c r="Q1202" t="str">
        <f t="shared" si="27"/>
        <v/>
      </c>
      <c r="R1202" t="str">
        <f t="shared" si="27"/>
        <v/>
      </c>
      <c r="S1202" t="str">
        <f t="shared" si="27"/>
        <v/>
      </c>
      <c r="T1202" t="str">
        <f t="shared" si="27"/>
        <v/>
      </c>
    </row>
    <row r="1203" spans="1:20">
      <c r="A1203" s="195">
        <f t="shared" si="19"/>
        <v>1</v>
      </c>
      <c r="B1203">
        <f t="shared" si="28"/>
        <v>16</v>
      </c>
      <c r="C1203" s="8" t="str">
        <f t="shared" si="20"/>
        <v/>
      </c>
      <c r="D1203" t="str">
        <f t="shared" si="21"/>
        <v/>
      </c>
      <c r="E1203" t="str">
        <f t="shared" si="21"/>
        <v/>
      </c>
      <c r="F1203" s="315" t="str">
        <f t="shared" si="22"/>
        <v/>
      </c>
      <c r="G1203" t="str">
        <f t="shared" si="23"/>
        <v/>
      </c>
      <c r="H1203" t="str">
        <f t="shared" si="23"/>
        <v/>
      </c>
      <c r="I1203" t="str">
        <f t="shared" si="23"/>
        <v/>
      </c>
      <c r="J1203" t="str">
        <f t="shared" si="23"/>
        <v/>
      </c>
      <c r="K1203" s="315" t="str">
        <f t="shared" si="24"/>
        <v/>
      </c>
      <c r="L1203" t="str">
        <f t="shared" si="25"/>
        <v/>
      </c>
      <c r="M1203" t="str">
        <f t="shared" si="25"/>
        <v/>
      </c>
      <c r="N1203" t="str">
        <f t="shared" si="25"/>
        <v/>
      </c>
      <c r="O1203" t="str">
        <f t="shared" si="25"/>
        <v/>
      </c>
      <c r="P1203" s="315" t="str">
        <f t="shared" si="26"/>
        <v/>
      </c>
      <c r="Q1203" t="str">
        <f t="shared" si="27"/>
        <v/>
      </c>
      <c r="R1203" t="str">
        <f t="shared" si="27"/>
        <v/>
      </c>
      <c r="S1203" t="str">
        <f t="shared" si="27"/>
        <v/>
      </c>
      <c r="T1203" t="str">
        <f t="shared" si="27"/>
        <v/>
      </c>
    </row>
    <row r="1204" spans="1:20">
      <c r="A1204" s="195">
        <f t="shared" si="19"/>
        <v>1</v>
      </c>
      <c r="B1204">
        <f t="shared" si="28"/>
        <v>17</v>
      </c>
      <c r="C1204" s="8" t="str">
        <f t="shared" si="20"/>
        <v/>
      </c>
      <c r="D1204" t="str">
        <f t="shared" si="21"/>
        <v/>
      </c>
      <c r="E1204" t="str">
        <f t="shared" si="21"/>
        <v/>
      </c>
      <c r="F1204" s="315" t="str">
        <f t="shared" si="22"/>
        <v/>
      </c>
      <c r="G1204" t="str">
        <f t="shared" si="23"/>
        <v/>
      </c>
      <c r="H1204" t="str">
        <f t="shared" si="23"/>
        <v/>
      </c>
      <c r="I1204" t="str">
        <f t="shared" si="23"/>
        <v/>
      </c>
      <c r="J1204" t="str">
        <f t="shared" si="23"/>
        <v/>
      </c>
      <c r="K1204" s="315" t="str">
        <f t="shared" si="24"/>
        <v/>
      </c>
      <c r="L1204" t="str">
        <f t="shared" si="25"/>
        <v/>
      </c>
      <c r="M1204" t="str">
        <f t="shared" si="25"/>
        <v/>
      </c>
      <c r="N1204" t="str">
        <f t="shared" si="25"/>
        <v/>
      </c>
      <c r="O1204" t="str">
        <f t="shared" si="25"/>
        <v/>
      </c>
      <c r="P1204" s="315" t="str">
        <f t="shared" si="26"/>
        <v/>
      </c>
      <c r="Q1204" t="str">
        <f t="shared" si="27"/>
        <v/>
      </c>
      <c r="R1204" t="str">
        <f t="shared" si="27"/>
        <v/>
      </c>
      <c r="S1204" t="str">
        <f t="shared" si="27"/>
        <v/>
      </c>
      <c r="T1204" t="str">
        <f t="shared" si="27"/>
        <v/>
      </c>
    </row>
    <row r="1205" spans="1:20">
      <c r="A1205" s="195">
        <f t="shared" si="19"/>
        <v>1</v>
      </c>
      <c r="B1205">
        <f t="shared" si="28"/>
        <v>18</v>
      </c>
      <c r="C1205" s="8" t="str">
        <f t="shared" si="20"/>
        <v/>
      </c>
      <c r="D1205" t="str">
        <f t="shared" si="21"/>
        <v/>
      </c>
      <c r="E1205" t="str">
        <f t="shared" si="21"/>
        <v/>
      </c>
      <c r="F1205" s="315" t="str">
        <f t="shared" si="22"/>
        <v/>
      </c>
      <c r="G1205" t="str">
        <f t="shared" si="23"/>
        <v/>
      </c>
      <c r="H1205" t="str">
        <f t="shared" si="23"/>
        <v/>
      </c>
      <c r="I1205" t="str">
        <f t="shared" si="23"/>
        <v/>
      </c>
      <c r="J1205" t="str">
        <f t="shared" si="23"/>
        <v/>
      </c>
      <c r="K1205" s="315" t="str">
        <f t="shared" si="24"/>
        <v/>
      </c>
      <c r="L1205" t="str">
        <f t="shared" si="25"/>
        <v/>
      </c>
      <c r="M1205" t="str">
        <f t="shared" si="25"/>
        <v/>
      </c>
      <c r="N1205" t="str">
        <f t="shared" si="25"/>
        <v/>
      </c>
      <c r="O1205" t="str">
        <f t="shared" si="25"/>
        <v/>
      </c>
      <c r="P1205" s="315" t="str">
        <f t="shared" si="26"/>
        <v/>
      </c>
      <c r="Q1205" t="str">
        <f t="shared" si="27"/>
        <v/>
      </c>
      <c r="R1205" t="str">
        <f t="shared" si="27"/>
        <v/>
      </c>
      <c r="S1205" t="str">
        <f t="shared" si="27"/>
        <v/>
      </c>
      <c r="T1205" t="str">
        <f t="shared" si="27"/>
        <v/>
      </c>
    </row>
    <row r="1206" spans="1:20">
      <c r="A1206" s="195">
        <f t="shared" si="19"/>
        <v>1</v>
      </c>
      <c r="B1206">
        <f t="shared" si="28"/>
        <v>19</v>
      </c>
      <c r="C1206" s="8" t="str">
        <f t="shared" si="20"/>
        <v/>
      </c>
      <c r="D1206" t="str">
        <f t="shared" si="21"/>
        <v/>
      </c>
      <c r="E1206" t="str">
        <f t="shared" si="21"/>
        <v/>
      </c>
      <c r="F1206" s="315" t="str">
        <f t="shared" si="22"/>
        <v/>
      </c>
      <c r="G1206" t="str">
        <f t="shared" si="23"/>
        <v/>
      </c>
      <c r="H1206" t="str">
        <f t="shared" si="23"/>
        <v/>
      </c>
      <c r="I1206" t="str">
        <f t="shared" si="23"/>
        <v/>
      </c>
      <c r="J1206" t="str">
        <f t="shared" si="23"/>
        <v/>
      </c>
      <c r="K1206" s="315" t="str">
        <f t="shared" si="24"/>
        <v/>
      </c>
      <c r="L1206" t="str">
        <f t="shared" si="25"/>
        <v/>
      </c>
      <c r="M1206" t="str">
        <f t="shared" si="25"/>
        <v/>
      </c>
      <c r="N1206" t="str">
        <f t="shared" si="25"/>
        <v/>
      </c>
      <c r="O1206" t="str">
        <f t="shared" si="25"/>
        <v/>
      </c>
      <c r="P1206" s="315" t="str">
        <f t="shared" si="26"/>
        <v/>
      </c>
      <c r="Q1206" t="str">
        <f t="shared" si="27"/>
        <v/>
      </c>
      <c r="R1206" t="str">
        <f t="shared" si="27"/>
        <v/>
      </c>
      <c r="S1206" t="str">
        <f t="shared" si="27"/>
        <v/>
      </c>
      <c r="T1206" t="str">
        <f t="shared" si="27"/>
        <v/>
      </c>
    </row>
    <row r="1207" spans="1:20">
      <c r="A1207" s="195">
        <f t="shared" si="19"/>
        <v>1</v>
      </c>
      <c r="B1207">
        <f t="shared" si="28"/>
        <v>20</v>
      </c>
      <c r="C1207" s="8" t="str">
        <f t="shared" si="20"/>
        <v/>
      </c>
      <c r="D1207" t="str">
        <f t="shared" si="21"/>
        <v/>
      </c>
      <c r="E1207" t="str">
        <f t="shared" si="21"/>
        <v/>
      </c>
      <c r="F1207" s="315" t="str">
        <f t="shared" si="22"/>
        <v/>
      </c>
      <c r="G1207" t="str">
        <f t="shared" si="23"/>
        <v/>
      </c>
      <c r="H1207" t="str">
        <f t="shared" si="23"/>
        <v/>
      </c>
      <c r="I1207" t="str">
        <f t="shared" si="23"/>
        <v/>
      </c>
      <c r="J1207" t="str">
        <f t="shared" si="23"/>
        <v/>
      </c>
      <c r="K1207" s="315" t="str">
        <f t="shared" si="24"/>
        <v/>
      </c>
      <c r="L1207" t="str">
        <f t="shared" si="25"/>
        <v/>
      </c>
      <c r="M1207" t="str">
        <f t="shared" si="25"/>
        <v/>
      </c>
      <c r="N1207" t="str">
        <f t="shared" si="25"/>
        <v/>
      </c>
      <c r="O1207" t="str">
        <f t="shared" si="25"/>
        <v/>
      </c>
      <c r="P1207" s="315" t="str">
        <f t="shared" si="26"/>
        <v/>
      </c>
      <c r="Q1207" t="str">
        <f t="shared" si="27"/>
        <v/>
      </c>
      <c r="R1207" t="str">
        <f t="shared" si="27"/>
        <v/>
      </c>
      <c r="S1207" t="str">
        <f t="shared" si="27"/>
        <v/>
      </c>
      <c r="T1207" t="str">
        <f t="shared" si="27"/>
        <v/>
      </c>
    </row>
    <row r="1208" spans="1:20">
      <c r="A1208" s="195">
        <f t="shared" si="19"/>
        <v>1</v>
      </c>
      <c r="B1208">
        <f t="shared" si="28"/>
        <v>21</v>
      </c>
      <c r="C1208" s="8" t="str">
        <f t="shared" si="20"/>
        <v/>
      </c>
      <c r="D1208" t="str">
        <f t="shared" ref="D1208:E1227" si="29">CONCATENATE(INDEX($B$1084:$T$1183, $A1208, D$1187))</f>
        <v/>
      </c>
      <c r="E1208" t="str">
        <f t="shared" si="29"/>
        <v/>
      </c>
      <c r="F1208" s="315" t="str">
        <f t="shared" si="22"/>
        <v/>
      </c>
      <c r="G1208" t="str">
        <f t="shared" ref="G1208:J1227" si="30">CONCATENATE(INDEX($B$1084:$T$1183, $A1208, G$1187))</f>
        <v/>
      </c>
      <c r="H1208" t="str">
        <f t="shared" si="30"/>
        <v/>
      </c>
      <c r="I1208" t="str">
        <f t="shared" si="30"/>
        <v/>
      </c>
      <c r="J1208" t="str">
        <f t="shared" si="30"/>
        <v/>
      </c>
      <c r="K1208" s="315" t="str">
        <f t="shared" si="24"/>
        <v/>
      </c>
      <c r="L1208" t="str">
        <f t="shared" ref="L1208:O1227" si="31">CONCATENATE(INDEX($B$1084:$T$1183, $A1208, L$1187))</f>
        <v/>
      </c>
      <c r="M1208" t="str">
        <f t="shared" si="31"/>
        <v/>
      </c>
      <c r="N1208" t="str">
        <f t="shared" si="31"/>
        <v/>
      </c>
      <c r="O1208" t="str">
        <f t="shared" si="31"/>
        <v/>
      </c>
      <c r="P1208" s="315" t="str">
        <f t="shared" si="26"/>
        <v/>
      </c>
      <c r="Q1208" t="str">
        <f t="shared" ref="Q1208:T1227" si="32">CONCATENATE(INDEX($B$1084:$T$1183, $A1208, Q$1187))</f>
        <v/>
      </c>
      <c r="R1208" t="str">
        <f t="shared" si="32"/>
        <v/>
      </c>
      <c r="S1208" t="str">
        <f t="shared" si="32"/>
        <v/>
      </c>
      <c r="T1208" t="str">
        <f t="shared" si="32"/>
        <v/>
      </c>
    </row>
    <row r="1209" spans="1:20">
      <c r="A1209" s="195">
        <f t="shared" si="19"/>
        <v>1</v>
      </c>
      <c r="B1209">
        <f t="shared" si="28"/>
        <v>22</v>
      </c>
      <c r="C1209" s="8" t="str">
        <f t="shared" si="20"/>
        <v/>
      </c>
      <c r="D1209" t="str">
        <f t="shared" si="29"/>
        <v/>
      </c>
      <c r="E1209" t="str">
        <f t="shared" si="29"/>
        <v/>
      </c>
      <c r="F1209" s="315" t="str">
        <f t="shared" si="22"/>
        <v/>
      </c>
      <c r="G1209" t="str">
        <f t="shared" si="30"/>
        <v/>
      </c>
      <c r="H1209" t="str">
        <f t="shared" si="30"/>
        <v/>
      </c>
      <c r="I1209" t="str">
        <f t="shared" si="30"/>
        <v/>
      </c>
      <c r="J1209" t="str">
        <f t="shared" si="30"/>
        <v/>
      </c>
      <c r="K1209" s="315" t="str">
        <f t="shared" si="24"/>
        <v/>
      </c>
      <c r="L1209" t="str">
        <f t="shared" si="31"/>
        <v/>
      </c>
      <c r="M1209" t="str">
        <f t="shared" si="31"/>
        <v/>
      </c>
      <c r="N1209" t="str">
        <f t="shared" si="31"/>
        <v/>
      </c>
      <c r="O1209" t="str">
        <f t="shared" si="31"/>
        <v/>
      </c>
      <c r="P1209" s="315" t="str">
        <f t="shared" si="26"/>
        <v/>
      </c>
      <c r="Q1209" t="str">
        <f t="shared" si="32"/>
        <v/>
      </c>
      <c r="R1209" t="str">
        <f t="shared" si="32"/>
        <v/>
      </c>
      <c r="S1209" t="str">
        <f t="shared" si="32"/>
        <v/>
      </c>
      <c r="T1209" t="str">
        <f t="shared" si="32"/>
        <v/>
      </c>
    </row>
    <row r="1210" spans="1:20">
      <c r="A1210" s="195">
        <f t="shared" si="19"/>
        <v>1</v>
      </c>
      <c r="B1210">
        <f t="shared" si="28"/>
        <v>23</v>
      </c>
      <c r="C1210" s="8" t="str">
        <f t="shared" si="20"/>
        <v/>
      </c>
      <c r="D1210" t="str">
        <f t="shared" si="29"/>
        <v/>
      </c>
      <c r="E1210" t="str">
        <f t="shared" si="29"/>
        <v/>
      </c>
      <c r="F1210" s="315" t="str">
        <f t="shared" si="22"/>
        <v/>
      </c>
      <c r="G1210" t="str">
        <f t="shared" si="30"/>
        <v/>
      </c>
      <c r="H1210" t="str">
        <f t="shared" si="30"/>
        <v/>
      </c>
      <c r="I1210" t="str">
        <f t="shared" si="30"/>
        <v/>
      </c>
      <c r="J1210" t="str">
        <f t="shared" si="30"/>
        <v/>
      </c>
      <c r="K1210" s="315" t="str">
        <f t="shared" si="24"/>
        <v/>
      </c>
      <c r="L1210" t="str">
        <f t="shared" si="31"/>
        <v/>
      </c>
      <c r="M1210" t="str">
        <f t="shared" si="31"/>
        <v/>
      </c>
      <c r="N1210" t="str">
        <f t="shared" si="31"/>
        <v/>
      </c>
      <c r="O1210" t="str">
        <f t="shared" si="31"/>
        <v/>
      </c>
      <c r="P1210" s="315" t="str">
        <f t="shared" si="26"/>
        <v/>
      </c>
      <c r="Q1210" t="str">
        <f t="shared" si="32"/>
        <v/>
      </c>
      <c r="R1210" t="str">
        <f t="shared" si="32"/>
        <v/>
      </c>
      <c r="S1210" t="str">
        <f t="shared" si="32"/>
        <v/>
      </c>
      <c r="T1210" t="str">
        <f t="shared" si="32"/>
        <v/>
      </c>
    </row>
    <row r="1211" spans="1:20">
      <c r="A1211" s="195">
        <f t="shared" si="19"/>
        <v>1</v>
      </c>
      <c r="B1211">
        <f t="shared" si="28"/>
        <v>24</v>
      </c>
      <c r="C1211" s="8" t="str">
        <f t="shared" si="20"/>
        <v/>
      </c>
      <c r="D1211" t="str">
        <f t="shared" si="29"/>
        <v/>
      </c>
      <c r="E1211" t="str">
        <f t="shared" si="29"/>
        <v/>
      </c>
      <c r="F1211" s="315" t="str">
        <f t="shared" si="22"/>
        <v/>
      </c>
      <c r="G1211" t="str">
        <f t="shared" si="30"/>
        <v/>
      </c>
      <c r="H1211" t="str">
        <f t="shared" si="30"/>
        <v/>
      </c>
      <c r="I1211" t="str">
        <f t="shared" si="30"/>
        <v/>
      </c>
      <c r="J1211" t="str">
        <f t="shared" si="30"/>
        <v/>
      </c>
      <c r="K1211" s="315" t="str">
        <f t="shared" si="24"/>
        <v/>
      </c>
      <c r="L1211" t="str">
        <f t="shared" si="31"/>
        <v/>
      </c>
      <c r="M1211" t="str">
        <f t="shared" si="31"/>
        <v/>
      </c>
      <c r="N1211" t="str">
        <f t="shared" si="31"/>
        <v/>
      </c>
      <c r="O1211" t="str">
        <f t="shared" si="31"/>
        <v/>
      </c>
      <c r="P1211" s="315" t="str">
        <f t="shared" si="26"/>
        <v/>
      </c>
      <c r="Q1211" t="str">
        <f t="shared" si="32"/>
        <v/>
      </c>
      <c r="R1211" t="str">
        <f t="shared" si="32"/>
        <v/>
      </c>
      <c r="S1211" t="str">
        <f t="shared" si="32"/>
        <v/>
      </c>
      <c r="T1211" t="str">
        <f t="shared" si="32"/>
        <v/>
      </c>
    </row>
    <row r="1212" spans="1:20">
      <c r="A1212" s="195">
        <f t="shared" si="19"/>
        <v>1</v>
      </c>
      <c r="B1212">
        <f t="shared" si="28"/>
        <v>25</v>
      </c>
      <c r="C1212" s="8" t="str">
        <f t="shared" si="20"/>
        <v/>
      </c>
      <c r="D1212" t="str">
        <f t="shared" si="29"/>
        <v/>
      </c>
      <c r="E1212" t="str">
        <f t="shared" si="29"/>
        <v/>
      </c>
      <c r="F1212" s="315" t="str">
        <f t="shared" si="22"/>
        <v/>
      </c>
      <c r="G1212" t="str">
        <f t="shared" si="30"/>
        <v/>
      </c>
      <c r="H1212" t="str">
        <f t="shared" si="30"/>
        <v/>
      </c>
      <c r="I1212" t="str">
        <f t="shared" si="30"/>
        <v/>
      </c>
      <c r="J1212" t="str">
        <f t="shared" si="30"/>
        <v/>
      </c>
      <c r="K1212" s="315" t="str">
        <f t="shared" si="24"/>
        <v/>
      </c>
      <c r="L1212" t="str">
        <f t="shared" si="31"/>
        <v/>
      </c>
      <c r="M1212" t="str">
        <f t="shared" si="31"/>
        <v/>
      </c>
      <c r="N1212" t="str">
        <f t="shared" si="31"/>
        <v/>
      </c>
      <c r="O1212" t="str">
        <f t="shared" si="31"/>
        <v/>
      </c>
      <c r="P1212" s="315" t="str">
        <f t="shared" si="26"/>
        <v/>
      </c>
      <c r="Q1212" t="str">
        <f t="shared" si="32"/>
        <v/>
      </c>
      <c r="R1212" t="str">
        <f t="shared" si="32"/>
        <v/>
      </c>
      <c r="S1212" t="str">
        <f t="shared" si="32"/>
        <v/>
      </c>
      <c r="T1212" t="str">
        <f t="shared" si="32"/>
        <v/>
      </c>
    </row>
    <row r="1213" spans="1:20">
      <c r="A1213" s="195">
        <f t="shared" si="19"/>
        <v>1</v>
      </c>
      <c r="B1213">
        <f t="shared" si="28"/>
        <v>26</v>
      </c>
      <c r="C1213" s="8" t="str">
        <f t="shared" si="20"/>
        <v/>
      </c>
      <c r="D1213" t="str">
        <f t="shared" si="29"/>
        <v/>
      </c>
      <c r="E1213" t="str">
        <f t="shared" si="29"/>
        <v/>
      </c>
      <c r="F1213" s="315" t="str">
        <f t="shared" si="22"/>
        <v/>
      </c>
      <c r="G1213" t="str">
        <f t="shared" si="30"/>
        <v/>
      </c>
      <c r="H1213" t="str">
        <f t="shared" si="30"/>
        <v/>
      </c>
      <c r="I1213" t="str">
        <f t="shared" si="30"/>
        <v/>
      </c>
      <c r="J1213" t="str">
        <f t="shared" si="30"/>
        <v/>
      </c>
      <c r="K1213" s="315" t="str">
        <f t="shared" si="24"/>
        <v/>
      </c>
      <c r="L1213" t="str">
        <f t="shared" si="31"/>
        <v/>
      </c>
      <c r="M1213" t="str">
        <f t="shared" si="31"/>
        <v/>
      </c>
      <c r="N1213" t="str">
        <f t="shared" si="31"/>
        <v/>
      </c>
      <c r="O1213" t="str">
        <f t="shared" si="31"/>
        <v/>
      </c>
      <c r="P1213" s="315" t="str">
        <f t="shared" si="26"/>
        <v/>
      </c>
      <c r="Q1213" t="str">
        <f t="shared" si="32"/>
        <v/>
      </c>
      <c r="R1213" t="str">
        <f t="shared" si="32"/>
        <v/>
      </c>
      <c r="S1213" t="str">
        <f t="shared" si="32"/>
        <v/>
      </c>
      <c r="T1213" t="str">
        <f t="shared" si="32"/>
        <v/>
      </c>
    </row>
    <row r="1214" spans="1:20">
      <c r="A1214" s="195">
        <f t="shared" si="19"/>
        <v>1</v>
      </c>
      <c r="B1214">
        <f t="shared" si="28"/>
        <v>27</v>
      </c>
      <c r="C1214" s="8" t="str">
        <f t="shared" si="20"/>
        <v/>
      </c>
      <c r="D1214" t="str">
        <f t="shared" si="29"/>
        <v/>
      </c>
      <c r="E1214" t="str">
        <f t="shared" si="29"/>
        <v/>
      </c>
      <c r="F1214" s="315" t="str">
        <f t="shared" si="22"/>
        <v/>
      </c>
      <c r="G1214" t="str">
        <f t="shared" si="30"/>
        <v/>
      </c>
      <c r="H1214" t="str">
        <f t="shared" si="30"/>
        <v/>
      </c>
      <c r="I1214" t="str">
        <f t="shared" si="30"/>
        <v/>
      </c>
      <c r="J1214" t="str">
        <f t="shared" si="30"/>
        <v/>
      </c>
      <c r="K1214" s="315" t="str">
        <f t="shared" si="24"/>
        <v/>
      </c>
      <c r="L1214" t="str">
        <f t="shared" si="31"/>
        <v/>
      </c>
      <c r="M1214" t="str">
        <f t="shared" si="31"/>
        <v/>
      </c>
      <c r="N1214" t="str">
        <f t="shared" si="31"/>
        <v/>
      </c>
      <c r="O1214" t="str">
        <f t="shared" si="31"/>
        <v/>
      </c>
      <c r="P1214" s="315" t="str">
        <f t="shared" si="26"/>
        <v/>
      </c>
      <c r="Q1214" t="str">
        <f t="shared" si="32"/>
        <v/>
      </c>
      <c r="R1214" t="str">
        <f t="shared" si="32"/>
        <v/>
      </c>
      <c r="S1214" t="str">
        <f t="shared" si="32"/>
        <v/>
      </c>
      <c r="T1214" t="str">
        <f t="shared" si="32"/>
        <v/>
      </c>
    </row>
    <row r="1215" spans="1:20">
      <c r="A1215" s="195">
        <f t="shared" si="19"/>
        <v>1</v>
      </c>
      <c r="B1215">
        <f t="shared" si="28"/>
        <v>28</v>
      </c>
      <c r="C1215" s="8" t="str">
        <f t="shared" si="20"/>
        <v/>
      </c>
      <c r="D1215" t="str">
        <f t="shared" si="29"/>
        <v/>
      </c>
      <c r="E1215" t="str">
        <f t="shared" si="29"/>
        <v/>
      </c>
      <c r="F1215" s="315" t="str">
        <f t="shared" si="22"/>
        <v/>
      </c>
      <c r="G1215" t="str">
        <f t="shared" si="30"/>
        <v/>
      </c>
      <c r="H1215" t="str">
        <f t="shared" si="30"/>
        <v/>
      </c>
      <c r="I1215" t="str">
        <f t="shared" si="30"/>
        <v/>
      </c>
      <c r="J1215" t="str">
        <f t="shared" si="30"/>
        <v/>
      </c>
      <c r="K1215" s="315" t="str">
        <f t="shared" si="24"/>
        <v/>
      </c>
      <c r="L1215" t="str">
        <f t="shared" si="31"/>
        <v/>
      </c>
      <c r="M1215" t="str">
        <f t="shared" si="31"/>
        <v/>
      </c>
      <c r="N1215" t="str">
        <f t="shared" si="31"/>
        <v/>
      </c>
      <c r="O1215" t="str">
        <f t="shared" si="31"/>
        <v/>
      </c>
      <c r="P1215" s="315" t="str">
        <f t="shared" si="26"/>
        <v/>
      </c>
      <c r="Q1215" t="str">
        <f t="shared" si="32"/>
        <v/>
      </c>
      <c r="R1215" t="str">
        <f t="shared" si="32"/>
        <v/>
      </c>
      <c r="S1215" t="str">
        <f t="shared" si="32"/>
        <v/>
      </c>
      <c r="T1215" t="str">
        <f t="shared" si="32"/>
        <v/>
      </c>
    </row>
    <row r="1216" spans="1:20">
      <c r="A1216" s="195">
        <f t="shared" si="19"/>
        <v>1</v>
      </c>
      <c r="B1216">
        <f t="shared" si="28"/>
        <v>29</v>
      </c>
      <c r="C1216" s="8" t="str">
        <f t="shared" si="20"/>
        <v/>
      </c>
      <c r="D1216" t="str">
        <f t="shared" si="29"/>
        <v/>
      </c>
      <c r="E1216" t="str">
        <f t="shared" si="29"/>
        <v/>
      </c>
      <c r="F1216" s="315" t="str">
        <f t="shared" si="22"/>
        <v/>
      </c>
      <c r="G1216" t="str">
        <f t="shared" si="30"/>
        <v/>
      </c>
      <c r="H1216" t="str">
        <f t="shared" si="30"/>
        <v/>
      </c>
      <c r="I1216" t="str">
        <f t="shared" si="30"/>
        <v/>
      </c>
      <c r="J1216" t="str">
        <f t="shared" si="30"/>
        <v/>
      </c>
      <c r="K1216" s="315" t="str">
        <f t="shared" si="24"/>
        <v/>
      </c>
      <c r="L1216" t="str">
        <f t="shared" si="31"/>
        <v/>
      </c>
      <c r="M1216" t="str">
        <f t="shared" si="31"/>
        <v/>
      </c>
      <c r="N1216" t="str">
        <f t="shared" si="31"/>
        <v/>
      </c>
      <c r="O1216" t="str">
        <f t="shared" si="31"/>
        <v/>
      </c>
      <c r="P1216" s="315" t="str">
        <f t="shared" si="26"/>
        <v/>
      </c>
      <c r="Q1216" t="str">
        <f t="shared" si="32"/>
        <v/>
      </c>
      <c r="R1216" t="str">
        <f t="shared" si="32"/>
        <v/>
      </c>
      <c r="S1216" t="str">
        <f t="shared" si="32"/>
        <v/>
      </c>
      <c r="T1216" t="str">
        <f t="shared" si="32"/>
        <v/>
      </c>
    </row>
    <row r="1217" spans="1:20">
      <c r="A1217" s="195">
        <f t="shared" si="19"/>
        <v>1</v>
      </c>
      <c r="B1217">
        <f t="shared" si="28"/>
        <v>30</v>
      </c>
      <c r="C1217" s="8" t="str">
        <f t="shared" si="20"/>
        <v/>
      </c>
      <c r="D1217" t="str">
        <f t="shared" si="29"/>
        <v/>
      </c>
      <c r="E1217" t="str">
        <f t="shared" si="29"/>
        <v/>
      </c>
      <c r="F1217" s="315" t="str">
        <f t="shared" si="22"/>
        <v/>
      </c>
      <c r="G1217" t="str">
        <f t="shared" si="30"/>
        <v/>
      </c>
      <c r="H1217" t="str">
        <f t="shared" si="30"/>
        <v/>
      </c>
      <c r="I1217" t="str">
        <f t="shared" si="30"/>
        <v/>
      </c>
      <c r="J1217" t="str">
        <f t="shared" si="30"/>
        <v/>
      </c>
      <c r="K1217" s="315" t="str">
        <f t="shared" si="24"/>
        <v/>
      </c>
      <c r="L1217" t="str">
        <f t="shared" si="31"/>
        <v/>
      </c>
      <c r="M1217" t="str">
        <f t="shared" si="31"/>
        <v/>
      </c>
      <c r="N1217" t="str">
        <f t="shared" si="31"/>
        <v/>
      </c>
      <c r="O1217" t="str">
        <f t="shared" si="31"/>
        <v/>
      </c>
      <c r="P1217" s="315" t="str">
        <f t="shared" si="26"/>
        <v/>
      </c>
      <c r="Q1217" t="str">
        <f t="shared" si="32"/>
        <v/>
      </c>
      <c r="R1217" t="str">
        <f t="shared" si="32"/>
        <v/>
      </c>
      <c r="S1217" t="str">
        <f t="shared" si="32"/>
        <v/>
      </c>
      <c r="T1217" t="str">
        <f t="shared" si="32"/>
        <v/>
      </c>
    </row>
    <row r="1218" spans="1:20">
      <c r="A1218" s="195">
        <f t="shared" si="19"/>
        <v>1</v>
      </c>
      <c r="B1218">
        <f t="shared" si="28"/>
        <v>31</v>
      </c>
      <c r="C1218" s="8" t="str">
        <f t="shared" si="20"/>
        <v/>
      </c>
      <c r="D1218" t="str">
        <f t="shared" si="29"/>
        <v/>
      </c>
      <c r="E1218" t="str">
        <f t="shared" si="29"/>
        <v/>
      </c>
      <c r="F1218" s="315" t="str">
        <f t="shared" si="22"/>
        <v/>
      </c>
      <c r="G1218" t="str">
        <f t="shared" si="30"/>
        <v/>
      </c>
      <c r="H1218" t="str">
        <f t="shared" si="30"/>
        <v/>
      </c>
      <c r="I1218" t="str">
        <f t="shared" si="30"/>
        <v/>
      </c>
      <c r="J1218" t="str">
        <f t="shared" si="30"/>
        <v/>
      </c>
      <c r="K1218" s="315" t="str">
        <f t="shared" si="24"/>
        <v/>
      </c>
      <c r="L1218" t="str">
        <f t="shared" si="31"/>
        <v/>
      </c>
      <c r="M1218" t="str">
        <f t="shared" si="31"/>
        <v/>
      </c>
      <c r="N1218" t="str">
        <f t="shared" si="31"/>
        <v/>
      </c>
      <c r="O1218" t="str">
        <f t="shared" si="31"/>
        <v/>
      </c>
      <c r="P1218" s="315" t="str">
        <f t="shared" si="26"/>
        <v/>
      </c>
      <c r="Q1218" t="str">
        <f t="shared" si="32"/>
        <v/>
      </c>
      <c r="R1218" t="str">
        <f t="shared" si="32"/>
        <v/>
      </c>
      <c r="S1218" t="str">
        <f t="shared" si="32"/>
        <v/>
      </c>
      <c r="T1218" t="str">
        <f t="shared" si="32"/>
        <v/>
      </c>
    </row>
    <row r="1219" spans="1:20">
      <c r="A1219" s="195">
        <f t="shared" si="19"/>
        <v>1</v>
      </c>
      <c r="B1219">
        <f t="shared" si="28"/>
        <v>32</v>
      </c>
      <c r="C1219" s="8" t="str">
        <f t="shared" si="20"/>
        <v/>
      </c>
      <c r="D1219" t="str">
        <f t="shared" si="29"/>
        <v/>
      </c>
      <c r="E1219" t="str">
        <f t="shared" si="29"/>
        <v/>
      </c>
      <c r="F1219" s="315" t="str">
        <f t="shared" si="22"/>
        <v/>
      </c>
      <c r="G1219" t="str">
        <f t="shared" si="30"/>
        <v/>
      </c>
      <c r="H1219" t="str">
        <f t="shared" si="30"/>
        <v/>
      </c>
      <c r="I1219" t="str">
        <f t="shared" si="30"/>
        <v/>
      </c>
      <c r="J1219" t="str">
        <f t="shared" si="30"/>
        <v/>
      </c>
      <c r="K1219" s="315" t="str">
        <f t="shared" si="24"/>
        <v/>
      </c>
      <c r="L1219" t="str">
        <f t="shared" si="31"/>
        <v/>
      </c>
      <c r="M1219" t="str">
        <f t="shared" si="31"/>
        <v/>
      </c>
      <c r="N1219" t="str">
        <f t="shared" si="31"/>
        <v/>
      </c>
      <c r="O1219" t="str">
        <f t="shared" si="31"/>
        <v/>
      </c>
      <c r="P1219" s="315" t="str">
        <f t="shared" si="26"/>
        <v/>
      </c>
      <c r="Q1219" t="str">
        <f t="shared" si="32"/>
        <v/>
      </c>
      <c r="R1219" t="str">
        <f t="shared" si="32"/>
        <v/>
      </c>
      <c r="S1219" t="str">
        <f t="shared" si="32"/>
        <v/>
      </c>
      <c r="T1219" t="str">
        <f t="shared" si="32"/>
        <v/>
      </c>
    </row>
    <row r="1220" spans="1:20">
      <c r="A1220" s="195">
        <f t="shared" si="19"/>
        <v>1</v>
      </c>
      <c r="B1220">
        <f t="shared" si="28"/>
        <v>33</v>
      </c>
      <c r="C1220" s="8" t="str">
        <f t="shared" ref="C1220:C1251" si="33">IF(INDEX($B$1084:$T$1183, $A1220, C$1187) = "", "", INDEX($B$1084:$T$1183, $A1220, C$1187))</f>
        <v/>
      </c>
      <c r="D1220" t="str">
        <f t="shared" si="29"/>
        <v/>
      </c>
      <c r="E1220" t="str">
        <f t="shared" si="29"/>
        <v/>
      </c>
      <c r="F1220" s="315" t="str">
        <f t="shared" ref="F1220:F1251" si="34">IF(ISBLANK(INDEX($B$1084:$T$1183, $A1220, F$1187)), "", INDEX($B$1084:$T$1183, $A1220, F$1187))</f>
        <v/>
      </c>
      <c r="G1220" t="str">
        <f t="shared" si="30"/>
        <v/>
      </c>
      <c r="H1220" t="str">
        <f t="shared" si="30"/>
        <v/>
      </c>
      <c r="I1220" t="str">
        <f t="shared" si="30"/>
        <v/>
      </c>
      <c r="J1220" t="str">
        <f t="shared" si="30"/>
        <v/>
      </c>
      <c r="K1220" s="315" t="str">
        <f t="shared" ref="K1220:K1251" si="35">IF(ISBLANK(INDEX($B$1084:$T$1183, $A1220, K$1187)), "", INDEX($B$1084:$T$1183, $A1220, K$1187))</f>
        <v/>
      </c>
      <c r="L1220" t="str">
        <f t="shared" si="31"/>
        <v/>
      </c>
      <c r="M1220" t="str">
        <f t="shared" si="31"/>
        <v/>
      </c>
      <c r="N1220" t="str">
        <f t="shared" si="31"/>
        <v/>
      </c>
      <c r="O1220" t="str">
        <f t="shared" si="31"/>
        <v/>
      </c>
      <c r="P1220" s="315" t="str">
        <f t="shared" ref="P1220:P1251" si="36">IF(ISBLANK(INDEX($B$1084:$T$1183, $A1220, P$1187)), "", INDEX($B$1084:$T$1183, $A1220, P$1187))</f>
        <v/>
      </c>
      <c r="Q1220" t="str">
        <f t="shared" si="32"/>
        <v/>
      </c>
      <c r="R1220" t="str">
        <f t="shared" si="32"/>
        <v/>
      </c>
      <c r="S1220" t="str">
        <f t="shared" si="32"/>
        <v/>
      </c>
      <c r="T1220" t="str">
        <f t="shared" si="32"/>
        <v/>
      </c>
    </row>
    <row r="1221" spans="1:20">
      <c r="A1221" s="195">
        <f t="shared" si="19"/>
        <v>1</v>
      </c>
      <c r="B1221">
        <f t="shared" si="28"/>
        <v>34</v>
      </c>
      <c r="C1221" s="8" t="str">
        <f t="shared" si="33"/>
        <v/>
      </c>
      <c r="D1221" t="str">
        <f t="shared" si="29"/>
        <v/>
      </c>
      <c r="E1221" t="str">
        <f t="shared" si="29"/>
        <v/>
      </c>
      <c r="F1221" s="315" t="str">
        <f t="shared" si="34"/>
        <v/>
      </c>
      <c r="G1221" t="str">
        <f t="shared" si="30"/>
        <v/>
      </c>
      <c r="H1221" t="str">
        <f t="shared" si="30"/>
        <v/>
      </c>
      <c r="I1221" t="str">
        <f t="shared" si="30"/>
        <v/>
      </c>
      <c r="J1221" t="str">
        <f t="shared" si="30"/>
        <v/>
      </c>
      <c r="K1221" s="315" t="str">
        <f t="shared" si="35"/>
        <v/>
      </c>
      <c r="L1221" t="str">
        <f t="shared" si="31"/>
        <v/>
      </c>
      <c r="M1221" t="str">
        <f t="shared" si="31"/>
        <v/>
      </c>
      <c r="N1221" t="str">
        <f t="shared" si="31"/>
        <v/>
      </c>
      <c r="O1221" t="str">
        <f t="shared" si="31"/>
        <v/>
      </c>
      <c r="P1221" s="315" t="str">
        <f t="shared" si="36"/>
        <v/>
      </c>
      <c r="Q1221" t="str">
        <f t="shared" si="32"/>
        <v/>
      </c>
      <c r="R1221" t="str">
        <f t="shared" si="32"/>
        <v/>
      </c>
      <c r="S1221" t="str">
        <f t="shared" si="32"/>
        <v/>
      </c>
      <c r="T1221" t="str">
        <f t="shared" si="32"/>
        <v/>
      </c>
    </row>
    <row r="1222" spans="1:20">
      <c r="A1222" s="195">
        <f t="shared" si="19"/>
        <v>1</v>
      </c>
      <c r="B1222">
        <f t="shared" si="28"/>
        <v>35</v>
      </c>
      <c r="C1222" s="8" t="str">
        <f t="shared" si="33"/>
        <v/>
      </c>
      <c r="D1222" t="str">
        <f t="shared" si="29"/>
        <v/>
      </c>
      <c r="E1222" t="str">
        <f t="shared" si="29"/>
        <v/>
      </c>
      <c r="F1222" s="315" t="str">
        <f t="shared" si="34"/>
        <v/>
      </c>
      <c r="G1222" t="str">
        <f t="shared" si="30"/>
        <v/>
      </c>
      <c r="H1222" t="str">
        <f t="shared" si="30"/>
        <v/>
      </c>
      <c r="I1222" t="str">
        <f t="shared" si="30"/>
        <v/>
      </c>
      <c r="J1222" t="str">
        <f t="shared" si="30"/>
        <v/>
      </c>
      <c r="K1222" s="315" t="str">
        <f t="shared" si="35"/>
        <v/>
      </c>
      <c r="L1222" t="str">
        <f t="shared" si="31"/>
        <v/>
      </c>
      <c r="M1222" t="str">
        <f t="shared" si="31"/>
        <v/>
      </c>
      <c r="N1222" t="str">
        <f t="shared" si="31"/>
        <v/>
      </c>
      <c r="O1222" t="str">
        <f t="shared" si="31"/>
        <v/>
      </c>
      <c r="P1222" s="315" t="str">
        <f t="shared" si="36"/>
        <v/>
      </c>
      <c r="Q1222" t="str">
        <f t="shared" si="32"/>
        <v/>
      </c>
      <c r="R1222" t="str">
        <f t="shared" si="32"/>
        <v/>
      </c>
      <c r="S1222" t="str">
        <f t="shared" si="32"/>
        <v/>
      </c>
      <c r="T1222" t="str">
        <f t="shared" si="32"/>
        <v/>
      </c>
    </row>
    <row r="1223" spans="1:20">
      <c r="A1223" s="195">
        <f t="shared" si="19"/>
        <v>1</v>
      </c>
      <c r="B1223">
        <f t="shared" si="28"/>
        <v>36</v>
      </c>
      <c r="C1223" s="8" t="str">
        <f t="shared" si="33"/>
        <v/>
      </c>
      <c r="D1223" t="str">
        <f t="shared" si="29"/>
        <v/>
      </c>
      <c r="E1223" t="str">
        <f t="shared" si="29"/>
        <v/>
      </c>
      <c r="F1223" s="315" t="str">
        <f t="shared" si="34"/>
        <v/>
      </c>
      <c r="G1223" t="str">
        <f t="shared" si="30"/>
        <v/>
      </c>
      <c r="H1223" t="str">
        <f t="shared" si="30"/>
        <v/>
      </c>
      <c r="I1223" t="str">
        <f t="shared" si="30"/>
        <v/>
      </c>
      <c r="J1223" t="str">
        <f t="shared" si="30"/>
        <v/>
      </c>
      <c r="K1223" s="315" t="str">
        <f t="shared" si="35"/>
        <v/>
      </c>
      <c r="L1223" t="str">
        <f t="shared" si="31"/>
        <v/>
      </c>
      <c r="M1223" t="str">
        <f t="shared" si="31"/>
        <v/>
      </c>
      <c r="N1223" t="str">
        <f t="shared" si="31"/>
        <v/>
      </c>
      <c r="O1223" t="str">
        <f t="shared" si="31"/>
        <v/>
      </c>
      <c r="P1223" s="315" t="str">
        <f t="shared" si="36"/>
        <v/>
      </c>
      <c r="Q1223" t="str">
        <f t="shared" si="32"/>
        <v/>
      </c>
      <c r="R1223" t="str">
        <f t="shared" si="32"/>
        <v/>
      </c>
      <c r="S1223" t="str">
        <f t="shared" si="32"/>
        <v/>
      </c>
      <c r="T1223" t="str">
        <f t="shared" si="32"/>
        <v/>
      </c>
    </row>
    <row r="1224" spans="1:20">
      <c r="A1224" s="195">
        <f t="shared" si="19"/>
        <v>1</v>
      </c>
      <c r="B1224">
        <f t="shared" si="28"/>
        <v>37</v>
      </c>
      <c r="C1224" s="8" t="str">
        <f t="shared" si="33"/>
        <v/>
      </c>
      <c r="D1224" t="str">
        <f t="shared" si="29"/>
        <v/>
      </c>
      <c r="E1224" t="str">
        <f t="shared" si="29"/>
        <v/>
      </c>
      <c r="F1224" s="315" t="str">
        <f t="shared" si="34"/>
        <v/>
      </c>
      <c r="G1224" t="str">
        <f t="shared" si="30"/>
        <v/>
      </c>
      <c r="H1224" t="str">
        <f t="shared" si="30"/>
        <v/>
      </c>
      <c r="I1224" t="str">
        <f t="shared" si="30"/>
        <v/>
      </c>
      <c r="J1224" t="str">
        <f t="shared" si="30"/>
        <v/>
      </c>
      <c r="K1224" s="315" t="str">
        <f t="shared" si="35"/>
        <v/>
      </c>
      <c r="L1224" t="str">
        <f t="shared" si="31"/>
        <v/>
      </c>
      <c r="M1224" t="str">
        <f t="shared" si="31"/>
        <v/>
      </c>
      <c r="N1224" t="str">
        <f t="shared" si="31"/>
        <v/>
      </c>
      <c r="O1224" t="str">
        <f t="shared" si="31"/>
        <v/>
      </c>
      <c r="P1224" s="315" t="str">
        <f t="shared" si="36"/>
        <v/>
      </c>
      <c r="Q1224" t="str">
        <f t="shared" si="32"/>
        <v/>
      </c>
      <c r="R1224" t="str">
        <f t="shared" si="32"/>
        <v/>
      </c>
      <c r="S1224" t="str">
        <f t="shared" si="32"/>
        <v/>
      </c>
      <c r="T1224" t="str">
        <f t="shared" si="32"/>
        <v/>
      </c>
    </row>
    <row r="1225" spans="1:20">
      <c r="A1225" s="195">
        <f t="shared" si="19"/>
        <v>1</v>
      </c>
      <c r="B1225">
        <f t="shared" si="28"/>
        <v>38</v>
      </c>
      <c r="C1225" s="8" t="str">
        <f t="shared" si="33"/>
        <v/>
      </c>
      <c r="D1225" t="str">
        <f t="shared" si="29"/>
        <v/>
      </c>
      <c r="E1225" t="str">
        <f t="shared" si="29"/>
        <v/>
      </c>
      <c r="F1225" s="315" t="str">
        <f t="shared" si="34"/>
        <v/>
      </c>
      <c r="G1225" t="str">
        <f t="shared" si="30"/>
        <v/>
      </c>
      <c r="H1225" t="str">
        <f t="shared" si="30"/>
        <v/>
      </c>
      <c r="I1225" t="str">
        <f t="shared" si="30"/>
        <v/>
      </c>
      <c r="J1225" t="str">
        <f t="shared" si="30"/>
        <v/>
      </c>
      <c r="K1225" s="315" t="str">
        <f t="shared" si="35"/>
        <v/>
      </c>
      <c r="L1225" t="str">
        <f t="shared" si="31"/>
        <v/>
      </c>
      <c r="M1225" t="str">
        <f t="shared" si="31"/>
        <v/>
      </c>
      <c r="N1225" t="str">
        <f t="shared" si="31"/>
        <v/>
      </c>
      <c r="O1225" t="str">
        <f t="shared" si="31"/>
        <v/>
      </c>
      <c r="P1225" s="315" t="str">
        <f t="shared" si="36"/>
        <v/>
      </c>
      <c r="Q1225" t="str">
        <f t="shared" si="32"/>
        <v/>
      </c>
      <c r="R1225" t="str">
        <f t="shared" si="32"/>
        <v/>
      </c>
      <c r="S1225" t="str">
        <f t="shared" si="32"/>
        <v/>
      </c>
      <c r="T1225" t="str">
        <f t="shared" si="32"/>
        <v/>
      </c>
    </row>
    <row r="1226" spans="1:20">
      <c r="A1226" s="195">
        <f t="shared" si="19"/>
        <v>1</v>
      </c>
      <c r="B1226">
        <f t="shared" si="28"/>
        <v>39</v>
      </c>
      <c r="C1226" s="8" t="str">
        <f t="shared" si="33"/>
        <v/>
      </c>
      <c r="D1226" t="str">
        <f t="shared" si="29"/>
        <v/>
      </c>
      <c r="E1226" t="str">
        <f t="shared" si="29"/>
        <v/>
      </c>
      <c r="F1226" s="315" t="str">
        <f t="shared" si="34"/>
        <v/>
      </c>
      <c r="G1226" t="str">
        <f t="shared" si="30"/>
        <v/>
      </c>
      <c r="H1226" t="str">
        <f t="shared" si="30"/>
        <v/>
      </c>
      <c r="I1226" t="str">
        <f t="shared" si="30"/>
        <v/>
      </c>
      <c r="J1226" t="str">
        <f t="shared" si="30"/>
        <v/>
      </c>
      <c r="K1226" s="315" t="str">
        <f t="shared" si="35"/>
        <v/>
      </c>
      <c r="L1226" t="str">
        <f t="shared" si="31"/>
        <v/>
      </c>
      <c r="M1226" t="str">
        <f t="shared" si="31"/>
        <v/>
      </c>
      <c r="N1226" t="str">
        <f t="shared" si="31"/>
        <v/>
      </c>
      <c r="O1226" t="str">
        <f t="shared" si="31"/>
        <v/>
      </c>
      <c r="P1226" s="315" t="str">
        <f t="shared" si="36"/>
        <v/>
      </c>
      <c r="Q1226" t="str">
        <f t="shared" si="32"/>
        <v/>
      </c>
      <c r="R1226" t="str">
        <f t="shared" si="32"/>
        <v/>
      </c>
      <c r="S1226" t="str">
        <f t="shared" si="32"/>
        <v/>
      </c>
      <c r="T1226" t="str">
        <f t="shared" si="32"/>
        <v/>
      </c>
    </row>
    <row r="1227" spans="1:20">
      <c r="A1227" s="195">
        <f t="shared" si="19"/>
        <v>1</v>
      </c>
      <c r="B1227">
        <f t="shared" si="28"/>
        <v>40</v>
      </c>
      <c r="C1227" s="8" t="str">
        <f t="shared" si="33"/>
        <v/>
      </c>
      <c r="D1227" t="str">
        <f t="shared" si="29"/>
        <v/>
      </c>
      <c r="E1227" t="str">
        <f t="shared" si="29"/>
        <v/>
      </c>
      <c r="F1227" s="315" t="str">
        <f t="shared" si="34"/>
        <v/>
      </c>
      <c r="G1227" t="str">
        <f t="shared" si="30"/>
        <v/>
      </c>
      <c r="H1227" t="str">
        <f t="shared" si="30"/>
        <v/>
      </c>
      <c r="I1227" t="str">
        <f t="shared" si="30"/>
        <v/>
      </c>
      <c r="J1227" t="str">
        <f t="shared" si="30"/>
        <v/>
      </c>
      <c r="K1227" s="315" t="str">
        <f t="shared" si="35"/>
        <v/>
      </c>
      <c r="L1227" t="str">
        <f t="shared" si="31"/>
        <v/>
      </c>
      <c r="M1227" t="str">
        <f t="shared" si="31"/>
        <v/>
      </c>
      <c r="N1227" t="str">
        <f t="shared" si="31"/>
        <v/>
      </c>
      <c r="O1227" t="str">
        <f t="shared" si="31"/>
        <v/>
      </c>
      <c r="P1227" s="315" t="str">
        <f t="shared" si="36"/>
        <v/>
      </c>
      <c r="Q1227" t="str">
        <f t="shared" si="32"/>
        <v/>
      </c>
      <c r="R1227" t="str">
        <f t="shared" si="32"/>
        <v/>
      </c>
      <c r="S1227" t="str">
        <f t="shared" si="32"/>
        <v/>
      </c>
      <c r="T1227" t="str">
        <f t="shared" si="32"/>
        <v/>
      </c>
    </row>
    <row r="1228" spans="1:20">
      <c r="A1228" s="195">
        <f t="shared" si="19"/>
        <v>1</v>
      </c>
      <c r="B1228">
        <f t="shared" si="28"/>
        <v>41</v>
      </c>
      <c r="C1228" s="8" t="str">
        <f t="shared" si="33"/>
        <v/>
      </c>
      <c r="D1228" t="str">
        <f t="shared" ref="D1228:E1247" si="37">CONCATENATE(INDEX($B$1084:$T$1183, $A1228, D$1187))</f>
        <v/>
      </c>
      <c r="E1228" t="str">
        <f t="shared" si="37"/>
        <v/>
      </c>
      <c r="F1228" s="315" t="str">
        <f t="shared" si="34"/>
        <v/>
      </c>
      <c r="G1228" t="str">
        <f t="shared" ref="G1228:J1247" si="38">CONCATENATE(INDEX($B$1084:$T$1183, $A1228, G$1187))</f>
        <v/>
      </c>
      <c r="H1228" t="str">
        <f t="shared" si="38"/>
        <v/>
      </c>
      <c r="I1228" t="str">
        <f t="shared" si="38"/>
        <v/>
      </c>
      <c r="J1228" t="str">
        <f t="shared" si="38"/>
        <v/>
      </c>
      <c r="K1228" s="315" t="str">
        <f t="shared" si="35"/>
        <v/>
      </c>
      <c r="L1228" t="str">
        <f t="shared" ref="L1228:O1247" si="39">CONCATENATE(INDEX($B$1084:$T$1183, $A1228, L$1187))</f>
        <v/>
      </c>
      <c r="M1228" t="str">
        <f t="shared" si="39"/>
        <v/>
      </c>
      <c r="N1228" t="str">
        <f t="shared" si="39"/>
        <v/>
      </c>
      <c r="O1228" t="str">
        <f t="shared" si="39"/>
        <v/>
      </c>
      <c r="P1228" s="315" t="str">
        <f t="shared" si="36"/>
        <v/>
      </c>
      <c r="Q1228" t="str">
        <f t="shared" ref="Q1228:T1247" si="40">CONCATENATE(INDEX($B$1084:$T$1183, $A1228, Q$1187))</f>
        <v/>
      </c>
      <c r="R1228" t="str">
        <f t="shared" si="40"/>
        <v/>
      </c>
      <c r="S1228" t="str">
        <f t="shared" si="40"/>
        <v/>
      </c>
      <c r="T1228" t="str">
        <f t="shared" si="40"/>
        <v/>
      </c>
    </row>
    <row r="1229" spans="1:20">
      <c r="A1229" s="195">
        <f t="shared" si="19"/>
        <v>1</v>
      </c>
      <c r="B1229">
        <f t="shared" si="28"/>
        <v>42</v>
      </c>
      <c r="C1229" s="8" t="str">
        <f t="shared" si="33"/>
        <v/>
      </c>
      <c r="D1229" t="str">
        <f t="shared" si="37"/>
        <v/>
      </c>
      <c r="E1229" t="str">
        <f t="shared" si="37"/>
        <v/>
      </c>
      <c r="F1229" s="315" t="str">
        <f t="shared" si="34"/>
        <v/>
      </c>
      <c r="G1229" t="str">
        <f t="shared" si="38"/>
        <v/>
      </c>
      <c r="H1229" t="str">
        <f t="shared" si="38"/>
        <v/>
      </c>
      <c r="I1229" t="str">
        <f t="shared" si="38"/>
        <v/>
      </c>
      <c r="J1229" t="str">
        <f t="shared" si="38"/>
        <v/>
      </c>
      <c r="K1229" s="315" t="str">
        <f t="shared" si="35"/>
        <v/>
      </c>
      <c r="L1229" t="str">
        <f t="shared" si="39"/>
        <v/>
      </c>
      <c r="M1229" t="str">
        <f t="shared" si="39"/>
        <v/>
      </c>
      <c r="N1229" t="str">
        <f t="shared" si="39"/>
        <v/>
      </c>
      <c r="O1229" t="str">
        <f t="shared" si="39"/>
        <v/>
      </c>
      <c r="P1229" s="315" t="str">
        <f t="shared" si="36"/>
        <v/>
      </c>
      <c r="Q1229" t="str">
        <f t="shared" si="40"/>
        <v/>
      </c>
      <c r="R1229" t="str">
        <f t="shared" si="40"/>
        <v/>
      </c>
      <c r="S1229" t="str">
        <f t="shared" si="40"/>
        <v/>
      </c>
      <c r="T1229" t="str">
        <f t="shared" si="40"/>
        <v/>
      </c>
    </row>
    <row r="1230" spans="1:20">
      <c r="A1230" s="195">
        <f t="shared" si="19"/>
        <v>1</v>
      </c>
      <c r="B1230">
        <f t="shared" si="28"/>
        <v>43</v>
      </c>
      <c r="C1230" s="8" t="str">
        <f t="shared" si="33"/>
        <v/>
      </c>
      <c r="D1230" t="str">
        <f t="shared" si="37"/>
        <v/>
      </c>
      <c r="E1230" t="str">
        <f t="shared" si="37"/>
        <v/>
      </c>
      <c r="F1230" s="315" t="str">
        <f t="shared" si="34"/>
        <v/>
      </c>
      <c r="G1230" t="str">
        <f t="shared" si="38"/>
        <v/>
      </c>
      <c r="H1230" t="str">
        <f t="shared" si="38"/>
        <v/>
      </c>
      <c r="I1230" t="str">
        <f t="shared" si="38"/>
        <v/>
      </c>
      <c r="J1230" t="str">
        <f t="shared" si="38"/>
        <v/>
      </c>
      <c r="K1230" s="315" t="str">
        <f t="shared" si="35"/>
        <v/>
      </c>
      <c r="L1230" t="str">
        <f t="shared" si="39"/>
        <v/>
      </c>
      <c r="M1230" t="str">
        <f t="shared" si="39"/>
        <v/>
      </c>
      <c r="N1230" t="str">
        <f t="shared" si="39"/>
        <v/>
      </c>
      <c r="O1230" t="str">
        <f t="shared" si="39"/>
        <v/>
      </c>
      <c r="P1230" s="315" t="str">
        <f t="shared" si="36"/>
        <v/>
      </c>
      <c r="Q1230" t="str">
        <f t="shared" si="40"/>
        <v/>
      </c>
      <c r="R1230" t="str">
        <f t="shared" si="40"/>
        <v/>
      </c>
      <c r="S1230" t="str">
        <f t="shared" si="40"/>
        <v/>
      </c>
      <c r="T1230" t="str">
        <f t="shared" si="40"/>
        <v/>
      </c>
    </row>
    <row r="1231" spans="1:20">
      <c r="A1231" s="195">
        <f t="shared" si="19"/>
        <v>1</v>
      </c>
      <c r="B1231">
        <f t="shared" si="28"/>
        <v>44</v>
      </c>
      <c r="C1231" s="8" t="str">
        <f t="shared" si="33"/>
        <v/>
      </c>
      <c r="D1231" t="str">
        <f t="shared" si="37"/>
        <v/>
      </c>
      <c r="E1231" t="str">
        <f t="shared" si="37"/>
        <v/>
      </c>
      <c r="F1231" s="315" t="str">
        <f t="shared" si="34"/>
        <v/>
      </c>
      <c r="G1231" t="str">
        <f t="shared" si="38"/>
        <v/>
      </c>
      <c r="H1231" t="str">
        <f t="shared" si="38"/>
        <v/>
      </c>
      <c r="I1231" t="str">
        <f t="shared" si="38"/>
        <v/>
      </c>
      <c r="J1231" t="str">
        <f t="shared" si="38"/>
        <v/>
      </c>
      <c r="K1231" s="315" t="str">
        <f t="shared" si="35"/>
        <v/>
      </c>
      <c r="L1231" t="str">
        <f t="shared" si="39"/>
        <v/>
      </c>
      <c r="M1231" t="str">
        <f t="shared" si="39"/>
        <v/>
      </c>
      <c r="N1231" t="str">
        <f t="shared" si="39"/>
        <v/>
      </c>
      <c r="O1231" t="str">
        <f t="shared" si="39"/>
        <v/>
      </c>
      <c r="P1231" s="315" t="str">
        <f t="shared" si="36"/>
        <v/>
      </c>
      <c r="Q1231" t="str">
        <f t="shared" si="40"/>
        <v/>
      </c>
      <c r="R1231" t="str">
        <f t="shared" si="40"/>
        <v/>
      </c>
      <c r="S1231" t="str">
        <f t="shared" si="40"/>
        <v/>
      </c>
      <c r="T1231" t="str">
        <f t="shared" si="40"/>
        <v/>
      </c>
    </row>
    <row r="1232" spans="1:20">
      <c r="A1232" s="195">
        <f t="shared" si="19"/>
        <v>1</v>
      </c>
      <c r="B1232">
        <f t="shared" si="28"/>
        <v>45</v>
      </c>
      <c r="C1232" s="8" t="str">
        <f t="shared" si="33"/>
        <v/>
      </c>
      <c r="D1232" t="str">
        <f t="shared" si="37"/>
        <v/>
      </c>
      <c r="E1232" t="str">
        <f t="shared" si="37"/>
        <v/>
      </c>
      <c r="F1232" s="315" t="str">
        <f t="shared" si="34"/>
        <v/>
      </c>
      <c r="G1232" t="str">
        <f t="shared" si="38"/>
        <v/>
      </c>
      <c r="H1232" t="str">
        <f t="shared" si="38"/>
        <v/>
      </c>
      <c r="I1232" t="str">
        <f t="shared" si="38"/>
        <v/>
      </c>
      <c r="J1232" t="str">
        <f t="shared" si="38"/>
        <v/>
      </c>
      <c r="K1232" s="315" t="str">
        <f t="shared" si="35"/>
        <v/>
      </c>
      <c r="L1232" t="str">
        <f t="shared" si="39"/>
        <v/>
      </c>
      <c r="M1232" t="str">
        <f t="shared" si="39"/>
        <v/>
      </c>
      <c r="N1232" t="str">
        <f t="shared" si="39"/>
        <v/>
      </c>
      <c r="O1232" t="str">
        <f t="shared" si="39"/>
        <v/>
      </c>
      <c r="P1232" s="315" t="str">
        <f t="shared" si="36"/>
        <v/>
      </c>
      <c r="Q1232" t="str">
        <f t="shared" si="40"/>
        <v/>
      </c>
      <c r="R1232" t="str">
        <f t="shared" si="40"/>
        <v/>
      </c>
      <c r="S1232" t="str">
        <f t="shared" si="40"/>
        <v/>
      </c>
      <c r="T1232" t="str">
        <f t="shared" si="40"/>
        <v/>
      </c>
    </row>
    <row r="1233" spans="1:20">
      <c r="A1233" s="195">
        <f t="shared" si="19"/>
        <v>1</v>
      </c>
      <c r="B1233">
        <f t="shared" si="28"/>
        <v>46</v>
      </c>
      <c r="C1233" s="8" t="str">
        <f t="shared" si="33"/>
        <v/>
      </c>
      <c r="D1233" t="str">
        <f t="shared" si="37"/>
        <v/>
      </c>
      <c r="E1233" t="str">
        <f t="shared" si="37"/>
        <v/>
      </c>
      <c r="F1233" s="315" t="str">
        <f t="shared" si="34"/>
        <v/>
      </c>
      <c r="G1233" t="str">
        <f t="shared" si="38"/>
        <v/>
      </c>
      <c r="H1233" t="str">
        <f t="shared" si="38"/>
        <v/>
      </c>
      <c r="I1233" t="str">
        <f t="shared" si="38"/>
        <v/>
      </c>
      <c r="J1233" t="str">
        <f t="shared" si="38"/>
        <v/>
      </c>
      <c r="K1233" s="315" t="str">
        <f t="shared" si="35"/>
        <v/>
      </c>
      <c r="L1233" t="str">
        <f t="shared" si="39"/>
        <v/>
      </c>
      <c r="M1233" t="str">
        <f t="shared" si="39"/>
        <v/>
      </c>
      <c r="N1233" t="str">
        <f t="shared" si="39"/>
        <v/>
      </c>
      <c r="O1233" t="str">
        <f t="shared" si="39"/>
        <v/>
      </c>
      <c r="P1233" s="315" t="str">
        <f t="shared" si="36"/>
        <v/>
      </c>
      <c r="Q1233" t="str">
        <f t="shared" si="40"/>
        <v/>
      </c>
      <c r="R1233" t="str">
        <f t="shared" si="40"/>
        <v/>
      </c>
      <c r="S1233" t="str">
        <f t="shared" si="40"/>
        <v/>
      </c>
      <c r="T1233" t="str">
        <f t="shared" si="40"/>
        <v/>
      </c>
    </row>
    <row r="1234" spans="1:20">
      <c r="A1234" s="195">
        <f t="shared" si="19"/>
        <v>1</v>
      </c>
      <c r="B1234">
        <f t="shared" si="28"/>
        <v>47</v>
      </c>
      <c r="C1234" s="8" t="str">
        <f t="shared" si="33"/>
        <v/>
      </c>
      <c r="D1234" t="str">
        <f t="shared" si="37"/>
        <v/>
      </c>
      <c r="E1234" t="str">
        <f t="shared" si="37"/>
        <v/>
      </c>
      <c r="F1234" s="315" t="str">
        <f t="shared" si="34"/>
        <v/>
      </c>
      <c r="G1234" t="str">
        <f t="shared" si="38"/>
        <v/>
      </c>
      <c r="H1234" t="str">
        <f t="shared" si="38"/>
        <v/>
      </c>
      <c r="I1234" t="str">
        <f t="shared" si="38"/>
        <v/>
      </c>
      <c r="J1234" t="str">
        <f t="shared" si="38"/>
        <v/>
      </c>
      <c r="K1234" s="315" t="str">
        <f t="shared" si="35"/>
        <v/>
      </c>
      <c r="L1234" t="str">
        <f t="shared" si="39"/>
        <v/>
      </c>
      <c r="M1234" t="str">
        <f t="shared" si="39"/>
        <v/>
      </c>
      <c r="N1234" t="str">
        <f t="shared" si="39"/>
        <v/>
      </c>
      <c r="O1234" t="str">
        <f t="shared" si="39"/>
        <v/>
      </c>
      <c r="P1234" s="315" t="str">
        <f t="shared" si="36"/>
        <v/>
      </c>
      <c r="Q1234" t="str">
        <f t="shared" si="40"/>
        <v/>
      </c>
      <c r="R1234" t="str">
        <f t="shared" si="40"/>
        <v/>
      </c>
      <c r="S1234" t="str">
        <f t="shared" si="40"/>
        <v/>
      </c>
      <c r="T1234" t="str">
        <f t="shared" si="40"/>
        <v/>
      </c>
    </row>
    <row r="1235" spans="1:20">
      <c r="A1235" s="195">
        <f t="shared" si="19"/>
        <v>1</v>
      </c>
      <c r="B1235">
        <f t="shared" si="28"/>
        <v>48</v>
      </c>
      <c r="C1235" s="8" t="str">
        <f t="shared" si="33"/>
        <v/>
      </c>
      <c r="D1235" t="str">
        <f t="shared" si="37"/>
        <v/>
      </c>
      <c r="E1235" t="str">
        <f t="shared" si="37"/>
        <v/>
      </c>
      <c r="F1235" s="315" t="str">
        <f t="shared" si="34"/>
        <v/>
      </c>
      <c r="G1235" t="str">
        <f t="shared" si="38"/>
        <v/>
      </c>
      <c r="H1235" t="str">
        <f t="shared" si="38"/>
        <v/>
      </c>
      <c r="I1235" t="str">
        <f t="shared" si="38"/>
        <v/>
      </c>
      <c r="J1235" t="str">
        <f t="shared" si="38"/>
        <v/>
      </c>
      <c r="K1235" s="315" t="str">
        <f t="shared" si="35"/>
        <v/>
      </c>
      <c r="L1235" t="str">
        <f t="shared" si="39"/>
        <v/>
      </c>
      <c r="M1235" t="str">
        <f t="shared" si="39"/>
        <v/>
      </c>
      <c r="N1235" t="str">
        <f t="shared" si="39"/>
        <v/>
      </c>
      <c r="O1235" t="str">
        <f t="shared" si="39"/>
        <v/>
      </c>
      <c r="P1235" s="315" t="str">
        <f t="shared" si="36"/>
        <v/>
      </c>
      <c r="Q1235" t="str">
        <f t="shared" si="40"/>
        <v/>
      </c>
      <c r="R1235" t="str">
        <f t="shared" si="40"/>
        <v/>
      </c>
      <c r="S1235" t="str">
        <f t="shared" si="40"/>
        <v/>
      </c>
      <c r="T1235" t="str">
        <f t="shared" si="40"/>
        <v/>
      </c>
    </row>
    <row r="1236" spans="1:20">
      <c r="A1236" s="195">
        <f t="shared" si="19"/>
        <v>1</v>
      </c>
      <c r="B1236">
        <f t="shared" si="28"/>
        <v>49</v>
      </c>
      <c r="C1236" s="8" t="str">
        <f t="shared" si="33"/>
        <v/>
      </c>
      <c r="D1236" t="str">
        <f t="shared" si="37"/>
        <v/>
      </c>
      <c r="E1236" t="str">
        <f t="shared" si="37"/>
        <v/>
      </c>
      <c r="F1236" s="315" t="str">
        <f t="shared" si="34"/>
        <v/>
      </c>
      <c r="G1236" t="str">
        <f t="shared" si="38"/>
        <v/>
      </c>
      <c r="H1236" t="str">
        <f t="shared" si="38"/>
        <v/>
      </c>
      <c r="I1236" t="str">
        <f t="shared" si="38"/>
        <v/>
      </c>
      <c r="J1236" t="str">
        <f t="shared" si="38"/>
        <v/>
      </c>
      <c r="K1236" s="315" t="str">
        <f t="shared" si="35"/>
        <v/>
      </c>
      <c r="L1236" t="str">
        <f t="shared" si="39"/>
        <v/>
      </c>
      <c r="M1236" t="str">
        <f t="shared" si="39"/>
        <v/>
      </c>
      <c r="N1236" t="str">
        <f t="shared" si="39"/>
        <v/>
      </c>
      <c r="O1236" t="str">
        <f t="shared" si="39"/>
        <v/>
      </c>
      <c r="P1236" s="315" t="str">
        <f t="shared" si="36"/>
        <v/>
      </c>
      <c r="Q1236" t="str">
        <f t="shared" si="40"/>
        <v/>
      </c>
      <c r="R1236" t="str">
        <f t="shared" si="40"/>
        <v/>
      </c>
      <c r="S1236" t="str">
        <f t="shared" si="40"/>
        <v/>
      </c>
      <c r="T1236" t="str">
        <f t="shared" si="40"/>
        <v/>
      </c>
    </row>
    <row r="1237" spans="1:20">
      <c r="A1237" s="195">
        <f t="shared" si="19"/>
        <v>1</v>
      </c>
      <c r="B1237">
        <f t="shared" si="28"/>
        <v>50</v>
      </c>
      <c r="C1237" s="8" t="str">
        <f t="shared" si="33"/>
        <v/>
      </c>
      <c r="D1237" t="str">
        <f t="shared" si="37"/>
        <v/>
      </c>
      <c r="E1237" t="str">
        <f t="shared" si="37"/>
        <v/>
      </c>
      <c r="F1237" s="315" t="str">
        <f t="shared" si="34"/>
        <v/>
      </c>
      <c r="G1237" t="str">
        <f t="shared" si="38"/>
        <v/>
      </c>
      <c r="H1237" t="str">
        <f t="shared" si="38"/>
        <v/>
      </c>
      <c r="I1237" t="str">
        <f t="shared" si="38"/>
        <v/>
      </c>
      <c r="J1237" t="str">
        <f t="shared" si="38"/>
        <v/>
      </c>
      <c r="K1237" s="315" t="str">
        <f t="shared" si="35"/>
        <v/>
      </c>
      <c r="L1237" t="str">
        <f t="shared" si="39"/>
        <v/>
      </c>
      <c r="M1237" t="str">
        <f t="shared" si="39"/>
        <v/>
      </c>
      <c r="N1237" t="str">
        <f t="shared" si="39"/>
        <v/>
      </c>
      <c r="O1237" t="str">
        <f t="shared" si="39"/>
        <v/>
      </c>
      <c r="P1237" s="315" t="str">
        <f t="shared" si="36"/>
        <v/>
      </c>
      <c r="Q1237" t="str">
        <f t="shared" si="40"/>
        <v/>
      </c>
      <c r="R1237" t="str">
        <f t="shared" si="40"/>
        <v/>
      </c>
      <c r="S1237" t="str">
        <f t="shared" si="40"/>
        <v/>
      </c>
      <c r="T1237" t="str">
        <f t="shared" si="40"/>
        <v/>
      </c>
    </row>
    <row r="1238" spans="1:20">
      <c r="A1238" s="195">
        <f t="shared" si="19"/>
        <v>1</v>
      </c>
      <c r="B1238">
        <f t="shared" si="28"/>
        <v>51</v>
      </c>
      <c r="C1238" s="8" t="str">
        <f t="shared" si="33"/>
        <v/>
      </c>
      <c r="D1238" t="str">
        <f t="shared" si="37"/>
        <v/>
      </c>
      <c r="E1238" t="str">
        <f t="shared" si="37"/>
        <v/>
      </c>
      <c r="F1238" s="315" t="str">
        <f t="shared" si="34"/>
        <v/>
      </c>
      <c r="G1238" t="str">
        <f t="shared" si="38"/>
        <v/>
      </c>
      <c r="H1238" t="str">
        <f t="shared" si="38"/>
        <v/>
      </c>
      <c r="I1238" t="str">
        <f t="shared" si="38"/>
        <v/>
      </c>
      <c r="J1238" t="str">
        <f t="shared" si="38"/>
        <v/>
      </c>
      <c r="K1238" s="315" t="str">
        <f t="shared" si="35"/>
        <v/>
      </c>
      <c r="L1238" t="str">
        <f t="shared" si="39"/>
        <v/>
      </c>
      <c r="M1238" t="str">
        <f t="shared" si="39"/>
        <v/>
      </c>
      <c r="N1238" t="str">
        <f t="shared" si="39"/>
        <v/>
      </c>
      <c r="O1238" t="str">
        <f t="shared" si="39"/>
        <v/>
      </c>
      <c r="P1238" s="315" t="str">
        <f t="shared" si="36"/>
        <v/>
      </c>
      <c r="Q1238" t="str">
        <f t="shared" si="40"/>
        <v/>
      </c>
      <c r="R1238" t="str">
        <f t="shared" si="40"/>
        <v/>
      </c>
      <c r="S1238" t="str">
        <f t="shared" si="40"/>
        <v/>
      </c>
      <c r="T1238" t="str">
        <f t="shared" si="40"/>
        <v/>
      </c>
    </row>
    <row r="1239" spans="1:20">
      <c r="A1239" s="195">
        <f t="shared" si="19"/>
        <v>1</v>
      </c>
      <c r="B1239">
        <f t="shared" si="28"/>
        <v>52</v>
      </c>
      <c r="C1239" s="8" t="str">
        <f t="shared" si="33"/>
        <v/>
      </c>
      <c r="D1239" t="str">
        <f t="shared" si="37"/>
        <v/>
      </c>
      <c r="E1239" t="str">
        <f t="shared" si="37"/>
        <v/>
      </c>
      <c r="F1239" s="315" t="str">
        <f t="shared" si="34"/>
        <v/>
      </c>
      <c r="G1239" t="str">
        <f t="shared" si="38"/>
        <v/>
      </c>
      <c r="H1239" t="str">
        <f t="shared" si="38"/>
        <v/>
      </c>
      <c r="I1239" t="str">
        <f t="shared" si="38"/>
        <v/>
      </c>
      <c r="J1239" t="str">
        <f t="shared" si="38"/>
        <v/>
      </c>
      <c r="K1239" s="315" t="str">
        <f t="shared" si="35"/>
        <v/>
      </c>
      <c r="L1239" t="str">
        <f t="shared" si="39"/>
        <v/>
      </c>
      <c r="M1239" t="str">
        <f t="shared" si="39"/>
        <v/>
      </c>
      <c r="N1239" t="str">
        <f t="shared" si="39"/>
        <v/>
      </c>
      <c r="O1239" t="str">
        <f t="shared" si="39"/>
        <v/>
      </c>
      <c r="P1239" s="315" t="str">
        <f t="shared" si="36"/>
        <v/>
      </c>
      <c r="Q1239" t="str">
        <f t="shared" si="40"/>
        <v/>
      </c>
      <c r="R1239" t="str">
        <f t="shared" si="40"/>
        <v/>
      </c>
      <c r="S1239" t="str">
        <f t="shared" si="40"/>
        <v/>
      </c>
      <c r="T1239" t="str">
        <f t="shared" si="40"/>
        <v/>
      </c>
    </row>
    <row r="1240" spans="1:20">
      <c r="A1240" s="195">
        <f t="shared" si="19"/>
        <v>1</v>
      </c>
      <c r="B1240">
        <f t="shared" si="28"/>
        <v>53</v>
      </c>
      <c r="C1240" s="8" t="str">
        <f t="shared" si="33"/>
        <v/>
      </c>
      <c r="D1240" t="str">
        <f t="shared" si="37"/>
        <v/>
      </c>
      <c r="E1240" t="str">
        <f t="shared" si="37"/>
        <v/>
      </c>
      <c r="F1240" s="315" t="str">
        <f t="shared" si="34"/>
        <v/>
      </c>
      <c r="G1240" t="str">
        <f t="shared" si="38"/>
        <v/>
      </c>
      <c r="H1240" t="str">
        <f t="shared" si="38"/>
        <v/>
      </c>
      <c r="I1240" t="str">
        <f t="shared" si="38"/>
        <v/>
      </c>
      <c r="J1240" t="str">
        <f t="shared" si="38"/>
        <v/>
      </c>
      <c r="K1240" s="315" t="str">
        <f t="shared" si="35"/>
        <v/>
      </c>
      <c r="L1240" t="str">
        <f t="shared" si="39"/>
        <v/>
      </c>
      <c r="M1240" t="str">
        <f t="shared" si="39"/>
        <v/>
      </c>
      <c r="N1240" t="str">
        <f t="shared" si="39"/>
        <v/>
      </c>
      <c r="O1240" t="str">
        <f t="shared" si="39"/>
        <v/>
      </c>
      <c r="P1240" s="315" t="str">
        <f t="shared" si="36"/>
        <v/>
      </c>
      <c r="Q1240" t="str">
        <f t="shared" si="40"/>
        <v/>
      </c>
      <c r="R1240" t="str">
        <f t="shared" si="40"/>
        <v/>
      </c>
      <c r="S1240" t="str">
        <f t="shared" si="40"/>
        <v/>
      </c>
      <c r="T1240" t="str">
        <f t="shared" si="40"/>
        <v/>
      </c>
    </row>
    <row r="1241" spans="1:20">
      <c r="A1241" s="195">
        <f t="shared" si="19"/>
        <v>1</v>
      </c>
      <c r="B1241">
        <f t="shared" si="28"/>
        <v>54</v>
      </c>
      <c r="C1241" s="8" t="str">
        <f t="shared" si="33"/>
        <v/>
      </c>
      <c r="D1241" t="str">
        <f t="shared" si="37"/>
        <v/>
      </c>
      <c r="E1241" t="str">
        <f t="shared" si="37"/>
        <v/>
      </c>
      <c r="F1241" s="315" t="str">
        <f t="shared" si="34"/>
        <v/>
      </c>
      <c r="G1241" t="str">
        <f t="shared" si="38"/>
        <v/>
      </c>
      <c r="H1241" t="str">
        <f t="shared" si="38"/>
        <v/>
      </c>
      <c r="I1241" t="str">
        <f t="shared" si="38"/>
        <v/>
      </c>
      <c r="J1241" t="str">
        <f t="shared" si="38"/>
        <v/>
      </c>
      <c r="K1241" s="315" t="str">
        <f t="shared" si="35"/>
        <v/>
      </c>
      <c r="L1241" t="str">
        <f t="shared" si="39"/>
        <v/>
      </c>
      <c r="M1241" t="str">
        <f t="shared" si="39"/>
        <v/>
      </c>
      <c r="N1241" t="str">
        <f t="shared" si="39"/>
        <v/>
      </c>
      <c r="O1241" t="str">
        <f t="shared" si="39"/>
        <v/>
      </c>
      <c r="P1241" s="315" t="str">
        <f t="shared" si="36"/>
        <v/>
      </c>
      <c r="Q1241" t="str">
        <f t="shared" si="40"/>
        <v/>
      </c>
      <c r="R1241" t="str">
        <f t="shared" si="40"/>
        <v/>
      </c>
      <c r="S1241" t="str">
        <f t="shared" si="40"/>
        <v/>
      </c>
      <c r="T1241" t="str">
        <f t="shared" si="40"/>
        <v/>
      </c>
    </row>
    <row r="1242" spans="1:20">
      <c r="A1242" s="195">
        <f t="shared" si="19"/>
        <v>1</v>
      </c>
      <c r="B1242">
        <f t="shared" si="28"/>
        <v>55</v>
      </c>
      <c r="C1242" s="8" t="str">
        <f t="shared" si="33"/>
        <v/>
      </c>
      <c r="D1242" t="str">
        <f t="shared" si="37"/>
        <v/>
      </c>
      <c r="E1242" t="str">
        <f t="shared" si="37"/>
        <v/>
      </c>
      <c r="F1242" s="315" t="str">
        <f t="shared" si="34"/>
        <v/>
      </c>
      <c r="G1242" t="str">
        <f t="shared" si="38"/>
        <v/>
      </c>
      <c r="H1242" t="str">
        <f t="shared" si="38"/>
        <v/>
      </c>
      <c r="I1242" t="str">
        <f t="shared" si="38"/>
        <v/>
      </c>
      <c r="J1242" t="str">
        <f t="shared" si="38"/>
        <v/>
      </c>
      <c r="K1242" s="315" t="str">
        <f t="shared" si="35"/>
        <v/>
      </c>
      <c r="L1242" t="str">
        <f t="shared" si="39"/>
        <v/>
      </c>
      <c r="M1242" t="str">
        <f t="shared" si="39"/>
        <v/>
      </c>
      <c r="N1242" t="str">
        <f t="shared" si="39"/>
        <v/>
      </c>
      <c r="O1242" t="str">
        <f t="shared" si="39"/>
        <v/>
      </c>
      <c r="P1242" s="315" t="str">
        <f t="shared" si="36"/>
        <v/>
      </c>
      <c r="Q1242" t="str">
        <f t="shared" si="40"/>
        <v/>
      </c>
      <c r="R1242" t="str">
        <f t="shared" si="40"/>
        <v/>
      </c>
      <c r="S1242" t="str">
        <f t="shared" si="40"/>
        <v/>
      </c>
      <c r="T1242" t="str">
        <f t="shared" si="40"/>
        <v/>
      </c>
    </row>
    <row r="1243" spans="1:20">
      <c r="A1243" s="195">
        <f t="shared" si="19"/>
        <v>1</v>
      </c>
      <c r="B1243">
        <f t="shared" si="28"/>
        <v>56</v>
      </c>
      <c r="C1243" s="8" t="str">
        <f t="shared" si="33"/>
        <v/>
      </c>
      <c r="D1243" t="str">
        <f t="shared" si="37"/>
        <v/>
      </c>
      <c r="E1243" t="str">
        <f t="shared" si="37"/>
        <v/>
      </c>
      <c r="F1243" s="315" t="str">
        <f t="shared" si="34"/>
        <v/>
      </c>
      <c r="G1243" t="str">
        <f t="shared" si="38"/>
        <v/>
      </c>
      <c r="H1243" t="str">
        <f t="shared" si="38"/>
        <v/>
      </c>
      <c r="I1243" t="str">
        <f t="shared" si="38"/>
        <v/>
      </c>
      <c r="J1243" t="str">
        <f t="shared" si="38"/>
        <v/>
      </c>
      <c r="K1243" s="315" t="str">
        <f t="shared" si="35"/>
        <v/>
      </c>
      <c r="L1243" t="str">
        <f t="shared" si="39"/>
        <v/>
      </c>
      <c r="M1243" t="str">
        <f t="shared" si="39"/>
        <v/>
      </c>
      <c r="N1243" t="str">
        <f t="shared" si="39"/>
        <v/>
      </c>
      <c r="O1243" t="str">
        <f t="shared" si="39"/>
        <v/>
      </c>
      <c r="P1243" s="315" t="str">
        <f t="shared" si="36"/>
        <v/>
      </c>
      <c r="Q1243" t="str">
        <f t="shared" si="40"/>
        <v/>
      </c>
      <c r="R1243" t="str">
        <f t="shared" si="40"/>
        <v/>
      </c>
      <c r="S1243" t="str">
        <f t="shared" si="40"/>
        <v/>
      </c>
      <c r="T1243" t="str">
        <f t="shared" si="40"/>
        <v/>
      </c>
    </row>
    <row r="1244" spans="1:20">
      <c r="A1244" s="195">
        <f t="shared" si="19"/>
        <v>1</v>
      </c>
      <c r="B1244">
        <f t="shared" si="28"/>
        <v>57</v>
      </c>
      <c r="C1244" s="8" t="str">
        <f t="shared" si="33"/>
        <v/>
      </c>
      <c r="D1244" t="str">
        <f t="shared" si="37"/>
        <v/>
      </c>
      <c r="E1244" t="str">
        <f t="shared" si="37"/>
        <v/>
      </c>
      <c r="F1244" s="315" t="str">
        <f t="shared" si="34"/>
        <v/>
      </c>
      <c r="G1244" t="str">
        <f t="shared" si="38"/>
        <v/>
      </c>
      <c r="H1244" t="str">
        <f t="shared" si="38"/>
        <v/>
      </c>
      <c r="I1244" t="str">
        <f t="shared" si="38"/>
        <v/>
      </c>
      <c r="J1244" t="str">
        <f t="shared" si="38"/>
        <v/>
      </c>
      <c r="K1244" s="315" t="str">
        <f t="shared" si="35"/>
        <v/>
      </c>
      <c r="L1244" t="str">
        <f t="shared" si="39"/>
        <v/>
      </c>
      <c r="M1244" t="str">
        <f t="shared" si="39"/>
        <v/>
      </c>
      <c r="N1244" t="str">
        <f t="shared" si="39"/>
        <v/>
      </c>
      <c r="O1244" t="str">
        <f t="shared" si="39"/>
        <v/>
      </c>
      <c r="P1244" s="315" t="str">
        <f t="shared" si="36"/>
        <v/>
      </c>
      <c r="Q1244" t="str">
        <f t="shared" si="40"/>
        <v/>
      </c>
      <c r="R1244" t="str">
        <f t="shared" si="40"/>
        <v/>
      </c>
      <c r="S1244" t="str">
        <f t="shared" si="40"/>
        <v/>
      </c>
      <c r="T1244" t="str">
        <f t="shared" si="40"/>
        <v/>
      </c>
    </row>
    <row r="1245" spans="1:20">
      <c r="A1245" s="195">
        <f t="shared" si="19"/>
        <v>1</v>
      </c>
      <c r="B1245">
        <f t="shared" si="28"/>
        <v>58</v>
      </c>
      <c r="C1245" s="8" t="str">
        <f t="shared" si="33"/>
        <v/>
      </c>
      <c r="D1245" t="str">
        <f t="shared" si="37"/>
        <v/>
      </c>
      <c r="E1245" t="str">
        <f t="shared" si="37"/>
        <v/>
      </c>
      <c r="F1245" s="315" t="str">
        <f t="shared" si="34"/>
        <v/>
      </c>
      <c r="G1245" t="str">
        <f t="shared" si="38"/>
        <v/>
      </c>
      <c r="H1245" t="str">
        <f t="shared" si="38"/>
        <v/>
      </c>
      <c r="I1245" t="str">
        <f t="shared" si="38"/>
        <v/>
      </c>
      <c r="J1245" t="str">
        <f t="shared" si="38"/>
        <v/>
      </c>
      <c r="K1245" s="315" t="str">
        <f t="shared" si="35"/>
        <v/>
      </c>
      <c r="L1245" t="str">
        <f t="shared" si="39"/>
        <v/>
      </c>
      <c r="M1245" t="str">
        <f t="shared" si="39"/>
        <v/>
      </c>
      <c r="N1245" t="str">
        <f t="shared" si="39"/>
        <v/>
      </c>
      <c r="O1245" t="str">
        <f t="shared" si="39"/>
        <v/>
      </c>
      <c r="P1245" s="315" t="str">
        <f t="shared" si="36"/>
        <v/>
      </c>
      <c r="Q1245" t="str">
        <f t="shared" si="40"/>
        <v/>
      </c>
      <c r="R1245" t="str">
        <f t="shared" si="40"/>
        <v/>
      </c>
      <c r="S1245" t="str">
        <f t="shared" si="40"/>
        <v/>
      </c>
      <c r="T1245" t="str">
        <f t="shared" si="40"/>
        <v/>
      </c>
    </row>
    <row r="1246" spans="1:20">
      <c r="A1246" s="195">
        <f t="shared" si="19"/>
        <v>1</v>
      </c>
      <c r="B1246">
        <f t="shared" si="28"/>
        <v>59</v>
      </c>
      <c r="C1246" s="8" t="str">
        <f t="shared" si="33"/>
        <v/>
      </c>
      <c r="D1246" t="str">
        <f t="shared" si="37"/>
        <v/>
      </c>
      <c r="E1246" t="str">
        <f t="shared" si="37"/>
        <v/>
      </c>
      <c r="F1246" s="315" t="str">
        <f t="shared" si="34"/>
        <v/>
      </c>
      <c r="G1246" t="str">
        <f t="shared" si="38"/>
        <v/>
      </c>
      <c r="H1246" t="str">
        <f t="shared" si="38"/>
        <v/>
      </c>
      <c r="I1246" t="str">
        <f t="shared" si="38"/>
        <v/>
      </c>
      <c r="J1246" t="str">
        <f t="shared" si="38"/>
        <v/>
      </c>
      <c r="K1246" s="315" t="str">
        <f t="shared" si="35"/>
        <v/>
      </c>
      <c r="L1246" t="str">
        <f t="shared" si="39"/>
        <v/>
      </c>
      <c r="M1246" t="str">
        <f t="shared" si="39"/>
        <v/>
      </c>
      <c r="N1246" t="str">
        <f t="shared" si="39"/>
        <v/>
      </c>
      <c r="O1246" t="str">
        <f t="shared" si="39"/>
        <v/>
      </c>
      <c r="P1246" s="315" t="str">
        <f t="shared" si="36"/>
        <v/>
      </c>
      <c r="Q1246" t="str">
        <f t="shared" si="40"/>
        <v/>
      </c>
      <c r="R1246" t="str">
        <f t="shared" si="40"/>
        <v/>
      </c>
      <c r="S1246" t="str">
        <f t="shared" si="40"/>
        <v/>
      </c>
      <c r="T1246" t="str">
        <f t="shared" si="40"/>
        <v/>
      </c>
    </row>
    <row r="1247" spans="1:20">
      <c r="A1247" s="195">
        <f t="shared" si="19"/>
        <v>1</v>
      </c>
      <c r="B1247">
        <f t="shared" si="28"/>
        <v>60</v>
      </c>
      <c r="C1247" s="8" t="str">
        <f t="shared" si="33"/>
        <v/>
      </c>
      <c r="D1247" t="str">
        <f t="shared" si="37"/>
        <v/>
      </c>
      <c r="E1247" t="str">
        <f t="shared" si="37"/>
        <v/>
      </c>
      <c r="F1247" s="315" t="str">
        <f t="shared" si="34"/>
        <v/>
      </c>
      <c r="G1247" t="str">
        <f t="shared" si="38"/>
        <v/>
      </c>
      <c r="H1247" t="str">
        <f t="shared" si="38"/>
        <v/>
      </c>
      <c r="I1247" t="str">
        <f t="shared" si="38"/>
        <v/>
      </c>
      <c r="J1247" t="str">
        <f t="shared" si="38"/>
        <v/>
      </c>
      <c r="K1247" s="315" t="str">
        <f t="shared" si="35"/>
        <v/>
      </c>
      <c r="L1247" t="str">
        <f t="shared" si="39"/>
        <v/>
      </c>
      <c r="M1247" t="str">
        <f t="shared" si="39"/>
        <v/>
      </c>
      <c r="N1247" t="str">
        <f t="shared" si="39"/>
        <v/>
      </c>
      <c r="O1247" t="str">
        <f t="shared" si="39"/>
        <v/>
      </c>
      <c r="P1247" s="315" t="str">
        <f t="shared" si="36"/>
        <v/>
      </c>
      <c r="Q1247" t="str">
        <f t="shared" si="40"/>
        <v/>
      </c>
      <c r="R1247" t="str">
        <f t="shared" si="40"/>
        <v/>
      </c>
      <c r="S1247" t="str">
        <f t="shared" si="40"/>
        <v/>
      </c>
      <c r="T1247" t="str">
        <f t="shared" si="40"/>
        <v/>
      </c>
    </row>
    <row r="1248" spans="1:20">
      <c r="A1248" s="195">
        <f t="shared" si="19"/>
        <v>1</v>
      </c>
      <c r="B1248">
        <f t="shared" si="28"/>
        <v>61</v>
      </c>
      <c r="C1248" s="8" t="str">
        <f t="shared" si="33"/>
        <v/>
      </c>
      <c r="D1248" t="str">
        <f t="shared" ref="D1248:E1267" si="41">CONCATENATE(INDEX($B$1084:$T$1183, $A1248, D$1187))</f>
        <v/>
      </c>
      <c r="E1248" t="str">
        <f t="shared" si="41"/>
        <v/>
      </c>
      <c r="F1248" s="315" t="str">
        <f t="shared" si="34"/>
        <v/>
      </c>
      <c r="G1248" t="str">
        <f t="shared" ref="G1248:J1267" si="42">CONCATENATE(INDEX($B$1084:$T$1183, $A1248, G$1187))</f>
        <v/>
      </c>
      <c r="H1248" t="str">
        <f t="shared" si="42"/>
        <v/>
      </c>
      <c r="I1248" t="str">
        <f t="shared" si="42"/>
        <v/>
      </c>
      <c r="J1248" t="str">
        <f t="shared" si="42"/>
        <v/>
      </c>
      <c r="K1248" s="315" t="str">
        <f t="shared" si="35"/>
        <v/>
      </c>
      <c r="L1248" t="str">
        <f t="shared" ref="L1248:O1267" si="43">CONCATENATE(INDEX($B$1084:$T$1183, $A1248, L$1187))</f>
        <v/>
      </c>
      <c r="M1248" t="str">
        <f t="shared" si="43"/>
        <v/>
      </c>
      <c r="N1248" t="str">
        <f t="shared" si="43"/>
        <v/>
      </c>
      <c r="O1248" t="str">
        <f t="shared" si="43"/>
        <v/>
      </c>
      <c r="P1248" s="315" t="str">
        <f t="shared" si="36"/>
        <v/>
      </c>
      <c r="Q1248" t="str">
        <f t="shared" ref="Q1248:T1267" si="44">CONCATENATE(INDEX($B$1084:$T$1183, $A1248, Q$1187))</f>
        <v/>
      </c>
      <c r="R1248" t="str">
        <f t="shared" si="44"/>
        <v/>
      </c>
      <c r="S1248" t="str">
        <f t="shared" si="44"/>
        <v/>
      </c>
      <c r="T1248" t="str">
        <f t="shared" si="44"/>
        <v/>
      </c>
    </row>
    <row r="1249" spans="1:20">
      <c r="A1249" s="195">
        <f t="shared" si="19"/>
        <v>1</v>
      </c>
      <c r="B1249">
        <f t="shared" si="28"/>
        <v>62</v>
      </c>
      <c r="C1249" s="8" t="str">
        <f t="shared" si="33"/>
        <v/>
      </c>
      <c r="D1249" t="str">
        <f t="shared" si="41"/>
        <v/>
      </c>
      <c r="E1249" t="str">
        <f t="shared" si="41"/>
        <v/>
      </c>
      <c r="F1249" s="315" t="str">
        <f t="shared" si="34"/>
        <v/>
      </c>
      <c r="G1249" t="str">
        <f t="shared" si="42"/>
        <v/>
      </c>
      <c r="H1249" t="str">
        <f t="shared" si="42"/>
        <v/>
      </c>
      <c r="I1249" t="str">
        <f t="shared" si="42"/>
        <v/>
      </c>
      <c r="J1249" t="str">
        <f t="shared" si="42"/>
        <v/>
      </c>
      <c r="K1249" s="315" t="str">
        <f t="shared" si="35"/>
        <v/>
      </c>
      <c r="L1249" t="str">
        <f t="shared" si="43"/>
        <v/>
      </c>
      <c r="M1249" t="str">
        <f t="shared" si="43"/>
        <v/>
      </c>
      <c r="N1249" t="str">
        <f t="shared" si="43"/>
        <v/>
      </c>
      <c r="O1249" t="str">
        <f t="shared" si="43"/>
        <v/>
      </c>
      <c r="P1249" s="315" t="str">
        <f t="shared" si="36"/>
        <v/>
      </c>
      <c r="Q1249" t="str">
        <f t="shared" si="44"/>
        <v/>
      </c>
      <c r="R1249" t="str">
        <f t="shared" si="44"/>
        <v/>
      </c>
      <c r="S1249" t="str">
        <f t="shared" si="44"/>
        <v/>
      </c>
      <c r="T1249" t="str">
        <f t="shared" si="44"/>
        <v/>
      </c>
    </row>
    <row r="1250" spans="1:20">
      <c r="A1250" s="195">
        <f t="shared" si="19"/>
        <v>1</v>
      </c>
      <c r="B1250">
        <f t="shared" si="28"/>
        <v>63</v>
      </c>
      <c r="C1250" s="8" t="str">
        <f t="shared" si="33"/>
        <v/>
      </c>
      <c r="D1250" t="str">
        <f t="shared" si="41"/>
        <v/>
      </c>
      <c r="E1250" t="str">
        <f t="shared" si="41"/>
        <v/>
      </c>
      <c r="F1250" s="315" t="str">
        <f t="shared" si="34"/>
        <v/>
      </c>
      <c r="G1250" t="str">
        <f t="shared" si="42"/>
        <v/>
      </c>
      <c r="H1250" t="str">
        <f t="shared" si="42"/>
        <v/>
      </c>
      <c r="I1250" t="str">
        <f t="shared" si="42"/>
        <v/>
      </c>
      <c r="J1250" t="str">
        <f t="shared" si="42"/>
        <v/>
      </c>
      <c r="K1250" s="315" t="str">
        <f t="shared" si="35"/>
        <v/>
      </c>
      <c r="L1250" t="str">
        <f t="shared" si="43"/>
        <v/>
      </c>
      <c r="M1250" t="str">
        <f t="shared" si="43"/>
        <v/>
      </c>
      <c r="N1250" t="str">
        <f t="shared" si="43"/>
        <v/>
      </c>
      <c r="O1250" t="str">
        <f t="shared" si="43"/>
        <v/>
      </c>
      <c r="P1250" s="315" t="str">
        <f t="shared" si="36"/>
        <v/>
      </c>
      <c r="Q1250" t="str">
        <f t="shared" si="44"/>
        <v/>
      </c>
      <c r="R1250" t="str">
        <f t="shared" si="44"/>
        <v/>
      </c>
      <c r="S1250" t="str">
        <f t="shared" si="44"/>
        <v/>
      </c>
      <c r="T1250" t="str">
        <f t="shared" si="44"/>
        <v/>
      </c>
    </row>
    <row r="1251" spans="1:20">
      <c r="A1251" s="195">
        <f t="shared" si="19"/>
        <v>1</v>
      </c>
      <c r="B1251">
        <f t="shared" si="28"/>
        <v>64</v>
      </c>
      <c r="C1251" s="8" t="str">
        <f t="shared" si="33"/>
        <v/>
      </c>
      <c r="D1251" t="str">
        <f t="shared" si="41"/>
        <v/>
      </c>
      <c r="E1251" t="str">
        <f t="shared" si="41"/>
        <v/>
      </c>
      <c r="F1251" s="315" t="str">
        <f t="shared" si="34"/>
        <v/>
      </c>
      <c r="G1251" t="str">
        <f t="shared" si="42"/>
        <v/>
      </c>
      <c r="H1251" t="str">
        <f t="shared" si="42"/>
        <v/>
      </c>
      <c r="I1251" t="str">
        <f t="shared" si="42"/>
        <v/>
      </c>
      <c r="J1251" t="str">
        <f t="shared" si="42"/>
        <v/>
      </c>
      <c r="K1251" s="315" t="str">
        <f t="shared" si="35"/>
        <v/>
      </c>
      <c r="L1251" t="str">
        <f t="shared" si="43"/>
        <v/>
      </c>
      <c r="M1251" t="str">
        <f t="shared" si="43"/>
        <v/>
      </c>
      <c r="N1251" t="str">
        <f t="shared" si="43"/>
        <v/>
      </c>
      <c r="O1251" t="str">
        <f t="shared" si="43"/>
        <v/>
      </c>
      <c r="P1251" s="315" t="str">
        <f t="shared" si="36"/>
        <v/>
      </c>
      <c r="Q1251" t="str">
        <f t="shared" si="44"/>
        <v/>
      </c>
      <c r="R1251" t="str">
        <f t="shared" si="44"/>
        <v/>
      </c>
      <c r="S1251" t="str">
        <f t="shared" si="44"/>
        <v/>
      </c>
      <c r="T1251" t="str">
        <f t="shared" si="44"/>
        <v/>
      </c>
    </row>
    <row r="1252" spans="1:20">
      <c r="A1252" s="195">
        <f t="shared" ref="A1252:A1286" si="45">IF(ISNA(MATCH(B1252, $A$1084:$A$1183, 0)), 1, MATCH(B1252, $A$1084:$A$1183, 0))</f>
        <v>1</v>
      </c>
      <c r="B1252">
        <f t="shared" si="28"/>
        <v>65</v>
      </c>
      <c r="C1252" s="8" t="str">
        <f t="shared" ref="C1252:C1286" si="46">IF(INDEX($B$1084:$T$1183, $A1252, C$1187) = "", "", INDEX($B$1084:$T$1183, $A1252, C$1187))</f>
        <v/>
      </c>
      <c r="D1252" t="str">
        <f t="shared" si="41"/>
        <v/>
      </c>
      <c r="E1252" t="str">
        <f t="shared" si="41"/>
        <v/>
      </c>
      <c r="F1252" s="315" t="str">
        <f t="shared" ref="F1252:F1286" si="47">IF(ISBLANK(INDEX($B$1084:$T$1183, $A1252, F$1187)), "", INDEX($B$1084:$T$1183, $A1252, F$1187))</f>
        <v/>
      </c>
      <c r="G1252" t="str">
        <f t="shared" si="42"/>
        <v/>
      </c>
      <c r="H1252" t="str">
        <f t="shared" si="42"/>
        <v/>
      </c>
      <c r="I1252" t="str">
        <f t="shared" si="42"/>
        <v/>
      </c>
      <c r="J1252" t="str">
        <f t="shared" si="42"/>
        <v/>
      </c>
      <c r="K1252" s="315" t="str">
        <f t="shared" ref="K1252:K1286" si="48">IF(ISBLANK(INDEX($B$1084:$T$1183, $A1252, K$1187)), "", INDEX($B$1084:$T$1183, $A1252, K$1187))</f>
        <v/>
      </c>
      <c r="L1252" t="str">
        <f t="shared" si="43"/>
        <v/>
      </c>
      <c r="M1252" t="str">
        <f t="shared" si="43"/>
        <v/>
      </c>
      <c r="N1252" t="str">
        <f t="shared" si="43"/>
        <v/>
      </c>
      <c r="O1252" t="str">
        <f t="shared" si="43"/>
        <v/>
      </c>
      <c r="P1252" s="315" t="str">
        <f t="shared" ref="P1252:P1286" si="49">IF(ISBLANK(INDEX($B$1084:$T$1183, $A1252, P$1187)), "", INDEX($B$1084:$T$1183, $A1252, P$1187))</f>
        <v/>
      </c>
      <c r="Q1252" t="str">
        <f t="shared" si="44"/>
        <v/>
      </c>
      <c r="R1252" t="str">
        <f t="shared" si="44"/>
        <v/>
      </c>
      <c r="S1252" t="str">
        <f t="shared" si="44"/>
        <v/>
      </c>
      <c r="T1252" t="str">
        <f t="shared" si="44"/>
        <v/>
      </c>
    </row>
    <row r="1253" spans="1:20">
      <c r="A1253" s="195">
        <f t="shared" si="45"/>
        <v>1</v>
      </c>
      <c r="B1253">
        <f t="shared" si="28"/>
        <v>66</v>
      </c>
      <c r="C1253" s="8" t="str">
        <f t="shared" si="46"/>
        <v/>
      </c>
      <c r="D1253" t="str">
        <f t="shared" si="41"/>
        <v/>
      </c>
      <c r="E1253" t="str">
        <f t="shared" si="41"/>
        <v/>
      </c>
      <c r="F1253" s="315" t="str">
        <f t="shared" si="47"/>
        <v/>
      </c>
      <c r="G1253" t="str">
        <f t="shared" si="42"/>
        <v/>
      </c>
      <c r="H1253" t="str">
        <f t="shared" si="42"/>
        <v/>
      </c>
      <c r="I1253" t="str">
        <f t="shared" si="42"/>
        <v/>
      </c>
      <c r="J1253" t="str">
        <f t="shared" si="42"/>
        <v/>
      </c>
      <c r="K1253" s="315" t="str">
        <f t="shared" si="48"/>
        <v/>
      </c>
      <c r="L1253" t="str">
        <f t="shared" si="43"/>
        <v/>
      </c>
      <c r="M1253" t="str">
        <f t="shared" si="43"/>
        <v/>
      </c>
      <c r="N1253" t="str">
        <f t="shared" si="43"/>
        <v/>
      </c>
      <c r="O1253" t="str">
        <f t="shared" si="43"/>
        <v/>
      </c>
      <c r="P1253" s="315" t="str">
        <f t="shared" si="49"/>
        <v/>
      </c>
      <c r="Q1253" t="str">
        <f t="shared" si="44"/>
        <v/>
      </c>
      <c r="R1253" t="str">
        <f t="shared" si="44"/>
        <v/>
      </c>
      <c r="S1253" t="str">
        <f t="shared" si="44"/>
        <v/>
      </c>
      <c r="T1253" t="str">
        <f t="shared" si="44"/>
        <v/>
      </c>
    </row>
    <row r="1254" spans="1:20">
      <c r="A1254" s="195">
        <f t="shared" si="45"/>
        <v>1</v>
      </c>
      <c r="B1254">
        <f t="shared" ref="B1254:B1286" si="50">B1253+1</f>
        <v>67</v>
      </c>
      <c r="C1254" s="8" t="str">
        <f t="shared" si="46"/>
        <v/>
      </c>
      <c r="D1254" t="str">
        <f t="shared" si="41"/>
        <v/>
      </c>
      <c r="E1254" t="str">
        <f t="shared" si="41"/>
        <v/>
      </c>
      <c r="F1254" s="315" t="str">
        <f t="shared" si="47"/>
        <v/>
      </c>
      <c r="G1254" t="str">
        <f t="shared" si="42"/>
        <v/>
      </c>
      <c r="H1254" t="str">
        <f t="shared" si="42"/>
        <v/>
      </c>
      <c r="I1254" t="str">
        <f t="shared" si="42"/>
        <v/>
      </c>
      <c r="J1254" t="str">
        <f t="shared" si="42"/>
        <v/>
      </c>
      <c r="K1254" s="315" t="str">
        <f t="shared" si="48"/>
        <v/>
      </c>
      <c r="L1254" t="str">
        <f t="shared" si="43"/>
        <v/>
      </c>
      <c r="M1254" t="str">
        <f t="shared" si="43"/>
        <v/>
      </c>
      <c r="N1254" t="str">
        <f t="shared" si="43"/>
        <v/>
      </c>
      <c r="O1254" t="str">
        <f t="shared" si="43"/>
        <v/>
      </c>
      <c r="P1254" s="315" t="str">
        <f t="shared" si="49"/>
        <v/>
      </c>
      <c r="Q1254" t="str">
        <f t="shared" si="44"/>
        <v/>
      </c>
      <c r="R1254" t="str">
        <f t="shared" si="44"/>
        <v/>
      </c>
      <c r="S1254" t="str">
        <f t="shared" si="44"/>
        <v/>
      </c>
      <c r="T1254" t="str">
        <f t="shared" si="44"/>
        <v/>
      </c>
    </row>
    <row r="1255" spans="1:20">
      <c r="A1255" s="195">
        <f t="shared" si="45"/>
        <v>1</v>
      </c>
      <c r="B1255">
        <f t="shared" si="50"/>
        <v>68</v>
      </c>
      <c r="C1255" s="8" t="str">
        <f t="shared" si="46"/>
        <v/>
      </c>
      <c r="D1255" t="str">
        <f t="shared" si="41"/>
        <v/>
      </c>
      <c r="E1255" t="str">
        <f t="shared" si="41"/>
        <v/>
      </c>
      <c r="F1255" s="315" t="str">
        <f t="shared" si="47"/>
        <v/>
      </c>
      <c r="G1255" t="str">
        <f t="shared" si="42"/>
        <v/>
      </c>
      <c r="H1255" t="str">
        <f t="shared" si="42"/>
        <v/>
      </c>
      <c r="I1255" t="str">
        <f t="shared" si="42"/>
        <v/>
      </c>
      <c r="J1255" t="str">
        <f t="shared" si="42"/>
        <v/>
      </c>
      <c r="K1255" s="315" t="str">
        <f t="shared" si="48"/>
        <v/>
      </c>
      <c r="L1255" t="str">
        <f t="shared" si="43"/>
        <v/>
      </c>
      <c r="M1255" t="str">
        <f t="shared" si="43"/>
        <v/>
      </c>
      <c r="N1255" t="str">
        <f t="shared" si="43"/>
        <v/>
      </c>
      <c r="O1255" t="str">
        <f t="shared" si="43"/>
        <v/>
      </c>
      <c r="P1255" s="315" t="str">
        <f t="shared" si="49"/>
        <v/>
      </c>
      <c r="Q1255" t="str">
        <f t="shared" si="44"/>
        <v/>
      </c>
      <c r="R1255" t="str">
        <f t="shared" si="44"/>
        <v/>
      </c>
      <c r="S1255" t="str">
        <f t="shared" si="44"/>
        <v/>
      </c>
      <c r="T1255" t="str">
        <f t="shared" si="44"/>
        <v/>
      </c>
    </row>
    <row r="1256" spans="1:20">
      <c r="A1256" s="195">
        <f t="shared" si="45"/>
        <v>1</v>
      </c>
      <c r="B1256">
        <f t="shared" si="50"/>
        <v>69</v>
      </c>
      <c r="C1256" s="8" t="str">
        <f t="shared" si="46"/>
        <v/>
      </c>
      <c r="D1256" t="str">
        <f t="shared" si="41"/>
        <v/>
      </c>
      <c r="E1256" t="str">
        <f t="shared" si="41"/>
        <v/>
      </c>
      <c r="F1256" s="315" t="str">
        <f t="shared" si="47"/>
        <v/>
      </c>
      <c r="G1256" t="str">
        <f t="shared" si="42"/>
        <v/>
      </c>
      <c r="H1256" t="str">
        <f t="shared" si="42"/>
        <v/>
      </c>
      <c r="I1256" t="str">
        <f t="shared" si="42"/>
        <v/>
      </c>
      <c r="J1256" t="str">
        <f t="shared" si="42"/>
        <v/>
      </c>
      <c r="K1256" s="315" t="str">
        <f t="shared" si="48"/>
        <v/>
      </c>
      <c r="L1256" t="str">
        <f t="shared" si="43"/>
        <v/>
      </c>
      <c r="M1256" t="str">
        <f t="shared" si="43"/>
        <v/>
      </c>
      <c r="N1256" t="str">
        <f t="shared" si="43"/>
        <v/>
      </c>
      <c r="O1256" t="str">
        <f t="shared" si="43"/>
        <v/>
      </c>
      <c r="P1256" s="315" t="str">
        <f t="shared" si="49"/>
        <v/>
      </c>
      <c r="Q1256" t="str">
        <f t="shared" si="44"/>
        <v/>
      </c>
      <c r="R1256" t="str">
        <f t="shared" si="44"/>
        <v/>
      </c>
      <c r="S1256" t="str">
        <f t="shared" si="44"/>
        <v/>
      </c>
      <c r="T1256" t="str">
        <f t="shared" si="44"/>
        <v/>
      </c>
    </row>
    <row r="1257" spans="1:20">
      <c r="A1257" s="195">
        <f t="shared" si="45"/>
        <v>1</v>
      </c>
      <c r="B1257">
        <f t="shared" si="50"/>
        <v>70</v>
      </c>
      <c r="C1257" s="8" t="str">
        <f t="shared" si="46"/>
        <v/>
      </c>
      <c r="D1257" t="str">
        <f t="shared" si="41"/>
        <v/>
      </c>
      <c r="E1257" t="str">
        <f t="shared" si="41"/>
        <v/>
      </c>
      <c r="F1257" s="315" t="str">
        <f t="shared" si="47"/>
        <v/>
      </c>
      <c r="G1257" t="str">
        <f t="shared" si="42"/>
        <v/>
      </c>
      <c r="H1257" t="str">
        <f t="shared" si="42"/>
        <v/>
      </c>
      <c r="I1257" t="str">
        <f t="shared" si="42"/>
        <v/>
      </c>
      <c r="J1257" t="str">
        <f t="shared" si="42"/>
        <v/>
      </c>
      <c r="K1257" s="315" t="str">
        <f t="shared" si="48"/>
        <v/>
      </c>
      <c r="L1257" t="str">
        <f t="shared" si="43"/>
        <v/>
      </c>
      <c r="M1257" t="str">
        <f t="shared" si="43"/>
        <v/>
      </c>
      <c r="N1257" t="str">
        <f t="shared" si="43"/>
        <v/>
      </c>
      <c r="O1257" t="str">
        <f t="shared" si="43"/>
        <v/>
      </c>
      <c r="P1257" s="315" t="str">
        <f t="shared" si="49"/>
        <v/>
      </c>
      <c r="Q1257" t="str">
        <f t="shared" si="44"/>
        <v/>
      </c>
      <c r="R1257" t="str">
        <f t="shared" si="44"/>
        <v/>
      </c>
      <c r="S1257" t="str">
        <f t="shared" si="44"/>
        <v/>
      </c>
      <c r="T1257" t="str">
        <f t="shared" si="44"/>
        <v/>
      </c>
    </row>
    <row r="1258" spans="1:20">
      <c r="A1258" s="195">
        <f t="shared" si="45"/>
        <v>1</v>
      </c>
      <c r="B1258">
        <f t="shared" si="50"/>
        <v>71</v>
      </c>
      <c r="C1258" s="8" t="str">
        <f t="shared" si="46"/>
        <v/>
      </c>
      <c r="D1258" t="str">
        <f t="shared" si="41"/>
        <v/>
      </c>
      <c r="E1258" t="str">
        <f t="shared" si="41"/>
        <v/>
      </c>
      <c r="F1258" s="315" t="str">
        <f t="shared" si="47"/>
        <v/>
      </c>
      <c r="G1258" t="str">
        <f t="shared" si="42"/>
        <v/>
      </c>
      <c r="H1258" t="str">
        <f t="shared" si="42"/>
        <v/>
      </c>
      <c r="I1258" t="str">
        <f t="shared" si="42"/>
        <v/>
      </c>
      <c r="J1258" t="str">
        <f t="shared" si="42"/>
        <v/>
      </c>
      <c r="K1258" s="315" t="str">
        <f t="shared" si="48"/>
        <v/>
      </c>
      <c r="L1258" t="str">
        <f t="shared" si="43"/>
        <v/>
      </c>
      <c r="M1258" t="str">
        <f t="shared" si="43"/>
        <v/>
      </c>
      <c r="N1258" t="str">
        <f t="shared" si="43"/>
        <v/>
      </c>
      <c r="O1258" t="str">
        <f t="shared" si="43"/>
        <v/>
      </c>
      <c r="P1258" s="315" t="str">
        <f t="shared" si="49"/>
        <v/>
      </c>
      <c r="Q1258" t="str">
        <f t="shared" si="44"/>
        <v/>
      </c>
      <c r="R1258" t="str">
        <f t="shared" si="44"/>
        <v/>
      </c>
      <c r="S1258" t="str">
        <f t="shared" si="44"/>
        <v/>
      </c>
      <c r="T1258" t="str">
        <f t="shared" si="44"/>
        <v/>
      </c>
    </row>
    <row r="1259" spans="1:20">
      <c r="A1259" s="195">
        <f t="shared" si="45"/>
        <v>1</v>
      </c>
      <c r="B1259">
        <f t="shared" si="50"/>
        <v>72</v>
      </c>
      <c r="C1259" s="8" t="str">
        <f t="shared" si="46"/>
        <v/>
      </c>
      <c r="D1259" t="str">
        <f t="shared" si="41"/>
        <v/>
      </c>
      <c r="E1259" t="str">
        <f t="shared" si="41"/>
        <v/>
      </c>
      <c r="F1259" s="315" t="str">
        <f t="shared" si="47"/>
        <v/>
      </c>
      <c r="G1259" t="str">
        <f t="shared" si="42"/>
        <v/>
      </c>
      <c r="H1259" t="str">
        <f t="shared" si="42"/>
        <v/>
      </c>
      <c r="I1259" t="str">
        <f t="shared" si="42"/>
        <v/>
      </c>
      <c r="J1259" t="str">
        <f t="shared" si="42"/>
        <v/>
      </c>
      <c r="K1259" s="315" t="str">
        <f t="shared" si="48"/>
        <v/>
      </c>
      <c r="L1259" t="str">
        <f t="shared" si="43"/>
        <v/>
      </c>
      <c r="M1259" t="str">
        <f t="shared" si="43"/>
        <v/>
      </c>
      <c r="N1259" t="str">
        <f t="shared" si="43"/>
        <v/>
      </c>
      <c r="O1259" t="str">
        <f t="shared" si="43"/>
        <v/>
      </c>
      <c r="P1259" s="315" t="str">
        <f t="shared" si="49"/>
        <v/>
      </c>
      <c r="Q1259" t="str">
        <f t="shared" si="44"/>
        <v/>
      </c>
      <c r="R1259" t="str">
        <f t="shared" si="44"/>
        <v/>
      </c>
      <c r="S1259" t="str">
        <f t="shared" si="44"/>
        <v/>
      </c>
      <c r="T1259" t="str">
        <f t="shared" si="44"/>
        <v/>
      </c>
    </row>
    <row r="1260" spans="1:20">
      <c r="A1260" s="195">
        <f t="shared" si="45"/>
        <v>1</v>
      </c>
      <c r="B1260">
        <f t="shared" si="50"/>
        <v>73</v>
      </c>
      <c r="C1260" s="8" t="str">
        <f t="shared" si="46"/>
        <v/>
      </c>
      <c r="D1260" t="str">
        <f t="shared" si="41"/>
        <v/>
      </c>
      <c r="E1260" t="str">
        <f t="shared" si="41"/>
        <v/>
      </c>
      <c r="F1260" s="315" t="str">
        <f t="shared" si="47"/>
        <v/>
      </c>
      <c r="G1260" t="str">
        <f t="shared" si="42"/>
        <v/>
      </c>
      <c r="H1260" t="str">
        <f t="shared" si="42"/>
        <v/>
      </c>
      <c r="I1260" t="str">
        <f t="shared" si="42"/>
        <v/>
      </c>
      <c r="J1260" t="str">
        <f t="shared" si="42"/>
        <v/>
      </c>
      <c r="K1260" s="315" t="str">
        <f t="shared" si="48"/>
        <v/>
      </c>
      <c r="L1260" t="str">
        <f t="shared" si="43"/>
        <v/>
      </c>
      <c r="M1260" t="str">
        <f t="shared" si="43"/>
        <v/>
      </c>
      <c r="N1260" t="str">
        <f t="shared" si="43"/>
        <v/>
      </c>
      <c r="O1260" t="str">
        <f t="shared" si="43"/>
        <v/>
      </c>
      <c r="P1260" s="315" t="str">
        <f t="shared" si="49"/>
        <v/>
      </c>
      <c r="Q1260" t="str">
        <f t="shared" si="44"/>
        <v/>
      </c>
      <c r="R1260" t="str">
        <f t="shared" si="44"/>
        <v/>
      </c>
      <c r="S1260" t="str">
        <f t="shared" si="44"/>
        <v/>
      </c>
      <c r="T1260" t="str">
        <f t="shared" si="44"/>
        <v/>
      </c>
    </row>
    <row r="1261" spans="1:20">
      <c r="A1261" s="195">
        <f t="shared" si="45"/>
        <v>1</v>
      </c>
      <c r="B1261">
        <f t="shared" si="50"/>
        <v>74</v>
      </c>
      <c r="C1261" s="8" t="str">
        <f t="shared" si="46"/>
        <v/>
      </c>
      <c r="D1261" t="str">
        <f t="shared" si="41"/>
        <v/>
      </c>
      <c r="E1261" t="str">
        <f t="shared" si="41"/>
        <v/>
      </c>
      <c r="F1261" s="315" t="str">
        <f t="shared" si="47"/>
        <v/>
      </c>
      <c r="G1261" t="str">
        <f t="shared" si="42"/>
        <v/>
      </c>
      <c r="H1261" t="str">
        <f t="shared" si="42"/>
        <v/>
      </c>
      <c r="I1261" t="str">
        <f t="shared" si="42"/>
        <v/>
      </c>
      <c r="J1261" t="str">
        <f t="shared" si="42"/>
        <v/>
      </c>
      <c r="K1261" s="315" t="str">
        <f t="shared" si="48"/>
        <v/>
      </c>
      <c r="L1261" t="str">
        <f t="shared" si="43"/>
        <v/>
      </c>
      <c r="M1261" t="str">
        <f t="shared" si="43"/>
        <v/>
      </c>
      <c r="N1261" t="str">
        <f t="shared" si="43"/>
        <v/>
      </c>
      <c r="O1261" t="str">
        <f t="shared" si="43"/>
        <v/>
      </c>
      <c r="P1261" s="315" t="str">
        <f t="shared" si="49"/>
        <v/>
      </c>
      <c r="Q1261" t="str">
        <f t="shared" si="44"/>
        <v/>
      </c>
      <c r="R1261" t="str">
        <f t="shared" si="44"/>
        <v/>
      </c>
      <c r="S1261" t="str">
        <f t="shared" si="44"/>
        <v/>
      </c>
      <c r="T1261" t="str">
        <f t="shared" si="44"/>
        <v/>
      </c>
    </row>
    <row r="1262" spans="1:20">
      <c r="A1262" s="195">
        <f t="shared" si="45"/>
        <v>1</v>
      </c>
      <c r="B1262">
        <f t="shared" si="50"/>
        <v>75</v>
      </c>
      <c r="C1262" s="8" t="str">
        <f t="shared" si="46"/>
        <v/>
      </c>
      <c r="D1262" t="str">
        <f t="shared" si="41"/>
        <v/>
      </c>
      <c r="E1262" t="str">
        <f t="shared" si="41"/>
        <v/>
      </c>
      <c r="F1262" s="315" t="str">
        <f t="shared" si="47"/>
        <v/>
      </c>
      <c r="G1262" t="str">
        <f t="shared" si="42"/>
        <v/>
      </c>
      <c r="H1262" t="str">
        <f t="shared" si="42"/>
        <v/>
      </c>
      <c r="I1262" t="str">
        <f t="shared" si="42"/>
        <v/>
      </c>
      <c r="J1262" t="str">
        <f t="shared" si="42"/>
        <v/>
      </c>
      <c r="K1262" s="315" t="str">
        <f t="shared" si="48"/>
        <v/>
      </c>
      <c r="L1262" t="str">
        <f t="shared" si="43"/>
        <v/>
      </c>
      <c r="M1262" t="str">
        <f t="shared" si="43"/>
        <v/>
      </c>
      <c r="N1262" t="str">
        <f t="shared" si="43"/>
        <v/>
      </c>
      <c r="O1262" t="str">
        <f t="shared" si="43"/>
        <v/>
      </c>
      <c r="P1262" s="315" t="str">
        <f t="shared" si="49"/>
        <v/>
      </c>
      <c r="Q1262" t="str">
        <f t="shared" si="44"/>
        <v/>
      </c>
      <c r="R1262" t="str">
        <f t="shared" si="44"/>
        <v/>
      </c>
      <c r="S1262" t="str">
        <f t="shared" si="44"/>
        <v/>
      </c>
      <c r="T1262" t="str">
        <f t="shared" si="44"/>
        <v/>
      </c>
    </row>
    <row r="1263" spans="1:20">
      <c r="A1263" s="195">
        <f t="shared" si="45"/>
        <v>1</v>
      </c>
      <c r="B1263">
        <f t="shared" si="50"/>
        <v>76</v>
      </c>
      <c r="C1263" s="8" t="str">
        <f t="shared" si="46"/>
        <v/>
      </c>
      <c r="D1263" t="str">
        <f t="shared" si="41"/>
        <v/>
      </c>
      <c r="E1263" t="str">
        <f t="shared" si="41"/>
        <v/>
      </c>
      <c r="F1263" s="315" t="str">
        <f t="shared" si="47"/>
        <v/>
      </c>
      <c r="G1263" t="str">
        <f t="shared" si="42"/>
        <v/>
      </c>
      <c r="H1263" t="str">
        <f t="shared" si="42"/>
        <v/>
      </c>
      <c r="I1263" t="str">
        <f t="shared" si="42"/>
        <v/>
      </c>
      <c r="J1263" t="str">
        <f t="shared" si="42"/>
        <v/>
      </c>
      <c r="K1263" s="315" t="str">
        <f t="shared" si="48"/>
        <v/>
      </c>
      <c r="L1263" t="str">
        <f t="shared" si="43"/>
        <v/>
      </c>
      <c r="M1263" t="str">
        <f t="shared" si="43"/>
        <v/>
      </c>
      <c r="N1263" t="str">
        <f t="shared" si="43"/>
        <v/>
      </c>
      <c r="O1263" t="str">
        <f t="shared" si="43"/>
        <v/>
      </c>
      <c r="P1263" s="315" t="str">
        <f t="shared" si="49"/>
        <v/>
      </c>
      <c r="Q1263" t="str">
        <f t="shared" si="44"/>
        <v/>
      </c>
      <c r="R1263" t="str">
        <f t="shared" si="44"/>
        <v/>
      </c>
      <c r="S1263" t="str">
        <f t="shared" si="44"/>
        <v/>
      </c>
      <c r="T1263" t="str">
        <f t="shared" si="44"/>
        <v/>
      </c>
    </row>
    <row r="1264" spans="1:20">
      <c r="A1264" s="195">
        <f t="shared" si="45"/>
        <v>1</v>
      </c>
      <c r="B1264">
        <f t="shared" si="50"/>
        <v>77</v>
      </c>
      <c r="C1264" s="8" t="str">
        <f t="shared" si="46"/>
        <v/>
      </c>
      <c r="D1264" t="str">
        <f t="shared" si="41"/>
        <v/>
      </c>
      <c r="E1264" t="str">
        <f t="shared" si="41"/>
        <v/>
      </c>
      <c r="F1264" s="315" t="str">
        <f t="shared" si="47"/>
        <v/>
      </c>
      <c r="G1264" t="str">
        <f t="shared" si="42"/>
        <v/>
      </c>
      <c r="H1264" t="str">
        <f t="shared" si="42"/>
        <v/>
      </c>
      <c r="I1264" t="str">
        <f t="shared" si="42"/>
        <v/>
      </c>
      <c r="J1264" t="str">
        <f t="shared" si="42"/>
        <v/>
      </c>
      <c r="K1264" s="315" t="str">
        <f t="shared" si="48"/>
        <v/>
      </c>
      <c r="L1264" t="str">
        <f t="shared" si="43"/>
        <v/>
      </c>
      <c r="M1264" t="str">
        <f t="shared" si="43"/>
        <v/>
      </c>
      <c r="N1264" t="str">
        <f t="shared" si="43"/>
        <v/>
      </c>
      <c r="O1264" t="str">
        <f t="shared" si="43"/>
        <v/>
      </c>
      <c r="P1264" s="315" t="str">
        <f t="shared" si="49"/>
        <v/>
      </c>
      <c r="Q1264" t="str">
        <f t="shared" si="44"/>
        <v/>
      </c>
      <c r="R1264" t="str">
        <f t="shared" si="44"/>
        <v/>
      </c>
      <c r="S1264" t="str">
        <f t="shared" si="44"/>
        <v/>
      </c>
      <c r="T1264" t="str">
        <f t="shared" si="44"/>
        <v/>
      </c>
    </row>
    <row r="1265" spans="1:20">
      <c r="A1265" s="195">
        <f t="shared" si="45"/>
        <v>1</v>
      </c>
      <c r="B1265">
        <f t="shared" si="50"/>
        <v>78</v>
      </c>
      <c r="C1265" s="8" t="str">
        <f t="shared" si="46"/>
        <v/>
      </c>
      <c r="D1265" t="str">
        <f t="shared" si="41"/>
        <v/>
      </c>
      <c r="E1265" t="str">
        <f t="shared" si="41"/>
        <v/>
      </c>
      <c r="F1265" s="315" t="str">
        <f t="shared" si="47"/>
        <v/>
      </c>
      <c r="G1265" t="str">
        <f t="shared" si="42"/>
        <v/>
      </c>
      <c r="H1265" t="str">
        <f t="shared" si="42"/>
        <v/>
      </c>
      <c r="I1265" t="str">
        <f t="shared" si="42"/>
        <v/>
      </c>
      <c r="J1265" t="str">
        <f t="shared" si="42"/>
        <v/>
      </c>
      <c r="K1265" s="315" t="str">
        <f t="shared" si="48"/>
        <v/>
      </c>
      <c r="L1265" t="str">
        <f t="shared" si="43"/>
        <v/>
      </c>
      <c r="M1265" t="str">
        <f t="shared" si="43"/>
        <v/>
      </c>
      <c r="N1265" t="str">
        <f t="shared" si="43"/>
        <v/>
      </c>
      <c r="O1265" t="str">
        <f t="shared" si="43"/>
        <v/>
      </c>
      <c r="P1265" s="315" t="str">
        <f t="shared" si="49"/>
        <v/>
      </c>
      <c r="Q1265" t="str">
        <f t="shared" si="44"/>
        <v/>
      </c>
      <c r="R1265" t="str">
        <f t="shared" si="44"/>
        <v/>
      </c>
      <c r="S1265" t="str">
        <f t="shared" si="44"/>
        <v/>
      </c>
      <c r="T1265" t="str">
        <f t="shared" si="44"/>
        <v/>
      </c>
    </row>
    <row r="1266" spans="1:20">
      <c r="A1266" s="195">
        <f t="shared" si="45"/>
        <v>1</v>
      </c>
      <c r="B1266">
        <f t="shared" si="50"/>
        <v>79</v>
      </c>
      <c r="C1266" s="8" t="str">
        <f t="shared" si="46"/>
        <v/>
      </c>
      <c r="D1266" t="str">
        <f t="shared" si="41"/>
        <v/>
      </c>
      <c r="E1266" t="str">
        <f t="shared" si="41"/>
        <v/>
      </c>
      <c r="F1266" s="315" t="str">
        <f t="shared" si="47"/>
        <v/>
      </c>
      <c r="G1266" t="str">
        <f t="shared" si="42"/>
        <v/>
      </c>
      <c r="H1266" t="str">
        <f t="shared" si="42"/>
        <v/>
      </c>
      <c r="I1266" t="str">
        <f t="shared" si="42"/>
        <v/>
      </c>
      <c r="J1266" t="str">
        <f t="shared" si="42"/>
        <v/>
      </c>
      <c r="K1266" s="315" t="str">
        <f t="shared" si="48"/>
        <v/>
      </c>
      <c r="L1266" t="str">
        <f t="shared" si="43"/>
        <v/>
      </c>
      <c r="M1266" t="str">
        <f t="shared" si="43"/>
        <v/>
      </c>
      <c r="N1266" t="str">
        <f t="shared" si="43"/>
        <v/>
      </c>
      <c r="O1266" t="str">
        <f t="shared" si="43"/>
        <v/>
      </c>
      <c r="P1266" s="315" t="str">
        <f t="shared" si="49"/>
        <v/>
      </c>
      <c r="Q1266" t="str">
        <f t="shared" si="44"/>
        <v/>
      </c>
      <c r="R1266" t="str">
        <f t="shared" si="44"/>
        <v/>
      </c>
      <c r="S1266" t="str">
        <f t="shared" si="44"/>
        <v/>
      </c>
      <c r="T1266" t="str">
        <f t="shared" si="44"/>
        <v/>
      </c>
    </row>
    <row r="1267" spans="1:20">
      <c r="A1267" s="195">
        <f t="shared" si="45"/>
        <v>1</v>
      </c>
      <c r="B1267">
        <f t="shared" si="50"/>
        <v>80</v>
      </c>
      <c r="C1267" s="8" t="str">
        <f t="shared" si="46"/>
        <v/>
      </c>
      <c r="D1267" t="str">
        <f t="shared" si="41"/>
        <v/>
      </c>
      <c r="E1267" t="str">
        <f t="shared" si="41"/>
        <v/>
      </c>
      <c r="F1267" s="315" t="str">
        <f t="shared" si="47"/>
        <v/>
      </c>
      <c r="G1267" t="str">
        <f t="shared" si="42"/>
        <v/>
      </c>
      <c r="H1267" t="str">
        <f t="shared" si="42"/>
        <v/>
      </c>
      <c r="I1267" t="str">
        <f t="shared" si="42"/>
        <v/>
      </c>
      <c r="J1267" t="str">
        <f t="shared" si="42"/>
        <v/>
      </c>
      <c r="K1267" s="315" t="str">
        <f t="shared" si="48"/>
        <v/>
      </c>
      <c r="L1267" t="str">
        <f t="shared" si="43"/>
        <v/>
      </c>
      <c r="M1267" t="str">
        <f t="shared" si="43"/>
        <v/>
      </c>
      <c r="N1267" t="str">
        <f t="shared" si="43"/>
        <v/>
      </c>
      <c r="O1267" t="str">
        <f t="shared" si="43"/>
        <v/>
      </c>
      <c r="P1267" s="315" t="str">
        <f t="shared" si="49"/>
        <v/>
      </c>
      <c r="Q1267" t="str">
        <f t="shared" si="44"/>
        <v/>
      </c>
      <c r="R1267" t="str">
        <f t="shared" si="44"/>
        <v/>
      </c>
      <c r="S1267" t="str">
        <f t="shared" si="44"/>
        <v/>
      </c>
      <c r="T1267" t="str">
        <f t="shared" si="44"/>
        <v/>
      </c>
    </row>
    <row r="1268" spans="1:20">
      <c r="A1268" s="195">
        <f t="shared" si="45"/>
        <v>1</v>
      </c>
      <c r="B1268">
        <f t="shared" si="50"/>
        <v>81</v>
      </c>
      <c r="C1268" s="8" t="str">
        <f t="shared" si="46"/>
        <v/>
      </c>
      <c r="D1268" t="str">
        <f t="shared" ref="D1268:E1286" si="51">CONCATENATE(INDEX($B$1084:$T$1183, $A1268, D$1187))</f>
        <v/>
      </c>
      <c r="E1268" t="str">
        <f t="shared" si="51"/>
        <v/>
      </c>
      <c r="F1268" s="315" t="str">
        <f t="shared" si="47"/>
        <v/>
      </c>
      <c r="G1268" t="str">
        <f t="shared" ref="G1268:J1286" si="52">CONCATENATE(INDEX($B$1084:$T$1183, $A1268, G$1187))</f>
        <v/>
      </c>
      <c r="H1268" t="str">
        <f t="shared" si="52"/>
        <v/>
      </c>
      <c r="I1268" t="str">
        <f t="shared" si="52"/>
        <v/>
      </c>
      <c r="J1268" t="str">
        <f t="shared" si="52"/>
        <v/>
      </c>
      <c r="K1268" s="315" t="str">
        <f t="shared" si="48"/>
        <v/>
      </c>
      <c r="L1268" t="str">
        <f t="shared" ref="L1268:O1286" si="53">CONCATENATE(INDEX($B$1084:$T$1183, $A1268, L$1187))</f>
        <v/>
      </c>
      <c r="M1268" t="str">
        <f t="shared" si="53"/>
        <v/>
      </c>
      <c r="N1268" t="str">
        <f t="shared" si="53"/>
        <v/>
      </c>
      <c r="O1268" t="str">
        <f t="shared" si="53"/>
        <v/>
      </c>
      <c r="P1268" s="315" t="str">
        <f t="shared" si="49"/>
        <v/>
      </c>
      <c r="Q1268" t="str">
        <f t="shared" ref="Q1268:T1286" si="54">CONCATENATE(INDEX($B$1084:$T$1183, $A1268, Q$1187))</f>
        <v/>
      </c>
      <c r="R1268" t="str">
        <f t="shared" si="54"/>
        <v/>
      </c>
      <c r="S1268" t="str">
        <f t="shared" si="54"/>
        <v/>
      </c>
      <c r="T1268" t="str">
        <f t="shared" si="54"/>
        <v/>
      </c>
    </row>
    <row r="1269" spans="1:20">
      <c r="A1269" s="195">
        <f t="shared" si="45"/>
        <v>1</v>
      </c>
      <c r="B1269">
        <f t="shared" si="50"/>
        <v>82</v>
      </c>
      <c r="C1269" s="8" t="str">
        <f t="shared" si="46"/>
        <v/>
      </c>
      <c r="D1269" t="str">
        <f t="shared" si="51"/>
        <v/>
      </c>
      <c r="E1269" t="str">
        <f t="shared" si="51"/>
        <v/>
      </c>
      <c r="F1269" s="315" t="str">
        <f t="shared" si="47"/>
        <v/>
      </c>
      <c r="G1269" t="str">
        <f t="shared" si="52"/>
        <v/>
      </c>
      <c r="H1269" t="str">
        <f t="shared" si="52"/>
        <v/>
      </c>
      <c r="I1269" t="str">
        <f t="shared" si="52"/>
        <v/>
      </c>
      <c r="J1269" t="str">
        <f t="shared" si="52"/>
        <v/>
      </c>
      <c r="K1269" s="315" t="str">
        <f t="shared" si="48"/>
        <v/>
      </c>
      <c r="L1269" t="str">
        <f t="shared" si="53"/>
        <v/>
      </c>
      <c r="M1269" t="str">
        <f t="shared" si="53"/>
        <v/>
      </c>
      <c r="N1269" t="str">
        <f t="shared" si="53"/>
        <v/>
      </c>
      <c r="O1269" t="str">
        <f t="shared" si="53"/>
        <v/>
      </c>
      <c r="P1269" s="315" t="str">
        <f t="shared" si="49"/>
        <v/>
      </c>
      <c r="Q1269" t="str">
        <f t="shared" si="54"/>
        <v/>
      </c>
      <c r="R1269" t="str">
        <f t="shared" si="54"/>
        <v/>
      </c>
      <c r="S1269" t="str">
        <f t="shared" si="54"/>
        <v/>
      </c>
      <c r="T1269" t="str">
        <f t="shared" si="54"/>
        <v/>
      </c>
    </row>
    <row r="1270" spans="1:20">
      <c r="A1270" s="195">
        <f t="shared" si="45"/>
        <v>1</v>
      </c>
      <c r="B1270">
        <f t="shared" si="50"/>
        <v>83</v>
      </c>
      <c r="C1270" s="8" t="str">
        <f t="shared" si="46"/>
        <v/>
      </c>
      <c r="D1270" t="str">
        <f t="shared" si="51"/>
        <v/>
      </c>
      <c r="E1270" t="str">
        <f t="shared" si="51"/>
        <v/>
      </c>
      <c r="F1270" s="315" t="str">
        <f t="shared" si="47"/>
        <v/>
      </c>
      <c r="G1270" t="str">
        <f t="shared" si="52"/>
        <v/>
      </c>
      <c r="H1270" t="str">
        <f t="shared" si="52"/>
        <v/>
      </c>
      <c r="I1270" t="str">
        <f t="shared" si="52"/>
        <v/>
      </c>
      <c r="J1270" t="str">
        <f t="shared" si="52"/>
        <v/>
      </c>
      <c r="K1270" s="315" t="str">
        <f t="shared" si="48"/>
        <v/>
      </c>
      <c r="L1270" t="str">
        <f t="shared" si="53"/>
        <v/>
      </c>
      <c r="M1270" t="str">
        <f t="shared" si="53"/>
        <v/>
      </c>
      <c r="N1270" t="str">
        <f t="shared" si="53"/>
        <v/>
      </c>
      <c r="O1270" t="str">
        <f t="shared" si="53"/>
        <v/>
      </c>
      <c r="P1270" s="315" t="str">
        <f t="shared" si="49"/>
        <v/>
      </c>
      <c r="Q1270" t="str">
        <f t="shared" si="54"/>
        <v/>
      </c>
      <c r="R1270" t="str">
        <f t="shared" si="54"/>
        <v/>
      </c>
      <c r="S1270" t="str">
        <f t="shared" si="54"/>
        <v/>
      </c>
      <c r="T1270" t="str">
        <f t="shared" si="54"/>
        <v/>
      </c>
    </row>
    <row r="1271" spans="1:20">
      <c r="A1271" s="195">
        <f t="shared" si="45"/>
        <v>1</v>
      </c>
      <c r="B1271">
        <f t="shared" si="50"/>
        <v>84</v>
      </c>
      <c r="C1271" s="8" t="str">
        <f t="shared" si="46"/>
        <v/>
      </c>
      <c r="D1271" t="str">
        <f t="shared" si="51"/>
        <v/>
      </c>
      <c r="E1271" t="str">
        <f t="shared" si="51"/>
        <v/>
      </c>
      <c r="F1271" s="315" t="str">
        <f t="shared" si="47"/>
        <v/>
      </c>
      <c r="G1271" t="str">
        <f t="shared" si="52"/>
        <v/>
      </c>
      <c r="H1271" t="str">
        <f t="shared" si="52"/>
        <v/>
      </c>
      <c r="I1271" t="str">
        <f t="shared" si="52"/>
        <v/>
      </c>
      <c r="J1271" t="str">
        <f t="shared" si="52"/>
        <v/>
      </c>
      <c r="K1271" s="315" t="str">
        <f t="shared" si="48"/>
        <v/>
      </c>
      <c r="L1271" t="str">
        <f t="shared" si="53"/>
        <v/>
      </c>
      <c r="M1271" t="str">
        <f t="shared" si="53"/>
        <v/>
      </c>
      <c r="N1271" t="str">
        <f t="shared" si="53"/>
        <v/>
      </c>
      <c r="O1271" t="str">
        <f t="shared" si="53"/>
        <v/>
      </c>
      <c r="P1271" s="315" t="str">
        <f t="shared" si="49"/>
        <v/>
      </c>
      <c r="Q1271" t="str">
        <f t="shared" si="54"/>
        <v/>
      </c>
      <c r="R1271" t="str">
        <f t="shared" si="54"/>
        <v/>
      </c>
      <c r="S1271" t="str">
        <f t="shared" si="54"/>
        <v/>
      </c>
      <c r="T1271" t="str">
        <f t="shared" si="54"/>
        <v/>
      </c>
    </row>
    <row r="1272" spans="1:20">
      <c r="A1272" s="195">
        <f t="shared" si="45"/>
        <v>1</v>
      </c>
      <c r="B1272">
        <f t="shared" si="50"/>
        <v>85</v>
      </c>
      <c r="C1272" s="8" t="str">
        <f t="shared" si="46"/>
        <v/>
      </c>
      <c r="D1272" t="str">
        <f t="shared" si="51"/>
        <v/>
      </c>
      <c r="E1272" t="str">
        <f t="shared" si="51"/>
        <v/>
      </c>
      <c r="F1272" s="315" t="str">
        <f t="shared" si="47"/>
        <v/>
      </c>
      <c r="G1272" t="str">
        <f t="shared" si="52"/>
        <v/>
      </c>
      <c r="H1272" t="str">
        <f t="shared" si="52"/>
        <v/>
      </c>
      <c r="I1272" t="str">
        <f t="shared" si="52"/>
        <v/>
      </c>
      <c r="J1272" t="str">
        <f t="shared" si="52"/>
        <v/>
      </c>
      <c r="K1272" s="315" t="str">
        <f t="shared" si="48"/>
        <v/>
      </c>
      <c r="L1272" t="str">
        <f t="shared" si="53"/>
        <v/>
      </c>
      <c r="M1272" t="str">
        <f t="shared" si="53"/>
        <v/>
      </c>
      <c r="N1272" t="str">
        <f t="shared" si="53"/>
        <v/>
      </c>
      <c r="O1272" t="str">
        <f t="shared" si="53"/>
        <v/>
      </c>
      <c r="P1272" s="315" t="str">
        <f t="shared" si="49"/>
        <v/>
      </c>
      <c r="Q1272" t="str">
        <f t="shared" si="54"/>
        <v/>
      </c>
      <c r="R1272" t="str">
        <f t="shared" si="54"/>
        <v/>
      </c>
      <c r="S1272" t="str">
        <f t="shared" si="54"/>
        <v/>
      </c>
      <c r="T1272" t="str">
        <f t="shared" si="54"/>
        <v/>
      </c>
    </row>
    <row r="1273" spans="1:20">
      <c r="A1273" s="195">
        <f t="shared" si="45"/>
        <v>1</v>
      </c>
      <c r="B1273">
        <f t="shared" si="50"/>
        <v>86</v>
      </c>
      <c r="C1273" s="8" t="str">
        <f t="shared" si="46"/>
        <v/>
      </c>
      <c r="D1273" t="str">
        <f t="shared" si="51"/>
        <v/>
      </c>
      <c r="E1273" t="str">
        <f t="shared" si="51"/>
        <v/>
      </c>
      <c r="F1273" s="315" t="str">
        <f t="shared" si="47"/>
        <v/>
      </c>
      <c r="G1273" t="str">
        <f t="shared" si="52"/>
        <v/>
      </c>
      <c r="H1273" t="str">
        <f t="shared" si="52"/>
        <v/>
      </c>
      <c r="I1273" t="str">
        <f t="shared" si="52"/>
        <v/>
      </c>
      <c r="J1273" t="str">
        <f t="shared" si="52"/>
        <v/>
      </c>
      <c r="K1273" s="315" t="str">
        <f t="shared" si="48"/>
        <v/>
      </c>
      <c r="L1273" t="str">
        <f t="shared" si="53"/>
        <v/>
      </c>
      <c r="M1273" t="str">
        <f t="shared" si="53"/>
        <v/>
      </c>
      <c r="N1273" t="str">
        <f t="shared" si="53"/>
        <v/>
      </c>
      <c r="O1273" t="str">
        <f t="shared" si="53"/>
        <v/>
      </c>
      <c r="P1273" s="315" t="str">
        <f t="shared" si="49"/>
        <v/>
      </c>
      <c r="Q1273" t="str">
        <f t="shared" si="54"/>
        <v/>
      </c>
      <c r="R1273" t="str">
        <f t="shared" si="54"/>
        <v/>
      </c>
      <c r="S1273" t="str">
        <f t="shared" si="54"/>
        <v/>
      </c>
      <c r="T1273" t="str">
        <f t="shared" si="54"/>
        <v/>
      </c>
    </row>
    <row r="1274" spans="1:20">
      <c r="A1274" s="195">
        <f t="shared" si="45"/>
        <v>1</v>
      </c>
      <c r="B1274">
        <f t="shared" si="50"/>
        <v>87</v>
      </c>
      <c r="C1274" s="8" t="str">
        <f t="shared" si="46"/>
        <v/>
      </c>
      <c r="D1274" t="str">
        <f t="shared" si="51"/>
        <v/>
      </c>
      <c r="E1274" t="str">
        <f t="shared" si="51"/>
        <v/>
      </c>
      <c r="F1274" s="315" t="str">
        <f t="shared" si="47"/>
        <v/>
      </c>
      <c r="G1274" t="str">
        <f t="shared" si="52"/>
        <v/>
      </c>
      <c r="H1274" t="str">
        <f t="shared" si="52"/>
        <v/>
      </c>
      <c r="I1274" t="str">
        <f t="shared" si="52"/>
        <v/>
      </c>
      <c r="J1274" t="str">
        <f t="shared" si="52"/>
        <v/>
      </c>
      <c r="K1274" s="315" t="str">
        <f t="shared" si="48"/>
        <v/>
      </c>
      <c r="L1274" t="str">
        <f t="shared" si="53"/>
        <v/>
      </c>
      <c r="M1274" t="str">
        <f t="shared" si="53"/>
        <v/>
      </c>
      <c r="N1274" t="str">
        <f t="shared" si="53"/>
        <v/>
      </c>
      <c r="O1274" t="str">
        <f t="shared" si="53"/>
        <v/>
      </c>
      <c r="P1274" s="315" t="str">
        <f t="shared" si="49"/>
        <v/>
      </c>
      <c r="Q1274" t="str">
        <f t="shared" si="54"/>
        <v/>
      </c>
      <c r="R1274" t="str">
        <f t="shared" si="54"/>
        <v/>
      </c>
      <c r="S1274" t="str">
        <f t="shared" si="54"/>
        <v/>
      </c>
      <c r="T1274" t="str">
        <f t="shared" si="54"/>
        <v/>
      </c>
    </row>
    <row r="1275" spans="1:20">
      <c r="A1275" s="195">
        <f t="shared" si="45"/>
        <v>1</v>
      </c>
      <c r="B1275">
        <f t="shared" si="50"/>
        <v>88</v>
      </c>
      <c r="C1275" s="8" t="str">
        <f t="shared" si="46"/>
        <v/>
      </c>
      <c r="D1275" t="str">
        <f t="shared" si="51"/>
        <v/>
      </c>
      <c r="E1275" t="str">
        <f t="shared" si="51"/>
        <v/>
      </c>
      <c r="F1275" s="315" t="str">
        <f t="shared" si="47"/>
        <v/>
      </c>
      <c r="G1275" t="str">
        <f t="shared" si="52"/>
        <v/>
      </c>
      <c r="H1275" t="str">
        <f t="shared" si="52"/>
        <v/>
      </c>
      <c r="I1275" t="str">
        <f t="shared" si="52"/>
        <v/>
      </c>
      <c r="J1275" t="str">
        <f t="shared" si="52"/>
        <v/>
      </c>
      <c r="K1275" s="315" t="str">
        <f t="shared" si="48"/>
        <v/>
      </c>
      <c r="L1275" t="str">
        <f t="shared" si="53"/>
        <v/>
      </c>
      <c r="M1275" t="str">
        <f t="shared" si="53"/>
        <v/>
      </c>
      <c r="N1275" t="str">
        <f t="shared" si="53"/>
        <v/>
      </c>
      <c r="O1275" t="str">
        <f t="shared" si="53"/>
        <v/>
      </c>
      <c r="P1275" s="315" t="str">
        <f t="shared" si="49"/>
        <v/>
      </c>
      <c r="Q1275" t="str">
        <f t="shared" si="54"/>
        <v/>
      </c>
      <c r="R1275" t="str">
        <f t="shared" si="54"/>
        <v/>
      </c>
      <c r="S1275" t="str">
        <f t="shared" si="54"/>
        <v/>
      </c>
      <c r="T1275" t="str">
        <f t="shared" si="54"/>
        <v/>
      </c>
    </row>
    <row r="1276" spans="1:20">
      <c r="A1276" s="195">
        <f t="shared" si="45"/>
        <v>1</v>
      </c>
      <c r="B1276">
        <f t="shared" si="50"/>
        <v>89</v>
      </c>
      <c r="C1276" s="8" t="str">
        <f t="shared" si="46"/>
        <v/>
      </c>
      <c r="D1276" t="str">
        <f t="shared" si="51"/>
        <v/>
      </c>
      <c r="E1276" t="str">
        <f t="shared" si="51"/>
        <v/>
      </c>
      <c r="F1276" s="315" t="str">
        <f t="shared" si="47"/>
        <v/>
      </c>
      <c r="G1276" t="str">
        <f t="shared" si="52"/>
        <v/>
      </c>
      <c r="H1276" t="str">
        <f t="shared" si="52"/>
        <v/>
      </c>
      <c r="I1276" t="str">
        <f t="shared" si="52"/>
        <v/>
      </c>
      <c r="J1276" t="str">
        <f t="shared" si="52"/>
        <v/>
      </c>
      <c r="K1276" s="315" t="str">
        <f t="shared" si="48"/>
        <v/>
      </c>
      <c r="L1276" t="str">
        <f t="shared" si="53"/>
        <v/>
      </c>
      <c r="M1276" t="str">
        <f t="shared" si="53"/>
        <v/>
      </c>
      <c r="N1276" t="str">
        <f t="shared" si="53"/>
        <v/>
      </c>
      <c r="O1276" t="str">
        <f t="shared" si="53"/>
        <v/>
      </c>
      <c r="P1276" s="315" t="str">
        <f t="shared" si="49"/>
        <v/>
      </c>
      <c r="Q1276" t="str">
        <f t="shared" si="54"/>
        <v/>
      </c>
      <c r="R1276" t="str">
        <f t="shared" si="54"/>
        <v/>
      </c>
      <c r="S1276" t="str">
        <f t="shared" si="54"/>
        <v/>
      </c>
      <c r="T1276" t="str">
        <f t="shared" si="54"/>
        <v/>
      </c>
    </row>
    <row r="1277" spans="1:20">
      <c r="A1277" s="195">
        <f t="shared" si="45"/>
        <v>1</v>
      </c>
      <c r="B1277">
        <f t="shared" si="50"/>
        <v>90</v>
      </c>
      <c r="C1277" s="8" t="str">
        <f t="shared" si="46"/>
        <v/>
      </c>
      <c r="D1277" t="str">
        <f t="shared" si="51"/>
        <v/>
      </c>
      <c r="E1277" t="str">
        <f t="shared" si="51"/>
        <v/>
      </c>
      <c r="F1277" s="315" t="str">
        <f t="shared" si="47"/>
        <v/>
      </c>
      <c r="G1277" t="str">
        <f t="shared" si="52"/>
        <v/>
      </c>
      <c r="H1277" t="str">
        <f t="shared" si="52"/>
        <v/>
      </c>
      <c r="I1277" t="str">
        <f t="shared" si="52"/>
        <v/>
      </c>
      <c r="J1277" t="str">
        <f t="shared" si="52"/>
        <v/>
      </c>
      <c r="K1277" s="315" t="str">
        <f t="shared" si="48"/>
        <v/>
      </c>
      <c r="L1277" t="str">
        <f t="shared" si="53"/>
        <v/>
      </c>
      <c r="M1277" t="str">
        <f t="shared" si="53"/>
        <v/>
      </c>
      <c r="N1277" t="str">
        <f t="shared" si="53"/>
        <v/>
      </c>
      <c r="O1277" t="str">
        <f t="shared" si="53"/>
        <v/>
      </c>
      <c r="P1277" s="315" t="str">
        <f t="shared" si="49"/>
        <v/>
      </c>
      <c r="Q1277" t="str">
        <f t="shared" si="54"/>
        <v/>
      </c>
      <c r="R1277" t="str">
        <f t="shared" si="54"/>
        <v/>
      </c>
      <c r="S1277" t="str">
        <f t="shared" si="54"/>
        <v/>
      </c>
      <c r="T1277" t="str">
        <f t="shared" si="54"/>
        <v/>
      </c>
    </row>
    <row r="1278" spans="1:20">
      <c r="A1278" s="195">
        <f t="shared" si="45"/>
        <v>1</v>
      </c>
      <c r="B1278">
        <f t="shared" si="50"/>
        <v>91</v>
      </c>
      <c r="C1278" s="8" t="str">
        <f t="shared" si="46"/>
        <v/>
      </c>
      <c r="D1278" t="str">
        <f t="shared" si="51"/>
        <v/>
      </c>
      <c r="E1278" t="str">
        <f t="shared" si="51"/>
        <v/>
      </c>
      <c r="F1278" s="315" t="str">
        <f t="shared" si="47"/>
        <v/>
      </c>
      <c r="G1278" t="str">
        <f t="shared" si="52"/>
        <v/>
      </c>
      <c r="H1278" t="str">
        <f t="shared" si="52"/>
        <v/>
      </c>
      <c r="I1278" t="str">
        <f t="shared" si="52"/>
        <v/>
      </c>
      <c r="J1278" t="str">
        <f t="shared" si="52"/>
        <v/>
      </c>
      <c r="K1278" s="315" t="str">
        <f t="shared" si="48"/>
        <v/>
      </c>
      <c r="L1278" t="str">
        <f t="shared" si="53"/>
        <v/>
      </c>
      <c r="M1278" t="str">
        <f t="shared" si="53"/>
        <v/>
      </c>
      <c r="N1278" t="str">
        <f t="shared" si="53"/>
        <v/>
      </c>
      <c r="O1278" t="str">
        <f t="shared" si="53"/>
        <v/>
      </c>
      <c r="P1278" s="315" t="str">
        <f t="shared" si="49"/>
        <v/>
      </c>
      <c r="Q1278" t="str">
        <f t="shared" si="54"/>
        <v/>
      </c>
      <c r="R1278" t="str">
        <f t="shared" si="54"/>
        <v/>
      </c>
      <c r="S1278" t="str">
        <f t="shared" si="54"/>
        <v/>
      </c>
      <c r="T1278" t="str">
        <f t="shared" si="54"/>
        <v/>
      </c>
    </row>
    <row r="1279" spans="1:20">
      <c r="A1279" s="195">
        <f t="shared" si="45"/>
        <v>1</v>
      </c>
      <c r="B1279">
        <f t="shared" si="50"/>
        <v>92</v>
      </c>
      <c r="C1279" s="8" t="str">
        <f t="shared" si="46"/>
        <v/>
      </c>
      <c r="D1279" t="str">
        <f t="shared" si="51"/>
        <v/>
      </c>
      <c r="E1279" t="str">
        <f t="shared" si="51"/>
        <v/>
      </c>
      <c r="F1279" s="315" t="str">
        <f t="shared" si="47"/>
        <v/>
      </c>
      <c r="G1279" t="str">
        <f t="shared" si="52"/>
        <v/>
      </c>
      <c r="H1279" t="str">
        <f t="shared" si="52"/>
        <v/>
      </c>
      <c r="I1279" t="str">
        <f t="shared" si="52"/>
        <v/>
      </c>
      <c r="J1279" t="str">
        <f t="shared" si="52"/>
        <v/>
      </c>
      <c r="K1279" s="315" t="str">
        <f t="shared" si="48"/>
        <v/>
      </c>
      <c r="L1279" t="str">
        <f t="shared" si="53"/>
        <v/>
      </c>
      <c r="M1279" t="str">
        <f t="shared" si="53"/>
        <v/>
      </c>
      <c r="N1279" t="str">
        <f t="shared" si="53"/>
        <v/>
      </c>
      <c r="O1279" t="str">
        <f t="shared" si="53"/>
        <v/>
      </c>
      <c r="P1279" s="315" t="str">
        <f t="shared" si="49"/>
        <v/>
      </c>
      <c r="Q1279" t="str">
        <f t="shared" si="54"/>
        <v/>
      </c>
      <c r="R1279" t="str">
        <f t="shared" si="54"/>
        <v/>
      </c>
      <c r="S1279" t="str">
        <f t="shared" si="54"/>
        <v/>
      </c>
      <c r="T1279" t="str">
        <f t="shared" si="54"/>
        <v/>
      </c>
    </row>
    <row r="1280" spans="1:20">
      <c r="A1280" s="195">
        <f t="shared" si="45"/>
        <v>1</v>
      </c>
      <c r="B1280">
        <f t="shared" si="50"/>
        <v>93</v>
      </c>
      <c r="C1280" s="8" t="str">
        <f t="shared" si="46"/>
        <v/>
      </c>
      <c r="D1280" t="str">
        <f t="shared" si="51"/>
        <v/>
      </c>
      <c r="E1280" t="str">
        <f t="shared" si="51"/>
        <v/>
      </c>
      <c r="F1280" s="315" t="str">
        <f t="shared" si="47"/>
        <v/>
      </c>
      <c r="G1280" t="str">
        <f t="shared" si="52"/>
        <v/>
      </c>
      <c r="H1280" t="str">
        <f t="shared" si="52"/>
        <v/>
      </c>
      <c r="I1280" t="str">
        <f t="shared" si="52"/>
        <v/>
      </c>
      <c r="J1280" t="str">
        <f t="shared" si="52"/>
        <v/>
      </c>
      <c r="K1280" s="315" t="str">
        <f t="shared" si="48"/>
        <v/>
      </c>
      <c r="L1280" t="str">
        <f t="shared" si="53"/>
        <v/>
      </c>
      <c r="M1280" t="str">
        <f t="shared" si="53"/>
        <v/>
      </c>
      <c r="N1280" t="str">
        <f t="shared" si="53"/>
        <v/>
      </c>
      <c r="O1280" t="str">
        <f t="shared" si="53"/>
        <v/>
      </c>
      <c r="P1280" s="315" t="str">
        <f t="shared" si="49"/>
        <v/>
      </c>
      <c r="Q1280" t="str">
        <f t="shared" si="54"/>
        <v/>
      </c>
      <c r="R1280" t="str">
        <f t="shared" si="54"/>
        <v/>
      </c>
      <c r="S1280" t="str">
        <f t="shared" si="54"/>
        <v/>
      </c>
      <c r="T1280" t="str">
        <f t="shared" si="54"/>
        <v/>
      </c>
    </row>
    <row r="1281" spans="1:20">
      <c r="A1281" s="195">
        <f t="shared" si="45"/>
        <v>1</v>
      </c>
      <c r="B1281">
        <f t="shared" si="50"/>
        <v>94</v>
      </c>
      <c r="C1281" s="8" t="str">
        <f t="shared" si="46"/>
        <v/>
      </c>
      <c r="D1281" t="str">
        <f t="shared" si="51"/>
        <v/>
      </c>
      <c r="E1281" t="str">
        <f t="shared" si="51"/>
        <v/>
      </c>
      <c r="F1281" s="315" t="str">
        <f t="shared" si="47"/>
        <v/>
      </c>
      <c r="G1281" t="str">
        <f t="shared" si="52"/>
        <v/>
      </c>
      <c r="H1281" t="str">
        <f t="shared" si="52"/>
        <v/>
      </c>
      <c r="I1281" t="str">
        <f t="shared" si="52"/>
        <v/>
      </c>
      <c r="J1281" t="str">
        <f t="shared" si="52"/>
        <v/>
      </c>
      <c r="K1281" s="315" t="str">
        <f t="shared" si="48"/>
        <v/>
      </c>
      <c r="L1281" t="str">
        <f t="shared" si="53"/>
        <v/>
      </c>
      <c r="M1281" t="str">
        <f t="shared" si="53"/>
        <v/>
      </c>
      <c r="N1281" t="str">
        <f t="shared" si="53"/>
        <v/>
      </c>
      <c r="O1281" t="str">
        <f t="shared" si="53"/>
        <v/>
      </c>
      <c r="P1281" s="315" t="str">
        <f t="shared" si="49"/>
        <v/>
      </c>
      <c r="Q1281" t="str">
        <f t="shared" si="54"/>
        <v/>
      </c>
      <c r="R1281" t="str">
        <f t="shared" si="54"/>
        <v/>
      </c>
      <c r="S1281" t="str">
        <f t="shared" si="54"/>
        <v/>
      </c>
      <c r="T1281" t="str">
        <f t="shared" si="54"/>
        <v/>
      </c>
    </row>
    <row r="1282" spans="1:20">
      <c r="A1282" s="195">
        <f t="shared" si="45"/>
        <v>1</v>
      </c>
      <c r="B1282">
        <f t="shared" si="50"/>
        <v>95</v>
      </c>
      <c r="C1282" s="8" t="str">
        <f t="shared" si="46"/>
        <v/>
      </c>
      <c r="D1282" t="str">
        <f t="shared" si="51"/>
        <v/>
      </c>
      <c r="E1282" t="str">
        <f t="shared" si="51"/>
        <v/>
      </c>
      <c r="F1282" s="315" t="str">
        <f t="shared" si="47"/>
        <v/>
      </c>
      <c r="G1282" t="str">
        <f t="shared" si="52"/>
        <v/>
      </c>
      <c r="H1282" t="str">
        <f t="shared" si="52"/>
        <v/>
      </c>
      <c r="I1282" t="str">
        <f t="shared" si="52"/>
        <v/>
      </c>
      <c r="J1282" t="str">
        <f t="shared" si="52"/>
        <v/>
      </c>
      <c r="K1282" s="315" t="str">
        <f t="shared" si="48"/>
        <v/>
      </c>
      <c r="L1282" t="str">
        <f t="shared" si="53"/>
        <v/>
      </c>
      <c r="M1282" t="str">
        <f t="shared" si="53"/>
        <v/>
      </c>
      <c r="N1282" t="str">
        <f t="shared" si="53"/>
        <v/>
      </c>
      <c r="O1282" t="str">
        <f t="shared" si="53"/>
        <v/>
      </c>
      <c r="P1282" s="315" t="str">
        <f t="shared" si="49"/>
        <v/>
      </c>
      <c r="Q1282" t="str">
        <f t="shared" si="54"/>
        <v/>
      </c>
      <c r="R1282" t="str">
        <f t="shared" si="54"/>
        <v/>
      </c>
      <c r="S1282" t="str">
        <f t="shared" si="54"/>
        <v/>
      </c>
      <c r="T1282" t="str">
        <f t="shared" si="54"/>
        <v/>
      </c>
    </row>
    <row r="1283" spans="1:20">
      <c r="A1283" s="195">
        <f t="shared" si="45"/>
        <v>1</v>
      </c>
      <c r="B1283">
        <f t="shared" si="50"/>
        <v>96</v>
      </c>
      <c r="C1283" s="8" t="str">
        <f t="shared" si="46"/>
        <v/>
      </c>
      <c r="D1283" t="str">
        <f t="shared" si="51"/>
        <v/>
      </c>
      <c r="E1283" t="str">
        <f t="shared" si="51"/>
        <v/>
      </c>
      <c r="F1283" s="315" t="str">
        <f t="shared" si="47"/>
        <v/>
      </c>
      <c r="G1283" t="str">
        <f t="shared" si="52"/>
        <v/>
      </c>
      <c r="H1283" t="str">
        <f t="shared" si="52"/>
        <v/>
      </c>
      <c r="I1283" t="str">
        <f t="shared" si="52"/>
        <v/>
      </c>
      <c r="J1283" t="str">
        <f t="shared" si="52"/>
        <v/>
      </c>
      <c r="K1283" s="315" t="str">
        <f t="shared" si="48"/>
        <v/>
      </c>
      <c r="L1283" t="str">
        <f t="shared" si="53"/>
        <v/>
      </c>
      <c r="M1283" t="str">
        <f t="shared" si="53"/>
        <v/>
      </c>
      <c r="N1283" t="str">
        <f t="shared" si="53"/>
        <v/>
      </c>
      <c r="O1283" t="str">
        <f t="shared" si="53"/>
        <v/>
      </c>
      <c r="P1283" s="315" t="str">
        <f t="shared" si="49"/>
        <v/>
      </c>
      <c r="Q1283" t="str">
        <f t="shared" si="54"/>
        <v/>
      </c>
      <c r="R1283" t="str">
        <f t="shared" si="54"/>
        <v/>
      </c>
      <c r="S1283" t="str">
        <f t="shared" si="54"/>
        <v/>
      </c>
      <c r="T1283" t="str">
        <f t="shared" si="54"/>
        <v/>
      </c>
    </row>
    <row r="1284" spans="1:20">
      <c r="A1284" s="195">
        <f t="shared" si="45"/>
        <v>1</v>
      </c>
      <c r="B1284">
        <f t="shared" si="50"/>
        <v>97</v>
      </c>
      <c r="C1284" s="8" t="str">
        <f t="shared" si="46"/>
        <v/>
      </c>
      <c r="D1284" t="str">
        <f t="shared" si="51"/>
        <v/>
      </c>
      <c r="E1284" t="str">
        <f t="shared" si="51"/>
        <v/>
      </c>
      <c r="F1284" s="315" t="str">
        <f t="shared" si="47"/>
        <v/>
      </c>
      <c r="G1284" t="str">
        <f t="shared" si="52"/>
        <v/>
      </c>
      <c r="H1284" t="str">
        <f t="shared" si="52"/>
        <v/>
      </c>
      <c r="I1284" t="str">
        <f t="shared" si="52"/>
        <v/>
      </c>
      <c r="J1284" t="str">
        <f t="shared" si="52"/>
        <v/>
      </c>
      <c r="K1284" s="315" t="str">
        <f t="shared" si="48"/>
        <v/>
      </c>
      <c r="L1284" t="str">
        <f t="shared" si="53"/>
        <v/>
      </c>
      <c r="M1284" t="str">
        <f t="shared" si="53"/>
        <v/>
      </c>
      <c r="N1284" t="str">
        <f t="shared" si="53"/>
        <v/>
      </c>
      <c r="O1284" t="str">
        <f t="shared" si="53"/>
        <v/>
      </c>
      <c r="P1284" s="315" t="str">
        <f t="shared" si="49"/>
        <v/>
      </c>
      <c r="Q1284" t="str">
        <f t="shared" si="54"/>
        <v/>
      </c>
      <c r="R1284" t="str">
        <f t="shared" si="54"/>
        <v/>
      </c>
      <c r="S1284" t="str">
        <f t="shared" si="54"/>
        <v/>
      </c>
      <c r="T1284" t="str">
        <f t="shared" si="54"/>
        <v/>
      </c>
    </row>
    <row r="1285" spans="1:20">
      <c r="A1285" s="195">
        <f t="shared" si="45"/>
        <v>1</v>
      </c>
      <c r="B1285">
        <f t="shared" si="50"/>
        <v>98</v>
      </c>
      <c r="C1285" s="8" t="str">
        <f t="shared" si="46"/>
        <v/>
      </c>
      <c r="D1285" t="str">
        <f t="shared" si="51"/>
        <v/>
      </c>
      <c r="E1285" t="str">
        <f t="shared" si="51"/>
        <v/>
      </c>
      <c r="F1285" s="315" t="str">
        <f t="shared" si="47"/>
        <v/>
      </c>
      <c r="G1285" t="str">
        <f t="shared" si="52"/>
        <v/>
      </c>
      <c r="H1285" t="str">
        <f t="shared" si="52"/>
        <v/>
      </c>
      <c r="I1285" t="str">
        <f t="shared" si="52"/>
        <v/>
      </c>
      <c r="J1285" t="str">
        <f t="shared" si="52"/>
        <v/>
      </c>
      <c r="K1285" s="315" t="str">
        <f t="shared" si="48"/>
        <v/>
      </c>
      <c r="L1285" t="str">
        <f t="shared" si="53"/>
        <v/>
      </c>
      <c r="M1285" t="str">
        <f t="shared" si="53"/>
        <v/>
      </c>
      <c r="N1285" t="str">
        <f t="shared" si="53"/>
        <v/>
      </c>
      <c r="O1285" t="str">
        <f t="shared" si="53"/>
        <v/>
      </c>
      <c r="P1285" s="315" t="str">
        <f t="shared" si="49"/>
        <v/>
      </c>
      <c r="Q1285" t="str">
        <f t="shared" si="54"/>
        <v/>
      </c>
      <c r="R1285" t="str">
        <f t="shared" si="54"/>
        <v/>
      </c>
      <c r="S1285" t="str">
        <f t="shared" si="54"/>
        <v/>
      </c>
      <c r="T1285" t="str">
        <f t="shared" si="54"/>
        <v/>
      </c>
    </row>
    <row r="1286" spans="1:20">
      <c r="A1286" s="195">
        <f t="shared" si="45"/>
        <v>1</v>
      </c>
      <c r="B1286">
        <f t="shared" si="50"/>
        <v>99</v>
      </c>
      <c r="C1286" s="8" t="str">
        <f t="shared" si="46"/>
        <v/>
      </c>
      <c r="D1286" t="str">
        <f t="shared" si="51"/>
        <v/>
      </c>
      <c r="E1286" t="str">
        <f t="shared" si="51"/>
        <v/>
      </c>
      <c r="F1286" s="315" t="str">
        <f t="shared" si="47"/>
        <v/>
      </c>
      <c r="G1286" t="str">
        <f t="shared" si="52"/>
        <v/>
      </c>
      <c r="H1286" t="str">
        <f t="shared" si="52"/>
        <v/>
      </c>
      <c r="I1286" t="str">
        <f t="shared" si="52"/>
        <v/>
      </c>
      <c r="J1286" t="str">
        <f t="shared" si="52"/>
        <v/>
      </c>
      <c r="K1286" s="315" t="str">
        <f t="shared" si="48"/>
        <v/>
      </c>
      <c r="L1286" t="str">
        <f t="shared" si="53"/>
        <v/>
      </c>
      <c r="M1286" t="str">
        <f t="shared" si="53"/>
        <v/>
      </c>
      <c r="N1286" t="str">
        <f t="shared" si="53"/>
        <v/>
      </c>
      <c r="O1286" t="str">
        <f t="shared" si="53"/>
        <v/>
      </c>
      <c r="P1286" s="315" t="str">
        <f t="shared" si="49"/>
        <v/>
      </c>
      <c r="Q1286" t="str">
        <f t="shared" si="54"/>
        <v/>
      </c>
      <c r="R1286" t="str">
        <f t="shared" si="54"/>
        <v/>
      </c>
      <c r="S1286" t="str">
        <f t="shared" si="54"/>
        <v/>
      </c>
      <c r="T1286" t="str">
        <f t="shared" si="54"/>
        <v/>
      </c>
    </row>
    <row r="1340" spans="2:4">
      <c r="B1340" t="s">
        <v>2548</v>
      </c>
      <c r="D1340" t="s">
        <v>2565</v>
      </c>
    </row>
    <row r="1341" spans="2:4">
      <c r="B1341" t="s">
        <v>1636</v>
      </c>
      <c r="D1341" t="s">
        <v>2566</v>
      </c>
    </row>
    <row r="1342" spans="2:4">
      <c r="B1342" t="s">
        <v>2489</v>
      </c>
      <c r="D1342" t="s">
        <v>2567</v>
      </c>
    </row>
    <row r="1343" spans="2:4">
      <c r="B1343" t="s">
        <v>2549</v>
      </c>
      <c r="D1343" t="s">
        <v>2568</v>
      </c>
    </row>
    <row r="1344" spans="2:4">
      <c r="B1344" t="s">
        <v>2550</v>
      </c>
      <c r="D1344" t="s">
        <v>2569</v>
      </c>
    </row>
    <row r="1345" spans="1:4">
      <c r="B1345" t="s">
        <v>2551</v>
      </c>
      <c r="D1345" t="s">
        <v>2570</v>
      </c>
    </row>
    <row r="1346" spans="1:4">
      <c r="B1346" t="s">
        <v>2552</v>
      </c>
      <c r="D1346" t="s">
        <v>2571</v>
      </c>
    </row>
    <row r="1347" spans="1:4">
      <c r="B1347" t="s">
        <v>2553</v>
      </c>
      <c r="D1347" t="s">
        <v>2572</v>
      </c>
    </row>
    <row r="1348" spans="1:4">
      <c r="B1348" t="s">
        <v>2554</v>
      </c>
      <c r="D1348" t="s">
        <v>2573</v>
      </c>
    </row>
    <row r="1349" spans="1:4">
      <c r="B1349" t="s">
        <v>2555</v>
      </c>
      <c r="D1349" t="s">
        <v>2574</v>
      </c>
    </row>
    <row r="1350" spans="1:4">
      <c r="B1350" t="s">
        <v>2556</v>
      </c>
      <c r="D1350" t="s">
        <v>2575</v>
      </c>
    </row>
    <row r="1351" spans="1:4">
      <c r="B1351" t="s">
        <v>2557</v>
      </c>
      <c r="D1351" t="s">
        <v>2576</v>
      </c>
    </row>
    <row r="1352" spans="1:4">
      <c r="B1352" t="s">
        <v>2558</v>
      </c>
      <c r="D1352" t="s">
        <v>2577</v>
      </c>
    </row>
    <row r="1353" spans="1:4">
      <c r="B1353" t="s">
        <v>2559</v>
      </c>
      <c r="D1353" t="s">
        <v>2578</v>
      </c>
    </row>
    <row r="1354" spans="1:4">
      <c r="B1354" s="123" t="s">
        <v>2560</v>
      </c>
      <c r="D1354" t="s">
        <v>2579</v>
      </c>
    </row>
    <row r="1355" spans="1:4">
      <c r="B1355" s="123" t="s">
        <v>2561</v>
      </c>
      <c r="D1355" t="s">
        <v>2580</v>
      </c>
    </row>
    <row r="1356" spans="1:4">
      <c r="B1356" s="123" t="s">
        <v>2562</v>
      </c>
      <c r="D1356" t="s">
        <v>2581</v>
      </c>
    </row>
    <row r="1357" spans="1:4">
      <c r="B1357" s="123" t="s">
        <v>2563</v>
      </c>
      <c r="D1357" t="s">
        <v>2582</v>
      </c>
    </row>
    <row r="1358" spans="1:4">
      <c r="B1358" s="123"/>
    </row>
    <row r="1359" spans="1:4">
      <c r="A1359" t="s">
        <v>2583</v>
      </c>
      <c r="B1359" s="123" t="s">
        <v>608</v>
      </c>
    </row>
    <row r="1360" spans="1:4">
      <c r="A1360" t="s">
        <v>2584</v>
      </c>
      <c r="B1360" s="352" t="s">
        <v>609</v>
      </c>
      <c r="C1360">
        <f>Amenities!B4</f>
        <v>0</v>
      </c>
      <c r="D1360" s="444" t="b">
        <f>IF(C1360="YES",TRUE, IF(C1360="No",FALSE))</f>
        <v>0</v>
      </c>
    </row>
    <row r="1361" spans="1:4">
      <c r="A1361" t="s">
        <v>2585</v>
      </c>
      <c r="B1361" s="352" t="s">
        <v>610</v>
      </c>
      <c r="C1361">
        <f>Amenities!B5</f>
        <v>0</v>
      </c>
      <c r="D1361" s="444" t="b">
        <f>IF(C1361="YES",TRUE, IF(C1361="No",FALSE))</f>
        <v>0</v>
      </c>
    </row>
    <row r="1362" spans="1:4">
      <c r="A1362" t="s">
        <v>2586</v>
      </c>
      <c r="B1362" s="352" t="s">
        <v>611</v>
      </c>
      <c r="C1362">
        <f>Amenities!B6</f>
        <v>0</v>
      </c>
      <c r="D1362" s="444" t="b">
        <f>IF(C1362="YES",TRUE, IF(C1362="No",FALSE))</f>
        <v>0</v>
      </c>
    </row>
    <row r="1363" spans="1:4">
      <c r="A1363" t="s">
        <v>2587</v>
      </c>
      <c r="B1363" s="352" t="s">
        <v>612</v>
      </c>
      <c r="C1363">
        <f>Amenities!B7</f>
        <v>0</v>
      </c>
      <c r="D1363" s="444" t="b">
        <f>IF(C1363="YES",TRUE, IF(C1363="No",FALSE))</f>
        <v>0</v>
      </c>
    </row>
    <row r="1364" spans="1:4">
      <c r="A1364" t="s">
        <v>2588</v>
      </c>
      <c r="B1364" s="352" t="s">
        <v>613</v>
      </c>
      <c r="C1364">
        <f>Amenities!B8</f>
        <v>0</v>
      </c>
      <c r="D1364" s="444" t="b">
        <f t="shared" ref="D1364:D1436" si="55">IF(C1364="YES",TRUE, IF(C1364="No",FALSE))</f>
        <v>0</v>
      </c>
    </row>
    <row r="1365" spans="1:4">
      <c r="A1365" t="s">
        <v>2589</v>
      </c>
      <c r="B1365" s="352" t="s">
        <v>614</v>
      </c>
      <c r="C1365">
        <f>Amenities!B9</f>
        <v>0</v>
      </c>
      <c r="D1365" s="444" t="b">
        <f t="shared" si="55"/>
        <v>0</v>
      </c>
    </row>
    <row r="1366" spans="1:4">
      <c r="A1366" t="s">
        <v>2590</v>
      </c>
      <c r="B1366" s="1" t="s">
        <v>615</v>
      </c>
      <c r="C1366">
        <f>Amenities!B10</f>
        <v>0</v>
      </c>
      <c r="D1366" s="444" t="b">
        <f>IF(C1366="YES",TRUE, IF(C1366="No",FALSE))</f>
        <v>0</v>
      </c>
    </row>
    <row r="1367" spans="1:4">
      <c r="A1367" t="s">
        <v>2591</v>
      </c>
      <c r="B1367" s="352" t="s">
        <v>616</v>
      </c>
      <c r="C1367">
        <f>Amenities!B11</f>
        <v>0</v>
      </c>
      <c r="D1367" s="444" t="b">
        <f t="shared" si="55"/>
        <v>0</v>
      </c>
    </row>
    <row r="1368" spans="1:4">
      <c r="A1368" t="s">
        <v>2592</v>
      </c>
      <c r="B1368" s="352" t="s">
        <v>617</v>
      </c>
      <c r="C1368" s="18">
        <f>Amenities!B12</f>
        <v>0</v>
      </c>
      <c r="D1368" s="444" t="b">
        <f t="shared" si="55"/>
        <v>0</v>
      </c>
    </row>
    <row r="1369" spans="1:4">
      <c r="A1369" t="s">
        <v>2593</v>
      </c>
      <c r="B1369" s="352" t="s">
        <v>618</v>
      </c>
      <c r="C1369" s="18">
        <f>Amenities!B13</f>
        <v>0</v>
      </c>
      <c r="D1369" s="444" t="b">
        <f t="shared" si="55"/>
        <v>0</v>
      </c>
    </row>
    <row r="1370" spans="1:4">
      <c r="A1370" t="s">
        <v>2594</v>
      </c>
      <c r="B1370" s="352" t="s">
        <v>619</v>
      </c>
      <c r="C1370">
        <f>Amenities!B14</f>
        <v>0</v>
      </c>
      <c r="D1370" s="349" t="b">
        <f t="shared" si="55"/>
        <v>0</v>
      </c>
    </row>
    <row r="1371" spans="1:4">
      <c r="A1371" t="s">
        <v>2595</v>
      </c>
      <c r="B1371" s="352" t="s">
        <v>2596</v>
      </c>
      <c r="D1371" s="349" t="b">
        <f t="shared" si="55"/>
        <v>0</v>
      </c>
    </row>
    <row r="1372" spans="1:4">
      <c r="A1372" t="s">
        <v>2597</v>
      </c>
      <c r="B1372" s="352" t="s">
        <v>2598</v>
      </c>
      <c r="C1372">
        <f>Amenities!B17</f>
        <v>0</v>
      </c>
      <c r="D1372" s="349" t="b">
        <f t="shared" si="55"/>
        <v>0</v>
      </c>
    </row>
    <row r="1373" spans="1:4">
      <c r="A1373" t="s">
        <v>2599</v>
      </c>
      <c r="B1373" s="352" t="s">
        <v>2600</v>
      </c>
      <c r="C1373">
        <f>Amenities!B18</f>
        <v>0</v>
      </c>
      <c r="D1373" s="349" t="b">
        <f t="shared" si="55"/>
        <v>0</v>
      </c>
    </row>
    <row r="1374" spans="1:4">
      <c r="A1374" t="s">
        <v>2601</v>
      </c>
      <c r="B1374" s="352" t="s">
        <v>2602</v>
      </c>
      <c r="C1374">
        <f>Amenities!B19</f>
        <v>0</v>
      </c>
      <c r="D1374" s="349" t="b">
        <f t="shared" si="55"/>
        <v>0</v>
      </c>
    </row>
    <row r="1375" spans="1:4">
      <c r="A1375" t="s">
        <v>2603</v>
      </c>
      <c r="B1375" s="352" t="s">
        <v>2604</v>
      </c>
      <c r="C1375">
        <f>Amenities!B20</f>
        <v>0</v>
      </c>
      <c r="D1375" s="349" t="b">
        <f t="shared" si="55"/>
        <v>0</v>
      </c>
    </row>
    <row r="1376" spans="1:4">
      <c r="A1376" t="s">
        <v>2605</v>
      </c>
      <c r="B1376" s="352" t="s">
        <v>626</v>
      </c>
      <c r="C1376">
        <f>Amenities!B21</f>
        <v>0</v>
      </c>
      <c r="D1376" s="349" t="b">
        <f t="shared" si="55"/>
        <v>0</v>
      </c>
    </row>
    <row r="1377" spans="1:4" s="320" customFormat="1">
      <c r="A1377" s="320" t="s">
        <v>2606</v>
      </c>
      <c r="B1377" s="880" t="s">
        <v>627</v>
      </c>
      <c r="C1377" s="785">
        <f>Amenities!B22</f>
        <v>0</v>
      </c>
      <c r="D1377" s="786" t="b">
        <f t="shared" si="55"/>
        <v>0</v>
      </c>
    </row>
    <row r="1378" spans="1:4" s="320" customFormat="1">
      <c r="A1378" s="320" t="s">
        <v>2607</v>
      </c>
      <c r="B1378" s="880" t="s">
        <v>628</v>
      </c>
      <c r="C1378" s="785">
        <f>Amenities!B23</f>
        <v>0</v>
      </c>
      <c r="D1378" s="786" t="b">
        <f t="shared" si="55"/>
        <v>0</v>
      </c>
    </row>
    <row r="1379" spans="1:4" s="320" customFormat="1">
      <c r="A1379" s="320" t="s">
        <v>2608</v>
      </c>
      <c r="B1379" s="880" t="s">
        <v>629</v>
      </c>
      <c r="C1379" s="320">
        <f>Amenities!B24</f>
        <v>0</v>
      </c>
      <c r="D1379" s="881" t="b">
        <f t="shared" si="55"/>
        <v>0</v>
      </c>
    </row>
    <row r="1380" spans="1:4" s="320" customFormat="1">
      <c r="B1380" s="880" t="s">
        <v>2609</v>
      </c>
      <c r="D1380" s="881"/>
    </row>
    <row r="1381" spans="1:4" s="320" customFormat="1">
      <c r="A1381" s="320" t="s">
        <v>2610</v>
      </c>
      <c r="B1381" s="880" t="s">
        <v>631</v>
      </c>
      <c r="C1381" s="320">
        <f>Amenities!B27</f>
        <v>0</v>
      </c>
      <c r="D1381" s="881" t="b">
        <f t="shared" si="55"/>
        <v>0</v>
      </c>
    </row>
    <row r="1382" spans="1:4" s="320" customFormat="1">
      <c r="A1382" s="320" t="s">
        <v>2611</v>
      </c>
      <c r="B1382" s="882" t="s">
        <v>632</v>
      </c>
      <c r="C1382" s="320">
        <f>Amenities!B28</f>
        <v>0</v>
      </c>
      <c r="D1382" s="881" t="b">
        <f t="shared" si="55"/>
        <v>0</v>
      </c>
    </row>
    <row r="1383" spans="1:4" s="320" customFormat="1">
      <c r="A1383" s="320" t="s">
        <v>2612</v>
      </c>
      <c r="B1383" s="882" t="s">
        <v>633</v>
      </c>
      <c r="C1383" s="320">
        <f>Amenities!B29</f>
        <v>0</v>
      </c>
      <c r="D1383" s="881" t="b">
        <f t="shared" si="55"/>
        <v>0</v>
      </c>
    </row>
    <row r="1384" spans="1:4" s="320" customFormat="1">
      <c r="A1384" s="320" t="s">
        <v>2613</v>
      </c>
      <c r="B1384" s="882" t="s">
        <v>634</v>
      </c>
      <c r="C1384" s="320">
        <f>Amenities!B30</f>
        <v>0</v>
      </c>
      <c r="D1384" s="881" t="b">
        <f t="shared" si="55"/>
        <v>0</v>
      </c>
    </row>
    <row r="1385" spans="1:4" s="320" customFormat="1">
      <c r="A1385" s="320" t="s">
        <v>2614</v>
      </c>
      <c r="B1385" s="423" t="s">
        <v>635</v>
      </c>
      <c r="C1385" s="320">
        <f>Amenities!B31</f>
        <v>0</v>
      </c>
      <c r="D1385" s="881" t="b">
        <f t="shared" si="55"/>
        <v>0</v>
      </c>
    </row>
    <row r="1386" spans="1:4" s="320" customFormat="1">
      <c r="A1386" s="320" t="s">
        <v>2615</v>
      </c>
      <c r="B1386" s="882" t="s">
        <v>636</v>
      </c>
      <c r="C1386" s="320">
        <f>Amenities!B32</f>
        <v>0</v>
      </c>
      <c r="D1386" s="881" t="b">
        <f t="shared" si="55"/>
        <v>0</v>
      </c>
    </row>
    <row r="1387" spans="1:4" s="320" customFormat="1">
      <c r="B1387" s="882" t="str">
        <f>Amenities!A33</f>
        <v>Number of Laundry Rooms</v>
      </c>
      <c r="C1387" s="320">
        <f>Amenities!B33</f>
        <v>0</v>
      </c>
      <c r="D1387" s="881">
        <f>C1387</f>
        <v>0</v>
      </c>
    </row>
    <row r="1388" spans="1:4" s="320" customFormat="1">
      <c r="B1388" s="882" t="str">
        <f>Amenities!A34</f>
        <v>Laundry Room in each building (if more than one bldg)</v>
      </c>
      <c r="C1388" s="320">
        <f>Amenities!B34</f>
        <v>0</v>
      </c>
      <c r="D1388" s="881">
        <f>C1388</f>
        <v>0</v>
      </c>
    </row>
    <row r="1389" spans="1:4" s="320" customFormat="1">
      <c r="B1389" s="882" t="str">
        <f>Amenities!A35</f>
        <v>Laundry Room on each floor</v>
      </c>
      <c r="C1389" s="320">
        <f>Amenities!B35</f>
        <v>0</v>
      </c>
      <c r="D1389" s="881">
        <f>C1389</f>
        <v>0</v>
      </c>
    </row>
    <row r="1390" spans="1:4" s="320" customFormat="1">
      <c r="A1390" s="320" t="s">
        <v>2616</v>
      </c>
      <c r="B1390" s="882" t="s">
        <v>640</v>
      </c>
      <c r="C1390" s="320">
        <f>Amenities!B36</f>
        <v>0</v>
      </c>
      <c r="D1390" s="881" t="b">
        <f t="shared" si="55"/>
        <v>0</v>
      </c>
    </row>
    <row r="1391" spans="1:4" s="320" customFormat="1">
      <c r="A1391" s="320" t="s">
        <v>2617</v>
      </c>
      <c r="B1391" s="882" t="s">
        <v>641</v>
      </c>
      <c r="C1391" s="320">
        <f>Amenities!B37</f>
        <v>0</v>
      </c>
      <c r="D1391" s="881" t="b">
        <f t="shared" si="55"/>
        <v>0</v>
      </c>
    </row>
    <row r="1392" spans="1:4" s="320" customFormat="1">
      <c r="A1392" s="320" t="s">
        <v>2618</v>
      </c>
      <c r="B1392" s="882" t="s">
        <v>642</v>
      </c>
      <c r="C1392" s="320">
        <f>Amenities!B38</f>
        <v>0</v>
      </c>
      <c r="D1392" s="881" t="b">
        <f t="shared" si="55"/>
        <v>0</v>
      </c>
    </row>
    <row r="1393" spans="1:4" s="320" customFormat="1">
      <c r="A1393" s="320" t="s">
        <v>2619</v>
      </c>
      <c r="B1393" s="882" t="s">
        <v>643</v>
      </c>
      <c r="C1393" s="785">
        <f>Amenities!B39</f>
        <v>0</v>
      </c>
      <c r="D1393" s="786" t="b">
        <f t="shared" si="55"/>
        <v>0</v>
      </c>
    </row>
    <row r="1394" spans="1:4" s="320" customFormat="1">
      <c r="A1394" s="320" t="s">
        <v>2620</v>
      </c>
      <c r="B1394" s="880" t="s">
        <v>644</v>
      </c>
      <c r="C1394" s="320">
        <f>Amenities!B40</f>
        <v>0</v>
      </c>
      <c r="D1394" s="881">
        <f>C1394</f>
        <v>0</v>
      </c>
    </row>
    <row r="1395" spans="1:4" s="320" customFormat="1">
      <c r="A1395" s="320" t="s">
        <v>2621</v>
      </c>
      <c r="B1395" s="880" t="s">
        <v>645</v>
      </c>
      <c r="C1395" s="320">
        <f>Amenities!B41</f>
        <v>0</v>
      </c>
      <c r="D1395" s="881" t="b">
        <f t="shared" si="55"/>
        <v>0</v>
      </c>
    </row>
    <row r="1396" spans="1:4" s="320" customFormat="1">
      <c r="A1396" s="320" t="s">
        <v>2622</v>
      </c>
      <c r="B1396" s="880" t="s">
        <v>646</v>
      </c>
      <c r="C1396" s="320">
        <f>Amenities!B42</f>
        <v>0</v>
      </c>
      <c r="D1396" s="881" t="b">
        <f t="shared" si="55"/>
        <v>0</v>
      </c>
    </row>
    <row r="1397" spans="1:4" s="320" customFormat="1">
      <c r="A1397" s="320" t="s">
        <v>2623</v>
      </c>
      <c r="B1397" s="880" t="s">
        <v>647</v>
      </c>
      <c r="C1397" s="320">
        <f>Amenities!B43</f>
        <v>0</v>
      </c>
      <c r="D1397" s="881" t="b">
        <f t="shared" si="55"/>
        <v>0</v>
      </c>
    </row>
    <row r="1398" spans="1:4" s="320" customFormat="1">
      <c r="A1398" s="320" t="s">
        <v>2624</v>
      </c>
      <c r="B1398" s="880" t="s">
        <v>648</v>
      </c>
      <c r="C1398" s="785">
        <f>Amenities!B44</f>
        <v>0</v>
      </c>
      <c r="D1398" s="786" t="b">
        <f t="shared" si="55"/>
        <v>0</v>
      </c>
    </row>
    <row r="1399" spans="1:4" s="320" customFormat="1">
      <c r="A1399" s="320" t="s">
        <v>2625</v>
      </c>
      <c r="B1399" s="880" t="s">
        <v>649</v>
      </c>
      <c r="C1399" s="320">
        <f>Amenities!B45</f>
        <v>0</v>
      </c>
      <c r="D1399" s="881" t="b">
        <f t="shared" si="55"/>
        <v>0</v>
      </c>
    </row>
    <row r="1400" spans="1:4" s="320" customFormat="1">
      <c r="A1400" s="320" t="s">
        <v>2626</v>
      </c>
      <c r="B1400" s="880" t="s">
        <v>650</v>
      </c>
      <c r="C1400" s="320">
        <f>Amenities!B46</f>
        <v>0</v>
      </c>
      <c r="D1400" s="881" t="b">
        <f t="shared" si="55"/>
        <v>0</v>
      </c>
    </row>
    <row r="1401" spans="1:4" s="320" customFormat="1">
      <c r="B1401" s="880" t="str">
        <f>Amenities!A47</f>
        <v>Bike Storage</v>
      </c>
      <c r="C1401" s="320">
        <f>Amenities!B47</f>
        <v>0</v>
      </c>
      <c r="D1401" s="881" t="b">
        <f t="shared" si="55"/>
        <v>0</v>
      </c>
    </row>
    <row r="1402" spans="1:4" s="320" customFormat="1">
      <c r="B1402" s="880" t="str">
        <f>Amenities!A48</f>
        <v>Bike Maintenance</v>
      </c>
      <c r="C1402" s="320">
        <f>Amenities!B48</f>
        <v>0</v>
      </c>
      <c r="D1402" s="881" t="b">
        <f t="shared" si="55"/>
        <v>0</v>
      </c>
    </row>
    <row r="1403" spans="1:4" s="320" customFormat="1">
      <c r="B1403" s="880" t="str">
        <f>Amenities!A49</f>
        <v>Pet Wash Area</v>
      </c>
      <c r="C1403" s="320">
        <f>Amenities!B49</f>
        <v>0</v>
      </c>
      <c r="D1403" s="881" t="b">
        <f t="shared" si="55"/>
        <v>0</v>
      </c>
    </row>
    <row r="1404" spans="1:4" s="320" customFormat="1">
      <c r="B1404" s="880" t="str">
        <f>Amenities!A50</f>
        <v>Pet Relief Area</v>
      </c>
      <c r="C1404" s="320">
        <f>Amenities!B50</f>
        <v>0</v>
      </c>
      <c r="D1404" s="881" t="b">
        <f t="shared" si="55"/>
        <v>0</v>
      </c>
    </row>
    <row r="1405" spans="1:4" s="320" customFormat="1">
      <c r="B1405" s="880" t="str">
        <f>Amenities!A51</f>
        <v>Dog Run</v>
      </c>
      <c r="C1405" s="320">
        <f>Amenities!B51</f>
        <v>0</v>
      </c>
      <c r="D1405" s="881" t="b">
        <f t="shared" si="55"/>
        <v>0</v>
      </c>
    </row>
    <row r="1406" spans="1:4">
      <c r="A1406" t="s">
        <v>2627</v>
      </c>
      <c r="B1406" s="352" t="s">
        <v>2628</v>
      </c>
      <c r="C1406">
        <f>Amenities!B52</f>
        <v>0</v>
      </c>
      <c r="D1406" s="349" t="b">
        <f t="shared" si="55"/>
        <v>0</v>
      </c>
    </row>
    <row r="1407" spans="1:4">
      <c r="B1407" s="352" t="s">
        <v>2629</v>
      </c>
      <c r="D1407" s="349"/>
    </row>
    <row r="1408" spans="1:4">
      <c r="A1408" t="s">
        <v>2630</v>
      </c>
      <c r="B1408" s="352" t="s">
        <v>657</v>
      </c>
      <c r="C1408">
        <f>Amenities!B56</f>
        <v>0</v>
      </c>
      <c r="D1408" s="349" t="b">
        <f t="shared" si="55"/>
        <v>0</v>
      </c>
    </row>
    <row r="1409" spans="1:4">
      <c r="A1409" t="s">
        <v>2631</v>
      </c>
      <c r="B1409" s="352" t="s">
        <v>658</v>
      </c>
      <c r="C1409">
        <f>Amenities!B57</f>
        <v>0</v>
      </c>
      <c r="D1409" s="349" t="b">
        <f t="shared" si="55"/>
        <v>0</v>
      </c>
    </row>
    <row r="1410" spans="1:4">
      <c r="A1410" t="s">
        <v>2632</v>
      </c>
      <c r="B1410" s="352" t="s">
        <v>659</v>
      </c>
      <c r="C1410">
        <f>Amenities!B58</f>
        <v>0</v>
      </c>
      <c r="D1410" s="349" t="b">
        <f t="shared" si="55"/>
        <v>0</v>
      </c>
    </row>
    <row r="1411" spans="1:4">
      <c r="A1411" t="s">
        <v>2633</v>
      </c>
      <c r="B1411" s="352" t="s">
        <v>660</v>
      </c>
      <c r="C1411">
        <f>Amenities!B59</f>
        <v>0</v>
      </c>
      <c r="D1411" s="349" t="b">
        <f t="shared" si="55"/>
        <v>0</v>
      </c>
    </row>
    <row r="1412" spans="1:4">
      <c r="A1412" t="s">
        <v>2634</v>
      </c>
      <c r="B1412" s="352" t="s">
        <v>661</v>
      </c>
      <c r="C1412">
        <f>Amenities!B60</f>
        <v>0</v>
      </c>
      <c r="D1412" s="349" t="b">
        <f t="shared" si="55"/>
        <v>0</v>
      </c>
    </row>
    <row r="1413" spans="1:4">
      <c r="B1413" s="352" t="s">
        <v>2635</v>
      </c>
      <c r="D1413" s="349"/>
    </row>
    <row r="1414" spans="1:4" s="301" customFormat="1">
      <c r="A1414" s="301" t="s">
        <v>2636</v>
      </c>
      <c r="B1414" s="883" t="s">
        <v>2637</v>
      </c>
      <c r="D1414" s="884">
        <f>C1414</f>
        <v>0</v>
      </c>
    </row>
    <row r="1415" spans="1:4">
      <c r="B1415" s="352" t="s">
        <v>2637</v>
      </c>
      <c r="C1415">
        <f>Amenities!B62</f>
        <v>0</v>
      </c>
      <c r="D1415" s="349">
        <f>C1415</f>
        <v>0</v>
      </c>
    </row>
    <row r="1416" spans="1:4">
      <c r="A1416" t="s">
        <v>2638</v>
      </c>
      <c r="B1416" s="352" t="s">
        <v>2639</v>
      </c>
      <c r="C1416">
        <f>Amenities!B63</f>
        <v>0</v>
      </c>
      <c r="D1416" s="349">
        <f>C1416</f>
        <v>0</v>
      </c>
    </row>
    <row r="1417" spans="1:4">
      <c r="A1417" t="s">
        <v>2640</v>
      </c>
      <c r="B1417" s="352" t="s">
        <v>2641</v>
      </c>
      <c r="C1417">
        <f>Amenities!B64</f>
        <v>0</v>
      </c>
      <c r="D1417" s="349">
        <f t="shared" ref="D1417:D1420" si="56">C1417</f>
        <v>0</v>
      </c>
    </row>
    <row r="1418" spans="1:4">
      <c r="A1418" t="s">
        <v>2642</v>
      </c>
      <c r="B1418" s="352" t="s">
        <v>2643</v>
      </c>
      <c r="C1418">
        <f>Amenities!B65</f>
        <v>0</v>
      </c>
      <c r="D1418" s="349">
        <f t="shared" si="56"/>
        <v>0</v>
      </c>
    </row>
    <row r="1419" spans="1:4">
      <c r="A1419" t="s">
        <v>2644</v>
      </c>
      <c r="B1419" s="352" t="s">
        <v>2645</v>
      </c>
      <c r="C1419">
        <f>Amenities!B66</f>
        <v>0</v>
      </c>
      <c r="D1419" s="349">
        <f t="shared" si="56"/>
        <v>0</v>
      </c>
    </row>
    <row r="1420" spans="1:4">
      <c r="A1420" t="s">
        <v>2646</v>
      </c>
      <c r="B1420" s="352" t="s">
        <v>2647</v>
      </c>
      <c r="C1420" s="123">
        <f>Amenities!B67</f>
        <v>0</v>
      </c>
      <c r="D1420" s="353">
        <f t="shared" si="56"/>
        <v>0</v>
      </c>
    </row>
    <row r="1421" spans="1:4">
      <c r="A1421" t="s">
        <v>2648</v>
      </c>
      <c r="B1421" s="352" t="s">
        <v>670</v>
      </c>
      <c r="C1421" s="350">
        <f>Amenities!B69</f>
        <v>0</v>
      </c>
      <c r="D1421" s="351" t="b">
        <f t="shared" si="55"/>
        <v>0</v>
      </c>
    </row>
    <row r="1422" spans="1:4">
      <c r="A1422" t="s">
        <v>2649</v>
      </c>
      <c r="B1422" s="352" t="s">
        <v>671</v>
      </c>
      <c r="C1422" s="350">
        <f>Amenities!B70</f>
        <v>0</v>
      </c>
      <c r="D1422" s="351" t="b">
        <f t="shared" si="55"/>
        <v>0</v>
      </c>
    </row>
    <row r="1423" spans="1:4">
      <c r="A1423" t="s">
        <v>2650</v>
      </c>
      <c r="B1423" s="446" t="s">
        <v>672</v>
      </c>
      <c r="C1423" s="354">
        <f>Amenities!B71</f>
        <v>0</v>
      </c>
      <c r="D1423" s="355">
        <f>C1423</f>
        <v>0</v>
      </c>
    </row>
    <row r="1424" spans="1:4">
      <c r="A1424" t="s">
        <v>2651</v>
      </c>
      <c r="B1424" s="352" t="s">
        <v>674</v>
      </c>
      <c r="C1424">
        <f>Amenities!B73</f>
        <v>0</v>
      </c>
      <c r="D1424" s="349" t="b">
        <f t="shared" si="55"/>
        <v>0</v>
      </c>
    </row>
    <row r="1425" spans="1:5">
      <c r="A1425" t="s">
        <v>2652</v>
      </c>
      <c r="B1425" s="352" t="s">
        <v>675</v>
      </c>
      <c r="C1425">
        <f>Amenities!B74</f>
        <v>0</v>
      </c>
      <c r="D1425" s="349" t="b">
        <f t="shared" si="55"/>
        <v>0</v>
      </c>
    </row>
    <row r="1426" spans="1:5" ht="21" customHeight="1">
      <c r="A1426" t="s">
        <v>2653</v>
      </c>
      <c r="B1426" s="445" t="s">
        <v>672</v>
      </c>
      <c r="C1426" s="350">
        <f>Amenities!B75</f>
        <v>0</v>
      </c>
      <c r="D1426" s="351">
        <f>C1426</f>
        <v>0</v>
      </c>
    </row>
    <row r="1427" spans="1:5" ht="21" customHeight="1">
      <c r="A1427" s="320"/>
      <c r="B1427" s="489" t="s">
        <v>676</v>
      </c>
      <c r="C1427" s="785">
        <f>Amenities!B76</f>
        <v>0</v>
      </c>
      <c r="D1427" s="786" t="b">
        <f>IF(C1427="YES",TRUE, IF(C1427="No",FALSE))</f>
        <v>0</v>
      </c>
      <c r="E1427" s="320"/>
    </row>
    <row r="1428" spans="1:5" ht="16.5" customHeight="1">
      <c r="A1428" s="320"/>
      <c r="B1428" s="423" t="s">
        <v>677</v>
      </c>
      <c r="C1428" s="785">
        <f>Amenities!B77</f>
        <v>0</v>
      </c>
      <c r="D1428" s="786">
        <f>Amenities!B77</f>
        <v>0</v>
      </c>
      <c r="E1428" s="320"/>
    </row>
    <row r="1429" spans="1:5" ht="30.75" customHeight="1">
      <c r="B1429" s="510" t="str">
        <f>Amenities!A78</f>
        <v>Number of spaces for commerical or nonresidential</v>
      </c>
      <c r="C1429" s="350">
        <f>Amenities!B78</f>
        <v>0</v>
      </c>
      <c r="D1429" s="351">
        <f>Amenities!B78</f>
        <v>0</v>
      </c>
      <c r="E1429" s="320"/>
    </row>
    <row r="1430" spans="1:5" ht="21" customHeight="1">
      <c r="B1430" s="17" t="str">
        <f>Amenities!A79</f>
        <v>Transit Passes</v>
      </c>
      <c r="C1430" s="350">
        <f>Amenities!B79</f>
        <v>0</v>
      </c>
      <c r="D1430" s="351" t="b">
        <f>IF(C1430="YES",TRUE, IF(C1430="No",FALSE))</f>
        <v>0</v>
      </c>
      <c r="E1430" s="320"/>
    </row>
    <row r="1431" spans="1:5" ht="21" customHeight="1">
      <c r="B1431" s="17" t="str">
        <f>Amenities!A80</f>
        <v>Number of Transit Passes</v>
      </c>
      <c r="C1431" s="350">
        <f>Amenities!B79</f>
        <v>0</v>
      </c>
      <c r="D1431" s="351">
        <f>Amenities!B79</f>
        <v>0</v>
      </c>
      <c r="E1431" s="320"/>
    </row>
    <row r="1432" spans="1:5" ht="21" customHeight="1">
      <c r="A1432" s="320"/>
      <c r="B1432" s="423" t="str">
        <f>Amenities!A81</f>
        <v>Number of Transit Passes Budgeted for number of years</v>
      </c>
      <c r="C1432" s="785">
        <f>Amenities!B80</f>
        <v>0</v>
      </c>
      <c r="D1432" s="351">
        <f>Amenities!B80</f>
        <v>0</v>
      </c>
      <c r="E1432" s="320"/>
    </row>
    <row r="1433" spans="1:5">
      <c r="A1433" t="s">
        <v>2654</v>
      </c>
      <c r="B1433" s="352" t="s">
        <v>683</v>
      </c>
      <c r="C1433" s="350">
        <f>Amenities!B86</f>
        <v>0</v>
      </c>
      <c r="D1433" s="351" t="b">
        <f t="shared" si="55"/>
        <v>0</v>
      </c>
      <c r="E1433" s="320"/>
    </row>
    <row r="1434" spans="1:5">
      <c r="A1434" t="s">
        <v>2655</v>
      </c>
      <c r="B1434" s="352" t="s">
        <v>684</v>
      </c>
      <c r="C1434" s="350">
        <f>Amenities!B87</f>
        <v>0</v>
      </c>
      <c r="D1434" s="351" t="b">
        <f t="shared" si="55"/>
        <v>0</v>
      </c>
    </row>
    <row r="1435" spans="1:5">
      <c r="A1435" t="s">
        <v>2656</v>
      </c>
      <c r="B1435" s="352" t="s">
        <v>685</v>
      </c>
      <c r="C1435" s="350">
        <f>Amenities!B88</f>
        <v>0</v>
      </c>
      <c r="D1435" s="351" t="b">
        <f t="shared" si="55"/>
        <v>0</v>
      </c>
    </row>
    <row r="1436" spans="1:5">
      <c r="A1436" t="s">
        <v>2657</v>
      </c>
      <c r="B1436" s="352" t="s">
        <v>686</v>
      </c>
      <c r="C1436" s="350">
        <f>Amenities!B89</f>
        <v>0</v>
      </c>
      <c r="D1436" s="351" t="b">
        <f t="shared" si="55"/>
        <v>0</v>
      </c>
    </row>
    <row r="1437" spans="1:5">
      <c r="B1437" s="352" t="s">
        <v>687</v>
      </c>
      <c r="C1437" s="350"/>
      <c r="D1437" s="351"/>
    </row>
    <row r="1438" spans="1:5">
      <c r="B1438" s="352" t="s">
        <v>2658</v>
      </c>
      <c r="C1438" s="350">
        <f>Amenities!B91</f>
        <v>0</v>
      </c>
      <c r="D1438" s="351"/>
    </row>
    <row r="1439" spans="1:5">
      <c r="B1439" s="352" t="s">
        <v>2659</v>
      </c>
      <c r="C1439" s="350">
        <f>Amenities!B92</f>
        <v>0</v>
      </c>
      <c r="D1439" s="351"/>
    </row>
    <row r="1440" spans="1:5">
      <c r="B1440" s="352" t="s">
        <v>2660</v>
      </c>
      <c r="D1440" s="349"/>
    </row>
    <row r="1441" spans="1:4">
      <c r="A1441" t="s">
        <v>2661</v>
      </c>
      <c r="B1441" s="352" t="s">
        <v>690</v>
      </c>
      <c r="C1441" s="350" t="e">
        <f>Amenities!#REF!</f>
        <v>#REF!</v>
      </c>
      <c r="D1441" s="351" t="e">
        <f>C1441</f>
        <v>#REF!</v>
      </c>
    </row>
    <row r="1442" spans="1:4">
      <c r="A1442" t="s">
        <v>2662</v>
      </c>
      <c r="B1442" s="352" t="s">
        <v>691</v>
      </c>
      <c r="C1442" s="350" t="e">
        <f>Amenities!#REF!</f>
        <v>#REF!</v>
      </c>
      <c r="D1442" s="351" t="e">
        <f>C1442</f>
        <v>#REF!</v>
      </c>
    </row>
    <row r="1443" spans="1:4">
      <c r="B1443" s="352" t="s">
        <v>2663</v>
      </c>
      <c r="D1443" s="349"/>
    </row>
    <row r="1444" spans="1:4">
      <c r="A1444" t="s">
        <v>2664</v>
      </c>
      <c r="B1444" s="352" t="s">
        <v>584</v>
      </c>
      <c r="C1444" s="350">
        <f>Amenities!B96</f>
        <v>0</v>
      </c>
      <c r="D1444" s="351" t="b">
        <f t="shared" ref="D1444:D1458" si="57">IF(C1444="YES",TRUE, IF(C1444="No",FALSE))</f>
        <v>0</v>
      </c>
    </row>
    <row r="1445" spans="1:4">
      <c r="A1445" t="s">
        <v>2665</v>
      </c>
      <c r="B1445" s="352" t="s">
        <v>581</v>
      </c>
      <c r="C1445" s="350">
        <f>Amenities!B97</f>
        <v>0</v>
      </c>
      <c r="D1445" s="351" t="b">
        <f t="shared" si="57"/>
        <v>0</v>
      </c>
    </row>
    <row r="1446" spans="1:4">
      <c r="A1446" t="s">
        <v>2666</v>
      </c>
      <c r="B1446" s="352" t="s">
        <v>582</v>
      </c>
      <c r="C1446" s="350">
        <f>Amenities!B98</f>
        <v>0</v>
      </c>
      <c r="D1446" s="351" t="b">
        <f t="shared" si="57"/>
        <v>0</v>
      </c>
    </row>
    <row r="1447" spans="1:4">
      <c r="A1447" t="s">
        <v>2667</v>
      </c>
      <c r="B1447" s="352" t="s">
        <v>583</v>
      </c>
      <c r="C1447" s="350">
        <f>Amenities!B99</f>
        <v>0</v>
      </c>
      <c r="D1447" s="351" t="b">
        <f t="shared" si="57"/>
        <v>0</v>
      </c>
    </row>
    <row r="1448" spans="1:4">
      <c r="A1448" t="s">
        <v>2668</v>
      </c>
      <c r="B1448" s="352" t="s">
        <v>585</v>
      </c>
      <c r="C1448" s="350">
        <f>Amenities!B100</f>
        <v>0</v>
      </c>
      <c r="D1448" s="351" t="b">
        <f t="shared" si="57"/>
        <v>0</v>
      </c>
    </row>
    <row r="1449" spans="1:4">
      <c r="A1449" t="s">
        <v>2669</v>
      </c>
      <c r="B1449" s="352" t="s">
        <v>695</v>
      </c>
      <c r="C1449" s="350">
        <f>Amenities!B101</f>
        <v>0</v>
      </c>
      <c r="D1449" s="351" t="b">
        <f t="shared" si="57"/>
        <v>0</v>
      </c>
    </row>
    <row r="1450" spans="1:4" s="320" customFormat="1">
      <c r="B1450" s="880" t="str">
        <f>Amenities!A102</f>
        <v>WiFi in Unit</v>
      </c>
      <c r="C1450" s="785">
        <f>Amenities!B102</f>
        <v>0</v>
      </c>
      <c r="D1450" s="786" t="b">
        <f t="shared" si="57"/>
        <v>0</v>
      </c>
    </row>
    <row r="1451" spans="1:4">
      <c r="B1451" s="352" t="s">
        <v>2670</v>
      </c>
      <c r="D1451" s="349"/>
    </row>
    <row r="1452" spans="1:4">
      <c r="A1452" t="s">
        <v>2671</v>
      </c>
      <c r="B1452" s="352" t="s">
        <v>584</v>
      </c>
      <c r="C1452" s="350">
        <f>Amenities!B104</f>
        <v>0</v>
      </c>
      <c r="D1452" s="351" t="b">
        <f t="shared" si="57"/>
        <v>0</v>
      </c>
    </row>
    <row r="1453" spans="1:4">
      <c r="A1453" t="s">
        <v>2672</v>
      </c>
      <c r="B1453" s="352" t="s">
        <v>581</v>
      </c>
      <c r="C1453" s="350">
        <f>Amenities!B105</f>
        <v>0</v>
      </c>
      <c r="D1453" s="351" t="b">
        <f t="shared" si="57"/>
        <v>0</v>
      </c>
    </row>
    <row r="1454" spans="1:4">
      <c r="A1454" t="s">
        <v>2673</v>
      </c>
      <c r="B1454" s="352" t="s">
        <v>582</v>
      </c>
      <c r="C1454" s="350">
        <f>Amenities!B106</f>
        <v>0</v>
      </c>
      <c r="D1454" s="351" t="b">
        <f t="shared" si="57"/>
        <v>0</v>
      </c>
    </row>
    <row r="1455" spans="1:4">
      <c r="A1455" t="s">
        <v>2674</v>
      </c>
      <c r="B1455" s="352" t="s">
        <v>583</v>
      </c>
      <c r="C1455" s="350">
        <f>Amenities!B107</f>
        <v>0</v>
      </c>
      <c r="D1455" s="351" t="b">
        <f t="shared" si="57"/>
        <v>0</v>
      </c>
    </row>
    <row r="1456" spans="1:4">
      <c r="A1456" t="s">
        <v>2675</v>
      </c>
      <c r="B1456" s="352" t="s">
        <v>585</v>
      </c>
      <c r="C1456" s="350">
        <f>Amenities!B108</f>
        <v>0</v>
      </c>
      <c r="D1456" s="351" t="b">
        <f t="shared" si="57"/>
        <v>0</v>
      </c>
    </row>
    <row r="1457" spans="1:5">
      <c r="A1457" t="s">
        <v>2676</v>
      </c>
      <c r="B1457" s="352" t="s">
        <v>587</v>
      </c>
      <c r="C1457" s="350">
        <f>Amenities!B109</f>
        <v>0</v>
      </c>
      <c r="D1457" s="351" t="b">
        <f t="shared" si="57"/>
        <v>0</v>
      </c>
    </row>
    <row r="1458" spans="1:5" s="320" customFormat="1">
      <c r="B1458" s="880" t="str">
        <f>Amenities!A110</f>
        <v>WiFi in Unit</v>
      </c>
      <c r="C1458" s="785">
        <f>Amenities!B110</f>
        <v>0</v>
      </c>
      <c r="D1458" s="786" t="b">
        <f t="shared" si="57"/>
        <v>0</v>
      </c>
      <c r="E1458" s="320" t="s">
        <v>2677</v>
      </c>
    </row>
  </sheetData>
  <sheetProtection algorithmName="SHA-512" hashValue="HK+3YQP3ZdYNJUtUo7TOV4OllGSKBzpTkCan4KNCMz5cgjVus+HkB0yYjLJ8KU1b95V9Jhm37Dpqr5W8toBoJA==" saltValue="GN/nSJHDl4vGX7C3ObvyXg==" spinCount="100000" sheet="1" objects="1" scenarios="1"/>
  <mergeCells count="1">
    <mergeCell ref="F302:H302"/>
  </mergeCells>
  <phoneticPr fontId="91" type="noConversion"/>
  <dataValidations count="27">
    <dataValidation type="list" showInputMessage="1" showErrorMessage="1" sqref="K716:K728" xr:uid="{2094F591-A022-4C24-9FEA-0EFE84AD054C}">
      <formula1>SD_D_PL_DealEntityRole_Name</formula1>
    </dataValidation>
    <dataValidation type="list" errorStyle="warning" showInputMessage="1" showErrorMessage="1" errorTitle="SmartDox" error="The value you entered for the dropdown is not valid." sqref="C905:C913" xr:uid="{0B6A7DF4-A14C-406C-9EC4-25516BA3B2A3}">
      <formula1>SD_D_PL_TCDealFeeType_Name</formula1>
    </dataValidation>
    <dataValidation type="list" errorStyle="warning" showInputMessage="1" showErrorMessage="1" errorTitle="SmartDox" error="The value you entered for the dropdown is not valid." sqref="C236 F696:F711 C558" xr:uid="{C6136F6C-E4AA-47E6-9419-BA7BFD77A11B}">
      <formula1>SD_D_PL_State_Name</formula1>
    </dataValidation>
    <dataValidation type="list" errorStyle="warning" showInputMessage="1" showErrorMessage="1" errorTitle="SmartDox" error="The value you entered for the dropdown is not valid." sqref="C242" xr:uid="{2F4DE903-EC08-45C3-A20C-81C3E3B1E968}">
      <formula1>SD_D_PL_Jurisdiction_Name</formula1>
    </dataValidation>
    <dataValidation type="list" errorStyle="warning" showInputMessage="1" showErrorMessage="1" errorTitle="SmartDox" error="The value you entered for the dropdown is not valid." sqref="C298" xr:uid="{C9BD9FC0-68C9-4B02-86CC-092CBB525B49}">
      <formula1>SD_D_PL_TypeofAllocationRequested_Name</formula1>
    </dataValidation>
    <dataValidation type="list" errorStyle="warning" showInputMessage="1" showErrorMessage="1" errorTitle="SmartDox" error="The value you entered for the dropdown is not valid." sqref="C304" xr:uid="{8299A533-0DB7-4306-9B7E-E72B6EC86610}">
      <formula1>SD_D_PL_TargetType_Name</formula1>
    </dataValidation>
    <dataValidation type="list" errorStyle="warning" showInputMessage="1" showErrorMessage="1" errorTitle="SmartDox" error="The value you entered for the dropdown is not valid." sqref="C510" xr:uid="{A261C503-EE5A-413A-841D-174F29895BE0}">
      <formula1>SD_D_PL_ExtendedUseAgreement_Name</formula1>
    </dataValidation>
    <dataValidation type="list" errorStyle="warning" showInputMessage="1" showErrorMessage="1" errorTitle="SmartDox" error="The value you entered for the dropdown is not valid." sqref="C300" xr:uid="{2955882D-2BA7-4439-A2CC-4DDAD71A1079}">
      <formula1>SD_D_PL_SiteControlType_Name</formula1>
    </dataValidation>
    <dataValidation type="list" errorStyle="warning" showInputMessage="1" showErrorMessage="1" errorTitle="SmartDox" error="The value you entered for the dropdown is not valid." sqref="C301" xr:uid="{9D2B341F-ECF6-47EF-9641-8C047B506453}">
      <formula1>SD_D_PL_BldgAllocType_Name</formula1>
    </dataValidation>
    <dataValidation type="list" errorStyle="warning" showInputMessage="1" showErrorMessage="1" errorTitle="SmartDox" error="The value you entered for the dropdown is not valid." sqref="D923:D928" xr:uid="{5887682E-0C80-4FF2-A814-286957EDC218}">
      <formula1>SD_D_PL_TCUnitType_Name</formula1>
    </dataValidation>
    <dataValidation type="list" errorStyle="warning" showInputMessage="1" showErrorMessage="1" errorTitle="SmartDox" error="The value you entered for the dropdown is not valid." sqref="C758" xr:uid="{172C4F5F-ABBC-493F-A530-A14E2024A2D0}">
      <formula1>SD_D_PL_UDF_1161_Name</formula1>
    </dataValidation>
    <dataValidation type="list" errorStyle="warning" showInputMessage="1" showErrorMessage="1" errorTitle="SmartDox" error="The value you entered for the dropdown is not valid." sqref="C292" xr:uid="{7F9854EC-D7F6-45FF-8577-1CE902B6F02C}">
      <formula1>SD_D_PL_UDF_651_Name</formula1>
    </dataValidation>
    <dataValidation type="list" errorStyle="warning" showInputMessage="1" showErrorMessage="1" errorTitle="SmartDox" error="The value you entered for the dropdown is not valid." sqref="C254" xr:uid="{78732638-9535-4EF3-915B-277B68E5EC15}">
      <formula1>SD_D_PL_UDF_699_Name</formula1>
    </dataValidation>
    <dataValidation type="list" errorStyle="warning" showInputMessage="1" showErrorMessage="1" errorTitle="SmartDox" error="The value you entered for the dropdown is not valid." sqref="C256" xr:uid="{9EF00056-8BF3-4E45-ADE0-64F10D4C0E79}">
      <formula1>SD_D_PL_UDF_700_Name</formula1>
    </dataValidation>
    <dataValidation type="list" errorStyle="warning" showInputMessage="1" showErrorMessage="1" errorTitle="SmartDox" error="The value you entered for the dropdown is not valid." sqref="C263" xr:uid="{7B36E5C7-1B17-4109-BD9B-0CD4C5DB2620}">
      <formula1>SD_D_PL_UDF_701_Name</formula1>
    </dataValidation>
    <dataValidation type="list" errorStyle="warning" showInputMessage="1" showErrorMessage="1" errorTitle="SmartDox" error="The value you entered for the dropdown is not valid." sqref="C264" xr:uid="{447D4927-64E3-4DCB-BFFB-8FFBCAE13785}">
      <formula1>SD_D_PL_UDF_703_Name</formula1>
    </dataValidation>
    <dataValidation type="list" errorStyle="warning" showInputMessage="1" showErrorMessage="1" errorTitle="SmartDox" error="The value you entered for the dropdown is not valid." sqref="C255" xr:uid="{006590FA-8A74-46EA-BD8C-8A755F24AAE4}">
      <formula1>SD_D_PL_UDF_880_Name</formula1>
    </dataValidation>
    <dataValidation type="list" errorStyle="warning" showInputMessage="1" showErrorMessage="1" errorTitle="SmartDox" error="The value you entered for the dropdown is not valid." sqref="C257" xr:uid="{3E57DE73-9013-4B4C-83F6-1CFECBF85474}">
      <formula1>SD_D_PL_UDF_882_Name</formula1>
    </dataValidation>
    <dataValidation type="list" errorStyle="warning" showInputMessage="1" showErrorMessage="1" errorTitle="SmartDox" error="The value you entered for the dropdown is not valid." sqref="C259" xr:uid="{06CAD29C-E2ED-44E0-895A-DFE11E08920D}">
      <formula1>SD_D_PL_UDF_883_Name</formula1>
    </dataValidation>
    <dataValidation type="list" errorStyle="warning" showInputMessage="1" showErrorMessage="1" errorTitle="SmartDox" error="The value you entered for the dropdown is not valid." sqref="C260" xr:uid="{7949D578-CC77-431E-AD81-AB862A6B01EC}">
      <formula1>SD_D_PL_UDF_884_Name</formula1>
    </dataValidation>
    <dataValidation type="list" errorStyle="warning" showInputMessage="1" showErrorMessage="1" errorTitle="SmartDox" error="The value you entered for the dropdown is not valid." sqref="C258" xr:uid="{83FAA67C-89B8-4CBA-9871-9CCFE39E2531}">
      <formula1>SD_D_PL_UDF_910_Name</formula1>
    </dataValidation>
    <dataValidation type="list" errorStyle="warning" showInputMessage="1" showErrorMessage="1" errorTitle="SmartDox" error="The value you entered for the dropdown is not valid." sqref="I851:I859 E875:E882" xr:uid="{6F7724B0-096B-4C15-9FA1-7920FDD17752}">
      <formula1>SD_D_PL_FinancingType_Name</formula1>
    </dataValidation>
    <dataValidation type="list" errorStyle="warning" showInputMessage="1" showErrorMessage="1" errorTitle="SmartDox" error="The value you entered for the dropdown is not valid." sqref="C465 C486 C483 C480 C477 C474 C471 C468" xr:uid="{0E05123B-BB05-4282-AC85-4A684058E19D}">
      <formula1>SD_D_PL_IssuingAuthority_Name</formula1>
    </dataValidation>
    <dataValidation type="list" errorStyle="warning" showInputMessage="1" showErrorMessage="1" errorTitle="SmartDox" error="The value you entered for the dropdown is not valid." sqref="C1000:C1059" xr:uid="{E1E3D366-95FC-4283-805F-61DAD98E82E2}">
      <formula1>SD_D_PL_IncomeTarget_Name</formula1>
    </dataValidation>
    <dataValidation type="list" errorStyle="warning" showInputMessage="1" showErrorMessage="1" errorTitle="SmartDox" error="The value you entered for the dropdown is not valid." sqref="D1000:D1059" xr:uid="{75030CF6-5655-43BF-AC1D-98F181EF401D}">
      <formula1>SD_D_PL_TCUnitMixType_Name</formula1>
    </dataValidation>
    <dataValidation type="list" errorStyle="warning" showInputMessage="1" showErrorMessage="1" errorTitle="SmartDox" error="The value you entered for the dropdown is not valid." sqref="K696:K711" xr:uid="{2AD6A71B-FF1A-42E8-90BE-5E6733FE1EE0}">
      <formula1>SD_D_PL_EntityCompanyOrIndividual_Name</formula1>
    </dataValidation>
    <dataValidation type="list" errorStyle="warning" showInputMessage="1" showErrorMessage="1" errorTitle="SmartDox" error="The value you entered for the dropdown is not valid." sqref="J696:J711" xr:uid="{1E07E8E2-2DFE-4EFC-8137-3EF150B95BA8}">
      <formula1>SD_D_PL_DealEntityRole_Name</formula1>
    </dataValidation>
  </dataValidations>
  <pageMargins left="0.7" right="0.7" top="0.75" bottom="0.75" header="0.3" footer="0.3"/>
  <pageSetup orientation="portrait" r:id="rId1"/>
  <legacy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1"/>
  </sheetPr>
  <dimension ref="A1:AF4540"/>
  <sheetViews>
    <sheetView zoomScaleNormal="100" workbookViewId="0">
      <selection sqref="A1:M1"/>
    </sheetView>
  </sheetViews>
  <sheetFormatPr defaultRowHeight="15"/>
  <cols>
    <col min="1" max="1" width="78.7109375" customWidth="1"/>
    <col min="2" max="2" width="16" customWidth="1"/>
    <col min="3" max="3" width="35.42578125" customWidth="1"/>
    <col min="4" max="4" width="29.7109375" customWidth="1"/>
    <col min="5" max="5" width="15.140625" customWidth="1"/>
    <col min="6" max="6" width="48" customWidth="1"/>
    <col min="7" max="7" width="18.7109375" customWidth="1"/>
    <col min="8" max="14" width="14.5703125" customWidth="1"/>
    <col min="15" max="15" width="16.5703125" customWidth="1"/>
    <col min="16" max="16" width="16" customWidth="1"/>
    <col min="17" max="17" width="15" customWidth="1"/>
    <col min="18" max="18" width="15.5703125" customWidth="1"/>
    <col min="19" max="19" width="13" customWidth="1"/>
    <col min="20" max="20" width="14.140625" customWidth="1"/>
    <col min="21" max="21" width="15" customWidth="1"/>
    <col min="22" max="22" width="13.5703125" customWidth="1"/>
    <col min="23" max="23" width="14" customWidth="1"/>
    <col min="24" max="24" width="14.5703125" customWidth="1"/>
    <col min="25" max="25" width="14" customWidth="1"/>
    <col min="26" max="26" width="13" customWidth="1"/>
    <col min="27" max="27" width="14" customWidth="1"/>
    <col min="28" max="29" width="20.5703125" customWidth="1"/>
    <col min="30" max="31" width="14" customWidth="1"/>
  </cols>
  <sheetData>
    <row r="1" spans="1:29" ht="27" customHeight="1">
      <c r="A1" s="957" t="s">
        <v>83</v>
      </c>
      <c r="B1" s="957"/>
      <c r="C1" s="957"/>
      <c r="D1" s="957"/>
      <c r="E1" s="957"/>
      <c r="F1" s="957"/>
      <c r="G1" s="957"/>
      <c r="H1" s="957"/>
      <c r="I1" s="957"/>
      <c r="J1" s="957"/>
      <c r="K1" s="957"/>
      <c r="L1" s="957"/>
      <c r="M1" s="957"/>
    </row>
    <row r="2" spans="1:29">
      <c r="A2" t="s">
        <v>2678</v>
      </c>
      <c r="B2" t="b">
        <f>IF(ISNA(MATCH(Application!$B$6, Application_Stage_Table[Application Stage],0)), FALSE, INDEX(Application_Stage_Table[Is Preliminary], MATCH(Application!$B$6, Application_Stage_Table[Application Stage],0), 1))</f>
        <v>0</v>
      </c>
      <c r="C2" s="18" t="str">
        <f>IF(ISNA(MATCH(Application!$B$6, Application_Stage_Table[Application Stage],0)), "APPLICATION STAGE NOT SELECTED", "")</f>
        <v>APPLICATION STAGE NOT SELECTED</v>
      </c>
    </row>
    <row r="3" spans="1:29" ht="45">
      <c r="A3" t="s">
        <v>2679</v>
      </c>
      <c r="B3" t="b">
        <f>IF(ISNA(MATCH(Application!$B$6, Application_Stage_Table[Application Stage],0)), FALSE, INDEX(Application_Stage_Table[Is Carryover], MATCH(Application!$B$6, Application_Stage_Table[Application Stage],0), 1))</f>
        <v>0</v>
      </c>
      <c r="C3" s="18" t="str">
        <f>IF(ISNA(MATCH(Application!$B$6, Application_Stage_Table[Application Stage],0)), "APPLICATION STAGE NOT SELECTED", "")</f>
        <v>APPLICATION STAGE NOT SELECTED</v>
      </c>
      <c r="E3" s="9" t="s">
        <v>908</v>
      </c>
      <c r="F3" s="92">
        <f>SUM(Amenities!B62:B67)</f>
        <v>0</v>
      </c>
      <c r="G3" s="9" t="s">
        <v>2680</v>
      </c>
      <c r="H3" s="92">
        <f>F3-Amenities!B72</f>
        <v>0</v>
      </c>
    </row>
    <row r="4" spans="1:29">
      <c r="A4" t="s">
        <v>2681</v>
      </c>
      <c r="B4" t="b">
        <f>IF(ISNA(MATCH(Application!$B$6, Application_Stage_Table[Application Stage],0)), FALSE, INDEX(Application_Stage_Table[Is Final], MATCH(Application!$B$6, Application_Stage_Table[Application Stage],0), 1))</f>
        <v>0</v>
      </c>
      <c r="C4" s="18" t="str">
        <f>IF(ISNA(MATCH(Application!$B$6, Application_Stage_Table[Application Stage],0)), "APPLICATION STAGE NOT SELECTED", "")</f>
        <v>APPLICATION STAGE NOT SELECTED</v>
      </c>
      <c r="E4" t="s">
        <v>910</v>
      </c>
      <c r="F4" s="94" t="str">
        <f>IF(H45=0,"",H3/H45)</f>
        <v/>
      </c>
    </row>
    <row r="5" spans="1:29">
      <c r="A5" t="s">
        <v>2682</v>
      </c>
      <c r="B5" t="b">
        <f>IF(ISNA(MATCH(Application!$B$10,Tax_Credit_Type_Table[Type Of Tax Credit],0)), FALSE,INDEX(Tax_Credit_Type_Table[Has 4%], MATCH(Application!$B$10,Tax_Credit_Type_Table[Type Of Tax Credit],0), 1))</f>
        <v>0</v>
      </c>
      <c r="C5" s="18" t="str">
        <f>IF(ISNA(MATCH(Application!$B$10,Tax_Credit_Type_Table[Type Of Tax Credit],0)), "TAX CREDIT TYPE NOT SELECTED", "")</f>
        <v>TAX CREDIT TYPE NOT SELECTED</v>
      </c>
    </row>
    <row r="6" spans="1:29">
      <c r="A6" t="s">
        <v>2683</v>
      </c>
      <c r="B6" t="b">
        <f>IF(ISNA(MATCH(Application!$B$10,Tax_Credit_Type_Table[Type Of Tax Credit],0)), FALSE,INDEX(Tax_Credit_Type_Table[Has 9%], MATCH(Application!B10,Tax_Credit_Type_Table[Type Of Tax Credit],0), 1))</f>
        <v>0</v>
      </c>
      <c r="C6" s="18" t="str">
        <f>IF(ISNA(MATCH(Application!$B$10,Tax_Credit_Type_Table[Type Of Tax Credit],0)), "TAX CREDIT TYPE NOT SELECTED", "")</f>
        <v>TAX CREDIT TYPE NOT SELECTED</v>
      </c>
    </row>
    <row r="7" spans="1:29">
      <c r="A7" t="s">
        <v>2684</v>
      </c>
      <c r="B7" t="b">
        <f>IF(ISNA(MATCH(Application!$B$13,Project_Type_Table[Project  Type],0)), FALSE,INDEX(Project_Type_Table[Has Acq/Rehab], MATCH(Application!$B$13,Project_Type_Table[Project  Type],0), 1))</f>
        <v>0</v>
      </c>
      <c r="C7" s="18" t="str">
        <f>IF(ISNA(MATCH(Application!$B$13,Project_Type_Table[Project  Type],0)), "PROJECT TYPE NOT SELECTED", "")</f>
        <v>PROJECT TYPE NOT SELECTED</v>
      </c>
    </row>
    <row r="8" spans="1:29">
      <c r="A8" t="s">
        <v>2685</v>
      </c>
      <c r="B8" t="b">
        <f>IF(ISNA(MATCH(Application!$B$13,Project_Type_Table[Project  Type],0)), FALSE,INDEX(Project_Type_Table[Has New Construction], MATCH(Application!$B$13,Project_Type_Table[Project  Type],0), 1))</f>
        <v>0</v>
      </c>
      <c r="C8" s="18" t="str">
        <f>IF(ISNA(MATCH(Application!$B$13,Project_Type_Table[Project  Type],0)), "PROJECT TYPE NOT SELECTED", "")</f>
        <v>PROJECT TYPE NOT SELECTED</v>
      </c>
    </row>
    <row r="9" spans="1:29">
      <c r="A9" t="s">
        <v>2686</v>
      </c>
      <c r="B9" t="b">
        <f>IF(ISNA(MATCH(Application!$B$13,Project_Type_Table[Project  Type],0)), FALSE,INDEX(Project_Type_Table[Has Rehab], MATCH(Application!$B$13,Project_Type_Table[Project  Type],0), 1))</f>
        <v>0</v>
      </c>
      <c r="C9" s="18" t="str">
        <f>IF(ISNA(MATCH(Application!$B$13,Project_Type_Table[Project  Type],0)), "PROJECT TYPE NOT SELECTED", "")</f>
        <v>PROJECT TYPE NOT SELECTED</v>
      </c>
    </row>
    <row r="10" spans="1:29">
      <c r="A10" t="s">
        <v>2687</v>
      </c>
      <c r="B10" t="b">
        <f>IF(ISNA(MATCH(Application!$B$10,Tax_Credit_Type_Table[Type Of Tax Credit],0)), FALSE,INDEX(Tax_Credit_Type_Table[Has State], MATCH(Application!$B$10,Tax_Credit_Type_Table[Type Of Tax Credit],0), 1))</f>
        <v>0</v>
      </c>
      <c r="C10" s="18" t="str">
        <f>IF(ISNA(MATCH(Application!$B$10,Tax_Credit_Type_Table[Type Of Tax Credit],0)), "TAX CREDIT TYPE NOT SELECTED", "")</f>
        <v>TAX CREDIT TYPE NOT SELECTED</v>
      </c>
    </row>
    <row r="11" spans="1:29">
      <c r="A11" t="s">
        <v>2688</v>
      </c>
      <c r="B11" s="150" t="str">
        <f>IF(OR(E11, F11), "", D11)</f>
        <v/>
      </c>
      <c r="D11" t="e">
        <f>INDEX(Tax_Credit_Type_Table[Type of State Tax Credit], MATCH(Application!$B$10,Tax_Credit_Type_Table[Type Of Tax Credit],0), 1)</f>
        <v>#N/A</v>
      </c>
      <c r="E11" t="b">
        <f>ISNA(D11)</f>
        <v>1</v>
      </c>
      <c r="F11" t="b">
        <f>IF(ISNA(D11=0),TRUE,D11=0)</f>
        <v>1</v>
      </c>
      <c r="G11" s="13"/>
    </row>
    <row r="12" spans="1:29">
      <c r="A12" t="s">
        <v>4235</v>
      </c>
      <c r="B12" s="150" t="b">
        <f>Application!B12 = "Yes"</f>
        <v>0</v>
      </c>
      <c r="G12" s="13"/>
    </row>
    <row r="13" spans="1:29">
      <c r="G13" s="13"/>
    </row>
    <row r="14" spans="1:29">
      <c r="A14" t="s">
        <v>244</v>
      </c>
      <c r="B14">
        <f>Application!B33</f>
        <v>0</v>
      </c>
      <c r="C14" s="18" t="str">
        <f>IF(B14=0, "COUNTY MISSING", "")</f>
        <v>COUNTY MISSING</v>
      </c>
      <c r="D14" t="e">
        <f>IF(OR(ISNA(INDEX(Tax_Credit_Type_Table[Type of State Tax Credit], MATCH(Application!$B$10,Tax_Credit_Type_Table[Type Of Tax Credit],0), 1)), INDEX(Tax_Credit_Type_Table[Type of State Tax Credit], MATCH(Application!$B$10,Tax_Credit_Type_Table[Type Of Tax Credit],0), 1) = 0), "", INDEX(Tax_Credit_Type_Table[Type of State Tax Credit], MATCH(Application!$B$10,Tax_Credit_Type_Table[Type Of Tax Credit],0), 1))</f>
        <v>#N/A</v>
      </c>
      <c r="G14" s="14"/>
      <c r="O14" s="12"/>
      <c r="P14" s="12"/>
      <c r="Q14" s="12"/>
      <c r="R14" s="12"/>
      <c r="S14" s="12"/>
      <c r="T14" s="12"/>
      <c r="U14" s="12"/>
      <c r="V14" s="12"/>
      <c r="W14" s="12"/>
      <c r="X14" s="12"/>
      <c r="Y14" s="12"/>
      <c r="Z14" s="12"/>
      <c r="AA14" s="12"/>
      <c r="AB14" s="12"/>
      <c r="AC14" s="12"/>
    </row>
    <row r="15" spans="1:29">
      <c r="A15" t="s">
        <v>2689</v>
      </c>
      <c r="B15">
        <f>IF(ISNA(MATCH(B14,Admin!$A$119:$A$182,0)), -1, MATCH(B14,Admin!$A$119:$A$182,0))</f>
        <v>-1</v>
      </c>
      <c r="G15" s="14"/>
    </row>
    <row r="16" spans="1:29">
      <c r="A16" t="s">
        <v>245</v>
      </c>
      <c r="B16">
        <f>Application!B34</f>
        <v>0</v>
      </c>
      <c r="C16" s="18" t="str">
        <f>IF(B16=0, "CENSUS TRACT MISSING", "")</f>
        <v>CENSUS TRACT MISSING</v>
      </c>
      <c r="G16" s="14"/>
    </row>
    <row r="17" spans="1:20">
      <c r="A17" t="s">
        <v>804</v>
      </c>
      <c r="B17" s="92" t="str">
        <f>IFERROR(VALUE(LEFT(Application!$B$32, 5)), "")</f>
        <v/>
      </c>
      <c r="C17" s="18" t="str">
        <f>IF(LEN(B17)&lt;&gt; 5, "ZIP MISSING OR INCORRECT", "")</f>
        <v>ZIP MISSING OR INCORRECT</v>
      </c>
      <c r="O17" s="70"/>
      <c r="P17" s="70"/>
      <c r="Q17" s="70"/>
      <c r="R17" s="70"/>
      <c r="S17" s="70"/>
      <c r="T17" s="70"/>
    </row>
    <row r="18" spans="1:20">
      <c r="A18" t="s">
        <v>2690</v>
      </c>
      <c r="B18" s="16" t="b" cm="1">
        <f t="array" ref="B18">IF($B$15 = -1, FALSE, INDEX(Admin!A119:F182, $B$15, COLUMN(Admin!F118)))</f>
        <v>0</v>
      </c>
      <c r="C18" s="16" t="str">
        <f>IF(B18,"DDA","")</f>
        <v/>
      </c>
      <c r="M18" s="70"/>
    </row>
    <row r="19" spans="1:20">
      <c r="A19" t="s">
        <v>1705</v>
      </c>
      <c r="B19" s="16" t="b">
        <f>IF(ISNA(MATCH(B17,SADDA_Zip_Table[SADDA Zip],0)), FALSE, MATCH(B17,SADDA_Zip_Table[SADDA Zip],0)  &gt; 0)</f>
        <v>0</v>
      </c>
      <c r="C19" s="16" t="str">
        <f>IF(B19,"SADDA","")</f>
        <v/>
      </c>
    </row>
    <row r="20" spans="1:20">
      <c r="A20" t="s">
        <v>2691</v>
      </c>
      <c r="B20" s="16" t="b">
        <f>IFERROR(MATCH(B16,INDEX(Admin!$G$119:$BF$182, B15,0),0), 0) &gt;0</f>
        <v>0</v>
      </c>
      <c r="C20" s="16" t="str">
        <f>IF(B20,"QCT","")</f>
        <v/>
      </c>
      <c r="M20" s="70"/>
    </row>
    <row r="21" spans="1:20">
      <c r="A21" t="s">
        <v>2692</v>
      </c>
      <c r="B21" t="b">
        <f>OR(B18,B19,B20)</f>
        <v>0</v>
      </c>
      <c r="M21" s="70"/>
    </row>
    <row r="22" spans="1:20">
      <c r="A22" t="s">
        <v>2693</v>
      </c>
      <c r="B22" t="b">
        <f>Application!$B$8="Yes"</f>
        <v>0</v>
      </c>
    </row>
    <row r="25" spans="1:20">
      <c r="A25" t="s">
        <v>2694</v>
      </c>
      <c r="B25" t="b">
        <f>Application!$B$65 &gt; 0</f>
        <v>0</v>
      </c>
      <c r="H25" s="92"/>
      <c r="I25" s="49"/>
    </row>
    <row r="26" spans="1:20">
      <c r="A26" t="s">
        <v>2695</v>
      </c>
      <c r="B26" s="65">
        <f>SUM(Financing!B46:B48,Financing!B53:B58,Financing!B63:B70,Financing!B75:B76)</f>
        <v>0</v>
      </c>
      <c r="G26" s="14"/>
    </row>
    <row r="27" spans="1:20">
      <c r="A27" t="s">
        <v>2696</v>
      </c>
      <c r="B27" s="65">
        <f>SUM(Financing!B9:B11,Financing!B26:B33,Financing!B38:B39)</f>
        <v>0</v>
      </c>
      <c r="G27" s="14"/>
    </row>
    <row r="28" spans="1:20">
      <c r="G28" s="14"/>
    </row>
    <row r="29" spans="1:20">
      <c r="A29" t="s">
        <v>2697</v>
      </c>
      <c r="B29" s="92">
        <f>Application!B59</f>
        <v>0</v>
      </c>
      <c r="G29" s="14"/>
    </row>
    <row r="30" spans="1:20">
      <c r="G30" s="14"/>
    </row>
    <row r="31" spans="1:20">
      <c r="A31" s="99" t="s">
        <v>19</v>
      </c>
      <c r="B31" s="99"/>
      <c r="C31" s="99"/>
      <c r="D31" s="99"/>
      <c r="E31" s="99"/>
      <c r="F31" s="99"/>
      <c r="G31" s="99"/>
      <c r="H31" s="71"/>
      <c r="I31" s="71"/>
      <c r="J31" s="71"/>
      <c r="K31" s="71"/>
      <c r="L31" s="71"/>
      <c r="M31" s="71"/>
    </row>
    <row r="32" spans="1:20">
      <c r="G32" s="14"/>
    </row>
    <row r="33" spans="1:15">
      <c r="A33" s="72" t="s">
        <v>110</v>
      </c>
      <c r="B33" s="72" t="s">
        <v>1168</v>
      </c>
      <c r="C33" s="72" t="s">
        <v>1169</v>
      </c>
      <c r="D33" s="72" t="s">
        <v>1170</v>
      </c>
      <c r="E33" s="72" t="s">
        <v>1171</v>
      </c>
      <c r="F33" s="72" t="s">
        <v>1172</v>
      </c>
      <c r="G33" s="72" t="s">
        <v>2698</v>
      </c>
      <c r="H33" s="72" t="s">
        <v>898</v>
      </c>
      <c r="I33" s="70"/>
    </row>
    <row r="34" spans="1:15">
      <c r="A34" s="70">
        <v>0.2</v>
      </c>
      <c r="B34">
        <f>SUMIFS('Unit Mix &amp; Rents'!$D$17:$D$76,'Unit Mix &amp; Rents'!$A$17:$A$76,$A34,'Unit Mix &amp; Rents'!$B$17:$B$76,B$33)</f>
        <v>0</v>
      </c>
      <c r="C34">
        <f>SUMIFS('Unit Mix &amp; Rents'!$D$17:$D$76,'Unit Mix &amp; Rents'!$A$17:$A$76,$A34,'Unit Mix &amp; Rents'!$B$17:$B$76,C$33)</f>
        <v>0</v>
      </c>
      <c r="D34">
        <f>SUMIFS('Unit Mix &amp; Rents'!$D$17:$D$76,'Unit Mix &amp; Rents'!$A$17:$A$76,$A34,'Unit Mix &amp; Rents'!$B$17:$B$76,D$33)</f>
        <v>0</v>
      </c>
      <c r="E34">
        <f>SUMIFS('Unit Mix &amp; Rents'!$D$17:$D$76,'Unit Mix &amp; Rents'!$A$17:$A$76,$A34,'Unit Mix &amp; Rents'!$B$17:$B$76,E$33)</f>
        <v>0</v>
      </c>
      <c r="F34">
        <f>SUMIFS('Unit Mix &amp; Rents'!$D$17:$D$76,'Unit Mix &amp; Rents'!$A$17:$A$76,$A34,'Unit Mix &amp; Rents'!$B$17:$B$76,F$33)</f>
        <v>0</v>
      </c>
      <c r="G34">
        <f>SUMIFS('Unit Mix &amp; Rents'!$D$17:$D$76,'Unit Mix &amp; Rents'!$A$17:$A$76,$A34,'Unit Mix &amp; Rents'!$B$17:$B$76,G$33)</f>
        <v>0</v>
      </c>
      <c r="H34">
        <f>SUM(B34:G34)</f>
        <v>0</v>
      </c>
      <c r="I34" s="70"/>
    </row>
    <row r="35" spans="1:15">
      <c r="A35" s="70">
        <v>0.3</v>
      </c>
      <c r="B35">
        <f>SUMIFS('Unit Mix &amp; Rents'!$D$17:$D$76,'Unit Mix &amp; Rents'!$A$17:$A$76,$A35,'Unit Mix &amp; Rents'!$B$17:$B$76,B$33)</f>
        <v>0</v>
      </c>
      <c r="C35">
        <f>SUMIFS('Unit Mix &amp; Rents'!$D$17:$D$76,'Unit Mix &amp; Rents'!$A$17:$A$76,$A35,'Unit Mix &amp; Rents'!$B$17:$B$76,C$33)</f>
        <v>0</v>
      </c>
      <c r="D35">
        <f>SUMIFS('Unit Mix &amp; Rents'!$D$17:$D$76,'Unit Mix &amp; Rents'!$A$17:$A$76,$A35,'Unit Mix &amp; Rents'!$B$17:$B$76,D$33)</f>
        <v>0</v>
      </c>
      <c r="E35">
        <f>SUMIFS('Unit Mix &amp; Rents'!$D$17:$D$76,'Unit Mix &amp; Rents'!$A$17:$A$76,$A35,'Unit Mix &amp; Rents'!$B$17:$B$76,E$33)</f>
        <v>0</v>
      </c>
      <c r="F35">
        <f>SUMIFS('Unit Mix &amp; Rents'!$D$17:$D$76,'Unit Mix &amp; Rents'!$A$17:$A$76,$A35,'Unit Mix &amp; Rents'!$B$17:$B$76,F$33)</f>
        <v>0</v>
      </c>
      <c r="G35">
        <f>SUMIFS('Unit Mix &amp; Rents'!$D$17:$D$76,'Unit Mix &amp; Rents'!$A$17:$A$76,$A35,'Unit Mix &amp; Rents'!$B$17:$B$76,G$33)</f>
        <v>0</v>
      </c>
      <c r="H35">
        <f>SUM(B35:G35)</f>
        <v>0</v>
      </c>
      <c r="I35" s="70"/>
    </row>
    <row r="36" spans="1:15">
      <c r="A36" s="70">
        <v>0.4</v>
      </c>
      <c r="B36">
        <f>SUMIFS('Unit Mix &amp; Rents'!$D$17:$D$76,'Unit Mix &amp; Rents'!$A$17:$A$76,$A36,'Unit Mix &amp; Rents'!$B$17:$B$76,B$33)</f>
        <v>0</v>
      </c>
      <c r="C36">
        <f>SUMIFS('Unit Mix &amp; Rents'!$D$17:$D$76,'Unit Mix &amp; Rents'!$A$17:$A$76,$A36,'Unit Mix &amp; Rents'!$B$17:$B$76,C$33)</f>
        <v>0</v>
      </c>
      <c r="D36">
        <f>SUMIFS('Unit Mix &amp; Rents'!$D$17:$D$76,'Unit Mix &amp; Rents'!$A$17:$A$76,$A36,'Unit Mix &amp; Rents'!$B$17:$B$76,D$33)</f>
        <v>0</v>
      </c>
      <c r="E36">
        <f>SUMIFS('Unit Mix &amp; Rents'!$D$17:$D$76,'Unit Mix &amp; Rents'!$A$17:$A$76,$A36,'Unit Mix &amp; Rents'!$B$17:$B$76,E$33)</f>
        <v>0</v>
      </c>
      <c r="F36">
        <f>SUMIFS('Unit Mix &amp; Rents'!$D$17:$D$76,'Unit Mix &amp; Rents'!$A$17:$A$76,$A36,'Unit Mix &amp; Rents'!$B$17:$B$76,F$33)</f>
        <v>0</v>
      </c>
      <c r="G36">
        <f>SUMIFS('Unit Mix &amp; Rents'!$D$17:$D$76,'Unit Mix &amp; Rents'!$A$17:$A$76,$A36,'Unit Mix &amp; Rents'!$B$17:$B$76,G$33)</f>
        <v>0</v>
      </c>
      <c r="H36">
        <f>SUM(B36:G36)</f>
        <v>0</v>
      </c>
      <c r="I36" s="70"/>
    </row>
    <row r="37" spans="1:15">
      <c r="A37" s="70">
        <v>0.5</v>
      </c>
      <c r="B37">
        <f>SUMIFS('Unit Mix &amp; Rents'!$D$17:$D$76,'Unit Mix &amp; Rents'!$A$17:$A$76,$A37,'Unit Mix &amp; Rents'!$B$17:$B$76,B$33)</f>
        <v>0</v>
      </c>
      <c r="C37">
        <f>SUMIFS('Unit Mix &amp; Rents'!$D$17:$D$76,'Unit Mix &amp; Rents'!$A$17:$A$76,$A37,'Unit Mix &amp; Rents'!$B$17:$B$76,C$33)</f>
        <v>0</v>
      </c>
      <c r="D37">
        <f>SUMIFS('Unit Mix &amp; Rents'!$D$17:$D$76,'Unit Mix &amp; Rents'!$A$17:$A$76,$A37,'Unit Mix &amp; Rents'!$B$17:$B$76,D$33)</f>
        <v>0</v>
      </c>
      <c r="E37">
        <f>SUMIFS('Unit Mix &amp; Rents'!$D$17:$D$76,'Unit Mix &amp; Rents'!$A$17:$A$76,$A37,'Unit Mix &amp; Rents'!$B$17:$B$76,E$33)</f>
        <v>0</v>
      </c>
      <c r="F37">
        <f>SUMIFS('Unit Mix &amp; Rents'!$D$17:$D$76,'Unit Mix &amp; Rents'!$A$17:$A$76,$A37,'Unit Mix &amp; Rents'!$B$17:$B$76,F$33)</f>
        <v>0</v>
      </c>
      <c r="G37">
        <f>SUMIFS('Unit Mix &amp; Rents'!$D$17:$D$76,'Unit Mix &amp; Rents'!$A$17:$A$76,$A37,'Unit Mix &amp; Rents'!$B$17:$B$76,G$33)</f>
        <v>0</v>
      </c>
      <c r="H37">
        <f>SUM(B37:G37)</f>
        <v>0</v>
      </c>
      <c r="I37" s="70"/>
    </row>
    <row r="38" spans="1:15">
      <c r="A38" s="70">
        <v>0.6</v>
      </c>
      <c r="B38">
        <f>SUMIFS('Unit Mix &amp; Rents'!$D$17:$D$76,'Unit Mix &amp; Rents'!$A$17:$A$76,$A38,'Unit Mix &amp; Rents'!$B$17:$B$76,B$33)</f>
        <v>0</v>
      </c>
      <c r="C38">
        <f>SUMIFS('Unit Mix &amp; Rents'!$D$17:$D$76,'Unit Mix &amp; Rents'!$A$17:$A$76,$A38,'Unit Mix &amp; Rents'!$B$17:$B$76,C$33)</f>
        <v>0</v>
      </c>
      <c r="D38">
        <f>SUMIFS('Unit Mix &amp; Rents'!$D$17:$D$76,'Unit Mix &amp; Rents'!$A$17:$A$76,$A38,'Unit Mix &amp; Rents'!$B$17:$B$76,D$33)</f>
        <v>0</v>
      </c>
      <c r="E38">
        <f>SUMIFS('Unit Mix &amp; Rents'!$D$17:$D$76,'Unit Mix &amp; Rents'!$A$17:$A$76,$A38,'Unit Mix &amp; Rents'!$B$17:$B$76,E$33)</f>
        <v>0</v>
      </c>
      <c r="F38">
        <f>SUMIFS('Unit Mix &amp; Rents'!$D$17:$D$76,'Unit Mix &amp; Rents'!$A$17:$A$76,$A38,'Unit Mix &amp; Rents'!$B$17:$B$76,F$33)</f>
        <v>0</v>
      </c>
      <c r="G38">
        <f>SUMIFS('Unit Mix &amp; Rents'!$D$17:$D$76,'Unit Mix &amp; Rents'!$A$17:$A$76,$A38,'Unit Mix &amp; Rents'!$B$17:$B$76,G$33)</f>
        <v>0</v>
      </c>
      <c r="H38">
        <f>SUM(B38:G38)</f>
        <v>0</v>
      </c>
      <c r="I38" s="70"/>
    </row>
    <row r="39" spans="1:15">
      <c r="A39" s="70">
        <v>0.7</v>
      </c>
      <c r="B39">
        <f>SUMIFS('Unit Mix &amp; Rents'!$D$17:$D$76,'Unit Mix &amp; Rents'!$A$17:$A$76,$A39,'Unit Mix &amp; Rents'!$B$17:$B$76,B$33)</f>
        <v>0</v>
      </c>
      <c r="C39">
        <f>SUMIFS('Unit Mix &amp; Rents'!$D$17:$D$76,'Unit Mix &amp; Rents'!$A$17:$A$76,$A39,'Unit Mix &amp; Rents'!$B$17:$B$76,C$33)</f>
        <v>0</v>
      </c>
      <c r="D39">
        <f>SUMIFS('Unit Mix &amp; Rents'!$D$17:$D$76,'Unit Mix &amp; Rents'!$A$17:$A$76,$A39,'Unit Mix &amp; Rents'!$B$17:$B$76,D$33)</f>
        <v>0</v>
      </c>
      <c r="E39">
        <f>SUMIFS('Unit Mix &amp; Rents'!$D$17:$D$76,'Unit Mix &amp; Rents'!$A$17:$A$76,$A39,'Unit Mix &amp; Rents'!$B$17:$B$76,E$33)</f>
        <v>0</v>
      </c>
      <c r="F39">
        <f>SUMIFS('Unit Mix &amp; Rents'!$D$17:$D$76,'Unit Mix &amp; Rents'!$A$17:$A$76,$A39,'Unit Mix &amp; Rents'!$B$17:$B$76,F$33)</f>
        <v>0</v>
      </c>
      <c r="G39">
        <f>SUMIFS('Unit Mix &amp; Rents'!$D$17:$D$76,'Unit Mix &amp; Rents'!$A$17:$A$76,$A39,'Unit Mix &amp; Rents'!$B$17:$B$76,G$33)</f>
        <v>0</v>
      </c>
      <c r="H39">
        <f t="shared" ref="H39:H40" si="0">SUM(B39:G39)</f>
        <v>0</v>
      </c>
      <c r="I39" s="70"/>
    </row>
    <row r="40" spans="1:15">
      <c r="A40" s="70">
        <v>0.8</v>
      </c>
      <c r="B40">
        <f>SUMIFS('Unit Mix &amp; Rents'!$D$17:$D$76,'Unit Mix &amp; Rents'!$A$17:$A$76,$A40,'Unit Mix &amp; Rents'!$B$17:$B$76,B$33)</f>
        <v>0</v>
      </c>
      <c r="C40">
        <f>SUMIFS('Unit Mix &amp; Rents'!$D$17:$D$76,'Unit Mix &amp; Rents'!$A$17:$A$76,$A40,'Unit Mix &amp; Rents'!$B$17:$B$76,C$33)</f>
        <v>0</v>
      </c>
      <c r="D40">
        <f>SUMIFS('Unit Mix &amp; Rents'!$D$17:$D$76,'Unit Mix &amp; Rents'!$A$17:$A$76,$A40,'Unit Mix &amp; Rents'!$B$17:$B$76,D$33)</f>
        <v>0</v>
      </c>
      <c r="E40">
        <f>SUMIFS('Unit Mix &amp; Rents'!$D$17:$D$76,'Unit Mix &amp; Rents'!$A$17:$A$76,$A40,'Unit Mix &amp; Rents'!$B$17:$B$76,E$33)</f>
        <v>0</v>
      </c>
      <c r="F40">
        <f>SUMIFS('Unit Mix &amp; Rents'!$D$17:$D$76,'Unit Mix &amp; Rents'!$A$17:$A$76,$A40,'Unit Mix &amp; Rents'!$B$17:$B$76,F$33)</f>
        <v>0</v>
      </c>
      <c r="G40">
        <f>SUMIFS('Unit Mix &amp; Rents'!$D$17:$D$76,'Unit Mix &amp; Rents'!$A$17:$A$76,$A40,'Unit Mix &amp; Rents'!$B$17:$B$76,G$33)</f>
        <v>0</v>
      </c>
      <c r="H40">
        <f t="shared" si="0"/>
        <v>0</v>
      </c>
      <c r="I40" s="70"/>
      <c r="K40" s="16" t="s">
        <v>2699</v>
      </c>
      <c r="L40" s="16"/>
      <c r="M40" s="16"/>
      <c r="N40" s="16"/>
      <c r="O40" s="16"/>
    </row>
    <row r="41" spans="1:15">
      <c r="A41" t="s">
        <v>2700</v>
      </c>
      <c r="B41" s="1">
        <f>SUM(B34:B40)</f>
        <v>0</v>
      </c>
      <c r="C41" s="1">
        <f t="shared" ref="C41:H41" si="1">SUM(C34:C40)</f>
        <v>0</v>
      </c>
      <c r="D41" s="1">
        <f t="shared" si="1"/>
        <v>0</v>
      </c>
      <c r="E41" s="1">
        <f t="shared" si="1"/>
        <v>0</v>
      </c>
      <c r="F41" s="1">
        <f t="shared" si="1"/>
        <v>0</v>
      </c>
      <c r="G41" s="1">
        <f t="shared" si="1"/>
        <v>0</v>
      </c>
      <c r="H41" s="121">
        <f t="shared" si="1"/>
        <v>0</v>
      </c>
      <c r="K41" s="392" t="s">
        <v>2701</v>
      </c>
      <c r="L41" s="393">
        <f>IFERROR(SUMPRODUCT(A34:A40,H34:H40)/H41,0)</f>
        <v>0</v>
      </c>
      <c r="M41" s="16"/>
      <c r="N41" s="16"/>
      <c r="O41" s="16"/>
    </row>
    <row r="42" spans="1:15">
      <c r="K42" s="392" t="s">
        <v>2702</v>
      </c>
      <c r="L42" s="16" t="b">
        <f>L41&lt;=0.6</f>
        <v>1</v>
      </c>
      <c r="M42" s="16" t="str">
        <f>IF(L41&lt;=0.6,"Average Income midpoint is less than 60%","Average Income midpoint exceeds 60%")</f>
        <v>Average Income midpoint is less than 60%</v>
      </c>
      <c r="N42" s="16"/>
      <c r="O42" s="16"/>
    </row>
    <row r="43" spans="1:15">
      <c r="A43" t="s">
        <v>2703</v>
      </c>
      <c r="B43">
        <f>SUMIFS('Unit Mix &amp; Rents'!$D$17:$D$76,'Unit Mix &amp; Rents'!$A$17:$A$76,$A43,'Unit Mix &amp; Rents'!$B$17:$B$76,B$33)</f>
        <v>0</v>
      </c>
      <c r="C43">
        <f>SUMIFS('Unit Mix &amp; Rents'!$D$17:$D$76,'Unit Mix &amp; Rents'!$A$17:$A$76,$A43,'Unit Mix &amp; Rents'!$B$17:$B$76,C$33)</f>
        <v>0</v>
      </c>
      <c r="D43">
        <f>SUMIFS('Unit Mix &amp; Rents'!$D$17:$D$76,'Unit Mix &amp; Rents'!$A$17:$A$76,$A43,'Unit Mix &amp; Rents'!$B$17:$B$76,D$33)</f>
        <v>0</v>
      </c>
      <c r="E43">
        <f>SUMIFS('Unit Mix &amp; Rents'!$D$17:$D$76,'Unit Mix &amp; Rents'!$A$17:$A$76,$A43,'Unit Mix &amp; Rents'!$B$17:$B$76,E$33)</f>
        <v>0</v>
      </c>
      <c r="F43">
        <f>SUMIFS('Unit Mix &amp; Rents'!$D$17:$D$76,'Unit Mix &amp; Rents'!$A$17:$A$76,$A43,'Unit Mix &amp; Rents'!$B$17:$B$76,F$33)</f>
        <v>0</v>
      </c>
      <c r="G43">
        <f>SUMIFS('Unit Mix &amp; Rents'!$D$17:$D$76,'Unit Mix &amp; Rents'!$A$17:$A$76,$A43,'Unit Mix &amp; Rents'!$B$17:$B$76,G$33)</f>
        <v>0</v>
      </c>
      <c r="H43">
        <f>SUM(B43:G43)</f>
        <v>0</v>
      </c>
      <c r="K43" t="s">
        <v>2701</v>
      </c>
      <c r="L43" t="b">
        <f>AND(B5,M43,NOT(OR(N43,O43)))</f>
        <v>0</v>
      </c>
      <c r="M43" t="b">
        <f>Scoring!B5 = "Average Income"</f>
        <v>0</v>
      </c>
      <c r="N43" t="b">
        <f>IF(H45 = 0, TRUE,  SUM(H34:H37)/H45 &gt;= 0.2)</f>
        <v>1</v>
      </c>
      <c r="O43" t="b">
        <f>IF(H45 = 0, TRUE,  SUM(H34:H38)/H45 &gt;= 0.4)</f>
        <v>1</v>
      </c>
    </row>
    <row r="44" spans="1:15">
      <c r="A44" s="70">
        <v>1</v>
      </c>
      <c r="B44">
        <f>SUMIFS('Unit Mix &amp; Rents'!$D$17:$D$76,'Unit Mix &amp; Rents'!$A$17:$A$76,$A44,'Unit Mix &amp; Rents'!$B$17:$B$76,B$33)</f>
        <v>0</v>
      </c>
      <c r="C44">
        <f>SUMIFS('Unit Mix &amp; Rents'!$D$17:$D$76,'Unit Mix &amp; Rents'!$A$17:$A$76,$A44,'Unit Mix &amp; Rents'!$B$17:$B$76,C$33)</f>
        <v>0</v>
      </c>
      <c r="D44">
        <f>SUMIFS('Unit Mix &amp; Rents'!$D$17:$D$76,'Unit Mix &amp; Rents'!$A$17:$A$76,$A44,'Unit Mix &amp; Rents'!$B$17:$B$76,D$33)</f>
        <v>0</v>
      </c>
      <c r="E44">
        <f>SUMIFS('Unit Mix &amp; Rents'!$D$17:$D$76,'Unit Mix &amp; Rents'!$A$17:$A$76,$A44,'Unit Mix &amp; Rents'!$B$17:$B$76,E$33)</f>
        <v>0</v>
      </c>
      <c r="F44">
        <f>SUMIFS('Unit Mix &amp; Rents'!$D$17:$D$76,'Unit Mix &amp; Rents'!$A$17:$A$76,$A44,'Unit Mix &amp; Rents'!$B$17:$B$76,F$33)</f>
        <v>0</v>
      </c>
      <c r="G44">
        <f>SUMIFS('Unit Mix &amp; Rents'!$D$17:$D$76,'Unit Mix &amp; Rents'!$A$17:$A$76,$A44,'Unit Mix &amp; Rents'!$B$17:$B$76,G$33)</f>
        <v>0</v>
      </c>
      <c r="H44">
        <f>SUM(B44:G44)</f>
        <v>0</v>
      </c>
      <c r="I44" s="70"/>
      <c r="L44" t="str">
        <f>INDEX(Comments_Average_Income_table[],MATCH(L43,Comments_Average_Income_table[Average Income],0),2)</f>
        <v xml:space="preserve">  </v>
      </c>
    </row>
    <row r="45" spans="1:15">
      <c r="A45" t="s">
        <v>898</v>
      </c>
      <c r="B45">
        <f t="shared" ref="B45:G45" si="2">SUM(B41:B44)</f>
        <v>0</v>
      </c>
      <c r="C45">
        <f t="shared" si="2"/>
        <v>0</v>
      </c>
      <c r="D45">
        <f t="shared" si="2"/>
        <v>0</v>
      </c>
      <c r="E45">
        <f t="shared" si="2"/>
        <v>0</v>
      </c>
      <c r="F45">
        <f t="shared" si="2"/>
        <v>0</v>
      </c>
      <c r="G45">
        <f t="shared" si="2"/>
        <v>0</v>
      </c>
      <c r="H45">
        <f>SUM(B45:G45)</f>
        <v>0</v>
      </c>
      <c r="K45" t="s">
        <v>2704</v>
      </c>
      <c r="L45" s="303">
        <f>SUM(H39:H40)</f>
        <v>0</v>
      </c>
      <c r="M45" t="b">
        <f>Scoring!B5 = "Average Income"</f>
        <v>0</v>
      </c>
      <c r="O45" s="67"/>
    </row>
    <row r="46" spans="1:15">
      <c r="A46" t="s">
        <v>2077</v>
      </c>
      <c r="B46">
        <f>1*B45</f>
        <v>0</v>
      </c>
      <c r="C46">
        <f>1*C45</f>
        <v>0</v>
      </c>
      <c r="D46">
        <f>2*D45</f>
        <v>0</v>
      </c>
      <c r="E46">
        <f>3*E45</f>
        <v>0</v>
      </c>
      <c r="F46">
        <f>4*F45</f>
        <v>0</v>
      </c>
      <c r="G46">
        <f>5*G45</f>
        <v>0</v>
      </c>
      <c r="H46">
        <f>SUM(B46:G46)</f>
        <v>0</v>
      </c>
      <c r="O46" s="67"/>
    </row>
    <row r="47" spans="1:15">
      <c r="A47" t="s">
        <v>2705</v>
      </c>
      <c r="H47">
        <f>H41+H43</f>
        <v>0</v>
      </c>
      <c r="O47" s="67"/>
    </row>
    <row r="48" spans="1:15">
      <c r="A48" s="72" t="s">
        <v>1016</v>
      </c>
      <c r="B48" s="72" t="s">
        <v>2706</v>
      </c>
      <c r="C48" s="72" t="s">
        <v>2707</v>
      </c>
      <c r="D48" s="72" t="s">
        <v>2708</v>
      </c>
      <c r="E48" s="72" t="s">
        <v>2709</v>
      </c>
      <c r="F48" s="72" t="s">
        <v>2710</v>
      </c>
      <c r="G48" s="72" t="s">
        <v>2711</v>
      </c>
      <c r="H48" s="72" t="s">
        <v>2712</v>
      </c>
      <c r="O48" t="s">
        <v>1017</v>
      </c>
    </row>
    <row r="49" spans="1:16">
      <c r="A49" s="70">
        <v>0.2</v>
      </c>
      <c r="B49" s="77">
        <f>SUMPRODUCT('Unit Mix &amp; Rents'!$C$17:$C$76,'Unit Mix &amp; Rents'!$D$17:$D$76 * ('Unit Mix &amp; Rents'!$A$17:$A$76=$A49) * (LEFT('Unit Mix &amp; Rents'!$B$17:$B$76, 5) =B$48))</f>
        <v>0</v>
      </c>
      <c r="C49" s="77">
        <f>SUMPRODUCT('Unit Mix &amp; Rents'!$C$17:$C$76,'Unit Mix &amp; Rents'!$D$17:$D$76 * ('Unit Mix &amp; Rents'!$A$17:$A$76=$A49) * (LEFT('Unit Mix &amp; Rents'!$B$17:$B$76, 5) =C$48))</f>
        <v>0</v>
      </c>
      <c r="D49" s="77">
        <f>SUMPRODUCT('Unit Mix &amp; Rents'!$C$17:$C$76,'Unit Mix &amp; Rents'!$D$17:$D$76 * ('Unit Mix &amp; Rents'!$A$17:$A$76=$A49) * (LEFT('Unit Mix &amp; Rents'!$B$17:$B$76, 5) =D$48))</f>
        <v>0</v>
      </c>
      <c r="E49" s="77">
        <f>SUMPRODUCT('Unit Mix &amp; Rents'!$C$17:$C$76,'Unit Mix &amp; Rents'!$D$17:$D$76 * ('Unit Mix &amp; Rents'!$A$17:$A$76=$A49) * (LEFT('Unit Mix &amp; Rents'!$B$17:$B$76, 5) =E$48))</f>
        <v>0</v>
      </c>
      <c r="F49" s="77">
        <f>SUMPRODUCT('Unit Mix &amp; Rents'!$C$17:$C$76,'Unit Mix &amp; Rents'!$D$17:$D$76 * ('Unit Mix &amp; Rents'!$A$17:$A$76=$A49) * (LEFT('Unit Mix &amp; Rents'!$B$17:$B$76, 5) =F$48))</f>
        <v>0</v>
      </c>
      <c r="G49" s="77">
        <f>SUMPRODUCT('Unit Mix &amp; Rents'!$C$17:$C$76,'Unit Mix &amp; Rents'!$D$17:$D$76 * ('Unit Mix &amp; Rents'!$A$17:$A$76=$A49) * (LEFT('Unit Mix &amp; Rents'!$B$17:$B$76, 5) =G$48))</f>
        <v>0</v>
      </c>
      <c r="H49" s="77">
        <f>SUM(B49:G49)</f>
        <v>0</v>
      </c>
      <c r="K49" t="s">
        <v>2713</v>
      </c>
      <c r="N49">
        <f>H60</f>
        <v>0</v>
      </c>
      <c r="O49" s="8" t="e">
        <f>N49/N50</f>
        <v>#DIV/0!</v>
      </c>
    </row>
    <row r="50" spans="1:16">
      <c r="A50" s="70">
        <v>0.3</v>
      </c>
      <c r="B50" s="77">
        <f>SUMPRODUCT('Unit Mix &amp; Rents'!$C$17:$C$76,'Unit Mix &amp; Rents'!$D$17:$D$76 * ('Unit Mix &amp; Rents'!$A$17:$A$76=$A50) * (LEFT('Unit Mix &amp; Rents'!$B$17:$B$76, 5) =B$48))</f>
        <v>0</v>
      </c>
      <c r="C50" s="77">
        <f>SUMPRODUCT('Unit Mix &amp; Rents'!$C$17:$C$76,'Unit Mix &amp; Rents'!$D$17:$D$76 * ('Unit Mix &amp; Rents'!$A$17:$A$76=$A50) * (LEFT('Unit Mix &amp; Rents'!$B$17:$B$76, 5) =C$48))</f>
        <v>0</v>
      </c>
      <c r="D50" s="77">
        <f>SUMPRODUCT('Unit Mix &amp; Rents'!$C$17:$C$76,'Unit Mix &amp; Rents'!$D$17:$D$76 * ('Unit Mix &amp; Rents'!$A$17:$A$76=$A50) * (LEFT('Unit Mix &amp; Rents'!$B$17:$B$76, 5) =D$48))</f>
        <v>0</v>
      </c>
      <c r="E50" s="77">
        <f>SUMPRODUCT('Unit Mix &amp; Rents'!$C$17:$C$76,'Unit Mix &amp; Rents'!$D$17:$D$76 * ('Unit Mix &amp; Rents'!$A$17:$A$76=$A50) * (LEFT('Unit Mix &amp; Rents'!$B$17:$B$76, 5) =E$48))</f>
        <v>0</v>
      </c>
      <c r="F50" s="77">
        <f>SUMPRODUCT('Unit Mix &amp; Rents'!$C$17:$C$76,'Unit Mix &amp; Rents'!$D$17:$D$76 * ('Unit Mix &amp; Rents'!$A$17:$A$76=$A50) * (LEFT('Unit Mix &amp; Rents'!$B$17:$B$76, 5) =F$48))</f>
        <v>0</v>
      </c>
      <c r="G50" s="77">
        <f>SUMPRODUCT('Unit Mix &amp; Rents'!$C$17:$C$76,'Unit Mix &amp; Rents'!$D$17:$D$76 * ('Unit Mix &amp; Rents'!$A$17:$A$76=$A50) * (LEFT('Unit Mix &amp; Rents'!$B$17:$B$76, 5) =G$48))</f>
        <v>0</v>
      </c>
      <c r="H50" s="77">
        <f>SUM(B50:G50)</f>
        <v>0</v>
      </c>
      <c r="K50" t="s">
        <v>2714</v>
      </c>
      <c r="N50" s="303">
        <f>M55+H60</f>
        <v>0</v>
      </c>
      <c r="P50" t="s">
        <v>2715</v>
      </c>
    </row>
    <row r="51" spans="1:16">
      <c r="A51" s="70">
        <v>0.4</v>
      </c>
      <c r="B51" s="77">
        <f>SUMPRODUCT('Unit Mix &amp; Rents'!$C$17:$C$76,'Unit Mix &amp; Rents'!$D$17:$D$76 * ('Unit Mix &amp; Rents'!$A$17:$A$76=$A51) * (LEFT('Unit Mix &amp; Rents'!$B$17:$B$76, 5) =B$48))</f>
        <v>0</v>
      </c>
      <c r="C51" s="77">
        <f>SUMPRODUCT('Unit Mix &amp; Rents'!$C$17:$C$76,'Unit Mix &amp; Rents'!$D$17:$D$76 * ('Unit Mix &amp; Rents'!$A$17:$A$76=$A51) * (LEFT('Unit Mix &amp; Rents'!$B$17:$B$76, 5) =C$48))</f>
        <v>0</v>
      </c>
      <c r="D51" s="77">
        <f>SUMPRODUCT('Unit Mix &amp; Rents'!$C$17:$C$76,'Unit Mix &amp; Rents'!$D$17:$D$76 * ('Unit Mix &amp; Rents'!$A$17:$A$76=$A51) * (LEFT('Unit Mix &amp; Rents'!$B$17:$B$76, 5) =D$48))</f>
        <v>0</v>
      </c>
      <c r="E51" s="77">
        <f>SUMPRODUCT('Unit Mix &amp; Rents'!$C$17:$C$76,'Unit Mix &amp; Rents'!$D$17:$D$76 * ('Unit Mix &amp; Rents'!$A$17:$A$76=$A51) * (LEFT('Unit Mix &amp; Rents'!$B$17:$B$76, 5) =E$48))</f>
        <v>0</v>
      </c>
      <c r="F51" s="77">
        <f>SUMPRODUCT('Unit Mix &amp; Rents'!$C$17:$C$76,'Unit Mix &amp; Rents'!$D$17:$D$76 * ('Unit Mix &amp; Rents'!$A$17:$A$76=$A51) * (LEFT('Unit Mix &amp; Rents'!$B$17:$B$76, 5) =F$48))</f>
        <v>0</v>
      </c>
      <c r="G51" s="77">
        <f>SUMPRODUCT('Unit Mix &amp; Rents'!$C$17:$C$76,'Unit Mix &amp; Rents'!$D$17:$D$76 * ('Unit Mix &amp; Rents'!$A$17:$A$76=$A51) * (LEFT('Unit Mix &amp; Rents'!$B$17:$B$76, 5) =G$48))</f>
        <v>0</v>
      </c>
      <c r="H51" s="77">
        <f>SUM(B51:G51)</f>
        <v>0</v>
      </c>
    </row>
    <row r="52" spans="1:16">
      <c r="A52" s="70">
        <v>0.5</v>
      </c>
      <c r="B52" s="77">
        <f>SUMPRODUCT('Unit Mix &amp; Rents'!$C$17:$C$76,'Unit Mix &amp; Rents'!$D$17:$D$76 * ('Unit Mix &amp; Rents'!$A$17:$A$76=$A52) * (LEFT('Unit Mix &amp; Rents'!$B$17:$B$76, 5) =B$48))</f>
        <v>0</v>
      </c>
      <c r="C52" s="77">
        <f>SUMPRODUCT('Unit Mix &amp; Rents'!$C$17:$C$76,'Unit Mix &amp; Rents'!$D$17:$D$76 * ('Unit Mix &amp; Rents'!$A$17:$A$76=$A52) * (LEFT('Unit Mix &amp; Rents'!$B$17:$B$76, 5) =C$48))</f>
        <v>0</v>
      </c>
      <c r="D52" s="77">
        <f>SUMPRODUCT('Unit Mix &amp; Rents'!$C$17:$C$76,'Unit Mix &amp; Rents'!$D$17:$D$76 * ('Unit Mix &amp; Rents'!$A$17:$A$76=$A52) * (LEFT('Unit Mix &amp; Rents'!$B$17:$B$76, 5) =D$48))</f>
        <v>0</v>
      </c>
      <c r="E52" s="77">
        <f>SUMPRODUCT('Unit Mix &amp; Rents'!$C$17:$C$76,'Unit Mix &amp; Rents'!$D$17:$D$76 * ('Unit Mix &amp; Rents'!$A$17:$A$76=$A52) * (LEFT('Unit Mix &amp; Rents'!$B$17:$B$76, 5) =E$48))</f>
        <v>0</v>
      </c>
      <c r="F52" s="77">
        <f>SUMPRODUCT('Unit Mix &amp; Rents'!$C$17:$C$76,'Unit Mix &amp; Rents'!$D$17:$D$76 * ('Unit Mix &amp; Rents'!$A$17:$A$76=$A52) * (LEFT('Unit Mix &amp; Rents'!$B$17:$B$76, 5) =F$48))</f>
        <v>0</v>
      </c>
      <c r="G52" s="77">
        <f>SUMPRODUCT('Unit Mix &amp; Rents'!$C$17:$C$76,'Unit Mix &amp; Rents'!$D$17:$D$76 * ('Unit Mix &amp; Rents'!$A$17:$A$76=$A52) * (LEFT('Unit Mix &amp; Rents'!$B$17:$B$76, 5) =G$48))</f>
        <v>0</v>
      </c>
      <c r="H52" s="77">
        <f>SUM(B52:G52)</f>
        <v>0</v>
      </c>
      <c r="K52" s="1" t="s">
        <v>1015</v>
      </c>
      <c r="L52" s="74"/>
      <c r="M52" s="75" t="s">
        <v>1016</v>
      </c>
    </row>
    <row r="53" spans="1:16">
      <c r="A53" s="70">
        <v>0.6</v>
      </c>
      <c r="B53" s="77">
        <f>SUMPRODUCT('Unit Mix &amp; Rents'!$C$17:$C$76,'Unit Mix &amp; Rents'!$D$17:$D$76 * ('Unit Mix &amp; Rents'!$A$17:$A$76=$A53) * (LEFT('Unit Mix &amp; Rents'!$B$17:$B$76, 5) =B$48))</f>
        <v>0</v>
      </c>
      <c r="C53" s="77">
        <f>SUMPRODUCT('Unit Mix &amp; Rents'!$C$17:$C$76,'Unit Mix &amp; Rents'!$D$17:$D$76 * ('Unit Mix &amp; Rents'!$A$17:$A$76=$A53) * (LEFT('Unit Mix &amp; Rents'!$B$17:$B$76, 5) =C$48))</f>
        <v>0</v>
      </c>
      <c r="D53" s="77">
        <f>SUMPRODUCT('Unit Mix &amp; Rents'!$C$17:$C$76,'Unit Mix &amp; Rents'!$D$17:$D$76 * ('Unit Mix &amp; Rents'!$A$17:$A$76=$A53) * (LEFT('Unit Mix &amp; Rents'!$B$17:$B$76, 5) =D$48))</f>
        <v>0</v>
      </c>
      <c r="E53" s="77">
        <f>SUMPRODUCT('Unit Mix &amp; Rents'!$C$17:$C$76,'Unit Mix &amp; Rents'!$D$17:$D$76 * ('Unit Mix &amp; Rents'!$A$17:$A$76=$A53) * (LEFT('Unit Mix &amp; Rents'!$B$17:$B$76, 5) =E$48))</f>
        <v>0</v>
      </c>
      <c r="F53" s="77">
        <f>SUMPRODUCT('Unit Mix &amp; Rents'!$C$17:$C$76,'Unit Mix &amp; Rents'!$D$17:$D$76 * ('Unit Mix &amp; Rents'!$A$17:$A$76=$A53) * (LEFT('Unit Mix &amp; Rents'!$B$17:$B$76, 5) =F$48))</f>
        <v>0</v>
      </c>
      <c r="G53" s="77">
        <f>SUMPRODUCT('Unit Mix &amp; Rents'!$C$17:$C$76,'Unit Mix &amp; Rents'!$D$17:$D$76 * ('Unit Mix &amp; Rents'!$A$17:$A$76=$A53) * (LEFT('Unit Mix &amp; Rents'!$B$17:$B$76, 5) =G$48))</f>
        <v>0</v>
      </c>
      <c r="H53" s="77">
        <f>SUM(B53:G53)</f>
        <v>0</v>
      </c>
      <c r="K53" s="76" t="s">
        <v>1018</v>
      </c>
      <c r="M53" s="77">
        <f>Application!B64</f>
        <v>0</v>
      </c>
      <c r="O53" s="8" t="e">
        <f>M53/N50</f>
        <v>#DIV/0!</v>
      </c>
    </row>
    <row r="54" spans="1:16">
      <c r="A54" s="70">
        <v>0.7</v>
      </c>
      <c r="B54" s="77">
        <f>SUMPRODUCT('Unit Mix &amp; Rents'!$C$17:$C$76,'Unit Mix &amp; Rents'!$D$17:$D$76 * ('Unit Mix &amp; Rents'!$A$17:$A$76=$A54) * (LEFT('Unit Mix &amp; Rents'!$B$17:$B$76, 5) =B$48))</f>
        <v>0</v>
      </c>
      <c r="C54" s="77">
        <f>SUMPRODUCT('Unit Mix &amp; Rents'!$C$17:$C$76,'Unit Mix &amp; Rents'!$D$17:$D$76 * ('Unit Mix &amp; Rents'!$A$17:$A$76=$A54) * (LEFT('Unit Mix &amp; Rents'!$B$17:$B$76, 5) =C$48))</f>
        <v>0</v>
      </c>
      <c r="D54" s="77">
        <f>SUMPRODUCT('Unit Mix &amp; Rents'!$C$17:$C$76,'Unit Mix &amp; Rents'!$D$17:$D$76 * ('Unit Mix &amp; Rents'!$A$17:$A$76=$A54) * (LEFT('Unit Mix &amp; Rents'!$B$17:$B$76, 5) =D$48))</f>
        <v>0</v>
      </c>
      <c r="E54" s="77">
        <f>SUMPRODUCT('Unit Mix &amp; Rents'!$C$17:$C$76,'Unit Mix &amp; Rents'!$D$17:$D$76 * ('Unit Mix &amp; Rents'!$A$17:$A$76=$A54) * (LEFT('Unit Mix &amp; Rents'!$B$17:$B$76, 5) =E$48))</f>
        <v>0</v>
      </c>
      <c r="F54" s="77">
        <f>SUMPRODUCT('Unit Mix &amp; Rents'!$C$17:$C$76,'Unit Mix &amp; Rents'!$D$17:$D$76 * ('Unit Mix &amp; Rents'!$A$17:$A$76=$A54) * (LEFT('Unit Mix &amp; Rents'!$B$17:$B$76, 5) =F$48))</f>
        <v>0</v>
      </c>
      <c r="G54" s="77">
        <f>SUMPRODUCT('Unit Mix &amp; Rents'!$C$17:$C$76,'Unit Mix &amp; Rents'!$D$17:$D$76 * ('Unit Mix &amp; Rents'!$A$17:$A$76=$A54) * (LEFT('Unit Mix &amp; Rents'!$B$17:$B$76, 5) =G$48))</f>
        <v>0</v>
      </c>
      <c r="H54" s="77">
        <f t="shared" ref="H54:H55" si="3">SUM(B54:G54)</f>
        <v>0</v>
      </c>
      <c r="K54" s="78" t="s">
        <v>1019</v>
      </c>
      <c r="M54" s="77">
        <f>Application!B65</f>
        <v>0</v>
      </c>
      <c r="O54" s="8" t="e">
        <f>M54/N50</f>
        <v>#DIV/0!</v>
      </c>
    </row>
    <row r="55" spans="1:16">
      <c r="A55" s="70">
        <v>0.8</v>
      </c>
      <c r="B55" s="77">
        <f>SUMPRODUCT('Unit Mix &amp; Rents'!$C$17:$C$76,'Unit Mix &amp; Rents'!$D$17:$D$76 * ('Unit Mix &amp; Rents'!$A$17:$A$76=$A55) * (LEFT('Unit Mix &amp; Rents'!$B$17:$B$76, 5) =B$48))</f>
        <v>0</v>
      </c>
      <c r="C55" s="77">
        <f>SUMPRODUCT('Unit Mix &amp; Rents'!$C$17:$C$76,'Unit Mix &amp; Rents'!$D$17:$D$76 * ('Unit Mix &amp; Rents'!$A$17:$A$76=$A55) * (LEFT('Unit Mix &amp; Rents'!$B$17:$B$76, 5) =C$48))</f>
        <v>0</v>
      </c>
      <c r="D55" s="77">
        <f>SUMPRODUCT('Unit Mix &amp; Rents'!$C$17:$C$76,'Unit Mix &amp; Rents'!$D$17:$D$76 * ('Unit Mix &amp; Rents'!$A$17:$A$76=$A55) * (LEFT('Unit Mix &amp; Rents'!$B$17:$B$76, 5) =D$48))</f>
        <v>0</v>
      </c>
      <c r="E55" s="77">
        <f>SUMPRODUCT('Unit Mix &amp; Rents'!$C$17:$C$76,'Unit Mix &amp; Rents'!$D$17:$D$76 * ('Unit Mix &amp; Rents'!$A$17:$A$76=$A55) * (LEFT('Unit Mix &amp; Rents'!$B$17:$B$76, 5) =E$48))</f>
        <v>0</v>
      </c>
      <c r="F55" s="77">
        <f>SUMPRODUCT('Unit Mix &amp; Rents'!$C$17:$C$76,'Unit Mix &amp; Rents'!$D$17:$D$76 * ('Unit Mix &amp; Rents'!$A$17:$A$76=$A55) * (LEFT('Unit Mix &amp; Rents'!$B$17:$B$76, 5) =F$48))</f>
        <v>0</v>
      </c>
      <c r="G55" s="77">
        <f>SUMPRODUCT('Unit Mix &amp; Rents'!$C$17:$C$76,'Unit Mix &amp; Rents'!$D$17:$D$76 * ('Unit Mix &amp; Rents'!$A$17:$A$76=$A55) * (LEFT('Unit Mix &amp; Rents'!$B$17:$B$76, 5) =G$48))</f>
        <v>0</v>
      </c>
      <c r="H55" s="77">
        <f t="shared" si="3"/>
        <v>0</v>
      </c>
      <c r="K55" s="1" t="s">
        <v>2716</v>
      </c>
      <c r="L55" s="80"/>
      <c r="M55" s="80">
        <f>SUM(M53:M54)</f>
        <v>0</v>
      </c>
      <c r="O55" s="8" t="e">
        <f>M55/N50</f>
        <v>#DIV/0!</v>
      </c>
    </row>
    <row r="56" spans="1:16">
      <c r="A56" t="s">
        <v>2700</v>
      </c>
      <c r="B56" s="77">
        <f>SUM(B49:B55)</f>
        <v>0</v>
      </c>
      <c r="C56" s="77">
        <f t="shared" ref="C56:H56" si="4">SUM(C49:C55)</f>
        <v>0</v>
      </c>
      <c r="D56" s="77">
        <f t="shared" si="4"/>
        <v>0</v>
      </c>
      <c r="E56" s="77">
        <f t="shared" si="4"/>
        <v>0</v>
      </c>
      <c r="F56" s="77">
        <f t="shared" si="4"/>
        <v>0</v>
      </c>
      <c r="G56" s="77">
        <f t="shared" si="4"/>
        <v>0</v>
      </c>
      <c r="H56" s="77">
        <f t="shared" si="4"/>
        <v>0</v>
      </c>
      <c r="K56" s="1" t="s">
        <v>1021</v>
      </c>
      <c r="M56" s="303">
        <f>H60+M55</f>
        <v>0</v>
      </c>
    </row>
    <row r="58" spans="1:16">
      <c r="A58" t="s">
        <v>2703</v>
      </c>
      <c r="B58" s="77">
        <f>SUMPRODUCT('Unit Mix &amp; Rents'!$C$17:$C$76,'Unit Mix &amp; Rents'!$D$17:$D$76 * ('Unit Mix &amp; Rents'!$A$17:$A$76=$A58) * (LEFT('Unit Mix &amp; Rents'!$B$17:$B$76, 5) =B$48))</f>
        <v>0</v>
      </c>
      <c r="C58" s="77">
        <f>SUMPRODUCT('Unit Mix &amp; Rents'!$C$17:$C$76,'Unit Mix &amp; Rents'!$D$17:$D$76 * ('Unit Mix &amp; Rents'!$A$17:$A$76=$A58) * (LEFT('Unit Mix &amp; Rents'!$B$17:$B$76, 5) =C$48))</f>
        <v>0</v>
      </c>
      <c r="D58" s="77">
        <f>SUMPRODUCT('Unit Mix &amp; Rents'!$C$17:$C$76,'Unit Mix &amp; Rents'!$D$17:$D$76 * ('Unit Mix &amp; Rents'!$A$17:$A$76=$A58) * (LEFT('Unit Mix &amp; Rents'!$B$17:$B$76, 5) =D$48))</f>
        <v>0</v>
      </c>
      <c r="E58" s="77">
        <f>SUMPRODUCT('Unit Mix &amp; Rents'!$C$17:$C$76,'Unit Mix &amp; Rents'!$D$17:$D$76 * ('Unit Mix &amp; Rents'!$A$17:$A$76=$A58) * (LEFT('Unit Mix &amp; Rents'!$B$17:$B$76, 5) =E$48))</f>
        <v>0</v>
      </c>
      <c r="F58" s="77">
        <f>SUMPRODUCT('Unit Mix &amp; Rents'!$C$17:$C$76,'Unit Mix &amp; Rents'!$D$17:$D$76 * ('Unit Mix &amp; Rents'!$A$17:$A$76=$A58) * (LEFT('Unit Mix &amp; Rents'!$B$17:$B$76, 5) =F$48))</f>
        <v>0</v>
      </c>
      <c r="G58" s="77">
        <f>SUMPRODUCT('Unit Mix &amp; Rents'!$C$17:$C$76,'Unit Mix &amp; Rents'!$D$17:$D$76 * ('Unit Mix &amp; Rents'!$A$17:$A$76=$A58) * (LEFT('Unit Mix &amp; Rents'!$B$17:$B$76, 5) =G$48))</f>
        <v>0</v>
      </c>
      <c r="H58" s="77">
        <f>SUM(B58:G58)</f>
        <v>0</v>
      </c>
    </row>
    <row r="59" spans="1:16">
      <c r="A59" s="70">
        <v>1</v>
      </c>
      <c r="B59" s="77">
        <f>SUMPRODUCT('Unit Mix &amp; Rents'!$C$17:$C$76,'Unit Mix &amp; Rents'!$D$17:$D$76 * ('Unit Mix &amp; Rents'!$A$17:$A$76=$A59) * (LEFT('Unit Mix &amp; Rents'!$B$17:$B$76, 5) =B$48))</f>
        <v>0</v>
      </c>
      <c r="C59" s="77">
        <f>SUMPRODUCT('Unit Mix &amp; Rents'!$C$17:$C$76,'Unit Mix &amp; Rents'!$D$17:$D$76 * ('Unit Mix &amp; Rents'!$A$17:$A$76=$A59) * (LEFT('Unit Mix &amp; Rents'!$B$17:$B$76, 5) =C$48))</f>
        <v>0</v>
      </c>
      <c r="D59" s="77">
        <f>SUMPRODUCT('Unit Mix &amp; Rents'!$C$17:$C$76,'Unit Mix &amp; Rents'!$D$17:$D$76 * ('Unit Mix &amp; Rents'!$A$17:$A$76=$A59) * (LEFT('Unit Mix &amp; Rents'!$B$17:$B$76, 5) =D$48))</f>
        <v>0</v>
      </c>
      <c r="E59" s="77">
        <f>SUMPRODUCT('Unit Mix &amp; Rents'!$C$17:$C$76,'Unit Mix &amp; Rents'!$D$17:$D$76 * ('Unit Mix &amp; Rents'!$A$17:$A$76=$A59) * (LEFT('Unit Mix &amp; Rents'!$B$17:$B$76, 5) =E$48))</f>
        <v>0</v>
      </c>
      <c r="F59" s="77">
        <f>SUMPRODUCT('Unit Mix &amp; Rents'!$C$17:$C$76,'Unit Mix &amp; Rents'!$D$17:$D$76 * ('Unit Mix &amp; Rents'!$A$17:$A$76=$A59) * (LEFT('Unit Mix &amp; Rents'!$B$17:$B$76, 5) =F$48))</f>
        <v>0</v>
      </c>
      <c r="G59" s="77">
        <f>SUMPRODUCT('Unit Mix &amp; Rents'!$C$17:$C$76,'Unit Mix &amp; Rents'!$D$17:$D$76 * ('Unit Mix &amp; Rents'!$A$17:$A$76=$A59) * (LEFT('Unit Mix &amp; Rents'!$B$17:$B$76, 5) =G$48))</f>
        <v>0</v>
      </c>
      <c r="H59" s="77">
        <f>SUM(B59:G59)</f>
        <v>0</v>
      </c>
    </row>
    <row r="60" spans="1:16">
      <c r="A60" t="s">
        <v>1021</v>
      </c>
      <c r="B60" s="77">
        <f t="shared" ref="B60:G60" si="5">SUM(B56:B59)</f>
        <v>0</v>
      </c>
      <c r="C60" s="77">
        <f t="shared" si="5"/>
        <v>0</v>
      </c>
      <c r="D60" s="77">
        <f t="shared" si="5"/>
        <v>0</v>
      </c>
      <c r="E60" s="77">
        <f t="shared" si="5"/>
        <v>0</v>
      </c>
      <c r="F60" s="77">
        <f t="shared" si="5"/>
        <v>0</v>
      </c>
      <c r="G60" s="77">
        <f t="shared" si="5"/>
        <v>0</v>
      </c>
      <c r="H60" s="77">
        <f>SUM(B60:G60)</f>
        <v>0</v>
      </c>
    </row>
    <row r="61" spans="1:16">
      <c r="K61" s="81" t="s">
        <v>892</v>
      </c>
      <c r="L61" s="72" t="s">
        <v>893</v>
      </c>
      <c r="M61" s="72" t="s">
        <v>894</v>
      </c>
    </row>
    <row r="62" spans="1:16">
      <c r="A62" s="72" t="s">
        <v>2717</v>
      </c>
      <c r="B62" s="72" t="s">
        <v>2706</v>
      </c>
      <c r="C62" s="72" t="s">
        <v>2707</v>
      </c>
      <c r="D62" s="72" t="s">
        <v>2708</v>
      </c>
      <c r="E62" s="72" t="s">
        <v>2709</v>
      </c>
      <c r="F62" s="72" t="s">
        <v>2710</v>
      </c>
      <c r="G62" s="72" t="s">
        <v>2711</v>
      </c>
      <c r="H62" s="72" t="s">
        <v>2717</v>
      </c>
      <c r="I62" s="72" t="s">
        <v>2718</v>
      </c>
      <c r="K62" s="82"/>
      <c r="M62">
        <f>IFERROR(L62/L$70,0)</f>
        <v>0</v>
      </c>
    </row>
    <row r="63" spans="1:16">
      <c r="A63" s="70">
        <v>0.2</v>
      </c>
      <c r="B63" s="149">
        <f>12*SUMPRODUCT('Unit Mix &amp; Rents'!$E$17:$E$76,'Unit Mix &amp; Rents'!$D$17:$D$76 * ('Unit Mix &amp; Rents'!$A$17:$A$76=$A63) * (LEFT('Unit Mix &amp; Rents'!$B$17:$B$76, 5) =B$62))</f>
        <v>0</v>
      </c>
      <c r="C63" s="149">
        <f>12*SUMPRODUCT('Unit Mix &amp; Rents'!$E$17:$E$76,'Unit Mix &amp; Rents'!$D$17:$D$76 * ('Unit Mix &amp; Rents'!$A$17:$A$76=$A63) * (LEFT('Unit Mix &amp; Rents'!$B$17:$B$76, 5) =C$62))</f>
        <v>0</v>
      </c>
      <c r="D63" s="149">
        <f>12*SUMPRODUCT('Unit Mix &amp; Rents'!$E$17:$E$76,'Unit Mix &amp; Rents'!$D$17:$D$76 * ('Unit Mix &amp; Rents'!$A$17:$A$76=$A63) * (LEFT('Unit Mix &amp; Rents'!$B$17:$B$76, 5) =D$62))</f>
        <v>0</v>
      </c>
      <c r="E63" s="149">
        <f>12*SUMPRODUCT('Unit Mix &amp; Rents'!$E$17:$E$76,'Unit Mix &amp; Rents'!$D$17:$D$76 * ('Unit Mix &amp; Rents'!$A$17:$A$76=$A63) * (LEFT('Unit Mix &amp; Rents'!$B$17:$B$76, 5) =E$62))</f>
        <v>0</v>
      </c>
      <c r="F63" s="149">
        <f>12*SUMPRODUCT('Unit Mix &amp; Rents'!$E$17:$E$76,'Unit Mix &amp; Rents'!$D$17:$D$76 * ('Unit Mix &amp; Rents'!$A$17:$A$76=$A63) * (LEFT('Unit Mix &amp; Rents'!$B$17:$B$76, 5) =F$62))</f>
        <v>0</v>
      </c>
      <c r="G63" s="149">
        <f>12*SUMPRODUCT('Unit Mix &amp; Rents'!$E$17:$E$76,'Unit Mix &amp; Rents'!$D$17:$D$76 * ('Unit Mix &amp; Rents'!$A$17:$A$76=$A63) * (LEFT('Unit Mix &amp; Rents'!$B$17:$B$76, 5) =G$62))</f>
        <v>0</v>
      </c>
      <c r="H63" s="149">
        <f>SUM(B63:G63)</f>
        <v>0</v>
      </c>
      <c r="I63" s="341">
        <f>IF(H49=0,0,H63/12/H49)</f>
        <v>0</v>
      </c>
      <c r="K63" s="82"/>
    </row>
    <row r="64" spans="1:16">
      <c r="A64" s="70">
        <v>0.3</v>
      </c>
      <c r="B64" s="149">
        <f>12*SUMPRODUCT('Unit Mix &amp; Rents'!$E$17:$E$76,'Unit Mix &amp; Rents'!$D$17:$D$76 * ('Unit Mix &amp; Rents'!$A$17:$A$76=$A64) * (LEFT('Unit Mix &amp; Rents'!$B$17:$B$76, 5) =B$62))</f>
        <v>0</v>
      </c>
      <c r="C64" s="149">
        <f>12*SUMPRODUCT('Unit Mix &amp; Rents'!$E$17:$E$76,'Unit Mix &amp; Rents'!$D$17:$D$76 * ('Unit Mix &amp; Rents'!$A$17:$A$76=$A64) * (LEFT('Unit Mix &amp; Rents'!$B$17:$B$76, 5) =C$62))</f>
        <v>0</v>
      </c>
      <c r="D64" s="149">
        <f>12*SUMPRODUCT('Unit Mix &amp; Rents'!$E$17:$E$76,'Unit Mix &amp; Rents'!$D$17:$D$76 * ('Unit Mix &amp; Rents'!$A$17:$A$76=$A64) * (LEFT('Unit Mix &amp; Rents'!$B$17:$B$76, 5) =D$62))</f>
        <v>0</v>
      </c>
      <c r="E64" s="149">
        <f>12*SUMPRODUCT('Unit Mix &amp; Rents'!$E$17:$E$76,'Unit Mix &amp; Rents'!$D$17:$D$76 * ('Unit Mix &amp; Rents'!$A$17:$A$76=$A64) * (LEFT('Unit Mix &amp; Rents'!$B$17:$B$76, 5) =E$62))</f>
        <v>0</v>
      </c>
      <c r="F64" s="149">
        <f>12*SUMPRODUCT('Unit Mix &amp; Rents'!$E$17:$E$76,'Unit Mix &amp; Rents'!$D$17:$D$76 * ('Unit Mix &amp; Rents'!$A$17:$A$76=$A64) * (LEFT('Unit Mix &amp; Rents'!$B$17:$B$76, 5) =F$62))</f>
        <v>0</v>
      </c>
      <c r="G64" s="149">
        <f>12*SUMPRODUCT('Unit Mix &amp; Rents'!$E$17:$E$76,'Unit Mix &amp; Rents'!$D$17:$D$76 * ('Unit Mix &amp; Rents'!$A$17:$A$76=$A64) * (LEFT('Unit Mix &amp; Rents'!$B$17:$B$76, 5) =G$62))</f>
        <v>0</v>
      </c>
      <c r="H64" s="149">
        <f>SUM(B64:G64)</f>
        <v>0</v>
      </c>
      <c r="I64" s="341">
        <f>IF(H50=0,0,H64/12/H50)</f>
        <v>0</v>
      </c>
      <c r="K64" s="82" t="s">
        <v>2719</v>
      </c>
      <c r="L64">
        <f>Application!B109</f>
        <v>0</v>
      </c>
      <c r="M64">
        <f t="shared" ref="M64:M69" si="6">IFERROR(L64/L$70,0)</f>
        <v>0</v>
      </c>
    </row>
    <row r="65" spans="1:23">
      <c r="A65" s="70">
        <v>0.4</v>
      </c>
      <c r="B65" s="149">
        <f>12*SUMPRODUCT('Unit Mix &amp; Rents'!$E$17:$E$76,'Unit Mix &amp; Rents'!$D$17:$D$76 * ('Unit Mix &amp; Rents'!$A$17:$A$76=$A65) * (LEFT('Unit Mix &amp; Rents'!$B$17:$B$76, 5) =B$62))</f>
        <v>0</v>
      </c>
      <c r="C65" s="149">
        <f>12*SUMPRODUCT('Unit Mix &amp; Rents'!$E$17:$E$76,'Unit Mix &amp; Rents'!$D$17:$D$76 * ('Unit Mix &amp; Rents'!$A$17:$A$76=$A65) * (LEFT('Unit Mix &amp; Rents'!$B$17:$B$76, 5) =C$62))</f>
        <v>0</v>
      </c>
      <c r="D65" s="149">
        <f>12*SUMPRODUCT('Unit Mix &amp; Rents'!$E$17:$E$76,'Unit Mix &amp; Rents'!$D$17:$D$76 * ('Unit Mix &amp; Rents'!$A$17:$A$76=$A65) * (LEFT('Unit Mix &amp; Rents'!$B$17:$B$76, 5) =D$62))</f>
        <v>0</v>
      </c>
      <c r="E65" s="149">
        <f>12*SUMPRODUCT('Unit Mix &amp; Rents'!$E$17:$E$76,'Unit Mix &amp; Rents'!$D$17:$D$76 * ('Unit Mix &amp; Rents'!$A$17:$A$76=$A65) * (LEFT('Unit Mix &amp; Rents'!$B$17:$B$76, 5) =E$62))</f>
        <v>0</v>
      </c>
      <c r="F65" s="149">
        <f>12*SUMPRODUCT('Unit Mix &amp; Rents'!$E$17:$E$76,'Unit Mix &amp; Rents'!$D$17:$D$76 * ('Unit Mix &amp; Rents'!$A$17:$A$76=$A65) * (LEFT('Unit Mix &amp; Rents'!$B$17:$B$76, 5) =F$62))</f>
        <v>0</v>
      </c>
      <c r="G65" s="149">
        <f>12*SUMPRODUCT('Unit Mix &amp; Rents'!$E$17:$E$76,'Unit Mix &amp; Rents'!$D$17:$D$76 * ('Unit Mix &amp; Rents'!$A$17:$A$76=$A65) * (LEFT('Unit Mix &amp; Rents'!$B$17:$B$76, 5) =G$62))</f>
        <v>0</v>
      </c>
      <c r="H65" s="149">
        <f t="shared" ref="H65:H74" si="7">SUM(B65:G65)</f>
        <v>0</v>
      </c>
      <c r="I65" s="341">
        <f>IF(H51=0,0,H65/12/H51)</f>
        <v>0</v>
      </c>
      <c r="K65" s="82" t="s">
        <v>327</v>
      </c>
      <c r="L65">
        <f>Application!B110</f>
        <v>0</v>
      </c>
      <c r="M65">
        <f t="shared" si="6"/>
        <v>0</v>
      </c>
    </row>
    <row r="66" spans="1:23">
      <c r="A66" s="70">
        <v>0.5</v>
      </c>
      <c r="B66" s="149">
        <f>12*SUMPRODUCT('Unit Mix &amp; Rents'!$E$17:$E$76,'Unit Mix &amp; Rents'!$D$17:$D$76 * ('Unit Mix &amp; Rents'!$A$17:$A$76=$A66) * (LEFT('Unit Mix &amp; Rents'!$B$17:$B$76, 5) =B$62))</f>
        <v>0</v>
      </c>
      <c r="C66" s="149">
        <f>12*SUMPRODUCT('Unit Mix &amp; Rents'!$E$17:$E$76,'Unit Mix &amp; Rents'!$D$17:$D$76 * ('Unit Mix &amp; Rents'!$A$17:$A$76=$A66) * (LEFT('Unit Mix &amp; Rents'!$B$17:$B$76, 5) =C$62))</f>
        <v>0</v>
      </c>
      <c r="D66" s="149">
        <f>12*SUMPRODUCT('Unit Mix &amp; Rents'!$E$17:$E$76,'Unit Mix &amp; Rents'!$D$17:$D$76 * ('Unit Mix &amp; Rents'!$A$17:$A$76=$A66) * (LEFT('Unit Mix &amp; Rents'!$B$17:$B$76, 5) =D$62))</f>
        <v>0</v>
      </c>
      <c r="E66" s="149">
        <f>12*SUMPRODUCT('Unit Mix &amp; Rents'!$E$17:$E$76,'Unit Mix &amp; Rents'!$D$17:$D$76 * ('Unit Mix &amp; Rents'!$A$17:$A$76=$A66) * (LEFT('Unit Mix &amp; Rents'!$B$17:$B$76, 5) =E$62))</f>
        <v>0</v>
      </c>
      <c r="F66" s="149">
        <f>12*SUMPRODUCT('Unit Mix &amp; Rents'!$E$17:$E$76,'Unit Mix &amp; Rents'!$D$17:$D$76 * ('Unit Mix &amp; Rents'!$A$17:$A$76=$A66) * (LEFT('Unit Mix &amp; Rents'!$B$17:$B$76, 5) =F$62))</f>
        <v>0</v>
      </c>
      <c r="G66" s="149">
        <f>12*SUMPRODUCT('Unit Mix &amp; Rents'!$E$17:$E$76,'Unit Mix &amp; Rents'!$D$17:$D$76 * ('Unit Mix &amp; Rents'!$A$17:$A$76=$A66) * (LEFT('Unit Mix &amp; Rents'!$B$17:$B$76, 5) =G$62))</f>
        <v>0</v>
      </c>
      <c r="H66" s="149">
        <f t="shared" si="7"/>
        <v>0</v>
      </c>
      <c r="I66" s="341">
        <f>IF(H52=0,0,H66/12/H52)</f>
        <v>0</v>
      </c>
      <c r="K66" s="82" t="s">
        <v>896</v>
      </c>
      <c r="L66">
        <f>Application!B111</f>
        <v>0</v>
      </c>
      <c r="M66">
        <f t="shared" si="6"/>
        <v>0</v>
      </c>
    </row>
    <row r="67" spans="1:23">
      <c r="A67" s="70">
        <v>0.6</v>
      </c>
      <c r="B67" s="149">
        <f>12*SUMPRODUCT('Unit Mix &amp; Rents'!$E$17:$E$76,'Unit Mix &amp; Rents'!$D$17:$D$76 * ('Unit Mix &amp; Rents'!$A$17:$A$76=$A67) * (LEFT('Unit Mix &amp; Rents'!$B$17:$B$76, 5) =B$62))</f>
        <v>0</v>
      </c>
      <c r="C67" s="149">
        <f>12*SUMPRODUCT('Unit Mix &amp; Rents'!$E$17:$E$76,'Unit Mix &amp; Rents'!$D$17:$D$76 * ('Unit Mix &amp; Rents'!$A$17:$A$76=$A67) * (LEFT('Unit Mix &amp; Rents'!$B$17:$B$76, 5) =C$62))</f>
        <v>0</v>
      </c>
      <c r="D67" s="149">
        <f>12*SUMPRODUCT('Unit Mix &amp; Rents'!$E$17:$E$76,'Unit Mix &amp; Rents'!$D$17:$D$76 * ('Unit Mix &amp; Rents'!$A$17:$A$76=$A67) * (LEFT('Unit Mix &amp; Rents'!$B$17:$B$76, 5) =D$62))</f>
        <v>0</v>
      </c>
      <c r="E67" s="149">
        <f>12*SUMPRODUCT('Unit Mix &amp; Rents'!$E$17:$E$76,'Unit Mix &amp; Rents'!$D$17:$D$76 * ('Unit Mix &amp; Rents'!$A$17:$A$76=$A67) * (LEFT('Unit Mix &amp; Rents'!$B$17:$B$76, 5) =E$62))</f>
        <v>0</v>
      </c>
      <c r="F67" s="149">
        <f>12*SUMPRODUCT('Unit Mix &amp; Rents'!$E$17:$E$76,'Unit Mix &amp; Rents'!$D$17:$D$76 * ('Unit Mix &amp; Rents'!$A$17:$A$76=$A67) * (LEFT('Unit Mix &amp; Rents'!$B$17:$B$76, 5) =F$62))</f>
        <v>0</v>
      </c>
      <c r="G67" s="149">
        <f>12*SUMPRODUCT('Unit Mix &amp; Rents'!$E$17:$E$76,'Unit Mix &amp; Rents'!$D$17:$D$76 * ('Unit Mix &amp; Rents'!$A$17:$A$76=$A67) * (LEFT('Unit Mix &amp; Rents'!$B$17:$B$76, 5) =G$62))</f>
        <v>0</v>
      </c>
      <c r="H67" s="149">
        <f t="shared" si="7"/>
        <v>0</v>
      </c>
      <c r="I67" s="341">
        <f>IF(H53=0,0,H67/12/H53)</f>
        <v>0</v>
      </c>
      <c r="K67" s="82" t="s">
        <v>329</v>
      </c>
      <c r="L67">
        <f>Application!B112</f>
        <v>0</v>
      </c>
      <c r="M67">
        <f t="shared" si="6"/>
        <v>0</v>
      </c>
      <c r="N67" s="74"/>
      <c r="O67" s="74"/>
    </row>
    <row r="68" spans="1:23">
      <c r="A68" s="70">
        <v>0.7</v>
      </c>
      <c r="B68" s="149">
        <f>12*SUMPRODUCT('Unit Mix &amp; Rents'!$E$17:$E$76,'Unit Mix &amp; Rents'!$D$17:$D$76 * ('Unit Mix &amp; Rents'!$A$17:$A$76=$A68) * (LEFT('Unit Mix &amp; Rents'!$B$17:$B$76, 5) =B$62))</f>
        <v>0</v>
      </c>
      <c r="C68" s="149">
        <f>12*SUMPRODUCT('Unit Mix &amp; Rents'!$E$17:$E$76,'Unit Mix &amp; Rents'!$D$17:$D$76 * ('Unit Mix &amp; Rents'!$A$17:$A$76=$A68) * (LEFT('Unit Mix &amp; Rents'!$B$17:$B$76, 5) =C$62))</f>
        <v>0</v>
      </c>
      <c r="D68" s="149">
        <f>12*SUMPRODUCT('Unit Mix &amp; Rents'!$E$17:$E$76,'Unit Mix &amp; Rents'!$D$17:$D$76 * ('Unit Mix &amp; Rents'!$A$17:$A$76=$A68) * (LEFT('Unit Mix &amp; Rents'!$B$17:$B$76, 5) =D$62))</f>
        <v>0</v>
      </c>
      <c r="E68" s="149">
        <f>12*SUMPRODUCT('Unit Mix &amp; Rents'!$E$17:$E$76,'Unit Mix &amp; Rents'!$D$17:$D$76 * ('Unit Mix &amp; Rents'!$A$17:$A$76=$A68) * (LEFT('Unit Mix &amp; Rents'!$B$17:$B$76, 5) =E$62))</f>
        <v>0</v>
      </c>
      <c r="F68" s="149">
        <f>12*SUMPRODUCT('Unit Mix &amp; Rents'!$E$17:$E$76,'Unit Mix &amp; Rents'!$D$17:$D$76 * ('Unit Mix &amp; Rents'!$A$17:$A$76=$A68) * (LEFT('Unit Mix &amp; Rents'!$B$17:$B$76, 5) =F$62))</f>
        <v>0</v>
      </c>
      <c r="G68" s="149">
        <f>12*SUMPRODUCT('Unit Mix &amp; Rents'!$E$17:$E$76,'Unit Mix &amp; Rents'!$D$17:$D$76 * ('Unit Mix &amp; Rents'!$A$17:$A$76=$A68) * (LEFT('Unit Mix &amp; Rents'!$B$17:$B$76, 5) =G$62))</f>
        <v>0</v>
      </c>
      <c r="H68" s="149">
        <f t="shared" si="7"/>
        <v>0</v>
      </c>
      <c r="I68" s="341">
        <f t="shared" ref="I68:I70" si="8">IF(H54=0,0,H68/12/H54)</f>
        <v>0</v>
      </c>
      <c r="K68" s="82" t="s">
        <v>330</v>
      </c>
      <c r="L68">
        <f>Application!B113</f>
        <v>0</v>
      </c>
      <c r="M68">
        <f t="shared" si="6"/>
        <v>0</v>
      </c>
      <c r="N68" s="182"/>
      <c r="O68" s="182"/>
    </row>
    <row r="69" spans="1:23">
      <c r="A69" s="70">
        <v>0.8</v>
      </c>
      <c r="B69" s="149">
        <f>12*SUMPRODUCT('Unit Mix &amp; Rents'!$E$17:$E$76,'Unit Mix &amp; Rents'!$D$17:$D$76 * ('Unit Mix &amp; Rents'!$A$17:$A$76=$A69) * (LEFT('Unit Mix &amp; Rents'!$B$17:$B$76, 5) =B$62))</f>
        <v>0</v>
      </c>
      <c r="C69" s="149">
        <f>12*SUMPRODUCT('Unit Mix &amp; Rents'!$E$17:$E$76,'Unit Mix &amp; Rents'!$D$17:$D$76 * ('Unit Mix &amp; Rents'!$A$17:$A$76=$A69) * (LEFT('Unit Mix &amp; Rents'!$B$17:$B$76, 5) =C$62))</f>
        <v>0</v>
      </c>
      <c r="D69" s="149">
        <f>12*SUMPRODUCT('Unit Mix &amp; Rents'!$E$17:$E$76,'Unit Mix &amp; Rents'!$D$17:$D$76 * ('Unit Mix &amp; Rents'!$A$17:$A$76=$A69) * (LEFT('Unit Mix &amp; Rents'!$B$17:$B$76, 5) =D$62))</f>
        <v>0</v>
      </c>
      <c r="E69" s="149">
        <f>12*SUMPRODUCT('Unit Mix &amp; Rents'!$E$17:$E$76,'Unit Mix &amp; Rents'!$D$17:$D$76 * ('Unit Mix &amp; Rents'!$A$17:$A$76=$A69) * (LEFT('Unit Mix &amp; Rents'!$B$17:$B$76, 5) =E$62))</f>
        <v>0</v>
      </c>
      <c r="F69" s="149">
        <f>12*SUMPRODUCT('Unit Mix &amp; Rents'!$E$17:$E$76,'Unit Mix &amp; Rents'!$D$17:$D$76 * ('Unit Mix &amp; Rents'!$A$17:$A$76=$A69) * (LEFT('Unit Mix &amp; Rents'!$B$17:$B$76, 5) =F$62))</f>
        <v>0</v>
      </c>
      <c r="G69" s="149">
        <f>12*SUMPRODUCT('Unit Mix &amp; Rents'!$E$17:$E$76,'Unit Mix &amp; Rents'!$D$17:$D$76 * ('Unit Mix &amp; Rents'!$A$17:$A$76=$A69) * (LEFT('Unit Mix &amp; Rents'!$B$17:$B$76, 5) =G$62))</f>
        <v>0</v>
      </c>
      <c r="H69" s="149">
        <f t="shared" si="7"/>
        <v>0</v>
      </c>
      <c r="I69" s="341">
        <f t="shared" si="8"/>
        <v>0</v>
      </c>
      <c r="K69" s="82" t="s">
        <v>2720</v>
      </c>
      <c r="L69">
        <f>Application!B114</f>
        <v>0</v>
      </c>
      <c r="M69">
        <f t="shared" si="6"/>
        <v>0</v>
      </c>
      <c r="N69" s="182"/>
      <c r="O69" s="182"/>
    </row>
    <row r="70" spans="1:23">
      <c r="A70" t="s">
        <v>2700</v>
      </c>
      <c r="B70" s="149">
        <f>SUM(B63:B69)</f>
        <v>0</v>
      </c>
      <c r="C70" s="149">
        <f t="shared" ref="C70:H70" si="9">SUM(C63:C69)</f>
        <v>0</v>
      </c>
      <c r="D70" s="149">
        <f t="shared" si="9"/>
        <v>0</v>
      </c>
      <c r="E70" s="149">
        <f t="shared" si="9"/>
        <v>0</v>
      </c>
      <c r="F70" s="149">
        <f t="shared" si="9"/>
        <v>0</v>
      </c>
      <c r="G70" s="149">
        <f t="shared" si="9"/>
        <v>0</v>
      </c>
      <c r="H70" s="149">
        <f t="shared" si="9"/>
        <v>0</v>
      </c>
      <c r="I70" s="341">
        <f t="shared" si="8"/>
        <v>0</v>
      </c>
      <c r="K70" s="82" t="s">
        <v>898</v>
      </c>
      <c r="L70">
        <f>SUM(L62:L69)</f>
        <v>0</v>
      </c>
      <c r="M70">
        <f>SUM(M62:M69)</f>
        <v>0</v>
      </c>
      <c r="N70" s="83"/>
      <c r="O70" s="83"/>
    </row>
    <row r="71" spans="1:23">
      <c r="J71" s="84"/>
      <c r="K71" s="83"/>
      <c r="L71" s="83"/>
      <c r="M71" s="83"/>
      <c r="N71" s="83"/>
      <c r="O71" s="83"/>
    </row>
    <row r="72" spans="1:23">
      <c r="A72" t="s">
        <v>2703</v>
      </c>
      <c r="B72" s="149">
        <f>12*SUMPRODUCT('Unit Mix &amp; Rents'!$E$17:$E$76,'Unit Mix &amp; Rents'!$D$17:$D$76 * ('Unit Mix &amp; Rents'!$A$17:$A$76=$A72) * (LEFT('Unit Mix &amp; Rents'!$B$17:$B$76, 5) =B$62))</f>
        <v>0</v>
      </c>
      <c r="C72" s="149">
        <f>12*SUMPRODUCT('Unit Mix &amp; Rents'!$E$17:$E$76,'Unit Mix &amp; Rents'!$D$17:$D$76 * ('Unit Mix &amp; Rents'!$A$17:$A$76=$A72) * (LEFT('Unit Mix &amp; Rents'!$B$17:$B$76, 5) =C$62))</f>
        <v>0</v>
      </c>
      <c r="D72" s="149">
        <f>12*SUMPRODUCT('Unit Mix &amp; Rents'!$E$17:$E$76,'Unit Mix &amp; Rents'!$D$17:$D$76 * ('Unit Mix &amp; Rents'!$A$17:$A$76=$A72) * (LEFT('Unit Mix &amp; Rents'!$B$17:$B$76, 5) =D$62))</f>
        <v>0</v>
      </c>
      <c r="E72" s="149">
        <f>12*SUMPRODUCT('Unit Mix &amp; Rents'!$E$17:$E$76,'Unit Mix &amp; Rents'!$D$17:$D$76 * ('Unit Mix &amp; Rents'!$A$17:$A$76=$A72) * (LEFT('Unit Mix &amp; Rents'!$B$17:$B$76, 5) =E$62))</f>
        <v>0</v>
      </c>
      <c r="F72" s="149">
        <f>12*SUMPRODUCT('Unit Mix &amp; Rents'!$E$17:$E$76,'Unit Mix &amp; Rents'!$D$17:$D$76 * ('Unit Mix &amp; Rents'!$A$17:$A$76=$A72) * (LEFT('Unit Mix &amp; Rents'!$B$17:$B$76, 5) =F$62))</f>
        <v>0</v>
      </c>
      <c r="G72" s="149">
        <f>12*SUMPRODUCT('Unit Mix &amp; Rents'!$E$17:$E$76,'Unit Mix &amp; Rents'!$D$17:$D$76 * ('Unit Mix &amp; Rents'!$A$17:$A$76=$A72) * (LEFT('Unit Mix &amp; Rents'!$B$17:$B$76, 5) =G$62))</f>
        <v>0</v>
      </c>
      <c r="H72" s="149">
        <f t="shared" si="7"/>
        <v>0</v>
      </c>
      <c r="I72" s="149">
        <f>IF(H58=0,0,H72/12/H58)</f>
        <v>0</v>
      </c>
      <c r="K72" s="87" t="s">
        <v>893</v>
      </c>
      <c r="L72" s="72" t="s">
        <v>1016</v>
      </c>
      <c r="O72" s="83"/>
    </row>
    <row r="73" spans="1:23">
      <c r="A73" s="70">
        <v>1</v>
      </c>
      <c r="B73" s="149">
        <f>12*SUMPRODUCT('Unit Mix &amp; Rents'!$E$17:$E$76,'Unit Mix &amp; Rents'!$D$17:$D$76 * ('Unit Mix &amp; Rents'!$A$17:$A$76=$A73) * (LEFT('Unit Mix &amp; Rents'!$B$17:$B$76, 5) =B$62))</f>
        <v>0</v>
      </c>
      <c r="C73" s="149">
        <f>12*SUMPRODUCT('Unit Mix &amp; Rents'!$E$17:$E$76,'Unit Mix &amp; Rents'!$D$17:$D$76 * ('Unit Mix &amp; Rents'!$A$17:$A$76=$A73) * (LEFT('Unit Mix &amp; Rents'!$B$17:$B$76, 5) =C$62))</f>
        <v>0</v>
      </c>
      <c r="D73" s="149">
        <f>12*SUMPRODUCT('Unit Mix &amp; Rents'!$E$17:$E$76,'Unit Mix &amp; Rents'!$D$17:$D$76 * ('Unit Mix &amp; Rents'!$A$17:$A$76=$A73) * (LEFT('Unit Mix &amp; Rents'!$B$17:$B$76, 5) =D$62))</f>
        <v>0</v>
      </c>
      <c r="E73" s="149">
        <f>12*SUMPRODUCT('Unit Mix &amp; Rents'!$E$17:$E$76,'Unit Mix &amp; Rents'!$D$17:$D$76 * ('Unit Mix &amp; Rents'!$A$17:$A$76=$A73) * (LEFT('Unit Mix &amp; Rents'!$B$17:$B$76, 5) =E$62))</f>
        <v>0</v>
      </c>
      <c r="F73" s="149">
        <f>12*SUMPRODUCT('Unit Mix &amp; Rents'!$E$17:$E$76,'Unit Mix &amp; Rents'!$D$17:$D$76 * ('Unit Mix &amp; Rents'!$A$17:$A$76=$A73) * (LEFT('Unit Mix &amp; Rents'!$B$17:$B$76, 5) =F$62))</f>
        <v>0</v>
      </c>
      <c r="G73" s="149">
        <f>12*SUMPRODUCT('Unit Mix &amp; Rents'!$E$17:$E$76,'Unit Mix &amp; Rents'!$D$17:$D$76 * ('Unit Mix &amp; Rents'!$A$17:$A$76=$A73) * (LEFT('Unit Mix &amp; Rents'!$B$17:$B$76, 5) =G$62))</f>
        <v>0</v>
      </c>
      <c r="H73" s="149">
        <f t="shared" si="7"/>
        <v>0</v>
      </c>
      <c r="I73" s="149">
        <f>IF(H59=0,0,H73/12/H59)</f>
        <v>0</v>
      </c>
      <c r="J73" t="s">
        <v>2721</v>
      </c>
      <c r="K73" s="197">
        <f>IF(H45=0,0,TRUNC(H41/(H45-H43), 4))</f>
        <v>0</v>
      </c>
      <c r="L73" s="197">
        <f>IF(H60=0,0,TRUNC((H56/(H60-H58)), 4))</f>
        <v>0</v>
      </c>
      <c r="O73" s="83"/>
    </row>
    <row r="74" spans="1:23">
      <c r="A74" t="s">
        <v>2717</v>
      </c>
      <c r="B74" s="149">
        <f t="shared" ref="B74:G74" si="10">SUM(B70:B73)</f>
        <v>0</v>
      </c>
      <c r="C74" s="149">
        <f t="shared" si="10"/>
        <v>0</v>
      </c>
      <c r="D74" s="149">
        <f t="shared" si="10"/>
        <v>0</v>
      </c>
      <c r="E74" s="149">
        <f t="shared" si="10"/>
        <v>0</v>
      </c>
      <c r="F74" s="149">
        <f t="shared" si="10"/>
        <v>0</v>
      </c>
      <c r="G74" s="149">
        <f t="shared" si="10"/>
        <v>0</v>
      </c>
      <c r="H74" s="149">
        <f t="shared" si="7"/>
        <v>0</v>
      </c>
      <c r="I74" s="341">
        <f>IF(H60=0,0,H74/12/H60)</f>
        <v>0</v>
      </c>
      <c r="K74" s="197">
        <f>MIN(K73:L73)</f>
        <v>0</v>
      </c>
      <c r="L74" s="8" t="str">
        <f>IF(L73&lt;K73,L73,"")</f>
        <v/>
      </c>
      <c r="M74" s="371" t="s">
        <v>1023</v>
      </c>
      <c r="O74" s="83"/>
    </row>
    <row r="75" spans="1:23">
      <c r="J75" s="74"/>
      <c r="K75" s="74"/>
      <c r="L75" s="74"/>
      <c r="M75" s="74"/>
      <c r="N75" s="74"/>
      <c r="O75" s="74"/>
    </row>
    <row r="76" spans="1:23">
      <c r="A76" s="70"/>
      <c r="B76" s="70"/>
      <c r="C76" s="85"/>
      <c r="D76" s="85"/>
      <c r="E76" s="86"/>
      <c r="U76" s="83"/>
      <c r="V76" s="83"/>
      <c r="W76" s="83"/>
    </row>
    <row r="77" spans="1:23">
      <c r="A77" s="74" t="s">
        <v>2722</v>
      </c>
      <c r="B77" s="34" t="s">
        <v>1223</v>
      </c>
      <c r="C77" s="34" t="s">
        <v>1224</v>
      </c>
      <c r="D77" s="34" t="s">
        <v>1225</v>
      </c>
      <c r="E77" s="34" t="s">
        <v>1226</v>
      </c>
      <c r="F77" s="35" t="s">
        <v>1227</v>
      </c>
      <c r="G77" s="34" t="s">
        <v>2723</v>
      </c>
      <c r="H77" t="str">
        <f>CONCATENATE("* for ",Application!B33," county")</f>
        <v>* for  county</v>
      </c>
      <c r="J77" t="s">
        <v>2724</v>
      </c>
      <c r="U77" s="88"/>
      <c r="V77" s="88"/>
      <c r="W77" s="88"/>
    </row>
    <row r="78" spans="1:23">
      <c r="A78" s="89">
        <v>0.2</v>
      </c>
      <c r="B78" s="344">
        <f t="shared" ref="B78:E82" ca="1" si="11">INDIRECT(CONCATENATE($B$103, G$99, $E101))</f>
        <v>330</v>
      </c>
      <c r="C78" s="344">
        <f t="shared" ca="1" si="11"/>
        <v>353</v>
      </c>
      <c r="D78" s="344">
        <f t="shared" ca="1" si="11"/>
        <v>424</v>
      </c>
      <c r="E78" s="344">
        <f t="shared" ca="1" si="11"/>
        <v>490</v>
      </c>
      <c r="F78" s="344">
        <f t="shared" ref="F78:F84" ca="1" si="12">INDIRECT(CONCATENATE($B$103, K$99, $E101))</f>
        <v>546</v>
      </c>
      <c r="G78" s="344">
        <f ca="1">ROUND(AVERAGE(J78:K78)/12*0.3,0)</f>
        <v>603</v>
      </c>
      <c r="J78">
        <f t="shared" ref="J78:J82" ca="1" si="13">INDIRECT(CONCATENATE($B$114, G$110, $E112))</f>
        <v>23380</v>
      </c>
      <c r="K78">
        <f t="shared" ref="K78:K84" ca="1" si="14">INDIRECT(CONCATENATE($B$114, H$110, $E112))</f>
        <v>24880</v>
      </c>
      <c r="U78" s="88"/>
      <c r="V78" s="88"/>
      <c r="W78" s="88"/>
    </row>
    <row r="79" spans="1:23">
      <c r="A79" s="89">
        <v>0.3</v>
      </c>
      <c r="B79" s="344">
        <f t="shared" ca="1" si="11"/>
        <v>495</v>
      </c>
      <c r="C79" s="344">
        <f t="shared" ca="1" si="11"/>
        <v>530</v>
      </c>
      <c r="D79" s="344">
        <f t="shared" ca="1" si="11"/>
        <v>636</v>
      </c>
      <c r="E79" s="344">
        <f t="shared" ca="1" si="11"/>
        <v>735</v>
      </c>
      <c r="F79" s="344">
        <f t="shared" ca="1" si="12"/>
        <v>819</v>
      </c>
      <c r="G79" s="344">
        <f ca="1">ROUND(AVERAGE(J79:K79)/12*0.3,0)</f>
        <v>905</v>
      </c>
      <c r="J79">
        <f t="shared" ca="1" si="13"/>
        <v>35070</v>
      </c>
      <c r="K79">
        <f t="shared" ca="1" si="14"/>
        <v>37320</v>
      </c>
      <c r="U79" s="74"/>
      <c r="V79" s="74"/>
      <c r="W79" s="74"/>
    </row>
    <row r="80" spans="1:23">
      <c r="A80" s="89">
        <v>0.4</v>
      </c>
      <c r="B80" s="344">
        <f t="shared" ca="1" si="11"/>
        <v>660</v>
      </c>
      <c r="C80" s="344">
        <f t="shared" ca="1" si="11"/>
        <v>707</v>
      </c>
      <c r="D80" s="344">
        <f t="shared" ca="1" si="11"/>
        <v>848</v>
      </c>
      <c r="E80" s="344">
        <f t="shared" ca="1" si="11"/>
        <v>980</v>
      </c>
      <c r="F80" s="344">
        <f t="shared" ca="1" si="12"/>
        <v>1093</v>
      </c>
      <c r="G80" s="344">
        <f ca="1">ROUND(AVERAGE(J80:K80)/12*0.3,0)</f>
        <v>1207</v>
      </c>
      <c r="J80">
        <f t="shared" ca="1" si="13"/>
        <v>46760</v>
      </c>
      <c r="K80">
        <f t="shared" ca="1" si="14"/>
        <v>49760</v>
      </c>
      <c r="U80" s="74"/>
      <c r="V80" s="74"/>
      <c r="W80" s="74"/>
    </row>
    <row r="81" spans="1:23">
      <c r="A81" s="89">
        <v>0.5</v>
      </c>
      <c r="B81" s="344">
        <f t="shared" ca="1" si="11"/>
        <v>825</v>
      </c>
      <c r="C81" s="344">
        <f t="shared" ca="1" si="11"/>
        <v>883</v>
      </c>
      <c r="D81" s="344">
        <f t="shared" ca="1" si="11"/>
        <v>1060</v>
      </c>
      <c r="E81" s="344">
        <f t="shared" ca="1" si="11"/>
        <v>1225</v>
      </c>
      <c r="F81" s="344">
        <f t="shared" ca="1" si="12"/>
        <v>1366</v>
      </c>
      <c r="G81" s="344">
        <f ca="1">ROUND(AVERAGE(J81:K81)/12*0.3,0)</f>
        <v>1508</v>
      </c>
      <c r="J81">
        <f t="shared" ca="1" si="13"/>
        <v>58450</v>
      </c>
      <c r="K81">
        <f t="shared" ca="1" si="14"/>
        <v>62200</v>
      </c>
      <c r="U81" s="74"/>
      <c r="V81" s="74"/>
      <c r="W81" s="74"/>
    </row>
    <row r="82" spans="1:23">
      <c r="A82" s="89">
        <v>0.6</v>
      </c>
      <c r="B82" s="344">
        <f t="shared" ca="1" si="11"/>
        <v>990</v>
      </c>
      <c r="C82" s="344">
        <f t="shared" ca="1" si="11"/>
        <v>1060</v>
      </c>
      <c r="D82" s="344">
        <f t="shared" ca="1" si="11"/>
        <v>1272</v>
      </c>
      <c r="E82" s="344">
        <f t="shared" ca="1" si="11"/>
        <v>1470</v>
      </c>
      <c r="F82" s="344">
        <f t="shared" ca="1" si="12"/>
        <v>1639</v>
      </c>
      <c r="G82" s="344">
        <f ca="1">ROUND(AVERAGE(J82:K82)/12*0.3,0)</f>
        <v>1810</v>
      </c>
      <c r="J82">
        <f t="shared" ca="1" si="13"/>
        <v>70140</v>
      </c>
      <c r="K82">
        <f t="shared" ca="1" si="14"/>
        <v>74640</v>
      </c>
      <c r="U82" s="74"/>
      <c r="V82" s="74"/>
      <c r="W82" s="74"/>
    </row>
    <row r="83" spans="1:23">
      <c r="A83" s="89">
        <v>0.7</v>
      </c>
      <c r="B83" s="344">
        <f t="shared" ref="B83:B84" ca="1" si="15">INDIRECT(CONCATENATE($B$103, G$99, $E106))</f>
        <v>1155</v>
      </c>
      <c r="C83" s="344">
        <f t="shared" ref="C83:C84" ca="1" si="16">INDIRECT(CONCATENATE($B$103, H$99, $E106))</f>
        <v>1237</v>
      </c>
      <c r="D83" s="344">
        <f t="shared" ref="D83:D84" ca="1" si="17">INDIRECT(CONCATENATE($B$103, I$99, $E106))</f>
        <v>1484</v>
      </c>
      <c r="E83" s="344">
        <f t="shared" ref="E83:E84" ca="1" si="18">INDIRECT(CONCATENATE($B$103, J$99, $E106))</f>
        <v>1715</v>
      </c>
      <c r="F83" s="344">
        <f t="shared" ca="1" si="12"/>
        <v>1912</v>
      </c>
      <c r="G83" s="344">
        <f t="shared" ref="G83:G84" ca="1" si="19">ROUND(AVERAGE(J83:K83)/12*0.3,0)</f>
        <v>2111</v>
      </c>
      <c r="J83">
        <f t="shared" ref="J83:J84" ca="1" si="20">INDIRECT(CONCATENATE($B$114, G$110, $E117))</f>
        <v>81830</v>
      </c>
      <c r="K83">
        <f t="shared" ca="1" si="14"/>
        <v>87080</v>
      </c>
      <c r="U83" s="74"/>
      <c r="V83" s="74"/>
      <c r="W83" s="74"/>
    </row>
    <row r="84" spans="1:23">
      <c r="A84" s="89">
        <v>0.8</v>
      </c>
      <c r="B84" s="344">
        <f t="shared" ca="1" si="15"/>
        <v>1320</v>
      </c>
      <c r="C84" s="344">
        <f t="shared" ca="1" si="16"/>
        <v>1414</v>
      </c>
      <c r="D84" s="344">
        <f t="shared" ca="1" si="17"/>
        <v>1696</v>
      </c>
      <c r="E84" s="344">
        <f t="shared" ca="1" si="18"/>
        <v>1960</v>
      </c>
      <c r="F84" s="344">
        <f t="shared" ca="1" si="12"/>
        <v>2186</v>
      </c>
      <c r="G84" s="344">
        <f t="shared" ca="1" si="19"/>
        <v>2413</v>
      </c>
      <c r="J84">
        <f t="shared" ca="1" si="20"/>
        <v>93520</v>
      </c>
      <c r="K84">
        <f t="shared" ca="1" si="14"/>
        <v>99520</v>
      </c>
      <c r="U84" s="74"/>
      <c r="V84" s="74"/>
      <c r="W84" s="74"/>
    </row>
    <row r="85" spans="1:23">
      <c r="G85" s="74"/>
      <c r="U85" s="74"/>
      <c r="V85" s="74"/>
      <c r="W85" s="74"/>
    </row>
    <row r="86" spans="1:23">
      <c r="A86" s="74" t="s">
        <v>2725</v>
      </c>
      <c r="B86" s="74" t="s">
        <v>103</v>
      </c>
      <c r="C86" s="74" t="s">
        <v>104</v>
      </c>
      <c r="D86" s="74" t="s">
        <v>105</v>
      </c>
      <c r="E86" s="74" t="s">
        <v>106</v>
      </c>
      <c r="F86" s="74" t="s">
        <v>107</v>
      </c>
      <c r="G86" s="74" t="s">
        <v>108</v>
      </c>
      <c r="U86" s="74"/>
      <c r="V86" s="74"/>
      <c r="W86" s="74"/>
    </row>
    <row r="87" spans="1:23">
      <c r="A87" s="84" t="s">
        <v>2726</v>
      </c>
      <c r="B87" s="83">
        <f>'Unit Mix &amp; Rents'!B7</f>
        <v>0</v>
      </c>
      <c r="C87" s="83">
        <f>'Unit Mix &amp; Rents'!B8</f>
        <v>0</v>
      </c>
      <c r="D87" s="83">
        <f>'Unit Mix &amp; Rents'!B9</f>
        <v>0</v>
      </c>
      <c r="E87" s="83">
        <f>'Unit Mix &amp; Rents'!B10</f>
        <v>0</v>
      </c>
      <c r="F87" s="83">
        <f>'Unit Mix &amp; Rents'!B11</f>
        <v>0</v>
      </c>
      <c r="G87" s="83">
        <f>'Unit Mix &amp; Rents'!B12</f>
        <v>0</v>
      </c>
      <c r="U87" s="74"/>
      <c r="V87" s="74"/>
      <c r="W87" s="74"/>
    </row>
    <row r="88" spans="1:23">
      <c r="A88" s="74"/>
      <c r="B88" s="74"/>
      <c r="C88" s="74"/>
      <c r="D88" s="74"/>
      <c r="E88" s="74"/>
      <c r="F88" s="74"/>
      <c r="G88" s="74"/>
      <c r="U88" s="74"/>
      <c r="V88" s="74"/>
      <c r="W88" s="74"/>
    </row>
    <row r="89" spans="1:23">
      <c r="A89" s="74" t="s">
        <v>2727</v>
      </c>
      <c r="B89" s="74" t="s">
        <v>103</v>
      </c>
      <c r="C89" s="74" t="s">
        <v>104</v>
      </c>
      <c r="D89" s="74" t="s">
        <v>105</v>
      </c>
      <c r="E89" s="74" t="s">
        <v>106</v>
      </c>
      <c r="F89" s="74" t="s">
        <v>107</v>
      </c>
      <c r="G89" s="74" t="s">
        <v>108</v>
      </c>
      <c r="I89" s="182"/>
      <c r="U89" s="74"/>
      <c r="V89" s="74"/>
      <c r="W89" s="74"/>
    </row>
    <row r="90" spans="1:23">
      <c r="A90" s="84" t="s">
        <v>1004</v>
      </c>
      <c r="B90" s="83">
        <f ca="1">B78-B$87</f>
        <v>330</v>
      </c>
      <c r="C90" s="83">
        <f t="shared" ref="C90:G90" ca="1" si="21">C78-C$87</f>
        <v>353</v>
      </c>
      <c r="D90" s="83">
        <f t="shared" ca="1" si="21"/>
        <v>424</v>
      </c>
      <c r="E90" s="83">
        <f t="shared" ca="1" si="21"/>
        <v>490</v>
      </c>
      <c r="F90" s="83">
        <f t="shared" ca="1" si="21"/>
        <v>546</v>
      </c>
      <c r="G90" s="83">
        <f t="shared" ca="1" si="21"/>
        <v>603</v>
      </c>
      <c r="U90" s="74"/>
      <c r="V90" s="74"/>
      <c r="W90" s="74"/>
    </row>
    <row r="91" spans="1:23">
      <c r="A91" s="84" t="s">
        <v>1005</v>
      </c>
      <c r="B91" s="83">
        <f t="shared" ref="B91:G96" ca="1" si="22">B79-B$87</f>
        <v>495</v>
      </c>
      <c r="C91" s="83">
        <f t="shared" ca="1" si="22"/>
        <v>530</v>
      </c>
      <c r="D91" s="83">
        <f t="shared" ca="1" si="22"/>
        <v>636</v>
      </c>
      <c r="E91" s="83">
        <f t="shared" ca="1" si="22"/>
        <v>735</v>
      </c>
      <c r="F91" s="83">
        <f t="shared" ca="1" si="22"/>
        <v>819</v>
      </c>
      <c r="G91" s="83">
        <f t="shared" ca="1" si="22"/>
        <v>905</v>
      </c>
      <c r="U91" s="74"/>
      <c r="V91" s="74"/>
      <c r="W91" s="74"/>
    </row>
    <row r="92" spans="1:23">
      <c r="A92" s="84" t="s">
        <v>1006</v>
      </c>
      <c r="B92" s="83">
        <f t="shared" ca="1" si="22"/>
        <v>660</v>
      </c>
      <c r="C92" s="83">
        <f t="shared" ca="1" si="22"/>
        <v>707</v>
      </c>
      <c r="D92" s="83">
        <f t="shared" ca="1" si="22"/>
        <v>848</v>
      </c>
      <c r="E92" s="83">
        <f t="shared" ca="1" si="22"/>
        <v>980</v>
      </c>
      <c r="F92" s="83">
        <f t="shared" ca="1" si="22"/>
        <v>1093</v>
      </c>
      <c r="G92" s="83">
        <f t="shared" ca="1" si="22"/>
        <v>1207</v>
      </c>
      <c r="U92" s="74"/>
      <c r="V92" s="74"/>
      <c r="W92" s="74"/>
    </row>
    <row r="93" spans="1:23">
      <c r="A93" s="84" t="s">
        <v>1007</v>
      </c>
      <c r="B93" s="83">
        <f t="shared" ca="1" si="22"/>
        <v>825</v>
      </c>
      <c r="C93" s="83">
        <f t="shared" ca="1" si="22"/>
        <v>883</v>
      </c>
      <c r="D93" s="83">
        <f t="shared" ca="1" si="22"/>
        <v>1060</v>
      </c>
      <c r="E93" s="83">
        <f t="shared" ca="1" si="22"/>
        <v>1225</v>
      </c>
      <c r="F93" s="83">
        <f t="shared" ca="1" si="22"/>
        <v>1366</v>
      </c>
      <c r="G93" s="83">
        <f t="shared" ca="1" si="22"/>
        <v>1508</v>
      </c>
      <c r="U93" s="74"/>
      <c r="V93" s="74"/>
    </row>
    <row r="94" spans="1:23">
      <c r="A94" s="84" t="s">
        <v>2728</v>
      </c>
      <c r="B94" s="83">
        <f t="shared" ca="1" si="22"/>
        <v>990</v>
      </c>
      <c r="C94" s="83">
        <f t="shared" ca="1" si="22"/>
        <v>1060</v>
      </c>
      <c r="D94" s="83">
        <f t="shared" ca="1" si="22"/>
        <v>1272</v>
      </c>
      <c r="E94" s="83">
        <f t="shared" ca="1" si="22"/>
        <v>1470</v>
      </c>
      <c r="F94" s="83">
        <f t="shared" ca="1" si="22"/>
        <v>1639</v>
      </c>
      <c r="G94" s="83">
        <f t="shared" ca="1" si="22"/>
        <v>1810</v>
      </c>
      <c r="U94" s="74"/>
      <c r="V94" s="74"/>
    </row>
    <row r="95" spans="1:23">
      <c r="A95" s="164" t="s">
        <v>1009</v>
      </c>
      <c r="B95" s="83">
        <f t="shared" ca="1" si="22"/>
        <v>1155</v>
      </c>
      <c r="C95" s="83">
        <f t="shared" ca="1" si="22"/>
        <v>1237</v>
      </c>
      <c r="D95" s="83">
        <f t="shared" ca="1" si="22"/>
        <v>1484</v>
      </c>
      <c r="E95" s="83">
        <f t="shared" ca="1" si="22"/>
        <v>1715</v>
      </c>
      <c r="F95" s="83">
        <f t="shared" ca="1" si="22"/>
        <v>1912</v>
      </c>
      <c r="G95" s="83">
        <f t="shared" ca="1" si="22"/>
        <v>2111</v>
      </c>
      <c r="U95" s="182"/>
      <c r="V95" s="182"/>
    </row>
    <row r="96" spans="1:23">
      <c r="A96" s="164" t="s">
        <v>1010</v>
      </c>
      <c r="B96" s="83">
        <f t="shared" ca="1" si="22"/>
        <v>1320</v>
      </c>
      <c r="C96" s="83">
        <f t="shared" ca="1" si="22"/>
        <v>1414</v>
      </c>
      <c r="D96" s="83">
        <f t="shared" ca="1" si="22"/>
        <v>1696</v>
      </c>
      <c r="E96" s="83">
        <f t="shared" ca="1" si="22"/>
        <v>1960</v>
      </c>
      <c r="F96" s="83">
        <f t="shared" ca="1" si="22"/>
        <v>2186</v>
      </c>
      <c r="G96" s="83">
        <f t="shared" ca="1" si="22"/>
        <v>2413</v>
      </c>
      <c r="U96" s="182"/>
      <c r="V96" s="182"/>
    </row>
    <row r="97" spans="1:22">
      <c r="A97" s="84"/>
      <c r="B97" s="83"/>
      <c r="C97" s="83"/>
      <c r="D97" s="83"/>
      <c r="E97" s="83"/>
      <c r="F97" s="83"/>
      <c r="G97" s="83"/>
      <c r="L97" s="92"/>
      <c r="M97" s="92"/>
      <c r="N97" s="8"/>
      <c r="O97" s="182"/>
      <c r="P97" s="182"/>
      <c r="Q97" s="182"/>
      <c r="T97" s="182"/>
      <c r="U97" s="182"/>
      <c r="V97" s="182"/>
    </row>
    <row r="98" spans="1:22">
      <c r="A98" s="3" t="s">
        <v>2729</v>
      </c>
      <c r="B98" s="3"/>
      <c r="C98" s="3"/>
      <c r="D98" s="3"/>
      <c r="E98" s="3"/>
      <c r="F98" s="3"/>
      <c r="G98" s="3"/>
      <c r="H98" s="3"/>
      <c r="I98" s="3"/>
      <c r="J98" s="3"/>
      <c r="K98" s="3"/>
      <c r="L98" s="3"/>
      <c r="M98" s="92"/>
      <c r="N98" s="8"/>
      <c r="O98" s="182"/>
      <c r="P98" s="182"/>
      <c r="Q98" s="182"/>
      <c r="T98" s="182"/>
      <c r="U98" s="182"/>
      <c r="V98" s="182"/>
    </row>
    <row r="99" spans="1:22">
      <c r="A99" s="14"/>
      <c r="B99" t="str">
        <f t="array" ref="B99">T(TRIM('Rent &amp; Income Limits'!A9:A701))</f>
        <v/>
      </c>
      <c r="G99" t="str">
        <f>SUBSTITUTE(ADDRESS(ROW('Rent &amp; Income Limits'!C8), COLUMN('Rent &amp; Income Limits'!C8),4), ROW('Rent &amp; Income Limits'!C8), "")</f>
        <v>C</v>
      </c>
      <c r="H99" t="str">
        <f>SUBSTITUTE(ADDRESS(ROW('Rent &amp; Income Limits'!D8), COLUMN('Rent &amp; Income Limits'!D8),4), ROW('Rent &amp; Income Limits'!D8), "")</f>
        <v>D</v>
      </c>
      <c r="I99" t="str">
        <f>SUBSTITUTE(ADDRESS(ROW('Rent &amp; Income Limits'!E8), COLUMN('Rent &amp; Income Limits'!E8),4), ROW('Rent &amp; Income Limits'!E8), "")</f>
        <v>E</v>
      </c>
      <c r="J99" t="str">
        <f>SUBSTITUTE(ADDRESS(ROW('Rent &amp; Income Limits'!F8), COLUMN('Rent &amp; Income Limits'!F8),4), ROW('Rent &amp; Income Limits'!F8), "")</f>
        <v>F</v>
      </c>
      <c r="K99" t="str">
        <f>SUBSTITUTE(ADDRESS(ROW('Rent &amp; Income Limits'!G8), COLUMN('Rent &amp; Income Limits'!G8),4), ROW('Rent &amp; Income Limits'!G8), "")</f>
        <v>G</v>
      </c>
      <c r="M99" s="92"/>
      <c r="N99" s="8"/>
      <c r="O99" s="182"/>
      <c r="P99" s="182"/>
      <c r="Q99" s="182"/>
      <c r="T99" s="182"/>
      <c r="U99" s="182"/>
      <c r="V99" s="182"/>
    </row>
    <row r="100" spans="1:22">
      <c r="A100" t="s">
        <v>2730</v>
      </c>
      <c r="B100" t="e">
        <f t="array" ref="B100">MATCH($B$14, TRIM('Rent &amp; Income Limits'!A9:A709), 0) + ROW('Rent &amp; Income Limits'!A8)</f>
        <v>#N/A</v>
      </c>
      <c r="C100" t="s">
        <v>2731</v>
      </c>
      <c r="D100" t="s">
        <v>2732</v>
      </c>
      <c r="E100" t="s">
        <v>2733</v>
      </c>
      <c r="G100" t="s">
        <v>1223</v>
      </c>
      <c r="H100" t="s">
        <v>1224</v>
      </c>
      <c r="I100" t="s">
        <v>1225</v>
      </c>
      <c r="J100" t="s">
        <v>1226</v>
      </c>
      <c r="K100" t="s">
        <v>1227</v>
      </c>
      <c r="N100" s="8"/>
      <c r="O100" s="182"/>
      <c r="P100" s="182"/>
      <c r="Q100" s="182"/>
      <c r="T100" s="182"/>
      <c r="U100" s="182"/>
      <c r="V100" s="182"/>
    </row>
    <row r="101" spans="1:22">
      <c r="D101" s="92">
        <f ca="1">MATCH(F101, INDIRECT($B$105), 0)-3</f>
        <v>8</v>
      </c>
      <c r="E101" s="92">
        <f ca="1">$B$102 +D101</f>
        <v>712</v>
      </c>
      <c r="F101" s="70">
        <v>0.2</v>
      </c>
      <c r="N101" s="8"/>
      <c r="O101" s="182"/>
      <c r="P101" s="182"/>
      <c r="Q101" s="182"/>
      <c r="T101" s="182"/>
      <c r="U101" s="182"/>
      <c r="V101" s="182"/>
    </row>
    <row r="102" spans="1:22">
      <c r="A102" t="s">
        <v>2734</v>
      </c>
      <c r="B102">
        <f>IF(ISNA(B100), ROW('Rent &amp; Income Limits'!A704), Calculations!B100)</f>
        <v>704</v>
      </c>
      <c r="D102" s="92">
        <f ca="1">MATCH(F102, INDIRECT($B$105), 0)-3</f>
        <v>7</v>
      </c>
      <c r="E102" s="92">
        <f ca="1">$B$102 +D102</f>
        <v>711</v>
      </c>
      <c r="F102" s="8">
        <v>0.3</v>
      </c>
      <c r="N102" s="8"/>
      <c r="O102" s="182"/>
      <c r="P102" s="182"/>
      <c r="Q102" s="182"/>
      <c r="T102" s="182"/>
      <c r="U102" s="182"/>
      <c r="V102" s="182"/>
    </row>
    <row r="103" spans="1:22">
      <c r="A103" t="s">
        <v>2735</v>
      </c>
      <c r="B103" s="49" t="s">
        <v>2736</v>
      </c>
      <c r="D103" s="92">
        <f ca="1">MATCH(F103, INDIRECT($B$105), 0)-3</f>
        <v>6</v>
      </c>
      <c r="E103" s="92">
        <f ca="1">$B$102 +D103</f>
        <v>710</v>
      </c>
      <c r="F103" s="8">
        <v>0.4</v>
      </c>
      <c r="N103" s="8"/>
      <c r="O103" s="182"/>
      <c r="P103" s="182"/>
      <c r="Q103" s="182"/>
      <c r="T103" s="182"/>
      <c r="U103" s="182"/>
      <c r="V103" s="182"/>
    </row>
    <row r="104" spans="1:22">
      <c r="A104" t="s">
        <v>2737</v>
      </c>
      <c r="B104" t="s">
        <v>2738</v>
      </c>
      <c r="D104" s="92">
        <f ca="1">MATCH(F104, INDIRECT($B$105), 0)-3</f>
        <v>4</v>
      </c>
      <c r="E104" s="92">
        <f ca="1">$B$102 +D104</f>
        <v>708</v>
      </c>
      <c r="F104" s="8">
        <v>0.5</v>
      </c>
      <c r="N104" s="8"/>
      <c r="O104" s="182"/>
      <c r="P104" s="182"/>
      <c r="Q104" s="182"/>
      <c r="T104" s="182"/>
      <c r="U104" s="182"/>
      <c r="V104" s="182"/>
    </row>
    <row r="105" spans="1:22">
      <c r="A105" t="s">
        <v>2739</v>
      </c>
      <c r="B105" t="str">
        <f>CONCATENATE(B103, B104, B102 - 2, ":", B104, B102+ 8)</f>
        <v>'Rent &amp; Income Limits'!B702:B712</v>
      </c>
      <c r="D105" s="92">
        <f ca="1">MATCH(F105, INDIRECT($B$105), 0)-3</f>
        <v>2</v>
      </c>
      <c r="E105" s="92">
        <f ca="1">$B$102 +D105</f>
        <v>706</v>
      </c>
      <c r="F105" s="8">
        <v>0.6</v>
      </c>
      <c r="M105" s="92"/>
      <c r="N105" s="8"/>
      <c r="O105" s="182"/>
      <c r="P105" s="182"/>
      <c r="Q105" s="182"/>
      <c r="T105" s="182"/>
      <c r="U105" s="182"/>
      <c r="V105" s="182"/>
    </row>
    <row r="106" spans="1:22">
      <c r="D106" s="92">
        <f t="shared" ref="D106:D107" ca="1" si="23">MATCH(F106, INDIRECT($B$105), 0)-3</f>
        <v>1</v>
      </c>
      <c r="E106" s="92">
        <f t="shared" ref="E106:E107" ca="1" si="24">$B$102 +D106</f>
        <v>705</v>
      </c>
      <c r="F106" s="70">
        <v>0.7</v>
      </c>
      <c r="M106" s="92"/>
      <c r="N106" s="8"/>
      <c r="O106" s="182"/>
      <c r="P106" s="182"/>
      <c r="Q106" s="182"/>
      <c r="T106" s="182"/>
      <c r="U106" s="182"/>
      <c r="V106" s="182"/>
    </row>
    <row r="107" spans="1:22">
      <c r="D107" s="92">
        <f t="shared" ca="1" si="23"/>
        <v>0</v>
      </c>
      <c r="E107" s="92">
        <f t="shared" ca="1" si="24"/>
        <v>704</v>
      </c>
      <c r="F107" s="8">
        <v>0.8</v>
      </c>
      <c r="M107" s="92"/>
      <c r="N107" s="8"/>
      <c r="O107" s="182"/>
      <c r="P107" s="182"/>
      <c r="Q107" s="182"/>
      <c r="T107" s="182"/>
      <c r="U107" s="182"/>
      <c r="V107" s="182"/>
    </row>
    <row r="108" spans="1:22">
      <c r="M108" s="92"/>
      <c r="N108" s="8"/>
      <c r="O108" s="182"/>
      <c r="P108" s="182"/>
      <c r="Q108" s="182"/>
      <c r="T108" s="182"/>
      <c r="U108" s="182"/>
      <c r="V108" s="182"/>
    </row>
    <row r="109" spans="1:22">
      <c r="A109" s="3" t="s">
        <v>2729</v>
      </c>
      <c r="B109" s="3"/>
      <c r="C109" s="3"/>
      <c r="D109" s="3"/>
      <c r="E109" s="3"/>
      <c r="F109" s="3"/>
      <c r="G109" s="3"/>
      <c r="H109" s="3"/>
      <c r="I109" s="3"/>
      <c r="M109" s="92"/>
      <c r="N109" s="8"/>
      <c r="O109" s="182"/>
      <c r="P109" s="182"/>
      <c r="Q109" s="182"/>
      <c r="T109" s="182"/>
      <c r="U109" s="182"/>
      <c r="V109" s="182"/>
    </row>
    <row r="110" spans="1:22">
      <c r="A110" s="14"/>
      <c r="B110" t="str">
        <f t="array" ref="B110">T(TRIM('Rent &amp; Income Limits'!A17:A709))</f>
        <v/>
      </c>
      <c r="G110" t="s">
        <v>2740</v>
      </c>
      <c r="H110" t="s">
        <v>2741</v>
      </c>
      <c r="M110" s="92"/>
      <c r="N110" s="8"/>
      <c r="O110" s="182"/>
      <c r="P110" s="182"/>
      <c r="Q110" s="182"/>
      <c r="T110" s="182"/>
      <c r="U110" s="182"/>
      <c r="V110" s="182"/>
    </row>
    <row r="111" spans="1:22">
      <c r="A111" t="s">
        <v>2730</v>
      </c>
      <c r="B111" t="e">
        <f t="array" ref="B111">MATCH($B$14, TRIM('Rent &amp; Income Limits'!A9:A709), 0) + ROW('Rent &amp; Income Limits'!A8)</f>
        <v>#N/A</v>
      </c>
      <c r="C111" t="s">
        <v>2731</v>
      </c>
      <c r="D111" t="s">
        <v>2732</v>
      </c>
      <c r="E111" t="s">
        <v>2733</v>
      </c>
      <c r="G111" t="s">
        <v>1234</v>
      </c>
      <c r="H111" t="s">
        <v>1235</v>
      </c>
      <c r="M111" s="92"/>
      <c r="N111" s="8"/>
      <c r="O111" s="182"/>
      <c r="P111" s="182"/>
      <c r="Q111" s="182"/>
      <c r="T111" s="182"/>
      <c r="U111" s="182"/>
      <c r="V111" s="182"/>
    </row>
    <row r="112" spans="1:22">
      <c r="D112" s="92">
        <f ca="1">MATCH(F112, INDIRECT($B$105), 0)-3</f>
        <v>8</v>
      </c>
      <c r="E112" s="92">
        <f ca="1">$B$102 +D112</f>
        <v>712</v>
      </c>
      <c r="F112" s="8">
        <v>0.2</v>
      </c>
      <c r="M112" s="92"/>
      <c r="N112" s="8"/>
      <c r="O112" s="182"/>
      <c r="P112" s="182"/>
      <c r="Q112" s="182"/>
      <c r="T112" s="182"/>
      <c r="U112" s="182"/>
      <c r="V112" s="182"/>
    </row>
    <row r="113" spans="1:22">
      <c r="A113" t="s">
        <v>2734</v>
      </c>
      <c r="B113">
        <f>IF(ISNA(B111), ROW('Rent &amp; Income Limits'!A704), Calculations!B111)</f>
        <v>704</v>
      </c>
      <c r="D113" s="92">
        <f ca="1">MATCH(F113, INDIRECT($B$105), 0)-3</f>
        <v>7</v>
      </c>
      <c r="E113" s="92">
        <f ca="1">$B$102 +D113</f>
        <v>711</v>
      </c>
      <c r="F113" s="8">
        <v>0.3</v>
      </c>
      <c r="M113" s="92"/>
      <c r="N113" s="8"/>
      <c r="O113" s="182"/>
      <c r="P113" s="182"/>
      <c r="Q113" s="182"/>
      <c r="T113" s="182"/>
      <c r="U113" s="182"/>
      <c r="V113" s="182"/>
    </row>
    <row r="114" spans="1:22">
      <c r="A114" t="s">
        <v>2735</v>
      </c>
      <c r="B114" s="49" t="s">
        <v>2736</v>
      </c>
      <c r="D114" s="92">
        <f ca="1">MATCH(F114, INDIRECT($B$105), 0)-3</f>
        <v>6</v>
      </c>
      <c r="E114" s="92">
        <f ca="1">$B$102 +D114</f>
        <v>710</v>
      </c>
      <c r="F114" s="8">
        <v>0.4</v>
      </c>
      <c r="M114" s="92"/>
      <c r="N114" s="8"/>
      <c r="O114" s="182"/>
      <c r="P114" s="182"/>
      <c r="Q114" s="182"/>
      <c r="T114" s="182"/>
      <c r="U114" s="182"/>
      <c r="V114" s="182"/>
    </row>
    <row r="115" spans="1:22">
      <c r="A115" t="s">
        <v>2737</v>
      </c>
      <c r="B115" t="s">
        <v>2738</v>
      </c>
      <c r="D115" s="92">
        <f ca="1">MATCH(F115, INDIRECT($B$105), 0)-3</f>
        <v>4</v>
      </c>
      <c r="E115" s="92">
        <f ca="1">$B$102 +D115</f>
        <v>708</v>
      </c>
      <c r="F115" s="8">
        <v>0.5</v>
      </c>
      <c r="G115" s="74"/>
      <c r="H115" s="74"/>
      <c r="I115" s="74"/>
      <c r="M115" s="92"/>
      <c r="N115" s="8"/>
      <c r="O115" s="182"/>
      <c r="P115" s="182"/>
      <c r="Q115" s="182"/>
      <c r="T115" s="182"/>
      <c r="U115" s="182"/>
      <c r="V115" s="182"/>
    </row>
    <row r="116" spans="1:22">
      <c r="A116" t="s">
        <v>2739</v>
      </c>
      <c r="B116" t="str">
        <f>CONCATENATE(B114, B115, B113 - 2, ":", B115, B113+ 8)</f>
        <v>'Rent &amp; Income Limits'!B702:B712</v>
      </c>
      <c r="D116" s="92">
        <f ca="1">MATCH(F116, INDIRECT($B$105), 0)-3</f>
        <v>2</v>
      </c>
      <c r="E116" s="92">
        <f ca="1">$B$102 +D116</f>
        <v>706</v>
      </c>
      <c r="F116" s="8">
        <v>0.6</v>
      </c>
      <c r="G116" s="74"/>
      <c r="H116" s="74"/>
      <c r="I116" s="74"/>
      <c r="M116" s="92"/>
      <c r="N116" s="8"/>
      <c r="O116" s="182"/>
      <c r="P116" s="182"/>
      <c r="Q116" s="182"/>
      <c r="T116" s="182"/>
      <c r="U116" s="182"/>
      <c r="V116" s="182"/>
    </row>
    <row r="117" spans="1:22">
      <c r="D117" s="92">
        <f t="shared" ref="D117:D118" ca="1" si="25">MATCH(F117, INDIRECT($B$105), 0)-3</f>
        <v>1</v>
      </c>
      <c r="E117" s="92">
        <f t="shared" ref="E117:E118" ca="1" si="26">$B$102 +D117</f>
        <v>705</v>
      </c>
      <c r="F117" s="8">
        <v>0.7</v>
      </c>
      <c r="G117" s="182"/>
      <c r="H117" s="182"/>
      <c r="I117" s="182"/>
      <c r="M117" s="92"/>
      <c r="N117" s="8"/>
      <c r="O117" s="182"/>
      <c r="P117" s="182"/>
      <c r="Q117" s="182"/>
      <c r="T117" s="182"/>
      <c r="U117" s="182"/>
      <c r="V117" s="182"/>
    </row>
    <row r="118" spans="1:22">
      <c r="D118" s="92">
        <f t="shared" ca="1" si="25"/>
        <v>0</v>
      </c>
      <c r="E118" s="92">
        <f t="shared" ca="1" si="26"/>
        <v>704</v>
      </c>
      <c r="F118" s="8">
        <v>0.8</v>
      </c>
      <c r="G118" s="182"/>
      <c r="H118" s="182"/>
      <c r="I118" s="182"/>
      <c r="M118" s="92"/>
      <c r="N118" s="8"/>
      <c r="O118" s="182"/>
      <c r="P118" s="182"/>
      <c r="Q118" s="182"/>
      <c r="T118" s="182"/>
      <c r="U118" s="182"/>
      <c r="V118" s="182"/>
    </row>
    <row r="119" spans="1:22">
      <c r="G119" s="14"/>
    </row>
    <row r="120" spans="1:22">
      <c r="A120" s="99" t="s">
        <v>2742</v>
      </c>
      <c r="B120" s="99"/>
      <c r="C120" s="99"/>
      <c r="D120" s="99"/>
      <c r="E120" s="99"/>
      <c r="F120" s="99"/>
      <c r="G120" s="99"/>
      <c r="H120" s="71"/>
      <c r="I120" s="71"/>
      <c r="J120" s="71"/>
      <c r="K120" s="71"/>
      <c r="L120" s="71"/>
      <c r="M120" s="71"/>
    </row>
    <row r="121" spans="1:22">
      <c r="A121" s="205" t="s">
        <v>567</v>
      </c>
    </row>
    <row r="122" spans="1:22">
      <c r="A122" s="19" t="str">
        <f>Financing!A7</f>
        <v>Residential Loans (amortizing)</v>
      </c>
      <c r="B122" s="19" t="s">
        <v>371</v>
      </c>
      <c r="C122" s="19" t="s">
        <v>372</v>
      </c>
      <c r="D122" s="19" t="s">
        <v>374</v>
      </c>
      <c r="E122" s="19" t="s">
        <v>2743</v>
      </c>
    </row>
    <row r="123" spans="1:22">
      <c r="A123">
        <f>Financing!A9</f>
        <v>0</v>
      </c>
      <c r="B123" s="66">
        <f>Financing!B9</f>
        <v>0</v>
      </c>
      <c r="C123" s="204">
        <f>Financing!C9</f>
        <v>0</v>
      </c>
      <c r="D123">
        <f>Financing!E9</f>
        <v>0</v>
      </c>
      <c r="E123" s="66">
        <f>IF(D123=0,0,-PMT(C123/12,D123*12,B123)*12)</f>
        <v>0</v>
      </c>
    </row>
    <row r="124" spans="1:22">
      <c r="A124">
        <f>Financing!A10</f>
        <v>0</v>
      </c>
      <c r="B124" s="66">
        <f>Financing!B10</f>
        <v>0</v>
      </c>
      <c r="C124" s="204">
        <f>Financing!C10</f>
        <v>0</v>
      </c>
      <c r="D124">
        <f>Financing!E10</f>
        <v>0</v>
      </c>
      <c r="E124" s="66">
        <f>IF(D124=0,0,-PMT(C124/12,D124*12,B124)*12)</f>
        <v>0</v>
      </c>
      <c r="G124" s="67" t="s">
        <v>366</v>
      </c>
      <c r="H124" s="66">
        <f xml:space="preserve"> Financing!B3</f>
        <v>0</v>
      </c>
    </row>
    <row r="125" spans="1:22">
      <c r="A125">
        <f>Financing!A11</f>
        <v>0</v>
      </c>
      <c r="B125" s="66">
        <f>Financing!B11</f>
        <v>0</v>
      </c>
      <c r="C125" s="204">
        <f>Financing!C11</f>
        <v>0</v>
      </c>
      <c r="D125">
        <f>Financing!E11</f>
        <v>0</v>
      </c>
      <c r="E125" s="66">
        <f>IF(D125=0,0,-PMT(C125/12,D125*12,B125)*12)</f>
        <v>0</v>
      </c>
      <c r="G125" s="67" t="s">
        <v>367</v>
      </c>
      <c r="H125" s="197">
        <f xml:space="preserve"> Financing!B4</f>
        <v>0</v>
      </c>
    </row>
    <row r="126" spans="1:22">
      <c r="B126" s="199">
        <f>SUM(B123:B125)</f>
        <v>0</v>
      </c>
      <c r="E126" s="199">
        <f>SUM(E123:E125)</f>
        <v>0</v>
      </c>
      <c r="G126" s="67" t="s">
        <v>2744</v>
      </c>
      <c r="H126" s="66">
        <f>(H124/2) * H125/12</f>
        <v>0</v>
      </c>
    </row>
    <row r="127" spans="1:22">
      <c r="G127" s="67" t="s">
        <v>2745</v>
      </c>
      <c r="H127" s="506">
        <f>Application!B139</f>
        <v>0</v>
      </c>
    </row>
    <row r="128" spans="1:22">
      <c r="A128" s="19" t="str">
        <f>Financing!A14</f>
        <v>Residential Loans (cash flow only)</v>
      </c>
      <c r="B128" s="19" t="s">
        <v>371</v>
      </c>
      <c r="H128" s="65"/>
      <c r="I128" s="202"/>
      <c r="J128" s="100"/>
      <c r="K128" s="100"/>
      <c r="L128" s="100"/>
    </row>
    <row r="129" spans="1:12">
      <c r="A129">
        <f>Financing!A16</f>
        <v>0</v>
      </c>
      <c r="B129" s="66">
        <f>Financing!B16</f>
        <v>0</v>
      </c>
      <c r="E129" s="65"/>
      <c r="G129" s="124" t="s">
        <v>950</v>
      </c>
      <c r="H129" s="106">
        <f>H126*H127</f>
        <v>0</v>
      </c>
      <c r="I129" s="202"/>
      <c r="J129" s="22" t="s">
        <v>2746</v>
      </c>
      <c r="L129" s="100"/>
    </row>
    <row r="130" spans="1:12">
      <c r="A130">
        <f>Financing!A17</f>
        <v>0</v>
      </c>
      <c r="B130" s="66">
        <f>Financing!B17</f>
        <v>0</v>
      </c>
      <c r="E130" s="65"/>
      <c r="G130" s="124" t="s">
        <v>2747</v>
      </c>
      <c r="H130" s="495">
        <f>SUM('Development Budget'!C48:D48)</f>
        <v>0</v>
      </c>
      <c r="I130" s="202"/>
      <c r="J130" s="425" t="b">
        <f>H130&lt;H129</f>
        <v>0</v>
      </c>
      <c r="K130" t="str">
        <f>INDEX(Comments_Construction_Interest_table[],MATCH(J130,Comments_Construction_Interest_table[Construction Interest],0),2)</f>
        <v>Construction interest actual exceeds construction interest test</v>
      </c>
      <c r="L130" s="100"/>
    </row>
    <row r="131" spans="1:12">
      <c r="A131">
        <f>Financing!A18</f>
        <v>0</v>
      </c>
      <c r="B131" s="66">
        <f>Financing!B18</f>
        <v>0</v>
      </c>
      <c r="E131" s="65"/>
    </row>
    <row r="132" spans="1:12">
      <c r="A132">
        <f>Financing!A19</f>
        <v>0</v>
      </c>
      <c r="B132" s="66">
        <f>Financing!B19</f>
        <v>0</v>
      </c>
      <c r="E132" s="65"/>
    </row>
    <row r="133" spans="1:12">
      <c r="A133">
        <f>Financing!A20</f>
        <v>0</v>
      </c>
      <c r="B133" s="66">
        <f>Financing!B20</f>
        <v>0</v>
      </c>
      <c r="E133" s="65"/>
    </row>
    <row r="134" spans="1:12">
      <c r="A134">
        <f>Financing!A21</f>
        <v>0</v>
      </c>
      <c r="B134" s="66">
        <f>Financing!B21</f>
        <v>0</v>
      </c>
      <c r="E134" s="65"/>
    </row>
    <row r="135" spans="1:12">
      <c r="B135" s="199">
        <f>SUM(B129:B134)</f>
        <v>0</v>
      </c>
      <c r="E135" s="203"/>
    </row>
    <row r="137" spans="1:12">
      <c r="A137" s="19" t="s">
        <v>2748</v>
      </c>
      <c r="B137" s="19" t="s">
        <v>935</v>
      </c>
      <c r="C137" s="19" t="s">
        <v>936</v>
      </c>
    </row>
    <row r="138" spans="1:12">
      <c r="A138" t="s">
        <v>938</v>
      </c>
      <c r="B138" s="66">
        <f>B126+B135</f>
        <v>0</v>
      </c>
      <c r="C138" s="66">
        <f>E126</f>
        <v>0</v>
      </c>
    </row>
    <row r="139" spans="1:12">
      <c r="A139" t="s">
        <v>939</v>
      </c>
      <c r="B139" s="66">
        <f>SUM(Financing!B26:B33)</f>
        <v>0</v>
      </c>
      <c r="C139" s="66"/>
      <c r="K139" s="101"/>
      <c r="L139" s="102"/>
    </row>
    <row r="140" spans="1:12">
      <c r="A140" t="s">
        <v>382</v>
      </c>
      <c r="B140" s="66">
        <f>Financing!B38</f>
        <v>0</v>
      </c>
      <c r="C140" s="66"/>
      <c r="K140" s="103"/>
      <c r="L140" s="88"/>
    </row>
    <row r="141" spans="1:12">
      <c r="A141" t="s">
        <v>383</v>
      </c>
      <c r="B141" s="66">
        <f>Financing!B39</f>
        <v>0</v>
      </c>
      <c r="C141" s="66"/>
    </row>
    <row r="142" spans="1:12">
      <c r="A142" t="s">
        <v>384</v>
      </c>
      <c r="B142" s="66">
        <f>Financing!B40</f>
        <v>0</v>
      </c>
      <c r="C142" s="66"/>
    </row>
    <row r="143" spans="1:12">
      <c r="A143" t="s">
        <v>942</v>
      </c>
      <c r="B143" s="66" t="str">
        <f>Admin!B24</f>
        <v/>
      </c>
      <c r="C143" s="66"/>
    </row>
    <row r="144" spans="1:12" ht="15.75" thickBot="1">
      <c r="A144" t="s">
        <v>4231</v>
      </c>
      <c r="B144" s="66" t="str">
        <f>Admin!B25</f>
        <v/>
      </c>
      <c r="C144" s="66"/>
    </row>
    <row r="145" spans="1:5" ht="15.75" thickTop="1">
      <c r="A145" t="s">
        <v>4232</v>
      </c>
      <c r="B145" s="198">
        <f>SUM(B138:B144)</f>
        <v>0</v>
      </c>
      <c r="C145" s="66"/>
    </row>
    <row r="147" spans="1:5">
      <c r="A147" s="22" t="s">
        <v>568</v>
      </c>
    </row>
    <row r="148" spans="1:5">
      <c r="A148" s="19" t="str">
        <f>Financing!A44</f>
        <v>Commercial Loans (amortizing)</v>
      </c>
      <c r="B148" s="19" t="s">
        <v>371</v>
      </c>
      <c r="C148" s="19" t="s">
        <v>372</v>
      </c>
      <c r="D148" s="19" t="s">
        <v>374</v>
      </c>
      <c r="E148" s="19" t="s">
        <v>2743</v>
      </c>
    </row>
    <row r="149" spans="1:5">
      <c r="A149">
        <f>Financing!A46</f>
        <v>0</v>
      </c>
      <c r="B149" s="66">
        <f>Financing!B46</f>
        <v>0</v>
      </c>
      <c r="C149" s="204">
        <f>Financing!C46</f>
        <v>0</v>
      </c>
      <c r="D149">
        <f>Financing!E46</f>
        <v>0</v>
      </c>
      <c r="E149" s="66">
        <f>IF(D149=0,0,-PMT(C149/12,D149*12,B149)*12)</f>
        <v>0</v>
      </c>
    </row>
    <row r="150" spans="1:5">
      <c r="A150">
        <f>Financing!A47</f>
        <v>0</v>
      </c>
      <c r="B150" s="66">
        <f>Financing!B47</f>
        <v>0</v>
      </c>
      <c r="C150" s="204">
        <f>Financing!C47</f>
        <v>0</v>
      </c>
      <c r="D150">
        <f>Financing!E47</f>
        <v>0</v>
      </c>
      <c r="E150" s="66">
        <f>IF(D150=0,0,-PMT(C150/12,D150*12,B150)*12)</f>
        <v>0</v>
      </c>
    </row>
    <row r="151" spans="1:5">
      <c r="A151">
        <f>Financing!A48</f>
        <v>0</v>
      </c>
      <c r="B151" s="66">
        <f>Financing!B48</f>
        <v>0</v>
      </c>
      <c r="C151" s="204">
        <f>Financing!C48</f>
        <v>0</v>
      </c>
      <c r="D151">
        <f>Financing!E48</f>
        <v>0</v>
      </c>
      <c r="E151" s="66">
        <f>IF(D151=0,0,-PMT(C151/12,D151*12,B151)*12)</f>
        <v>0</v>
      </c>
    </row>
    <row r="152" spans="1:5">
      <c r="B152" s="199">
        <f>SUM(B149:B151)</f>
        <v>0</v>
      </c>
    </row>
    <row r="154" spans="1:5">
      <c r="A154" s="19" t="str">
        <f>Financing!A51</f>
        <v>Commercial Loans (cash flow only)</v>
      </c>
      <c r="B154" s="19" t="s">
        <v>371</v>
      </c>
    </row>
    <row r="155" spans="1:5">
      <c r="A155">
        <f>Financing!A53</f>
        <v>0</v>
      </c>
      <c r="B155" s="66">
        <f>Financing!B53</f>
        <v>0</v>
      </c>
    </row>
    <row r="156" spans="1:5">
      <c r="A156">
        <f>Financing!A54</f>
        <v>0</v>
      </c>
      <c r="B156" s="66">
        <f>Financing!B54</f>
        <v>0</v>
      </c>
    </row>
    <row r="157" spans="1:5">
      <c r="A157">
        <f>Financing!A55</f>
        <v>0</v>
      </c>
      <c r="B157" s="66">
        <f>Financing!B55</f>
        <v>0</v>
      </c>
    </row>
    <row r="158" spans="1:5">
      <c r="A158">
        <f>Financing!A56</f>
        <v>0</v>
      </c>
      <c r="B158" s="66">
        <f>Financing!B56</f>
        <v>0</v>
      </c>
    </row>
    <row r="159" spans="1:5">
      <c r="A159">
        <f>Financing!A57</f>
        <v>0</v>
      </c>
      <c r="B159" s="66">
        <f>Financing!B57</f>
        <v>0</v>
      </c>
    </row>
    <row r="160" spans="1:5">
      <c r="A160">
        <f>Financing!A58</f>
        <v>0</v>
      </c>
      <c r="B160" s="66">
        <f>Financing!B58</f>
        <v>0</v>
      </c>
    </row>
    <row r="161" spans="1:14">
      <c r="B161" s="199">
        <f>SUM(B155:B160)</f>
        <v>0</v>
      </c>
    </row>
    <row r="162" spans="1:14">
      <c r="B162" s="199"/>
    </row>
    <row r="163" spans="1:14">
      <c r="A163" t="s">
        <v>389</v>
      </c>
      <c r="B163" s="66">
        <f>SUM(Financing!B63:B70)</f>
        <v>0</v>
      </c>
    </row>
    <row r="164" spans="1:14">
      <c r="A164" t="str">
        <f>Financing!A75</f>
        <v>Deferred Developer Fee</v>
      </c>
      <c r="B164" s="66">
        <f>Financing!B75</f>
        <v>0</v>
      </c>
    </row>
    <row r="165" spans="1:14" ht="15.75" thickBot="1">
      <c r="A165" t="str">
        <f>Financing!A76</f>
        <v>Other Owner Equity</v>
      </c>
      <c r="B165" s="66">
        <f>Financing!B76</f>
        <v>0</v>
      </c>
    </row>
    <row r="166" spans="1:14" ht="15.75" thickTop="1">
      <c r="A166" t="s">
        <v>2749</v>
      </c>
      <c r="B166" s="198">
        <f>B152+B161+SUM(B163:B165)</f>
        <v>0</v>
      </c>
    </row>
    <row r="168" spans="1:14">
      <c r="A168" s="74"/>
      <c r="B168" s="74"/>
      <c r="C168" s="74"/>
      <c r="D168" s="74"/>
      <c r="E168" s="74"/>
      <c r="F168" s="74"/>
      <c r="G168" s="74"/>
    </row>
    <row r="169" spans="1:14">
      <c r="A169" s="99" t="s">
        <v>2750</v>
      </c>
      <c r="B169" s="99"/>
      <c r="C169" s="99"/>
      <c r="D169" s="99"/>
      <c r="E169" s="99"/>
      <c r="F169" s="99"/>
      <c r="G169" s="99"/>
      <c r="H169" s="71"/>
      <c r="I169" s="71"/>
      <c r="J169" s="71"/>
      <c r="K169" s="71"/>
      <c r="L169" s="71"/>
      <c r="M169" s="71"/>
    </row>
    <row r="170" spans="1:14">
      <c r="A170" s="74"/>
      <c r="B170" s="74"/>
      <c r="C170" s="74"/>
      <c r="D170" s="74"/>
      <c r="E170" s="74"/>
      <c r="F170" s="74"/>
      <c r="G170" s="74"/>
      <c r="J170" s="1" t="s">
        <v>49</v>
      </c>
    </row>
    <row r="171" spans="1:14" ht="45">
      <c r="A171" s="93" t="s">
        <v>396</v>
      </c>
      <c r="B171" s="93" t="str">
        <f>'Development Budget'!B3</f>
        <v>Amount</v>
      </c>
      <c r="C171" s="93" t="str">
        <f>'Development Budget'!C3</f>
        <v>4% LIHTC Basis Calculation</v>
      </c>
      <c r="D171" s="93" t="str">
        <f>'Development Budget'!D3</f>
        <v>9% LIHTC Basis Calculation</v>
      </c>
      <c r="E171" s="93" t="str">
        <f>'Development Budget'!E3</f>
        <v>Amount Last Provided to CHFA*</v>
      </c>
      <c r="F171" s="93" t="str">
        <f>'Budget Output'!F5</f>
        <v>% of Change from Last Provided</v>
      </c>
      <c r="G171" s="800" t="s">
        <v>2751</v>
      </c>
      <c r="H171" s="93" t="str">
        <f>'Development Budget'!F3</f>
        <v>10% Carryover Actual Incurred Costs</v>
      </c>
      <c r="I171" s="93" t="s">
        <v>2752</v>
      </c>
      <c r="K171" s="93" t="str">
        <f>'Commercial Budget'!A3</f>
        <v>Land &amp; Buildings</v>
      </c>
      <c r="L171" s="93" t="str">
        <f>'Commercial Budget'!B3</f>
        <v>Amount</v>
      </c>
      <c r="M171" s="93" t="str">
        <f>'Commercial Budget'!C3</f>
        <v>Amount Last Provided to CHFA*</v>
      </c>
      <c r="N171" s="93" t="s">
        <v>2753</v>
      </c>
    </row>
    <row r="172" spans="1:14">
      <c r="A172" t="str">
        <f>'Development Budget'!A4</f>
        <v>Land</v>
      </c>
      <c r="B172" s="66">
        <f>'Development Budget'!B4</f>
        <v>0</v>
      </c>
      <c r="C172" s="66"/>
      <c r="D172" s="66">
        <f>'Development Budget'!D4</f>
        <v>0</v>
      </c>
      <c r="E172" s="66">
        <f>'Development Budget'!E4</f>
        <v>0</v>
      </c>
      <c r="F172" s="787">
        <f>IF(OR(E172=0,B172=0),0,G172/B172)</f>
        <v>0</v>
      </c>
      <c r="G172" s="66">
        <f>B172-E172</f>
        <v>0</v>
      </c>
      <c r="H172" s="66" t="str">
        <f>IF(B$3,'Development Budget'!F4,"")</f>
        <v/>
      </c>
      <c r="I172" s="197" t="str">
        <f>IF(B$3,H172/$B$292,"")</f>
        <v/>
      </c>
      <c r="K172" t="str">
        <f>'Commercial Budget'!A4</f>
        <v>Land</v>
      </c>
      <c r="L172" s="66">
        <f>'Commercial Budget'!B4</f>
        <v>0</v>
      </c>
      <c r="M172" s="66">
        <f>'Commercial Budget'!C4</f>
        <v>0</v>
      </c>
      <c r="N172" s="66">
        <f>IF($B$2,"",M172-L172)</f>
        <v>0</v>
      </c>
    </row>
    <row r="173" spans="1:14">
      <c r="A173" t="str">
        <f>'Development Budget'!A5</f>
        <v>Existing Structures</v>
      </c>
      <c r="B173" s="66">
        <f>'Development Budget'!B5</f>
        <v>0</v>
      </c>
      <c r="C173" s="66">
        <f>'Development Budget'!C5</f>
        <v>0</v>
      </c>
      <c r="D173" s="66"/>
      <c r="E173" s="66">
        <f>'Development Budget'!E5</f>
        <v>0</v>
      </c>
      <c r="F173" s="787">
        <f t="shared" ref="F173:F178" si="27">IF(OR(E173=0,B173=0),0,G173/B173)</f>
        <v>0</v>
      </c>
      <c r="G173" s="66">
        <f t="shared" ref="G173:G175" si="28">B173-E173</f>
        <v>0</v>
      </c>
      <c r="H173" s="66" t="str">
        <f>IF(B$3,'Development Budget'!F5,"")</f>
        <v/>
      </c>
      <c r="I173" s="197" t="str">
        <f>IF(B$3,H173/$B$292,"")</f>
        <v/>
      </c>
      <c r="K173" t="str">
        <f>'Commercial Budget'!A5</f>
        <v>Existing Structures</v>
      </c>
      <c r="L173" s="66">
        <f>'Commercial Budget'!B5</f>
        <v>0</v>
      </c>
      <c r="M173" s="66">
        <f>'Commercial Budget'!C5</f>
        <v>0</v>
      </c>
      <c r="N173" s="66">
        <f>IF($B$2,"",M173-L173)</f>
        <v>0</v>
      </c>
    </row>
    <row r="174" spans="1:14">
      <c r="A174" t="str">
        <f>'Development Budget'!A6</f>
        <v>Demolition</v>
      </c>
      <c r="B174" s="66">
        <f>'Development Budget'!B6</f>
        <v>0</v>
      </c>
      <c r="C174" s="66"/>
      <c r="D174" s="66"/>
      <c r="E174" s="66">
        <f>'Development Budget'!E6</f>
        <v>0</v>
      </c>
      <c r="F174" s="787">
        <f t="shared" si="27"/>
        <v>0</v>
      </c>
      <c r="G174" s="66">
        <f t="shared" si="28"/>
        <v>0</v>
      </c>
      <c r="H174" s="66" t="str">
        <f>IF(B$3,'Development Budget'!F6,"")</f>
        <v/>
      </c>
      <c r="I174" s="197" t="str">
        <f>IF(B$3,H174/$B$292,"")</f>
        <v/>
      </c>
      <c r="K174" t="str">
        <f>'Commercial Budget'!A6</f>
        <v>Demolition</v>
      </c>
      <c r="L174" s="66">
        <f>'Commercial Budget'!B6</f>
        <v>0</v>
      </c>
      <c r="M174" s="66">
        <f>'Commercial Budget'!C6</f>
        <v>0</v>
      </c>
      <c r="N174" s="66">
        <f>IF($B$2,"",M174-L174)</f>
        <v>0</v>
      </c>
    </row>
    <row r="175" spans="1:14">
      <c r="A175" s="1"/>
      <c r="B175" s="199">
        <f>SUM(B172:B174)</f>
        <v>0</v>
      </c>
      <c r="C175" s="199">
        <f>SUM(C172:C174)</f>
        <v>0</v>
      </c>
      <c r="D175" s="199"/>
      <c r="E175" s="66">
        <f>'Development Budget'!E7</f>
        <v>0</v>
      </c>
      <c r="F175" s="787"/>
      <c r="G175" s="199">
        <f t="shared" si="28"/>
        <v>0</v>
      </c>
      <c r="H175" s="199" t="str">
        <f>IF(B$3,'Development Budget'!F7,"")</f>
        <v/>
      </c>
      <c r="I175" s="197" t="str">
        <f>IF(B$3,H175/$B$292,"")</f>
        <v/>
      </c>
      <c r="L175" s="199">
        <f>'Commercial Budget'!B7</f>
        <v>0</v>
      </c>
      <c r="M175" s="199">
        <f>'Commercial Budget'!C7</f>
        <v>0</v>
      </c>
      <c r="N175" s="66">
        <f>IF($B$2,"",M175-L175)</f>
        <v>0</v>
      </c>
    </row>
    <row r="176" spans="1:14">
      <c r="A176" s="19" t="s">
        <v>406</v>
      </c>
      <c r="B176" s="19"/>
      <c r="C176" s="19"/>
      <c r="D176" s="19"/>
      <c r="E176" s="19"/>
      <c r="F176" s="19"/>
      <c r="G176" s="19"/>
      <c r="H176" s="19"/>
      <c r="I176" s="19"/>
      <c r="K176" s="19" t="str">
        <f>'Commercial Budget'!A8</f>
        <v>Site Work</v>
      </c>
      <c r="L176" s="19"/>
      <c r="M176" s="19"/>
      <c r="N176" s="19"/>
    </row>
    <row r="177" spans="1:16">
      <c r="A177" t="str">
        <f>'Development Budget'!A9</f>
        <v>On Site Work</v>
      </c>
      <c r="B177" s="66">
        <f>'Development Budget'!B9</f>
        <v>0</v>
      </c>
      <c r="C177" s="66">
        <f>'Development Budget'!C9</f>
        <v>0</v>
      </c>
      <c r="D177" s="66">
        <f>'Development Budget'!D9</f>
        <v>0</v>
      </c>
      <c r="E177" s="66">
        <f>'Development Budget'!E9</f>
        <v>0</v>
      </c>
      <c r="F177" s="787">
        <f t="shared" si="27"/>
        <v>0</v>
      </c>
      <c r="G177" s="66">
        <f>B177-E177</f>
        <v>0</v>
      </c>
      <c r="H177" s="66" t="str">
        <f>IF(B$3,'Development Budget'!F9,"")</f>
        <v/>
      </c>
      <c r="I177" s="197" t="str">
        <f>IF(B$3,H177/$B$292,"")</f>
        <v/>
      </c>
      <c r="K177" t="str">
        <f>'Commercial Budget'!A9</f>
        <v>On Site Work</v>
      </c>
      <c r="L177" s="66">
        <f>'Commercial Budget'!B9</f>
        <v>0</v>
      </c>
      <c r="M177" s="66">
        <f>'Commercial Budget'!C9</f>
        <v>0</v>
      </c>
      <c r="N177" s="66">
        <f>IF($B$2,"",M177-L177)</f>
        <v>0</v>
      </c>
    </row>
    <row r="178" spans="1:16">
      <c r="A178" t="str">
        <f>'Development Budget'!A10</f>
        <v>Off Site Work</v>
      </c>
      <c r="B178" s="66">
        <f>'Development Budget'!B10</f>
        <v>0</v>
      </c>
      <c r="C178" s="66">
        <f>'Development Budget'!C10</f>
        <v>0</v>
      </c>
      <c r="D178" s="66">
        <f>'Development Budget'!D10</f>
        <v>0</v>
      </c>
      <c r="E178" s="66">
        <f>'Development Budget'!E10</f>
        <v>0</v>
      </c>
      <c r="F178" s="787">
        <f t="shared" si="27"/>
        <v>0</v>
      </c>
      <c r="G178" s="66">
        <f t="shared" ref="G178:G179" si="29">B178-E178</f>
        <v>0</v>
      </c>
      <c r="H178" s="66" t="str">
        <f>IF(B$3,'Development Budget'!F10,"")</f>
        <v/>
      </c>
      <c r="I178" s="197" t="str">
        <f>IF(B$3,H178/$B$292,"")</f>
        <v/>
      </c>
      <c r="K178" t="str">
        <f>'Commercial Budget'!A10</f>
        <v>Off Site Work</v>
      </c>
      <c r="L178" s="66">
        <f>'Commercial Budget'!B10</f>
        <v>0</v>
      </c>
      <c r="M178" s="66">
        <f>'Commercial Budget'!C10</f>
        <v>0</v>
      </c>
      <c r="N178" s="66">
        <f>IF($B$2,"",M178-L178)</f>
        <v>0</v>
      </c>
    </row>
    <row r="179" spans="1:16">
      <c r="A179" s="1"/>
      <c r="B179" s="199">
        <f>SUM(B177:B178)</f>
        <v>0</v>
      </c>
      <c r="C179" s="199">
        <f>SUM(C177:C178)</f>
        <v>0</v>
      </c>
      <c r="D179" s="199">
        <f>SUM(D177:D178)</f>
        <v>0</v>
      </c>
      <c r="E179" s="66">
        <f>'Development Budget'!E11</f>
        <v>0</v>
      </c>
      <c r="F179" s="787"/>
      <c r="G179" s="199">
        <f t="shared" si="29"/>
        <v>0</v>
      </c>
      <c r="H179" s="199" t="str">
        <f>IF(B$3,'Development Budget'!F11,"")</f>
        <v/>
      </c>
      <c r="I179" s="197" t="str">
        <f>IF(B$3,H179/$B$292,"")</f>
        <v/>
      </c>
      <c r="L179" s="199">
        <f>'Commercial Budget'!B11</f>
        <v>0</v>
      </c>
      <c r="M179" s="199">
        <f>'Commercial Budget'!C11</f>
        <v>0</v>
      </c>
      <c r="N179" s="66">
        <f>IF($B$2,"",M179-L179)</f>
        <v>0</v>
      </c>
      <c r="O179" s="517"/>
      <c r="P179" s="88"/>
    </row>
    <row r="180" spans="1:16">
      <c r="A180" s="19" t="s">
        <v>409</v>
      </c>
      <c r="B180" s="19"/>
      <c r="C180" s="19"/>
      <c r="D180" s="19"/>
      <c r="E180" s="19"/>
      <c r="F180" s="19"/>
      <c r="G180" s="19"/>
      <c r="H180" s="19"/>
      <c r="I180" s="19"/>
      <c r="K180" s="19" t="str">
        <f>'Commercial Budget'!A12</f>
        <v>Rehab. &amp; New Construction</v>
      </c>
      <c r="L180" s="19"/>
      <c r="M180" s="19"/>
      <c r="N180" s="19"/>
      <c r="O180" s="517"/>
      <c r="P180" s="88"/>
    </row>
    <row r="181" spans="1:16">
      <c r="A181" t="str">
        <f>'Development Budget'!A13</f>
        <v>New Structures</v>
      </c>
      <c r="B181" s="66">
        <f>'Development Budget'!B13</f>
        <v>0</v>
      </c>
      <c r="C181" s="66">
        <f>'Development Budget'!C13</f>
        <v>0</v>
      </c>
      <c r="D181" s="66">
        <f>'Development Budget'!D13</f>
        <v>0</v>
      </c>
      <c r="E181" s="66">
        <f>'Development Budget'!E13</f>
        <v>0</v>
      </c>
      <c r="F181" s="787">
        <f t="shared" ref="F181:F244" si="30">IF(OR(E181=0,B181=0),0,G181/B181)</f>
        <v>0</v>
      </c>
      <c r="G181" s="66">
        <f>B181-E181</f>
        <v>0</v>
      </c>
      <c r="H181" s="66" t="str">
        <f>IF(B$3,'Development Budget'!F13,"")</f>
        <v/>
      </c>
      <c r="I181" s="197" t="str">
        <f t="shared" ref="I181:I195" si="31">IF(B$3,H181/$B$292,"")</f>
        <v/>
      </c>
      <c r="K181" t="str">
        <f>'Commercial Budget'!A13</f>
        <v>New Structures</v>
      </c>
      <c r="L181" s="66">
        <f>'Commercial Budget'!B13</f>
        <v>0</v>
      </c>
      <c r="M181" s="66">
        <f>'Commercial Budget'!C13</f>
        <v>0</v>
      </c>
      <c r="N181" s="66">
        <f t="shared" ref="N181:N192" si="32">IF($B$2,"",M181-L181)</f>
        <v>0</v>
      </c>
      <c r="O181" s="517"/>
      <c r="P181" s="88"/>
    </row>
    <row r="182" spans="1:16">
      <c r="A182" t="str">
        <f>'Development Budget'!A14</f>
        <v>Rehabilitation</v>
      </c>
      <c r="B182" s="66">
        <f>'Development Budget'!B14</f>
        <v>0</v>
      </c>
      <c r="C182" s="66">
        <f>'Development Budget'!C14</f>
        <v>0</v>
      </c>
      <c r="D182" s="66">
        <f>'Development Budget'!D14</f>
        <v>0</v>
      </c>
      <c r="E182" s="66">
        <f>'Development Budget'!E14</f>
        <v>0</v>
      </c>
      <c r="F182" s="787">
        <f t="shared" si="30"/>
        <v>0</v>
      </c>
      <c r="G182" s="66">
        <f t="shared" ref="G182:G195" si="33">B182-E182</f>
        <v>0</v>
      </c>
      <c r="H182" s="66" t="str">
        <f>IF(B$3,'Development Budget'!F14,"")</f>
        <v/>
      </c>
      <c r="I182" s="197" t="str">
        <f t="shared" si="31"/>
        <v/>
      </c>
      <c r="K182" t="str">
        <f>'Commercial Budget'!A14</f>
        <v>Rehabilitation</v>
      </c>
      <c r="L182" s="66">
        <f>'Commercial Budget'!B14</f>
        <v>0</v>
      </c>
      <c r="M182" s="66">
        <f>'Commercial Budget'!C14</f>
        <v>0</v>
      </c>
      <c r="N182" s="66">
        <f t="shared" si="32"/>
        <v>0</v>
      </c>
      <c r="O182" s="517"/>
      <c r="P182" s="88"/>
    </row>
    <row r="183" spans="1:16">
      <c r="A183" t="str">
        <f>'Development Budget'!A15</f>
        <v>Accessory Structures (CSF, storage, garage(s))</v>
      </c>
      <c r="B183" s="66">
        <f>'Development Budget'!B15</f>
        <v>0</v>
      </c>
      <c r="C183" s="66">
        <f>'Development Budget'!C15</f>
        <v>0</v>
      </c>
      <c r="D183" s="66">
        <f>'Development Budget'!D15</f>
        <v>0</v>
      </c>
      <c r="E183" s="66">
        <f>'Development Budget'!E15</f>
        <v>0</v>
      </c>
      <c r="F183" s="787">
        <f t="shared" si="30"/>
        <v>0</v>
      </c>
      <c r="G183" s="66">
        <f t="shared" si="33"/>
        <v>0</v>
      </c>
      <c r="H183" s="66" t="str">
        <f>IF(B$3,'Development Budget'!F15,"")</f>
        <v/>
      </c>
      <c r="I183" s="197" t="str">
        <f t="shared" si="31"/>
        <v/>
      </c>
      <c r="K183" t="str">
        <f>'Commercial Budget'!A15</f>
        <v>Accessory Structures</v>
      </c>
      <c r="L183" s="66">
        <f>'Commercial Budget'!B15</f>
        <v>0</v>
      </c>
      <c r="M183" s="66">
        <f>'Commercial Budget'!C15</f>
        <v>0</v>
      </c>
      <c r="N183" s="66">
        <f t="shared" si="32"/>
        <v>0</v>
      </c>
      <c r="O183" s="517"/>
      <c r="P183" s="88"/>
    </row>
    <row r="184" spans="1:16">
      <c r="A184" t="str">
        <f>'Development Budget'!A16</f>
        <v>Green Systems (Solar, Geothermal, Other, etc.)</v>
      </c>
      <c r="B184" s="66">
        <f>'Development Budget'!B16</f>
        <v>0</v>
      </c>
      <c r="C184" s="66">
        <f>'Development Budget'!C16</f>
        <v>0</v>
      </c>
      <c r="D184" s="66">
        <f>'Development Budget'!D16</f>
        <v>0</v>
      </c>
      <c r="E184" s="66">
        <f>'Development Budget'!E16</f>
        <v>0</v>
      </c>
      <c r="F184" s="787">
        <f t="shared" si="30"/>
        <v>0</v>
      </c>
      <c r="G184" s="66">
        <f t="shared" si="33"/>
        <v>0</v>
      </c>
      <c r="H184" s="66" t="str">
        <f>IF(B$3,'Development Budget'!F16,"")</f>
        <v/>
      </c>
      <c r="I184" s="197" t="str">
        <f t="shared" si="31"/>
        <v/>
      </c>
      <c r="K184" t="str">
        <f>'Commercial Budget'!A16</f>
        <v>General Requirements</v>
      </c>
      <c r="L184" s="66">
        <f>'Commercial Budget'!B16</f>
        <v>0</v>
      </c>
      <c r="M184" s="66">
        <f>'Commercial Budget'!C16</f>
        <v>0</v>
      </c>
      <c r="N184" s="66">
        <f t="shared" si="32"/>
        <v>0</v>
      </c>
      <c r="O184" s="517"/>
      <c r="P184" s="88"/>
    </row>
    <row r="185" spans="1:16">
      <c r="A185" t="str">
        <f>'Development Budget'!A17</f>
        <v>General Requirements</v>
      </c>
      <c r="B185" s="66">
        <f>'Development Budget'!B17</f>
        <v>0</v>
      </c>
      <c r="C185" s="66">
        <f>'Development Budget'!C17</f>
        <v>0</v>
      </c>
      <c r="D185" s="66">
        <f>'Development Budget'!D17</f>
        <v>0</v>
      </c>
      <c r="E185" s="66">
        <f>'Development Budget'!E17</f>
        <v>0</v>
      </c>
      <c r="F185" s="787">
        <f t="shared" si="30"/>
        <v>0</v>
      </c>
      <c r="G185" s="66">
        <f t="shared" si="33"/>
        <v>0</v>
      </c>
      <c r="H185" s="66" t="str">
        <f>IF(B$3,'Development Budget'!F17,"")</f>
        <v/>
      </c>
      <c r="I185" s="197" t="str">
        <f t="shared" si="31"/>
        <v/>
      </c>
      <c r="K185" t="str">
        <f>'Commercial Budget'!A17</f>
        <v>Contractor Overhead</v>
      </c>
      <c r="L185" s="66">
        <f>'Commercial Budget'!B17</f>
        <v>0</v>
      </c>
      <c r="M185" s="66">
        <f>'Commercial Budget'!C17</f>
        <v>0</v>
      </c>
      <c r="N185" s="66">
        <f t="shared" si="32"/>
        <v>0</v>
      </c>
      <c r="O185" s="517"/>
      <c r="P185" s="88"/>
    </row>
    <row r="186" spans="1:16">
      <c r="A186" t="str">
        <f>'Development Budget'!A18</f>
        <v>Contractor Overhead</v>
      </c>
      <c r="B186" s="66">
        <f>'Development Budget'!B18</f>
        <v>0</v>
      </c>
      <c r="C186" s="66">
        <f>'Development Budget'!C18</f>
        <v>0</v>
      </c>
      <c r="D186" s="66">
        <f>'Development Budget'!D18</f>
        <v>0</v>
      </c>
      <c r="E186" s="66">
        <f>'Development Budget'!E18</f>
        <v>0</v>
      </c>
      <c r="F186" s="787">
        <f t="shared" si="30"/>
        <v>0</v>
      </c>
      <c r="G186" s="66">
        <f t="shared" si="33"/>
        <v>0</v>
      </c>
      <c r="H186" s="66" t="str">
        <f>IF(B$3,'Development Budget'!F18,"")</f>
        <v/>
      </c>
      <c r="I186" s="197" t="str">
        <f t="shared" si="31"/>
        <v/>
      </c>
      <c r="K186" t="str">
        <f>'Commercial Budget'!A18</f>
        <v>Contractor Profit</v>
      </c>
      <c r="L186" s="66">
        <f>'Commercial Budget'!B18</f>
        <v>0</v>
      </c>
      <c r="M186" s="66">
        <f>'Commercial Budget'!C18</f>
        <v>0</v>
      </c>
      <c r="N186" s="66">
        <f t="shared" si="32"/>
        <v>0</v>
      </c>
      <c r="O186" s="517"/>
      <c r="P186" s="88"/>
    </row>
    <row r="187" spans="1:16">
      <c r="A187" t="str">
        <f>'Development Budget'!A19</f>
        <v>Contractor Profit</v>
      </c>
      <c r="B187" s="66">
        <f>'Development Budget'!B19</f>
        <v>0</v>
      </c>
      <c r="C187" s="66">
        <f>'Development Budget'!C19</f>
        <v>0</v>
      </c>
      <c r="D187" s="66">
        <f>'Development Budget'!D19</f>
        <v>0</v>
      </c>
      <c r="E187" s="66">
        <f>'Development Budget'!E19</f>
        <v>0</v>
      </c>
      <c r="F187" s="787">
        <f t="shared" si="30"/>
        <v>0</v>
      </c>
      <c r="G187" s="66">
        <f t="shared" si="33"/>
        <v>0</v>
      </c>
      <c r="H187" s="66" t="str">
        <f>IF(B$3,'Development Budget'!F19,"")</f>
        <v/>
      </c>
      <c r="I187" s="197" t="str">
        <f t="shared" si="31"/>
        <v/>
      </c>
      <c r="K187" t="str">
        <f>'Commercial Budget'!A19</f>
        <v>Construction Contingency</v>
      </c>
      <c r="L187" s="66">
        <f>'Commercial Budget'!B19</f>
        <v>0</v>
      </c>
      <c r="M187" s="66">
        <f>'Commercial Budget'!C19</f>
        <v>0</v>
      </c>
      <c r="N187" s="66">
        <f t="shared" si="32"/>
        <v>0</v>
      </c>
      <c r="O187" s="517"/>
      <c r="P187" s="88"/>
    </row>
    <row r="188" spans="1:16">
      <c r="A188" t="str">
        <f>'Development Budget'!A20</f>
        <v>Contractor Construction Contingency</v>
      </c>
      <c r="B188" s="66">
        <f>'Development Budget'!B20</f>
        <v>0</v>
      </c>
      <c r="C188" s="66">
        <f>'Development Budget'!C20</f>
        <v>0</v>
      </c>
      <c r="D188" s="66">
        <f>'Development Budget'!D20</f>
        <v>0</v>
      </c>
      <c r="E188" s="66">
        <f>'Development Budget'!E20</f>
        <v>0</v>
      </c>
      <c r="F188" s="787">
        <f t="shared" si="30"/>
        <v>0</v>
      </c>
      <c r="G188" s="66">
        <f t="shared" si="33"/>
        <v>0</v>
      </c>
      <c r="H188" s="66" t="str">
        <f>IF(B$3,'Development Budget'!F20,"")</f>
        <v/>
      </c>
      <c r="I188" s="197" t="str">
        <f t="shared" si="31"/>
        <v/>
      </c>
      <c r="K188" t="str">
        <f>'Commercial Budget'!A20</f>
        <v>Building Permits</v>
      </c>
      <c r="L188" s="66">
        <f>'Commercial Budget'!B20</f>
        <v>0</v>
      </c>
      <c r="M188" s="66">
        <f>'Commercial Budget'!C20</f>
        <v>0</v>
      </c>
      <c r="N188" s="66">
        <f t="shared" si="32"/>
        <v>0</v>
      </c>
      <c r="O188" s="517"/>
      <c r="P188" s="88"/>
    </row>
    <row r="189" spans="1:16">
      <c r="A189" t="str">
        <f>'Development Budget'!A21</f>
        <v>Owner Hard Cost Contingency</v>
      </c>
      <c r="B189" s="66">
        <f>'Development Budget'!B21</f>
        <v>0</v>
      </c>
      <c r="C189" s="66">
        <f>'Development Budget'!C21</f>
        <v>0</v>
      </c>
      <c r="D189" s="66">
        <f>'Development Budget'!D21</f>
        <v>0</v>
      </c>
      <c r="E189" s="66">
        <f>'Development Budget'!E21</f>
        <v>0</v>
      </c>
      <c r="F189" s="787">
        <f t="shared" si="30"/>
        <v>0</v>
      </c>
      <c r="G189" s="66">
        <f t="shared" si="33"/>
        <v>0</v>
      </c>
      <c r="H189" s="66" t="str">
        <f>IF(B$3,'Development Budget'!F21,"")</f>
        <v/>
      </c>
      <c r="I189" s="197" t="str">
        <f t="shared" si="31"/>
        <v/>
      </c>
      <c r="K189" t="str">
        <f>'Commercial Budget'!A21</f>
        <v>Other (Specify)</v>
      </c>
      <c r="L189" s="66">
        <f>'Commercial Budget'!B21</f>
        <v>0</v>
      </c>
      <c r="M189" s="66">
        <f>'Commercial Budget'!C21</f>
        <v>0</v>
      </c>
      <c r="N189" s="66">
        <f t="shared" si="32"/>
        <v>0</v>
      </c>
      <c r="O189" s="517"/>
      <c r="P189" s="88"/>
    </row>
    <row r="190" spans="1:16">
      <c r="A190" t="str">
        <f>'Development Budget'!A22</f>
        <v>Furniture, Fixtures, &amp; Equipment</v>
      </c>
      <c r="B190" s="66">
        <f>'Development Budget'!B22</f>
        <v>0</v>
      </c>
      <c r="C190" s="66">
        <f>'Development Budget'!C22</f>
        <v>0</v>
      </c>
      <c r="D190" s="66">
        <f>'Development Budget'!D22</f>
        <v>0</v>
      </c>
      <c r="E190" s="66">
        <f>'Development Budget'!E22</f>
        <v>0</v>
      </c>
      <c r="F190" s="787">
        <f t="shared" si="30"/>
        <v>0</v>
      </c>
      <c r="G190" s="66">
        <f t="shared" si="33"/>
        <v>0</v>
      </c>
      <c r="H190" s="66" t="str">
        <f>IF(B$3,'Development Budget'!F22,"")</f>
        <v/>
      </c>
      <c r="I190" s="197" t="str">
        <f t="shared" si="31"/>
        <v/>
      </c>
      <c r="K190" t="str">
        <f>'Commercial Budget'!A22</f>
        <v>Other (Specify)</v>
      </c>
      <c r="L190" s="66">
        <f>'Commercial Budget'!B22</f>
        <v>0</v>
      </c>
      <c r="M190" s="66">
        <f>'Commercial Budget'!C22</f>
        <v>0</v>
      </c>
      <c r="N190" s="66">
        <f t="shared" si="32"/>
        <v>0</v>
      </c>
      <c r="O190" s="517"/>
      <c r="P190" s="88"/>
    </row>
    <row r="191" spans="1:16">
      <c r="A191" t="str">
        <f>'Development Budget'!A23</f>
        <v>Building Permits</v>
      </c>
      <c r="B191" s="66">
        <f>'Development Budget'!B23</f>
        <v>0</v>
      </c>
      <c r="C191" s="66">
        <f>'Development Budget'!C23</f>
        <v>0</v>
      </c>
      <c r="D191" s="66">
        <f>'Development Budget'!D23</f>
        <v>0</v>
      </c>
      <c r="E191" s="66">
        <f>'Development Budget'!E23</f>
        <v>0</v>
      </c>
      <c r="F191" s="787">
        <f t="shared" si="30"/>
        <v>0</v>
      </c>
      <c r="G191" s="66">
        <f t="shared" si="33"/>
        <v>0</v>
      </c>
      <c r="H191" s="66" t="str">
        <f>IF(B$3,'Development Budget'!F23,"")</f>
        <v/>
      </c>
      <c r="I191" s="197" t="str">
        <f t="shared" si="31"/>
        <v/>
      </c>
      <c r="K191" t="str">
        <f>'Commercial Budget'!A23</f>
        <v>Other (Specify)</v>
      </c>
      <c r="L191" s="66">
        <f>'Commercial Budget'!B23</f>
        <v>0</v>
      </c>
      <c r="M191" s="66">
        <f>'Commercial Budget'!C23</f>
        <v>0</v>
      </c>
      <c r="N191" s="66">
        <f t="shared" si="32"/>
        <v>0</v>
      </c>
      <c r="O191" s="517"/>
      <c r="P191" s="88"/>
    </row>
    <row r="192" spans="1:16">
      <c r="A192" t="str">
        <f>'Development Budget'!A24</f>
        <v>Other (Specify)</v>
      </c>
      <c r="B192" s="66">
        <f>'Development Budget'!B24</f>
        <v>0</v>
      </c>
      <c r="C192" s="66">
        <f>'Development Budget'!C24</f>
        <v>0</v>
      </c>
      <c r="D192" s="66">
        <f>'Development Budget'!D24</f>
        <v>0</v>
      </c>
      <c r="E192" s="66">
        <f>'Development Budget'!E24</f>
        <v>0</v>
      </c>
      <c r="F192" s="787">
        <f t="shared" si="30"/>
        <v>0</v>
      </c>
      <c r="G192" s="66">
        <f t="shared" si="33"/>
        <v>0</v>
      </c>
      <c r="H192" s="66" t="str">
        <f>IF(B$3,'Development Budget'!F24,"")</f>
        <v/>
      </c>
      <c r="I192" s="197" t="str">
        <f t="shared" si="31"/>
        <v/>
      </c>
      <c r="L192" s="199">
        <f>'Commercial Budget'!B24</f>
        <v>0</v>
      </c>
      <c r="M192" s="199">
        <f>'Commercial Budget'!C24</f>
        <v>0</v>
      </c>
      <c r="N192" s="66">
        <f t="shared" si="32"/>
        <v>0</v>
      </c>
      <c r="O192" s="517"/>
      <c r="P192" s="88"/>
    </row>
    <row r="193" spans="1:16">
      <c r="A193" t="str">
        <f>'Development Budget'!A25</f>
        <v>Other (Specify)</v>
      </c>
      <c r="B193" s="66">
        <f>'Development Budget'!B25</f>
        <v>0</v>
      </c>
      <c r="C193" s="66">
        <f>'Development Budget'!C25</f>
        <v>0</v>
      </c>
      <c r="D193" s="66">
        <f>'Development Budget'!D25</f>
        <v>0</v>
      </c>
      <c r="E193" s="66">
        <f>'Development Budget'!E25</f>
        <v>0</v>
      </c>
      <c r="F193" s="787">
        <f t="shared" si="30"/>
        <v>0</v>
      </c>
      <c r="G193" s="66">
        <f t="shared" si="33"/>
        <v>0</v>
      </c>
      <c r="H193" s="66" t="str">
        <f>IF(B$3,'Development Budget'!F25,"")</f>
        <v/>
      </c>
      <c r="I193" s="197" t="str">
        <f t="shared" si="31"/>
        <v/>
      </c>
      <c r="K193" s="19" t="str">
        <f>'Commercial Budget'!A25</f>
        <v>Professional Fees</v>
      </c>
      <c r="L193" s="19"/>
      <c r="M193" s="19"/>
      <c r="N193" s="19"/>
      <c r="O193" s="517"/>
      <c r="P193" s="88"/>
    </row>
    <row r="194" spans="1:16">
      <c r="A194" t="str">
        <f>'Development Budget'!A26</f>
        <v>Other (Specify)</v>
      </c>
      <c r="B194" s="66">
        <f>'Development Budget'!B26</f>
        <v>0</v>
      </c>
      <c r="C194" s="66">
        <f>'Development Budget'!C26</f>
        <v>0</v>
      </c>
      <c r="D194" s="66">
        <f>'Development Budget'!D26</f>
        <v>0</v>
      </c>
      <c r="E194" s="66">
        <f>'Development Budget'!E26</f>
        <v>0</v>
      </c>
      <c r="F194" s="787">
        <f t="shared" si="30"/>
        <v>0</v>
      </c>
      <c r="G194" s="66">
        <f t="shared" si="33"/>
        <v>0</v>
      </c>
      <c r="H194" s="66" t="str">
        <f>IF(B$3,'Development Budget'!F26,"")</f>
        <v/>
      </c>
      <c r="I194" s="197" t="str">
        <f t="shared" si="31"/>
        <v/>
      </c>
      <c r="K194" t="str">
        <f>'Commercial Budget'!A26</f>
        <v>Architect, Design</v>
      </c>
      <c r="L194" s="66">
        <f>'Commercial Budget'!B26</f>
        <v>0</v>
      </c>
      <c r="M194" s="66">
        <f>'Commercial Budget'!C26</f>
        <v>0</v>
      </c>
      <c r="N194" s="66">
        <f t="shared" ref="N194:N202" si="34">IF($B$2,"",M194-L194)</f>
        <v>0</v>
      </c>
      <c r="O194" s="517"/>
      <c r="P194" s="88"/>
    </row>
    <row r="195" spans="1:16">
      <c r="A195" s="1"/>
      <c r="B195" s="199">
        <f>SUM(B181:B194)</f>
        <v>0</v>
      </c>
      <c r="C195" s="199">
        <f>SUM(C181:C194)</f>
        <v>0</v>
      </c>
      <c r="D195" s="199">
        <f>SUM(D181:D194)</f>
        <v>0</v>
      </c>
      <c r="E195" s="199">
        <f>SUM(E181:E194)</f>
        <v>0</v>
      </c>
      <c r="F195" s="787"/>
      <c r="G195" s="199">
        <f t="shared" si="33"/>
        <v>0</v>
      </c>
      <c r="H195" s="199" t="str">
        <f>IF(B$3,'Development Budget'!F27,"")</f>
        <v/>
      </c>
      <c r="I195" s="197" t="str">
        <f t="shared" si="31"/>
        <v/>
      </c>
      <c r="K195" t="str">
        <f>'Commercial Budget'!A27</f>
        <v>Architect, Supervision</v>
      </c>
      <c r="L195" s="66">
        <f>'Commercial Budget'!B27</f>
        <v>0</v>
      </c>
      <c r="M195" s="66">
        <f>'Commercial Budget'!C27</f>
        <v>0</v>
      </c>
      <c r="N195" s="66">
        <f t="shared" si="34"/>
        <v>0</v>
      </c>
      <c r="O195" s="517"/>
      <c r="P195" s="88"/>
    </row>
    <row r="196" spans="1:16">
      <c r="A196" s="19" t="s">
        <v>421</v>
      </c>
      <c r="B196" s="19"/>
      <c r="C196" s="19"/>
      <c r="D196" s="19"/>
      <c r="E196" s="19"/>
      <c r="F196" s="19"/>
      <c r="G196" s="19"/>
      <c r="H196" s="19"/>
      <c r="I196" s="19"/>
      <c r="K196" t="str">
        <f>'Commercial Budget'!A28</f>
        <v>Attorney, Real Estate</v>
      </c>
      <c r="L196" s="66">
        <f>'Commercial Budget'!B28</f>
        <v>0</v>
      </c>
      <c r="M196" s="66">
        <f>'Commercial Budget'!C28</f>
        <v>0</v>
      </c>
      <c r="N196" s="66">
        <f t="shared" si="34"/>
        <v>0</v>
      </c>
      <c r="O196" s="517"/>
      <c r="P196" s="88"/>
    </row>
    <row r="197" spans="1:16">
      <c r="A197" t="str">
        <f>'Development Budget'!A29</f>
        <v>Architect, Design</v>
      </c>
      <c r="B197" s="66">
        <f>'Development Budget'!B29</f>
        <v>0</v>
      </c>
      <c r="C197" s="66">
        <f>'Development Budget'!C29</f>
        <v>0</v>
      </c>
      <c r="D197" s="66">
        <f>'Development Budget'!D29</f>
        <v>0</v>
      </c>
      <c r="E197" s="66">
        <f>'Development Budget'!E29</f>
        <v>0</v>
      </c>
      <c r="F197" s="787">
        <f t="shared" si="30"/>
        <v>0</v>
      </c>
      <c r="G197" s="66">
        <f>B197-E197</f>
        <v>0</v>
      </c>
      <c r="H197" s="66" t="str">
        <f>IF(B$3,'Development Budget'!F29,"")</f>
        <v/>
      </c>
      <c r="I197" s="197" t="str">
        <f t="shared" ref="I197:I226" si="35">IF(B$3,H197/$B$292,"")</f>
        <v/>
      </c>
      <c r="K197" t="str">
        <f>'Commercial Budget'!A29</f>
        <v>Consultant/agent</v>
      </c>
      <c r="L197" s="66">
        <f>'Commercial Budget'!B29</f>
        <v>0</v>
      </c>
      <c r="M197" s="66">
        <f>'Commercial Budget'!C29</f>
        <v>0</v>
      </c>
      <c r="N197" s="66">
        <f t="shared" si="34"/>
        <v>0</v>
      </c>
      <c r="O197" s="517"/>
      <c r="P197" s="88"/>
    </row>
    <row r="198" spans="1:16">
      <c r="A198" t="str">
        <f>'Development Budget'!A30</f>
        <v>Architect Construction Management/Admin</v>
      </c>
      <c r="B198" s="66">
        <f>'Development Budget'!B30</f>
        <v>0</v>
      </c>
      <c r="C198" s="66">
        <f>'Development Budget'!C30</f>
        <v>0</v>
      </c>
      <c r="D198" s="66">
        <f>'Development Budget'!D30</f>
        <v>0</v>
      </c>
      <c r="E198" s="66">
        <f>'Development Budget'!E30</f>
        <v>0</v>
      </c>
      <c r="F198" s="787">
        <f t="shared" si="30"/>
        <v>0</v>
      </c>
      <c r="G198" s="66">
        <f t="shared" ref="G198:G211" si="36">B198-E198</f>
        <v>0</v>
      </c>
      <c r="H198" s="66" t="str">
        <f>IF(B$3,'Development Budget'!F30,"")</f>
        <v/>
      </c>
      <c r="I198" s="197" t="str">
        <f t="shared" si="35"/>
        <v/>
      </c>
      <c r="K198" t="str">
        <f>'Commercial Budget'!A30</f>
        <v>Engineer/Surveyor</v>
      </c>
      <c r="L198" s="66">
        <f>'Commercial Budget'!B30</f>
        <v>0</v>
      </c>
      <c r="M198" s="66">
        <f>'Commercial Budget'!C30</f>
        <v>0</v>
      </c>
      <c r="N198" s="66">
        <f t="shared" si="34"/>
        <v>0</v>
      </c>
      <c r="O198" s="517"/>
      <c r="P198" s="88"/>
    </row>
    <row r="199" spans="1:16">
      <c r="A199" t="str">
        <f>'Development Budget'!A31</f>
        <v>Landscape Design</v>
      </c>
      <c r="B199" s="66">
        <f>'Development Budget'!B31</f>
        <v>0</v>
      </c>
      <c r="C199" s="66">
        <f>'Development Budget'!C31</f>
        <v>0</v>
      </c>
      <c r="D199" s="66">
        <f>'Development Budget'!D31</f>
        <v>0</v>
      </c>
      <c r="E199" s="66">
        <f>'Development Budget'!E31</f>
        <v>0</v>
      </c>
      <c r="F199" s="787">
        <f t="shared" si="30"/>
        <v>0</v>
      </c>
      <c r="G199" s="66">
        <f t="shared" si="36"/>
        <v>0</v>
      </c>
      <c r="H199" s="66" t="str">
        <f>IF(B$3,'Development Budget'!F31,"")</f>
        <v/>
      </c>
      <c r="I199" s="197" t="str">
        <f t="shared" si="35"/>
        <v/>
      </c>
      <c r="K199" t="str">
        <f>'Commercial Budget'!A31</f>
        <v>Other (Specify)</v>
      </c>
      <c r="L199" s="66">
        <f>'Commercial Budget'!B31</f>
        <v>0</v>
      </c>
      <c r="M199" s="66">
        <f>'Commercial Budget'!C31</f>
        <v>0</v>
      </c>
      <c r="N199" s="66">
        <f t="shared" si="34"/>
        <v>0</v>
      </c>
      <c r="O199" s="517"/>
      <c r="P199" s="88"/>
    </row>
    <row r="200" spans="1:16">
      <c r="A200" t="str">
        <f>'Development Budget'!A32</f>
        <v>Structural Engineering</v>
      </c>
      <c r="B200" s="66">
        <f>'Development Budget'!B32</f>
        <v>0</v>
      </c>
      <c r="C200" s="66">
        <f>'Development Budget'!C32</f>
        <v>0</v>
      </c>
      <c r="D200" s="66">
        <f>'Development Budget'!D32</f>
        <v>0</v>
      </c>
      <c r="E200" s="66">
        <f>'Development Budget'!E32</f>
        <v>0</v>
      </c>
      <c r="F200" s="787">
        <f t="shared" si="30"/>
        <v>0</v>
      </c>
      <c r="G200" s="66">
        <f t="shared" si="36"/>
        <v>0</v>
      </c>
      <c r="H200" s="66" t="str">
        <f>IF(B$3,'Development Budget'!F32,"")</f>
        <v/>
      </c>
      <c r="I200" s="197" t="str">
        <f t="shared" si="35"/>
        <v/>
      </c>
      <c r="K200" t="str">
        <f>'Commercial Budget'!A32</f>
        <v>Other (Specify)</v>
      </c>
      <c r="L200" s="66">
        <f>'Commercial Budget'!B32</f>
        <v>0</v>
      </c>
      <c r="M200" s="66">
        <f>'Commercial Budget'!C32</f>
        <v>0</v>
      </c>
      <c r="N200" s="66">
        <f t="shared" si="34"/>
        <v>0</v>
      </c>
      <c r="O200" s="517"/>
      <c r="P200" s="88"/>
    </row>
    <row r="201" spans="1:16">
      <c r="A201" t="str">
        <f>'Development Budget'!A33</f>
        <v>Civil Engineering</v>
      </c>
      <c r="B201" s="66">
        <f>'Development Budget'!B33</f>
        <v>0</v>
      </c>
      <c r="C201" s="66">
        <f>'Development Budget'!C33</f>
        <v>0</v>
      </c>
      <c r="D201" s="66">
        <f>'Development Budget'!D33</f>
        <v>0</v>
      </c>
      <c r="E201" s="66">
        <f>'Development Budget'!E33</f>
        <v>0</v>
      </c>
      <c r="F201" s="787">
        <f t="shared" si="30"/>
        <v>0</v>
      </c>
      <c r="G201" s="66">
        <f t="shared" si="36"/>
        <v>0</v>
      </c>
      <c r="H201" s="66" t="str">
        <f>IF(B$3,'Development Budget'!F33,"")</f>
        <v/>
      </c>
      <c r="I201" s="197" t="str">
        <f t="shared" si="35"/>
        <v/>
      </c>
      <c r="K201" t="str">
        <f>'Commercial Budget'!A33</f>
        <v>Other-Accounting</v>
      </c>
      <c r="L201" s="66">
        <f>'Commercial Budget'!B33</f>
        <v>0</v>
      </c>
      <c r="M201" s="66">
        <f>'Commercial Budget'!C33</f>
        <v>0</v>
      </c>
      <c r="N201" s="66">
        <f t="shared" si="34"/>
        <v>0</v>
      </c>
      <c r="O201" s="517"/>
      <c r="P201" s="88"/>
    </row>
    <row r="202" spans="1:16">
      <c r="A202" t="str">
        <f>'Development Budget'!A34</f>
        <v>Other Engineering</v>
      </c>
      <c r="B202" s="66">
        <f>'Development Budget'!B34</f>
        <v>0</v>
      </c>
      <c r="C202" s="66">
        <f>'Development Budget'!C34</f>
        <v>0</v>
      </c>
      <c r="D202" s="66">
        <f>'Development Budget'!D34</f>
        <v>0</v>
      </c>
      <c r="E202" s="66">
        <f>'Development Budget'!E34</f>
        <v>0</v>
      </c>
      <c r="F202" s="787">
        <f t="shared" si="30"/>
        <v>0</v>
      </c>
      <c r="G202" s="66">
        <f t="shared" si="36"/>
        <v>0</v>
      </c>
      <c r="H202" s="66" t="str">
        <f>IF(B$3,'Development Budget'!F34,"")</f>
        <v/>
      </c>
      <c r="I202" s="197" t="str">
        <f t="shared" si="35"/>
        <v/>
      </c>
      <c r="L202" s="199">
        <f>'Commercial Budget'!B34</f>
        <v>0</v>
      </c>
      <c r="M202" s="199">
        <f>'Commercial Budget'!C34</f>
        <v>0</v>
      </c>
      <c r="N202" s="66">
        <f t="shared" si="34"/>
        <v>0</v>
      </c>
      <c r="O202" s="517"/>
      <c r="P202" s="88"/>
    </row>
    <row r="203" spans="1:16">
      <c r="A203" t="str">
        <f>'Development Budget'!A35</f>
        <v>Surveyor</v>
      </c>
      <c r="B203" s="66">
        <f>'Development Budget'!B35</f>
        <v>0</v>
      </c>
      <c r="C203" s="66">
        <f>'Development Budget'!C35</f>
        <v>0</v>
      </c>
      <c r="D203" s="66">
        <f>'Development Budget'!D35</f>
        <v>0</v>
      </c>
      <c r="E203" s="66">
        <f>'Development Budget'!E35</f>
        <v>0</v>
      </c>
      <c r="F203" s="787">
        <f t="shared" si="30"/>
        <v>0</v>
      </c>
      <c r="G203" s="66">
        <f t="shared" si="36"/>
        <v>0</v>
      </c>
      <c r="H203" s="66" t="str">
        <f>IF(B$3,'Development Budget'!F35,"")</f>
        <v/>
      </c>
      <c r="I203" s="197" t="str">
        <f t="shared" si="35"/>
        <v/>
      </c>
      <c r="K203" s="19" t="str">
        <f>'Commercial Budget'!A35</f>
        <v>Construction Interim Costs</v>
      </c>
      <c r="L203" s="19"/>
      <c r="M203" s="19"/>
      <c r="N203" s="19"/>
      <c r="O203" s="517"/>
      <c r="P203" s="88"/>
    </row>
    <row r="204" spans="1:16">
      <c r="A204" t="str">
        <f>'Development Budget'!A36</f>
        <v>Attorney, Real Estate</v>
      </c>
      <c r="B204" s="66">
        <f>'Development Budget'!B36</f>
        <v>0</v>
      </c>
      <c r="C204" s="66">
        <f>'Development Budget'!C36</f>
        <v>0</v>
      </c>
      <c r="D204" s="66">
        <f>'Development Budget'!D36</f>
        <v>0</v>
      </c>
      <c r="E204" s="66">
        <f>'Development Budget'!E36</f>
        <v>0</v>
      </c>
      <c r="F204" s="787">
        <f t="shared" si="30"/>
        <v>0</v>
      </c>
      <c r="G204" s="66">
        <f t="shared" si="36"/>
        <v>0</v>
      </c>
      <c r="H204" s="66" t="str">
        <f>IF(B$3,'Development Budget'!F36,"")</f>
        <v/>
      </c>
      <c r="I204" s="197" t="str">
        <f t="shared" si="35"/>
        <v/>
      </c>
      <c r="K204" t="str">
        <f>'Commercial Budget'!A36</f>
        <v>Hazard &amp; Liability Insurance</v>
      </c>
      <c r="L204" s="66">
        <f>'Commercial Budget'!B36</f>
        <v>0</v>
      </c>
      <c r="M204" s="66">
        <f>'Commercial Budget'!C36</f>
        <v>0</v>
      </c>
      <c r="N204" s="66">
        <f t="shared" ref="N204:N219" si="37">IF($B$2,"",M204-L204)</f>
        <v>0</v>
      </c>
      <c r="O204" s="517"/>
      <c r="P204" s="88"/>
    </row>
    <row r="205" spans="1:16">
      <c r="A205" t="str">
        <f>'Development Budget'!A37</f>
        <v>Green Consultant</v>
      </c>
      <c r="B205" s="66">
        <f>'Development Budget'!B37</f>
        <v>0</v>
      </c>
      <c r="C205" s="66">
        <f>'Development Budget'!C37</f>
        <v>0</v>
      </c>
      <c r="D205" s="66">
        <f>'Development Budget'!D37</f>
        <v>0</v>
      </c>
      <c r="E205" s="66">
        <f>'Development Budget'!E37</f>
        <v>0</v>
      </c>
      <c r="F205" s="787">
        <f t="shared" si="30"/>
        <v>0</v>
      </c>
      <c r="G205" s="66">
        <f t="shared" si="36"/>
        <v>0</v>
      </c>
      <c r="H205" s="66" t="str">
        <f>IF(B$3,'Development Budget'!F37,"")</f>
        <v/>
      </c>
      <c r="I205" s="197" t="str">
        <f t="shared" si="35"/>
        <v/>
      </c>
      <c r="K205" t="str">
        <f>'Commercial Budget'!A37</f>
        <v>Builder's Risk Insurance</v>
      </c>
      <c r="L205" s="66">
        <f>'Commercial Budget'!B37</f>
        <v>0</v>
      </c>
      <c r="M205" s="66">
        <f>'Commercial Budget'!C37</f>
        <v>0</v>
      </c>
      <c r="N205" s="66">
        <f t="shared" si="37"/>
        <v>0</v>
      </c>
      <c r="O205" s="517"/>
      <c r="P205" s="88"/>
    </row>
    <row r="206" spans="1:16">
      <c r="A206" t="str">
        <f>'Development Budget'!A38</f>
        <v>Green Charrette</v>
      </c>
      <c r="B206" s="66">
        <f>'Development Budget'!B38</f>
        <v>0</v>
      </c>
      <c r="C206" s="66">
        <f>'Development Budget'!C38</f>
        <v>0</v>
      </c>
      <c r="D206" s="66">
        <f>'Development Budget'!D38</f>
        <v>0</v>
      </c>
      <c r="E206" s="66">
        <f>'Development Budget'!E38</f>
        <v>0</v>
      </c>
      <c r="F206" s="787">
        <f t="shared" si="30"/>
        <v>0</v>
      </c>
      <c r="G206" s="66">
        <f t="shared" si="36"/>
        <v>0</v>
      </c>
      <c r="H206" s="66" t="str">
        <f>IF(B$3,'Development Budget'!F38,"")</f>
        <v/>
      </c>
      <c r="I206" s="197" t="str">
        <f t="shared" si="35"/>
        <v/>
      </c>
      <c r="K206" t="str">
        <f>'Commercial Budget'!A38</f>
        <v>Perform. &amp; Pymt Bonds</v>
      </c>
      <c r="L206" s="66">
        <f>'Commercial Budget'!B38</f>
        <v>0</v>
      </c>
      <c r="M206" s="66">
        <f>'Commercial Budget'!C38</f>
        <v>0</v>
      </c>
      <c r="N206" s="66">
        <f t="shared" si="37"/>
        <v>0</v>
      </c>
      <c r="O206" s="517"/>
      <c r="P206" s="88"/>
    </row>
    <row r="207" spans="1:16">
      <c r="A207" t="str">
        <f>'Development Budget'!A39</f>
        <v>Construction Accounting</v>
      </c>
      <c r="B207" s="66">
        <f>'Development Budget'!B39</f>
        <v>0</v>
      </c>
      <c r="C207" s="66">
        <f>'Development Budget'!C39</f>
        <v>0</v>
      </c>
      <c r="D207" s="66">
        <f>'Development Budget'!D39</f>
        <v>0</v>
      </c>
      <c r="E207" s="66">
        <f>'Development Budget'!E39</f>
        <v>0</v>
      </c>
      <c r="F207" s="787">
        <f t="shared" si="30"/>
        <v>0</v>
      </c>
      <c r="G207" s="66">
        <f t="shared" si="36"/>
        <v>0</v>
      </c>
      <c r="H207" s="66" t="str">
        <f>IF(B$3,'Development Budget'!F39,"")</f>
        <v/>
      </c>
      <c r="I207" s="197" t="str">
        <f t="shared" si="35"/>
        <v/>
      </c>
      <c r="K207" t="str">
        <f>'Commercial Budget'!A39</f>
        <v>Credit Report</v>
      </c>
      <c r="L207" s="66">
        <f>'Commercial Budget'!B39</f>
        <v>0</v>
      </c>
      <c r="M207" s="66">
        <f>'Commercial Budget'!C39</f>
        <v>0</v>
      </c>
      <c r="N207" s="66">
        <f t="shared" si="37"/>
        <v>0</v>
      </c>
      <c r="O207" s="517"/>
      <c r="P207" s="88"/>
    </row>
    <row r="208" spans="1:16">
      <c r="A208" t="str">
        <f>'Development Budget'!A40</f>
        <v>Other (Specify)</v>
      </c>
      <c r="B208" s="66">
        <f>'Development Budget'!B40</f>
        <v>0</v>
      </c>
      <c r="C208" s="66">
        <f>'Development Budget'!C40</f>
        <v>0</v>
      </c>
      <c r="D208" s="66">
        <f>'Development Budget'!D40</f>
        <v>0</v>
      </c>
      <c r="E208" s="66">
        <f>'Development Budget'!E40</f>
        <v>0</v>
      </c>
      <c r="F208" s="787">
        <f t="shared" si="30"/>
        <v>0</v>
      </c>
      <c r="G208" s="66">
        <f t="shared" si="36"/>
        <v>0</v>
      </c>
      <c r="H208" s="66" t="str">
        <f>IF(B$3,'Development Budget'!F40,"")</f>
        <v/>
      </c>
      <c r="I208" s="197" t="str">
        <f t="shared" si="35"/>
        <v/>
      </c>
      <c r="K208" t="str">
        <f>'Commercial Budget'!A40</f>
        <v>Construction Interest</v>
      </c>
      <c r="L208" s="66">
        <f>'Commercial Budget'!B40</f>
        <v>0</v>
      </c>
      <c r="M208" s="66">
        <f>'Commercial Budget'!C40</f>
        <v>0</v>
      </c>
      <c r="N208" s="66">
        <f t="shared" si="37"/>
        <v>0</v>
      </c>
      <c r="O208" s="517"/>
      <c r="P208" s="88"/>
    </row>
    <row r="209" spans="1:16">
      <c r="A209" t="str">
        <f>'Development Budget'!A41</f>
        <v>Other (Specify)</v>
      </c>
      <c r="B209" s="66">
        <f>'Development Budget'!B41</f>
        <v>0</v>
      </c>
      <c r="C209" s="66">
        <f>'Development Budget'!C41</f>
        <v>0</v>
      </c>
      <c r="D209" s="66">
        <f>'Development Budget'!D41</f>
        <v>0</v>
      </c>
      <c r="E209" s="66">
        <f>'Development Budget'!E41</f>
        <v>0</v>
      </c>
      <c r="F209" s="787">
        <f t="shared" si="30"/>
        <v>0</v>
      </c>
      <c r="G209" s="66">
        <f t="shared" si="36"/>
        <v>0</v>
      </c>
      <c r="H209" s="66" t="str">
        <f>IF(B$3,'Development Budget'!F41,"")</f>
        <v/>
      </c>
      <c r="I209" s="197" t="str">
        <f t="shared" si="35"/>
        <v/>
      </c>
      <c r="K209" t="str">
        <f>'Commercial Budget'!A41</f>
        <v>Constr. Origination Fees</v>
      </c>
      <c r="L209" s="66">
        <f>'Commercial Budget'!B41</f>
        <v>0</v>
      </c>
      <c r="M209" s="66">
        <f>'Commercial Budget'!C41</f>
        <v>0</v>
      </c>
      <c r="N209" s="66">
        <f t="shared" si="37"/>
        <v>0</v>
      </c>
      <c r="O209" s="517"/>
      <c r="P209" s="88"/>
    </row>
    <row r="210" spans="1:16">
      <c r="A210" t="str">
        <f>'Development Budget'!A42</f>
        <v>Other (Specify)</v>
      </c>
      <c r="B210" s="66">
        <f>'Development Budget'!B42</f>
        <v>0</v>
      </c>
      <c r="C210" s="66">
        <f>'Development Budget'!C42</f>
        <v>0</v>
      </c>
      <c r="D210" s="66">
        <f>'Development Budget'!D42</f>
        <v>0</v>
      </c>
      <c r="E210" s="66">
        <f>'Development Budget'!E42</f>
        <v>0</v>
      </c>
      <c r="F210" s="787">
        <f t="shared" si="30"/>
        <v>0</v>
      </c>
      <c r="G210" s="66">
        <f t="shared" si="36"/>
        <v>0</v>
      </c>
      <c r="H210" s="66" t="str">
        <f>IF(B$3,'Development Budget'!F42,"")</f>
        <v/>
      </c>
      <c r="I210" s="197" t="str">
        <f t="shared" si="35"/>
        <v/>
      </c>
      <c r="K210" t="str">
        <f>'Commercial Budget'!A42</f>
        <v>Tap Fees (Water/Sewer)</v>
      </c>
      <c r="L210" s="66">
        <f>'Commercial Budget'!B42</f>
        <v>0</v>
      </c>
      <c r="M210" s="66">
        <f>'Commercial Budget'!C42</f>
        <v>0</v>
      </c>
      <c r="N210" s="66">
        <f t="shared" si="37"/>
        <v>0</v>
      </c>
      <c r="O210" s="517"/>
      <c r="P210" s="88"/>
    </row>
    <row r="211" spans="1:16">
      <c r="A211" s="1"/>
      <c r="B211" s="199">
        <f>SUM(B197:B210)</f>
        <v>0</v>
      </c>
      <c r="C211" s="199">
        <f>SUM(C197:C210)</f>
        <v>0</v>
      </c>
      <c r="D211" s="199">
        <f>SUM(D197:D210)</f>
        <v>0</v>
      </c>
      <c r="E211" s="199">
        <f>SUM(E197:E210)</f>
        <v>0</v>
      </c>
      <c r="F211" s="787"/>
      <c r="G211" s="199">
        <f t="shared" si="36"/>
        <v>0</v>
      </c>
      <c r="H211" s="199" t="str">
        <f>IF(B$3,'Development Budget'!F43,"")</f>
        <v/>
      </c>
      <c r="I211" s="197" t="str">
        <f t="shared" si="35"/>
        <v/>
      </c>
      <c r="K211" t="str">
        <f>'Commercial Budget'!A43</f>
        <v>Bond Cost of Issuance</v>
      </c>
      <c r="L211" s="66">
        <f>'Commercial Budget'!B43</f>
        <v>0</v>
      </c>
      <c r="M211" s="66">
        <f>'Commercial Budget'!C43</f>
        <v>0</v>
      </c>
      <c r="N211" s="66">
        <f t="shared" si="37"/>
        <v>0</v>
      </c>
      <c r="O211" s="517"/>
      <c r="P211" s="88"/>
    </row>
    <row r="212" spans="1:16">
      <c r="A212" s="19" t="s">
        <v>432</v>
      </c>
      <c r="B212" s="19"/>
      <c r="C212" s="19"/>
      <c r="D212" s="19"/>
      <c r="E212" s="19"/>
      <c r="F212" s="19"/>
      <c r="G212" s="19"/>
      <c r="H212" s="19"/>
      <c r="I212" s="19" t="str">
        <f t="shared" si="35"/>
        <v/>
      </c>
      <c r="K212" t="str">
        <f>'Commercial Budget'!A44</f>
        <v>Impact Fees</v>
      </c>
      <c r="L212" s="66">
        <f>'Commercial Budget'!B44</f>
        <v>0</v>
      </c>
      <c r="M212" s="66">
        <f>'Commercial Budget'!C44</f>
        <v>0</v>
      </c>
      <c r="N212" s="66">
        <f t="shared" si="37"/>
        <v>0</v>
      </c>
      <c r="O212" s="517"/>
      <c r="P212" s="88"/>
    </row>
    <row r="213" spans="1:16">
      <c r="A213" t="str">
        <f>'Development Budget'!A45</f>
        <v>Hazard &amp; Liability Insurance</v>
      </c>
      <c r="B213" s="66">
        <f>'Development Budget'!B45</f>
        <v>0</v>
      </c>
      <c r="C213" s="66">
        <f>'Development Budget'!C45</f>
        <v>0</v>
      </c>
      <c r="D213" s="66">
        <f>'Development Budget'!D45</f>
        <v>0</v>
      </c>
      <c r="E213" s="66">
        <f>'Development Budget'!E45</f>
        <v>0</v>
      </c>
      <c r="F213" s="787">
        <f t="shared" si="30"/>
        <v>0</v>
      </c>
      <c r="G213" s="66">
        <f>B213-E213</f>
        <v>0</v>
      </c>
      <c r="H213" s="66" t="str">
        <f>IF(B$3,'Development Budget'!F45,"")</f>
        <v/>
      </c>
      <c r="I213" s="197" t="str">
        <f t="shared" si="35"/>
        <v/>
      </c>
      <c r="K213" t="str">
        <f>'Commercial Budget'!A45</f>
        <v>Title &amp; Recording</v>
      </c>
      <c r="L213" s="66">
        <f>'Commercial Budget'!B45</f>
        <v>0</v>
      </c>
      <c r="M213" s="66">
        <f>'Commercial Budget'!C45</f>
        <v>0</v>
      </c>
      <c r="N213" s="66">
        <f t="shared" si="37"/>
        <v>0</v>
      </c>
      <c r="O213" s="517"/>
      <c r="P213" s="88"/>
    </row>
    <row r="214" spans="1:16">
      <c r="A214" t="str">
        <f>'Development Budget'!A46</f>
        <v>Builder's Risk Insurance</v>
      </c>
      <c r="B214" s="66">
        <f>'Development Budget'!B46</f>
        <v>0</v>
      </c>
      <c r="C214" s="66">
        <f>'Development Budget'!C46</f>
        <v>0</v>
      </c>
      <c r="D214" s="66">
        <f>'Development Budget'!D46</f>
        <v>0</v>
      </c>
      <c r="E214" s="66">
        <f>'Development Budget'!E46</f>
        <v>0</v>
      </c>
      <c r="F214" s="787">
        <f t="shared" si="30"/>
        <v>0</v>
      </c>
      <c r="G214" s="66">
        <f t="shared" ref="G214:G231" si="38">B214-E214</f>
        <v>0</v>
      </c>
      <c r="H214" s="66" t="str">
        <f>IF(B$3,'Development Budget'!F46,"")</f>
        <v/>
      </c>
      <c r="I214" s="197" t="str">
        <f t="shared" si="35"/>
        <v/>
      </c>
      <c r="K214" t="str">
        <f>'Commercial Budget'!A46</f>
        <v>Legal Fees</v>
      </c>
      <c r="L214" s="66">
        <f>'Commercial Budget'!B46</f>
        <v>0</v>
      </c>
      <c r="M214" s="66">
        <f>'Commercial Budget'!C46</f>
        <v>0</v>
      </c>
      <c r="N214" s="66">
        <f t="shared" si="37"/>
        <v>0</v>
      </c>
      <c r="O214" s="517"/>
      <c r="P214" s="88"/>
    </row>
    <row r="215" spans="1:16">
      <c r="A215" t="str">
        <f>'Development Budget'!A47</f>
        <v>Perform. &amp; Pymt Bonds</v>
      </c>
      <c r="B215" s="66">
        <f>'Development Budget'!B47</f>
        <v>0</v>
      </c>
      <c r="C215" s="66">
        <f>'Development Budget'!C47</f>
        <v>0</v>
      </c>
      <c r="D215" s="66">
        <f>'Development Budget'!D47</f>
        <v>0</v>
      </c>
      <c r="E215" s="66">
        <f>'Development Budget'!E47</f>
        <v>0</v>
      </c>
      <c r="F215" s="787">
        <f t="shared" si="30"/>
        <v>0</v>
      </c>
      <c r="G215" s="66">
        <f t="shared" si="38"/>
        <v>0</v>
      </c>
      <c r="H215" s="66" t="str">
        <f>IF(B$3,'Development Budget'!F47,"")</f>
        <v/>
      </c>
      <c r="I215" s="197" t="str">
        <f t="shared" si="35"/>
        <v/>
      </c>
      <c r="K215" t="str">
        <f>'Commercial Budget'!A47</f>
        <v>Prop. Taxes during const</v>
      </c>
      <c r="L215" s="66">
        <f>'Commercial Budget'!B47</f>
        <v>0</v>
      </c>
      <c r="M215" s="66">
        <f>'Commercial Budget'!C47</f>
        <v>0</v>
      </c>
      <c r="N215" s="66">
        <f t="shared" si="37"/>
        <v>0</v>
      </c>
      <c r="O215" s="517"/>
      <c r="P215" s="88"/>
    </row>
    <row r="216" spans="1:16">
      <c r="A216" t="str">
        <f>'Development Budget'!A48</f>
        <v>Construction Interest</v>
      </c>
      <c r="B216" s="66">
        <f>'Development Budget'!B48</f>
        <v>0</v>
      </c>
      <c r="C216" s="66">
        <f>'Development Budget'!C48</f>
        <v>0</v>
      </c>
      <c r="D216" s="66">
        <f>'Development Budget'!D48</f>
        <v>0</v>
      </c>
      <c r="E216" s="66">
        <f>'Development Budget'!E48</f>
        <v>0</v>
      </c>
      <c r="F216" s="787">
        <f t="shared" si="30"/>
        <v>0</v>
      </c>
      <c r="G216" s="66">
        <f t="shared" si="38"/>
        <v>0</v>
      </c>
      <c r="H216" s="66" t="str">
        <f>IF(B$3,'Development Budget'!F48,"")</f>
        <v/>
      </c>
      <c r="I216" s="197" t="str">
        <f t="shared" si="35"/>
        <v/>
      </c>
      <c r="K216" t="str">
        <f>'Commercial Budget'!A48</f>
        <v>Other (Specify)</v>
      </c>
      <c r="L216" s="66">
        <f>'Commercial Budget'!B48</f>
        <v>0</v>
      </c>
      <c r="M216" s="66">
        <f>'Commercial Budget'!C48</f>
        <v>0</v>
      </c>
      <c r="N216" s="66">
        <f t="shared" si="37"/>
        <v>0</v>
      </c>
      <c r="O216" s="517"/>
      <c r="P216" s="88"/>
    </row>
    <row r="217" spans="1:16">
      <c r="A217" t="str">
        <f>'Development Budget'!A49</f>
        <v>Constr. Origination Fees</v>
      </c>
      <c r="B217" s="66">
        <f>'Development Budget'!B49</f>
        <v>0</v>
      </c>
      <c r="C217" s="66">
        <f>'Development Budget'!C49</f>
        <v>0</v>
      </c>
      <c r="D217" s="66">
        <f>'Development Budget'!D49</f>
        <v>0</v>
      </c>
      <c r="E217" s="66">
        <f>'Development Budget'!E49</f>
        <v>0</v>
      </c>
      <c r="F217" s="787">
        <f t="shared" si="30"/>
        <v>0</v>
      </c>
      <c r="G217" s="66">
        <f t="shared" si="38"/>
        <v>0</v>
      </c>
      <c r="H217" s="66" t="str">
        <f>IF(B$3,'Development Budget'!F49,"")</f>
        <v/>
      </c>
      <c r="I217" s="197" t="str">
        <f t="shared" si="35"/>
        <v/>
      </c>
      <c r="K217" t="str">
        <f>'Commercial Budget'!A49</f>
        <v>Other (Specify)</v>
      </c>
      <c r="L217" s="66">
        <f>'Commercial Budget'!B49</f>
        <v>0</v>
      </c>
      <c r="M217" s="66">
        <f>'Commercial Budget'!C49</f>
        <v>0</v>
      </c>
      <c r="N217" s="66">
        <f t="shared" si="37"/>
        <v>0</v>
      </c>
      <c r="O217" s="517"/>
      <c r="P217" s="88"/>
    </row>
    <row r="218" spans="1:16">
      <c r="A218" t="str">
        <f>'Development Budget'!A50</f>
        <v>Tap Fees (Water/Sewer)</v>
      </c>
      <c r="B218" s="66">
        <f>'Development Budget'!B50</f>
        <v>0</v>
      </c>
      <c r="C218" s="66">
        <f>'Development Budget'!C50</f>
        <v>0</v>
      </c>
      <c r="D218" s="66">
        <f>'Development Budget'!D50</f>
        <v>0</v>
      </c>
      <c r="E218" s="66">
        <f>'Development Budget'!E50</f>
        <v>0</v>
      </c>
      <c r="F218" s="787">
        <f t="shared" si="30"/>
        <v>0</v>
      </c>
      <c r="G218" s="66">
        <f t="shared" si="38"/>
        <v>0</v>
      </c>
      <c r="H218" s="66" t="str">
        <f>IF(B$3,'Development Budget'!F50,"")</f>
        <v/>
      </c>
      <c r="I218" s="197" t="str">
        <f t="shared" si="35"/>
        <v/>
      </c>
      <c r="K218" t="str">
        <f>'Commercial Budget'!A50</f>
        <v>Other (Specify)</v>
      </c>
      <c r="L218" s="66">
        <f>'Commercial Budget'!B50</f>
        <v>0</v>
      </c>
      <c r="M218" s="66">
        <f>'Commercial Budget'!C50</f>
        <v>0</v>
      </c>
      <c r="N218" s="66">
        <f t="shared" si="37"/>
        <v>0</v>
      </c>
      <c r="O218" s="517"/>
      <c r="P218" s="88"/>
    </row>
    <row r="219" spans="1:16">
      <c r="A219" t="str">
        <f>'Development Budget'!A51</f>
        <v>Impact fees</v>
      </c>
      <c r="B219" s="66">
        <f>'Development Budget'!B51</f>
        <v>0</v>
      </c>
      <c r="C219" s="66">
        <f>'Development Budget'!C51</f>
        <v>0</v>
      </c>
      <c r="D219" s="66">
        <f>'Development Budget'!D51</f>
        <v>0</v>
      </c>
      <c r="E219" s="66">
        <f>'Development Budget'!E51</f>
        <v>0</v>
      </c>
      <c r="F219" s="787">
        <f t="shared" si="30"/>
        <v>0</v>
      </c>
      <c r="G219" s="66">
        <f t="shared" si="38"/>
        <v>0</v>
      </c>
      <c r="H219" s="66" t="str">
        <f>IF(B$3,'Development Budget'!F51,"")</f>
        <v/>
      </c>
      <c r="I219" s="197" t="str">
        <f t="shared" si="35"/>
        <v/>
      </c>
      <c r="L219" s="199">
        <f>'Commercial Budget'!B51</f>
        <v>0</v>
      </c>
      <c r="M219" s="199">
        <f>'Commercial Budget'!C51</f>
        <v>0</v>
      </c>
      <c r="N219" s="66">
        <f t="shared" si="37"/>
        <v>0</v>
      </c>
      <c r="O219" s="517"/>
      <c r="P219" s="88"/>
    </row>
    <row r="220" spans="1:16">
      <c r="A220" t="str">
        <f>'Development Budget'!A52</f>
        <v>Materials Testing</v>
      </c>
      <c r="B220" s="66">
        <f>'Development Budget'!B52</f>
        <v>0</v>
      </c>
      <c r="C220" s="66">
        <f>'Development Budget'!C52</f>
        <v>0</v>
      </c>
      <c r="D220" s="66">
        <f>'Development Budget'!D52</f>
        <v>0</v>
      </c>
      <c r="E220" s="66">
        <f>'Development Budget'!E52</f>
        <v>0</v>
      </c>
      <c r="F220" s="787">
        <f t="shared" si="30"/>
        <v>0</v>
      </c>
      <c r="G220" s="66">
        <f t="shared" si="38"/>
        <v>0</v>
      </c>
      <c r="H220" s="66" t="str">
        <f>IF(B$3,'Development Budget'!F52,"")</f>
        <v/>
      </c>
      <c r="I220" s="197" t="str">
        <f t="shared" si="35"/>
        <v/>
      </c>
      <c r="K220" s="19" t="str">
        <f>'Commercial Budget'!A52</f>
        <v>Permanent Financing</v>
      </c>
      <c r="L220" s="19"/>
      <c r="M220" s="19"/>
      <c r="N220" s="19"/>
      <c r="O220" s="517"/>
      <c r="P220" s="88"/>
    </row>
    <row r="221" spans="1:16">
      <c r="A221" t="str">
        <f>'Development Budget'!A53</f>
        <v>Power and Telecom Provider fees</v>
      </c>
      <c r="B221" s="66">
        <f>'Development Budget'!B53</f>
        <v>0</v>
      </c>
      <c r="C221" s="66">
        <f>'Development Budget'!C53</f>
        <v>0</v>
      </c>
      <c r="D221" s="66">
        <f>'Development Budget'!D53</f>
        <v>0</v>
      </c>
      <c r="E221" s="66">
        <f>'Development Budget'!E53</f>
        <v>0</v>
      </c>
      <c r="F221" s="787">
        <f t="shared" si="30"/>
        <v>0</v>
      </c>
      <c r="G221" s="66">
        <f t="shared" si="38"/>
        <v>0</v>
      </c>
      <c r="H221" s="66" t="str">
        <f>IF(B$3,'Development Budget'!F53,"")</f>
        <v/>
      </c>
      <c r="I221" s="197" t="str">
        <f t="shared" si="35"/>
        <v/>
      </c>
      <c r="K221" t="str">
        <f>'Commercial Budget'!A53</f>
        <v>Bond Premium</v>
      </c>
      <c r="L221" s="66">
        <f>'Commercial Budget'!B53</f>
        <v>0</v>
      </c>
      <c r="M221" s="66">
        <f>'Commercial Budget'!C53</f>
        <v>0</v>
      </c>
      <c r="N221" s="66">
        <f t="shared" ref="N221:N233" si="39">IF($B$2,"",M221-L221)</f>
        <v>0</v>
      </c>
      <c r="O221" s="517"/>
      <c r="P221" s="88"/>
    </row>
    <row r="222" spans="1:16">
      <c r="A222" t="str">
        <f>'Development Budget'!A54</f>
        <v>3rd Party/Bank Inspections/Admin</v>
      </c>
      <c r="B222" s="66">
        <f>'Development Budget'!B54</f>
        <v>0</v>
      </c>
      <c r="C222" s="66">
        <f>'Development Budget'!C54</f>
        <v>0</v>
      </c>
      <c r="D222" s="66">
        <f>'Development Budget'!D54</f>
        <v>0</v>
      </c>
      <c r="E222" s="66">
        <f>'Development Budget'!E54</f>
        <v>0</v>
      </c>
      <c r="F222" s="787">
        <f t="shared" si="30"/>
        <v>0</v>
      </c>
      <c r="G222" s="66">
        <f t="shared" si="38"/>
        <v>0</v>
      </c>
      <c r="H222" s="66" t="str">
        <f>IF(B$3,'Development Budget'!F54,"")</f>
        <v/>
      </c>
      <c r="I222" s="197" t="str">
        <f t="shared" si="35"/>
        <v/>
      </c>
      <c r="K222" t="str">
        <f>'Commercial Budget'!A54</f>
        <v>Bond Issue 30-day lag reserve</v>
      </c>
      <c r="L222" s="66">
        <f>'Commercial Budget'!B54</f>
        <v>0</v>
      </c>
      <c r="M222" s="66">
        <f>'Commercial Budget'!C54</f>
        <v>0</v>
      </c>
      <c r="N222" s="66">
        <f t="shared" si="39"/>
        <v>0</v>
      </c>
      <c r="O222" s="517"/>
      <c r="P222" s="88"/>
    </row>
    <row r="223" spans="1:16">
      <c r="A223" t="str">
        <f>'Development Budget'!A55</f>
        <v>Title &amp; Recording</v>
      </c>
      <c r="B223" s="66">
        <f>'Development Budget'!B55</f>
        <v>0</v>
      </c>
      <c r="C223" s="66">
        <f>'Development Budget'!C55</f>
        <v>0</v>
      </c>
      <c r="D223" s="66">
        <f>'Development Budget'!D55</f>
        <v>0</v>
      </c>
      <c r="E223" s="66">
        <f>'Development Budget'!E55</f>
        <v>0</v>
      </c>
      <c r="F223" s="787">
        <f t="shared" si="30"/>
        <v>0</v>
      </c>
      <c r="G223" s="66">
        <f t="shared" si="38"/>
        <v>0</v>
      </c>
      <c r="H223" s="66" t="str">
        <f>IF(B$3,'Development Budget'!F55,"")</f>
        <v/>
      </c>
      <c r="I223" s="197" t="str">
        <f t="shared" si="35"/>
        <v/>
      </c>
      <c r="K223" t="str">
        <f>'Commercial Budget'!A55</f>
        <v>Discount Points</v>
      </c>
      <c r="L223" s="66">
        <f>'Commercial Budget'!B55</f>
        <v>0</v>
      </c>
      <c r="M223" s="66">
        <f>'Commercial Budget'!C55</f>
        <v>0</v>
      </c>
      <c r="N223" s="66">
        <f t="shared" si="39"/>
        <v>0</v>
      </c>
      <c r="O223" s="517"/>
      <c r="P223" s="88"/>
    </row>
    <row r="224" spans="1:16">
      <c r="A224" t="str">
        <f>'Development Budget'!A56</f>
        <v>Construction Lender Legal Fees</v>
      </c>
      <c r="B224" s="66">
        <f>'Development Budget'!B56</f>
        <v>0</v>
      </c>
      <c r="C224" s="66">
        <f>'Development Budget'!C56</f>
        <v>0</v>
      </c>
      <c r="D224" s="66">
        <f>'Development Budget'!D56</f>
        <v>0</v>
      </c>
      <c r="E224" s="66">
        <f>'Development Budget'!E56</f>
        <v>0</v>
      </c>
      <c r="F224" s="787">
        <f t="shared" si="30"/>
        <v>0</v>
      </c>
      <c r="G224" s="66">
        <f t="shared" si="38"/>
        <v>0</v>
      </c>
      <c r="H224" s="66" t="str">
        <f>IF(B$3,'Development Budget'!F56,"")</f>
        <v/>
      </c>
      <c r="I224" s="197" t="str">
        <f t="shared" si="35"/>
        <v/>
      </c>
      <c r="K224" t="str">
        <f>'Commercial Budget'!A56</f>
        <v>Perm Loan Origination</v>
      </c>
      <c r="L224" s="66">
        <f>'Commercial Budget'!B56</f>
        <v>0</v>
      </c>
      <c r="M224" s="66">
        <f>'Commercial Budget'!C56</f>
        <v>0</v>
      </c>
      <c r="N224" s="66">
        <f t="shared" si="39"/>
        <v>0</v>
      </c>
      <c r="O224" s="517"/>
      <c r="P224" s="88"/>
    </row>
    <row r="225" spans="1:16">
      <c r="A225" t="str">
        <f>'Development Budget'!A57</f>
        <v>Prop. Taxes During Construction</v>
      </c>
      <c r="B225" s="66">
        <f>'Development Budget'!B57</f>
        <v>0</v>
      </c>
      <c r="C225" s="66">
        <f>'Development Budget'!C57</f>
        <v>0</v>
      </c>
      <c r="D225" s="66">
        <f>'Development Budget'!D57</f>
        <v>0</v>
      </c>
      <c r="E225" s="66">
        <f>'Development Budget'!E57</f>
        <v>0</v>
      </c>
      <c r="F225" s="787">
        <f t="shared" si="30"/>
        <v>0</v>
      </c>
      <c r="G225" s="66">
        <f t="shared" si="38"/>
        <v>0</v>
      </c>
      <c r="H225" s="66" t="str">
        <f>IF(B$3,'Development Budget'!F57,"")</f>
        <v/>
      </c>
      <c r="I225" s="197" t="str">
        <f t="shared" si="35"/>
        <v/>
      </c>
      <c r="K225" t="str">
        <f>'Commercial Budget'!A57</f>
        <v>Credit Enhancement</v>
      </c>
      <c r="L225" s="66">
        <f>'Commercial Budget'!B57</f>
        <v>0</v>
      </c>
      <c r="M225" s="66">
        <f>'Commercial Budget'!C57</f>
        <v>0</v>
      </c>
      <c r="N225" s="66">
        <f t="shared" si="39"/>
        <v>0</v>
      </c>
      <c r="O225" s="517"/>
      <c r="P225" s="88"/>
    </row>
    <row r="226" spans="1:16">
      <c r="A226" t="str">
        <f>'Development Budget'!A58</f>
        <v>Bridge Loan</v>
      </c>
      <c r="B226" s="66">
        <f>'Development Budget'!B58</f>
        <v>0</v>
      </c>
      <c r="C226" s="66">
        <f>'Development Budget'!C58</f>
        <v>0</v>
      </c>
      <c r="D226" s="66">
        <f>'Development Budget'!D58</f>
        <v>0</v>
      </c>
      <c r="E226" s="66">
        <f>'Development Budget'!E58</f>
        <v>0</v>
      </c>
      <c r="F226" s="787">
        <f t="shared" si="30"/>
        <v>0</v>
      </c>
      <c r="G226" s="66">
        <f>'Development Budget'!G58</f>
        <v>0</v>
      </c>
      <c r="H226" s="66" t="str">
        <f>IF(B$3,'Development Budget'!F58,"")</f>
        <v/>
      </c>
      <c r="I226" s="197" t="str">
        <f t="shared" si="35"/>
        <v/>
      </c>
      <c r="K226" t="str">
        <f>'Commercial Budget'!A58</f>
        <v>Title &amp; Recording</v>
      </c>
      <c r="L226" s="66">
        <f>'Commercial Budget'!B58</f>
        <v>0</v>
      </c>
      <c r="M226" s="66">
        <f>'Commercial Budget'!C58</f>
        <v>0</v>
      </c>
      <c r="N226" s="66">
        <f t="shared" si="39"/>
        <v>0</v>
      </c>
      <c r="O226" s="517"/>
      <c r="P226" s="88"/>
    </row>
    <row r="227" spans="1:16">
      <c r="A227" t="s">
        <v>447</v>
      </c>
      <c r="B227" s="66">
        <f>'Development Budget'!B59</f>
        <v>0</v>
      </c>
      <c r="C227" s="66">
        <f>'Development Budget'!C59</f>
        <v>0</v>
      </c>
      <c r="D227" s="66">
        <f>'Development Budget'!D59</f>
        <v>0</v>
      </c>
      <c r="E227" s="66">
        <f>'Development Budget'!E59</f>
        <v>0</v>
      </c>
      <c r="F227" s="787">
        <f t="shared" si="30"/>
        <v>0</v>
      </c>
      <c r="G227" s="66">
        <f>'Development Budget'!G59</f>
        <v>0</v>
      </c>
      <c r="H227" s="66"/>
      <c r="I227" s="197"/>
      <c r="L227" s="66"/>
      <c r="M227" s="66"/>
      <c r="N227" s="66"/>
      <c r="O227" s="517"/>
      <c r="P227" s="88"/>
    </row>
    <row r="228" spans="1:16">
      <c r="A228" t="str">
        <f>'Development Budget'!A60</f>
        <v>Other (Specify)</v>
      </c>
      <c r="B228" s="66">
        <f>'Development Budget'!B60</f>
        <v>0</v>
      </c>
      <c r="C228" s="66">
        <f>'Development Budget'!C60</f>
        <v>0</v>
      </c>
      <c r="D228" s="66">
        <f>'Development Budget'!D60</f>
        <v>0</v>
      </c>
      <c r="E228" s="66">
        <f>'Development Budget'!E60</f>
        <v>0</v>
      </c>
      <c r="F228" s="787">
        <f t="shared" si="30"/>
        <v>0</v>
      </c>
      <c r="G228" s="66">
        <f t="shared" si="38"/>
        <v>0</v>
      </c>
      <c r="H228" s="66" t="str">
        <f>IF(B$3,'Development Budget'!F60,"")</f>
        <v/>
      </c>
      <c r="I228" s="197" t="str">
        <f t="shared" ref="I228:I259" si="40">IF(B$3,H228/$B$292,"")</f>
        <v/>
      </c>
      <c r="K228" t="str">
        <f>'Commercial Budget'!A59</f>
        <v>Legal Fees</v>
      </c>
      <c r="L228" s="66">
        <f>'Commercial Budget'!B59</f>
        <v>0</v>
      </c>
      <c r="M228" s="66">
        <f>'Commercial Budget'!C59</f>
        <v>0</v>
      </c>
      <c r="N228" s="66">
        <f t="shared" si="39"/>
        <v>0</v>
      </c>
      <c r="O228" s="517"/>
      <c r="P228" s="88"/>
    </row>
    <row r="229" spans="1:16">
      <c r="A229" t="str">
        <f>'Development Budget'!A61</f>
        <v>Other (Specify)</v>
      </c>
      <c r="B229" s="66">
        <f>'Development Budget'!B61</f>
        <v>0</v>
      </c>
      <c r="C229" s="66">
        <f>'Development Budget'!C61</f>
        <v>0</v>
      </c>
      <c r="D229" s="66">
        <f>'Development Budget'!D61</f>
        <v>0</v>
      </c>
      <c r="E229" s="66">
        <f>'Development Budget'!E61</f>
        <v>0</v>
      </c>
      <c r="F229" s="787">
        <f t="shared" si="30"/>
        <v>0</v>
      </c>
      <c r="G229" s="66">
        <f t="shared" si="38"/>
        <v>0</v>
      </c>
      <c r="H229" s="66" t="str">
        <f>IF(B$3,'Development Budget'!F61,"")</f>
        <v/>
      </c>
      <c r="I229" s="197" t="str">
        <f t="shared" si="40"/>
        <v/>
      </c>
      <c r="K229" t="str">
        <f>'Commercial Budget'!A60</f>
        <v>Prepaid MIP</v>
      </c>
      <c r="L229" s="66">
        <f>'Commercial Budget'!B60</f>
        <v>0</v>
      </c>
      <c r="M229" s="66">
        <f>'Commercial Budget'!C60</f>
        <v>0</v>
      </c>
      <c r="N229" s="66">
        <f t="shared" si="39"/>
        <v>0</v>
      </c>
      <c r="O229" s="517"/>
      <c r="P229" s="88"/>
    </row>
    <row r="230" spans="1:16">
      <c r="A230" t="str">
        <f>'Development Budget'!A62</f>
        <v>Other (Specify)</v>
      </c>
      <c r="B230" s="66">
        <f>'Development Budget'!B62</f>
        <v>0</v>
      </c>
      <c r="C230" s="66">
        <f>'Development Budget'!C62</f>
        <v>0</v>
      </c>
      <c r="D230" s="66">
        <f>'Development Budget'!D62</f>
        <v>0</v>
      </c>
      <c r="E230" s="66">
        <f>'Development Budget'!E62</f>
        <v>0</v>
      </c>
      <c r="F230" s="787">
        <f t="shared" si="30"/>
        <v>0</v>
      </c>
      <c r="G230" s="66">
        <f t="shared" si="38"/>
        <v>0</v>
      </c>
      <c r="H230" s="66" t="str">
        <f>IF(B$3,'Development Budget'!F62,"")</f>
        <v/>
      </c>
      <c r="I230" s="197" t="str">
        <f t="shared" si="40"/>
        <v/>
      </c>
      <c r="K230" t="str">
        <f>'Commercial Budget'!A61</f>
        <v>Other (Specify)</v>
      </c>
      <c r="L230" s="66">
        <f>'Commercial Budget'!B61</f>
        <v>0</v>
      </c>
      <c r="M230" s="66">
        <f>'Commercial Budget'!C61</f>
        <v>0</v>
      </c>
      <c r="N230" s="66">
        <f t="shared" si="39"/>
        <v>0</v>
      </c>
      <c r="O230" s="517"/>
      <c r="P230" s="88"/>
    </row>
    <row r="231" spans="1:16">
      <c r="A231" s="1"/>
      <c r="B231" s="199">
        <f>SUM(B213:B230)</f>
        <v>0</v>
      </c>
      <c r="C231" s="199">
        <f>SUM(C213:C230)</f>
        <v>0</v>
      </c>
      <c r="D231" s="199">
        <f>SUM(D213:D230)</f>
        <v>0</v>
      </c>
      <c r="E231" s="199">
        <f>SUM(E213:E230)</f>
        <v>0</v>
      </c>
      <c r="F231" s="787"/>
      <c r="G231" s="199">
        <f t="shared" si="38"/>
        <v>0</v>
      </c>
      <c r="H231" s="199" t="str">
        <f>IF(B$3,'Development Budget'!F63,"")</f>
        <v/>
      </c>
      <c r="I231" s="197" t="str">
        <f t="shared" si="40"/>
        <v/>
      </c>
      <c r="K231" t="str">
        <f>'Commercial Budget'!A62</f>
        <v>Other (Specify)</v>
      </c>
      <c r="L231" s="66">
        <f>'Commercial Budget'!B62</f>
        <v>0</v>
      </c>
      <c r="M231" s="66">
        <f>'Commercial Budget'!C62</f>
        <v>0</v>
      </c>
      <c r="N231" s="66">
        <f t="shared" si="39"/>
        <v>0</v>
      </c>
      <c r="O231" s="517"/>
      <c r="P231" s="88"/>
    </row>
    <row r="232" spans="1:16">
      <c r="A232" s="19" t="s">
        <v>448</v>
      </c>
      <c r="B232" s="19"/>
      <c r="C232" s="19"/>
      <c r="D232" s="19"/>
      <c r="E232" s="19"/>
      <c r="F232" s="19"/>
      <c r="G232" s="19"/>
      <c r="H232" s="19"/>
      <c r="I232" s="19" t="str">
        <f t="shared" si="40"/>
        <v/>
      </c>
      <c r="K232" t="str">
        <f>'Commercial Budget'!A63</f>
        <v>Other (Specify)</v>
      </c>
      <c r="L232" s="66">
        <f>'Commercial Budget'!B63</f>
        <v>0</v>
      </c>
      <c r="M232" s="66">
        <f>'Commercial Budget'!C63</f>
        <v>0</v>
      </c>
      <c r="N232" s="66">
        <f t="shared" si="39"/>
        <v>0</v>
      </c>
      <c r="O232" s="517"/>
      <c r="P232" s="88"/>
    </row>
    <row r="233" spans="1:16">
      <c r="A233" t="str">
        <f>'Development Budget'!A65</f>
        <v>Bond Premium</v>
      </c>
      <c r="B233" s="66">
        <f>'Development Budget'!B65</f>
        <v>0</v>
      </c>
      <c r="E233" s="66">
        <f>'Development Budget'!E65</f>
        <v>0</v>
      </c>
      <c r="F233" s="787">
        <f t="shared" si="30"/>
        <v>0</v>
      </c>
      <c r="G233" s="66">
        <f>B233-E233</f>
        <v>0</v>
      </c>
      <c r="H233" s="66" t="str">
        <f>IF(B$3,'Development Budget'!F65,"")</f>
        <v/>
      </c>
      <c r="I233" s="197" t="str">
        <f t="shared" si="40"/>
        <v/>
      </c>
      <c r="L233" s="199">
        <f>'Commercial Budget'!B64</f>
        <v>0</v>
      </c>
      <c r="M233" s="199">
        <f>'Commercial Budget'!C64</f>
        <v>0</v>
      </c>
      <c r="N233" s="66">
        <f t="shared" si="39"/>
        <v>0</v>
      </c>
      <c r="O233" s="517"/>
      <c r="P233" s="88"/>
    </row>
    <row r="234" spans="1:16">
      <c r="A234" t="str">
        <f>'Development Budget'!A66</f>
        <v>Bond Issue 30-day lag reserve</v>
      </c>
      <c r="B234" s="66">
        <f>'Development Budget'!B66</f>
        <v>0</v>
      </c>
      <c r="E234" s="66">
        <f>'Development Budget'!E66</f>
        <v>0</v>
      </c>
      <c r="F234" s="787">
        <f t="shared" si="30"/>
        <v>0</v>
      </c>
      <c r="G234" s="66">
        <f t="shared" ref="G234:G247" si="41">B234-E234</f>
        <v>0</v>
      </c>
      <c r="H234" s="66" t="str">
        <f>IF(B$3,'Development Budget'!F66,"")</f>
        <v/>
      </c>
      <c r="I234" s="197" t="str">
        <f t="shared" si="40"/>
        <v/>
      </c>
      <c r="J234" s="74"/>
      <c r="K234" s="19" t="str">
        <f>'Commercial Budget'!A65</f>
        <v>Soft Costs</v>
      </c>
      <c r="L234" s="19"/>
      <c r="M234" s="19"/>
      <c r="N234" s="19"/>
      <c r="O234" s="517"/>
      <c r="P234" s="88"/>
    </row>
    <row r="235" spans="1:16">
      <c r="A235" t="str">
        <f>'Development Budget'!A67</f>
        <v>Bond Cost of Issuance</v>
      </c>
      <c r="B235" s="66">
        <f>'Development Budget'!B67</f>
        <v>0</v>
      </c>
      <c r="E235" s="66">
        <f>'Development Budget'!E67</f>
        <v>0</v>
      </c>
      <c r="F235" s="787">
        <f t="shared" si="30"/>
        <v>0</v>
      </c>
      <c r="G235" s="66">
        <f t="shared" si="41"/>
        <v>0</v>
      </c>
      <c r="H235" s="66" t="str">
        <f>IF(B$3,'Development Budget'!F67,"")</f>
        <v/>
      </c>
      <c r="I235" s="197" t="str">
        <f t="shared" si="40"/>
        <v/>
      </c>
      <c r="J235" s="105"/>
      <c r="K235" t="str">
        <f>'Commercial Budget'!A66</f>
        <v>Feasibility Study</v>
      </c>
      <c r="L235" s="66">
        <f>'Commercial Budget'!B66</f>
        <v>0</v>
      </c>
      <c r="M235" s="66">
        <f>'Commercial Budget'!C66</f>
        <v>0</v>
      </c>
      <c r="N235" s="66">
        <f t="shared" ref="N235:N245" si="42">IF($B$2,"",M235-L235)</f>
        <v>0</v>
      </c>
      <c r="O235" s="517"/>
      <c r="P235" s="88"/>
    </row>
    <row r="236" spans="1:16">
      <c r="A236" t="str">
        <f>'Development Budget'!A68</f>
        <v>Discount Points</v>
      </c>
      <c r="B236" s="66">
        <f>'Development Budget'!B68</f>
        <v>0</v>
      </c>
      <c r="E236" s="66">
        <f>'Development Budget'!E68</f>
        <v>0</v>
      </c>
      <c r="F236" s="787">
        <f t="shared" si="30"/>
        <v>0</v>
      </c>
      <c r="G236" s="66">
        <f t="shared" si="41"/>
        <v>0</v>
      </c>
      <c r="H236" s="66" t="str">
        <f>IF(B$3,'Development Budget'!F68,"")</f>
        <v/>
      </c>
      <c r="I236" s="197" t="str">
        <f t="shared" si="40"/>
        <v/>
      </c>
      <c r="J236" s="105"/>
      <c r="K236" t="str">
        <f>'Commercial Budget'!A67</f>
        <v>Market Study</v>
      </c>
      <c r="L236" s="66">
        <f>'Commercial Budget'!B67</f>
        <v>0</v>
      </c>
      <c r="M236" s="66">
        <f>'Commercial Budget'!C67</f>
        <v>0</v>
      </c>
      <c r="N236" s="66">
        <f t="shared" si="42"/>
        <v>0</v>
      </c>
      <c r="O236" s="517"/>
      <c r="P236" s="88"/>
    </row>
    <row r="237" spans="1:16">
      <c r="A237" t="str">
        <f>'Development Budget'!A69</f>
        <v>Perm Loan Origination</v>
      </c>
      <c r="B237" s="66">
        <f>'Development Budget'!B69</f>
        <v>0</v>
      </c>
      <c r="E237" s="66">
        <f>'Development Budget'!E69</f>
        <v>0</v>
      </c>
      <c r="F237" s="787">
        <f t="shared" si="30"/>
        <v>0</v>
      </c>
      <c r="G237" s="66">
        <f t="shared" si="41"/>
        <v>0</v>
      </c>
      <c r="H237" s="66" t="str">
        <f>IF(B$3,'Development Budget'!F69,"")</f>
        <v/>
      </c>
      <c r="I237" s="197" t="str">
        <f t="shared" si="40"/>
        <v/>
      </c>
      <c r="J237" s="105"/>
      <c r="K237" t="str">
        <f>'Commercial Budget'!A68</f>
        <v>Environmental Study</v>
      </c>
      <c r="L237" s="66">
        <f>'Commercial Budget'!B68</f>
        <v>0</v>
      </c>
      <c r="M237" s="66">
        <f>'Commercial Budget'!C68</f>
        <v>0</v>
      </c>
      <c r="N237" s="66">
        <f t="shared" si="42"/>
        <v>0</v>
      </c>
      <c r="O237" s="517"/>
      <c r="P237" s="88"/>
    </row>
    <row r="238" spans="1:16">
      <c r="A238" t="str">
        <f>'Development Budget'!A70</f>
        <v>Credit Enhancement</v>
      </c>
      <c r="B238" s="66">
        <f>'Development Budget'!B70</f>
        <v>0</v>
      </c>
      <c r="E238" s="66">
        <f>'Development Budget'!E70</f>
        <v>0</v>
      </c>
      <c r="F238" s="787">
        <f t="shared" si="30"/>
        <v>0</v>
      </c>
      <c r="G238" s="66">
        <f t="shared" si="41"/>
        <v>0</v>
      </c>
      <c r="H238" s="66" t="str">
        <f>IF(B$3,'Development Budget'!F70,"")</f>
        <v/>
      </c>
      <c r="I238" s="197" t="str">
        <f t="shared" si="40"/>
        <v/>
      </c>
      <c r="J238" s="88"/>
      <c r="K238" t="str">
        <f>'Commercial Budget'!A69</f>
        <v>Tax Credit Fees</v>
      </c>
      <c r="L238" s="66">
        <f>'Commercial Budget'!B69</f>
        <v>0</v>
      </c>
      <c r="M238" s="66">
        <f>'Commercial Budget'!C69</f>
        <v>0</v>
      </c>
      <c r="N238" s="66">
        <f t="shared" si="42"/>
        <v>0</v>
      </c>
      <c r="O238" s="517"/>
      <c r="P238" s="88"/>
    </row>
    <row r="239" spans="1:16">
      <c r="A239" t="str">
        <f>'Development Budget'!A71</f>
        <v>Title &amp; Recording</v>
      </c>
      <c r="B239" s="66">
        <f>'Development Budget'!B71</f>
        <v>0</v>
      </c>
      <c r="E239" s="66">
        <f>'Development Budget'!E71</f>
        <v>0</v>
      </c>
      <c r="F239" s="787">
        <f t="shared" si="30"/>
        <v>0</v>
      </c>
      <c r="G239" s="66">
        <f t="shared" si="41"/>
        <v>0</v>
      </c>
      <c r="H239" s="66" t="str">
        <f>IF(B$3,'Development Budget'!F71,"")</f>
        <v/>
      </c>
      <c r="I239" s="197" t="str">
        <f t="shared" si="40"/>
        <v/>
      </c>
      <c r="J239" s="88"/>
      <c r="K239" t="str">
        <f>'Commercial Budget'!A70</f>
        <v>Compliance Fees</v>
      </c>
      <c r="L239" s="66">
        <f>'Commercial Budget'!B70</f>
        <v>0</v>
      </c>
      <c r="M239" s="66">
        <f>'Commercial Budget'!C70</f>
        <v>0</v>
      </c>
      <c r="N239" s="66">
        <f t="shared" si="42"/>
        <v>0</v>
      </c>
      <c r="O239" s="517"/>
      <c r="P239" s="88"/>
    </row>
    <row r="240" spans="1:16">
      <c r="A240" t="str">
        <f>'Development Budget'!A72</f>
        <v>Legal Fees</v>
      </c>
      <c r="B240" s="66">
        <f>'Development Budget'!B72</f>
        <v>0</v>
      </c>
      <c r="E240" s="66">
        <f>'Development Budget'!E72</f>
        <v>0</v>
      </c>
      <c r="F240" s="787">
        <f t="shared" si="30"/>
        <v>0</v>
      </c>
      <c r="G240" s="66">
        <f t="shared" si="41"/>
        <v>0</v>
      </c>
      <c r="H240" s="66" t="str">
        <f>IF(B$3,'Development Budget'!F72,"")</f>
        <v/>
      </c>
      <c r="I240" s="197" t="str">
        <f t="shared" si="40"/>
        <v/>
      </c>
      <c r="J240" s="88"/>
      <c r="K240" t="str">
        <f>'Commercial Budget'!A71</f>
        <v>Appraisal</v>
      </c>
      <c r="L240" s="66">
        <f>'Commercial Budget'!B71</f>
        <v>0</v>
      </c>
      <c r="M240" s="66">
        <f>'Commercial Budget'!C71</f>
        <v>0</v>
      </c>
      <c r="N240" s="66">
        <f t="shared" si="42"/>
        <v>0</v>
      </c>
      <c r="O240" s="517"/>
      <c r="P240" s="88"/>
    </row>
    <row r="241" spans="1:16">
      <c r="A241" t="str">
        <f>'Development Budget'!A73</f>
        <v>Prepaid MIP</v>
      </c>
      <c r="B241" s="66">
        <f>'Development Budget'!B73</f>
        <v>0</v>
      </c>
      <c r="E241" s="66">
        <f>'Development Budget'!E73</f>
        <v>0</v>
      </c>
      <c r="F241" s="787">
        <f t="shared" si="30"/>
        <v>0</v>
      </c>
      <c r="G241" s="66">
        <f t="shared" si="41"/>
        <v>0</v>
      </c>
      <c r="H241" s="66" t="str">
        <f>IF(B$3,'Development Budget'!F73,"")</f>
        <v/>
      </c>
      <c r="I241" s="197" t="str">
        <f t="shared" si="40"/>
        <v/>
      </c>
      <c r="J241" s="88"/>
      <c r="K241" t="str">
        <f>'Commercial Budget'!A72</f>
        <v>Cost Certification</v>
      </c>
      <c r="L241" s="66">
        <f>'Commercial Budget'!B72</f>
        <v>0</v>
      </c>
      <c r="M241" s="66">
        <f>'Commercial Budget'!C72</f>
        <v>0</v>
      </c>
      <c r="N241" s="66">
        <f t="shared" si="42"/>
        <v>0</v>
      </c>
      <c r="O241" s="517"/>
      <c r="P241" s="88"/>
    </row>
    <row r="242" spans="1:16">
      <c r="A242" t="str">
        <f>'Development Budget'!A74</f>
        <v>Forward Rate Lock</v>
      </c>
      <c r="B242" s="66">
        <f>'Development Budget'!B74</f>
        <v>0</v>
      </c>
      <c r="E242" s="66">
        <f>'Development Budget'!E74</f>
        <v>0</v>
      </c>
      <c r="F242" s="787">
        <f t="shared" si="30"/>
        <v>0</v>
      </c>
      <c r="G242" s="66">
        <f t="shared" si="41"/>
        <v>0</v>
      </c>
      <c r="H242" s="66" t="str">
        <f>IF(B$3,'Development Budget'!F74,"")</f>
        <v/>
      </c>
      <c r="I242" s="197" t="str">
        <f t="shared" si="40"/>
        <v/>
      </c>
      <c r="K242" t="str">
        <f>'Commercial Budget'!A73</f>
        <v>Other (Specify)</v>
      </c>
      <c r="L242" s="66">
        <f>'Commercial Budget'!B73</f>
        <v>0</v>
      </c>
      <c r="M242" s="66">
        <f>'Commercial Budget'!C73</f>
        <v>0</v>
      </c>
      <c r="N242" s="66">
        <f t="shared" si="42"/>
        <v>0</v>
      </c>
      <c r="O242" s="517"/>
      <c r="P242" s="88"/>
    </row>
    <row r="243" spans="1:16">
      <c r="A243" t="str">
        <f>'Development Budget'!A75</f>
        <v>Conversion Fee</v>
      </c>
      <c r="B243" s="66">
        <f>'Development Budget'!B75</f>
        <v>0</v>
      </c>
      <c r="E243" s="66">
        <f>'Development Budget'!E75</f>
        <v>0</v>
      </c>
      <c r="F243" s="787">
        <f t="shared" si="30"/>
        <v>0</v>
      </c>
      <c r="G243" s="66">
        <f t="shared" si="41"/>
        <v>0</v>
      </c>
      <c r="H243" s="66" t="str">
        <f>IF(B$3,'Development Budget'!F75,"")</f>
        <v/>
      </c>
      <c r="I243" s="197" t="str">
        <f t="shared" si="40"/>
        <v/>
      </c>
      <c r="K243" t="str">
        <f>'Commercial Budget'!A74</f>
        <v>Other (Specify)</v>
      </c>
      <c r="L243" s="66">
        <f>'Commercial Budget'!B74</f>
        <v>0</v>
      </c>
      <c r="M243" s="66">
        <f>'Commercial Budget'!C74</f>
        <v>0</v>
      </c>
      <c r="N243" s="66">
        <f t="shared" si="42"/>
        <v>0</v>
      </c>
      <c r="O243" s="517"/>
      <c r="P243" s="88"/>
    </row>
    <row r="244" spans="1:16">
      <c r="A244" t="str">
        <f>'Development Budget'!A76</f>
        <v>Other (Specify)</v>
      </c>
      <c r="B244" s="66">
        <f>'Development Budget'!B76</f>
        <v>0</v>
      </c>
      <c r="E244" s="66">
        <f>'Development Budget'!E76</f>
        <v>0</v>
      </c>
      <c r="F244" s="787">
        <f t="shared" si="30"/>
        <v>0</v>
      </c>
      <c r="G244" s="66">
        <f t="shared" si="41"/>
        <v>0</v>
      </c>
      <c r="H244" s="66" t="str">
        <f>IF(B$3,'Development Budget'!F76,"")</f>
        <v/>
      </c>
      <c r="I244" s="197" t="str">
        <f t="shared" si="40"/>
        <v/>
      </c>
      <c r="K244" t="str">
        <f>'Commercial Budget'!A75</f>
        <v>Other (Specify)</v>
      </c>
      <c r="L244" s="66">
        <f>'Commercial Budget'!B75</f>
        <v>0</v>
      </c>
      <c r="M244" s="66">
        <f>'Commercial Budget'!C75</f>
        <v>0</v>
      </c>
      <c r="N244" s="66">
        <f t="shared" si="42"/>
        <v>0</v>
      </c>
      <c r="O244" s="517"/>
      <c r="P244" s="88"/>
    </row>
    <row r="245" spans="1:16">
      <c r="A245" t="str">
        <f>'Development Budget'!A77</f>
        <v>Other (Specify)</v>
      </c>
      <c r="B245" s="66">
        <f>'Development Budget'!B77</f>
        <v>0</v>
      </c>
      <c r="E245" s="66">
        <f>'Development Budget'!E77</f>
        <v>0</v>
      </c>
      <c r="F245" s="787">
        <f t="shared" ref="F245:F290" si="43">IF(OR(E245=0,B245=0),0,G245/B245)</f>
        <v>0</v>
      </c>
      <c r="G245" s="66">
        <f t="shared" si="41"/>
        <v>0</v>
      </c>
      <c r="H245" s="66" t="str">
        <f>IF(B$3,'Development Budget'!F77,"")</f>
        <v/>
      </c>
      <c r="I245" s="197" t="str">
        <f t="shared" si="40"/>
        <v/>
      </c>
      <c r="L245" s="199">
        <f>'Commercial Budget'!B76</f>
        <v>0</v>
      </c>
      <c r="M245" s="199">
        <f>'Commercial Budget'!C76</f>
        <v>0</v>
      </c>
      <c r="N245" s="66">
        <f t="shared" si="42"/>
        <v>0</v>
      </c>
      <c r="O245" s="517"/>
      <c r="P245" s="88"/>
    </row>
    <row r="246" spans="1:16">
      <c r="A246" t="str">
        <f>'Development Budget'!A78</f>
        <v>Other (Specify)</v>
      </c>
      <c r="B246" s="66">
        <f>'Development Budget'!B78</f>
        <v>0</v>
      </c>
      <c r="E246" s="66">
        <f>'Development Budget'!E78</f>
        <v>0</v>
      </c>
      <c r="F246" s="787">
        <f t="shared" si="43"/>
        <v>0</v>
      </c>
      <c r="G246" s="66">
        <f t="shared" si="41"/>
        <v>0</v>
      </c>
      <c r="H246" s="66" t="str">
        <f>IF(B$3,'Development Budget'!F78,"")</f>
        <v/>
      </c>
      <c r="I246" s="197" t="str">
        <f t="shared" si="40"/>
        <v/>
      </c>
      <c r="K246" s="19" t="str">
        <f>'Commercial Budget'!A77</f>
        <v>Syndication Costs</v>
      </c>
      <c r="L246" s="19"/>
      <c r="M246" s="19"/>
      <c r="N246" s="19"/>
      <c r="O246" s="517"/>
      <c r="P246" s="88"/>
    </row>
    <row r="247" spans="1:16">
      <c r="A247" s="1"/>
      <c r="B247" s="199">
        <f>SUM(B233:B246)</f>
        <v>0</v>
      </c>
      <c r="C247" s="199"/>
      <c r="D247" s="199"/>
      <c r="E247" s="199">
        <f>SUM(E233:E246)</f>
        <v>0</v>
      </c>
      <c r="F247" s="787"/>
      <c r="G247" s="199">
        <f t="shared" si="41"/>
        <v>0</v>
      </c>
      <c r="H247" s="199" t="str">
        <f>IF(B$3,'Development Budget'!F79,"")</f>
        <v/>
      </c>
      <c r="I247" s="197" t="str">
        <f t="shared" si="40"/>
        <v/>
      </c>
      <c r="K247" t="str">
        <f>'Commercial Budget'!A78</f>
        <v>Organization Costs</v>
      </c>
      <c r="L247" s="66">
        <f>'Commercial Budget'!B78</f>
        <v>0</v>
      </c>
      <c r="M247" s="66">
        <f>'Commercial Budget'!C78</f>
        <v>0</v>
      </c>
      <c r="N247" s="66">
        <f t="shared" ref="N247:N253" si="44">IF($B$2,"",M247-L247)</f>
        <v>0</v>
      </c>
      <c r="O247" s="517"/>
      <c r="P247" s="88"/>
    </row>
    <row r="248" spans="1:16">
      <c r="A248" s="19" t="s">
        <v>459</v>
      </c>
      <c r="B248" s="19"/>
      <c r="C248" s="19"/>
      <c r="D248" s="19"/>
      <c r="E248" s="19"/>
      <c r="F248" s="19"/>
      <c r="G248" s="19"/>
      <c r="H248" s="19"/>
      <c r="I248" s="19" t="str">
        <f t="shared" si="40"/>
        <v/>
      </c>
      <c r="K248" t="str">
        <f>'Commercial Budget'!A79</f>
        <v>Bridge Loan</v>
      </c>
      <c r="L248" s="66">
        <f>'Commercial Budget'!B79</f>
        <v>0</v>
      </c>
      <c r="M248" s="66">
        <f>'Commercial Budget'!C79</f>
        <v>0</v>
      </c>
      <c r="N248" s="66">
        <f t="shared" si="44"/>
        <v>0</v>
      </c>
      <c r="O248" s="517"/>
      <c r="P248" s="88"/>
    </row>
    <row r="249" spans="1:16">
      <c r="A249" t="str">
        <f>'Development Budget'!A81</f>
        <v>Marketing/Leasing Costs</v>
      </c>
      <c r="B249" s="66">
        <f>'Development Budget'!B81</f>
        <v>0</v>
      </c>
      <c r="C249" s="66"/>
      <c r="D249" s="66"/>
      <c r="E249" s="66">
        <f>'Development Budget'!E81</f>
        <v>0</v>
      </c>
      <c r="F249" s="787">
        <f t="shared" si="43"/>
        <v>0</v>
      </c>
      <c r="G249" s="66">
        <f>B249-E249</f>
        <v>0</v>
      </c>
      <c r="H249" s="66" t="str">
        <f>IF(B$3,'Development Budget'!F81,"")</f>
        <v/>
      </c>
      <c r="I249" s="197" t="str">
        <f t="shared" si="40"/>
        <v/>
      </c>
      <c r="K249" t="str">
        <f>'Commercial Budget'!A80</f>
        <v>Tax Opinion</v>
      </c>
      <c r="L249" s="66">
        <f>'Commercial Budget'!B80</f>
        <v>0</v>
      </c>
      <c r="M249" s="66">
        <f>'Commercial Budget'!C80</f>
        <v>0</v>
      </c>
      <c r="N249" s="66">
        <f t="shared" si="44"/>
        <v>0</v>
      </c>
      <c r="O249" s="517"/>
      <c r="P249" s="88"/>
    </row>
    <row r="250" spans="1:16">
      <c r="A250" t="str">
        <f>'Development Budget'!A82</f>
        <v>Cost Estimating/Capital Needs Assessment</v>
      </c>
      <c r="B250" s="66">
        <f>'Development Budget'!B82</f>
        <v>0</v>
      </c>
      <c r="C250" s="66">
        <f>'Development Budget'!C82</f>
        <v>0</v>
      </c>
      <c r="D250" s="66">
        <f>'Development Budget'!D82</f>
        <v>0</v>
      </c>
      <c r="E250" s="66">
        <f>'Development Budget'!E82</f>
        <v>0</v>
      </c>
      <c r="F250" s="787">
        <f t="shared" si="43"/>
        <v>0</v>
      </c>
      <c r="G250" s="66">
        <f t="shared" ref="G250:G266" si="45">B250-E250</f>
        <v>0</v>
      </c>
      <c r="H250" s="66" t="str">
        <f>IF(B$3,'Development Budget'!F82,"")</f>
        <v/>
      </c>
      <c r="I250" s="197" t="str">
        <f t="shared" si="40"/>
        <v/>
      </c>
      <c r="K250" t="str">
        <f>'Commercial Budget'!A81</f>
        <v>Other (Specify)</v>
      </c>
      <c r="L250" s="66">
        <f>'Commercial Budget'!B81</f>
        <v>0</v>
      </c>
      <c r="M250" s="66">
        <f>'Commercial Budget'!C81</f>
        <v>0</v>
      </c>
      <c r="N250" s="66">
        <f t="shared" si="44"/>
        <v>0</v>
      </c>
      <c r="O250" s="517"/>
      <c r="P250" s="88"/>
    </row>
    <row r="251" spans="1:16">
      <c r="A251" t="str">
        <f>'Development Budget'!A83</f>
        <v>Geotechnical/Soils Study</v>
      </c>
      <c r="B251" s="66">
        <f>'Development Budget'!B83</f>
        <v>0</v>
      </c>
      <c r="C251" s="66">
        <f>'Development Budget'!C83</f>
        <v>0</v>
      </c>
      <c r="D251" s="66">
        <f>'Development Budget'!D83</f>
        <v>0</v>
      </c>
      <c r="E251" s="66">
        <f>'Development Budget'!E83</f>
        <v>0</v>
      </c>
      <c r="F251" s="787">
        <f t="shared" si="43"/>
        <v>0</v>
      </c>
      <c r="G251" s="66">
        <f t="shared" si="45"/>
        <v>0</v>
      </c>
      <c r="H251" s="66" t="str">
        <f>IF(B$3,'Development Budget'!F83,"")</f>
        <v/>
      </c>
      <c r="I251" s="197" t="str">
        <f t="shared" si="40"/>
        <v/>
      </c>
      <c r="K251" t="str">
        <f>'Commercial Budget'!A82</f>
        <v>Other (Specify)</v>
      </c>
      <c r="L251" s="66">
        <f>'Commercial Budget'!B82</f>
        <v>0</v>
      </c>
      <c r="M251" s="66">
        <f>'Commercial Budget'!C82</f>
        <v>0</v>
      </c>
      <c r="N251" s="66">
        <f t="shared" si="44"/>
        <v>0</v>
      </c>
      <c r="O251" s="517"/>
      <c r="P251" s="88"/>
    </row>
    <row r="252" spans="1:16">
      <c r="A252" t="str">
        <f>'Development Budget'!A84</f>
        <v>Appraisal</v>
      </c>
      <c r="B252" s="66">
        <f>'Development Budget'!B84</f>
        <v>0</v>
      </c>
      <c r="C252" s="66">
        <f>'Development Budget'!C84</f>
        <v>0</v>
      </c>
      <c r="D252" s="66">
        <f>'Development Budget'!D84</f>
        <v>0</v>
      </c>
      <c r="E252" s="66">
        <f>'Development Budget'!E84</f>
        <v>0</v>
      </c>
      <c r="F252" s="787">
        <f t="shared" si="43"/>
        <v>0</v>
      </c>
      <c r="G252" s="66">
        <f t="shared" si="45"/>
        <v>0</v>
      </c>
      <c r="H252" s="66" t="str">
        <f>IF(B$3,'Development Budget'!F84,"")</f>
        <v/>
      </c>
      <c r="I252" s="197" t="str">
        <f t="shared" si="40"/>
        <v/>
      </c>
      <c r="K252" t="str">
        <f>'Commercial Budget'!A83</f>
        <v>Other - Accounting</v>
      </c>
      <c r="L252" s="66">
        <f>'Commercial Budget'!B83</f>
        <v>0</v>
      </c>
      <c r="M252" s="66">
        <f>'Commercial Budget'!C83</f>
        <v>0</v>
      </c>
      <c r="N252" s="66">
        <f t="shared" si="44"/>
        <v>0</v>
      </c>
      <c r="O252" s="517"/>
      <c r="P252" s="88"/>
    </row>
    <row r="253" spans="1:16">
      <c r="A253" t="str">
        <f>'Development Budget'!A85</f>
        <v>Market Study</v>
      </c>
      <c r="B253" s="66">
        <f>'Development Budget'!B85</f>
        <v>0</v>
      </c>
      <c r="C253" s="66">
        <f>'Development Budget'!C85</f>
        <v>0</v>
      </c>
      <c r="D253" s="66">
        <f>'Development Budget'!D85</f>
        <v>0</v>
      </c>
      <c r="E253" s="66">
        <f>'Development Budget'!E85</f>
        <v>0</v>
      </c>
      <c r="F253" s="787">
        <f t="shared" si="43"/>
        <v>0</v>
      </c>
      <c r="G253" s="66">
        <f t="shared" si="45"/>
        <v>0</v>
      </c>
      <c r="H253" s="66" t="str">
        <f>IF(B$3,'Development Budget'!F85,"")</f>
        <v/>
      </c>
      <c r="I253" s="197" t="str">
        <f t="shared" si="40"/>
        <v/>
      </c>
      <c r="L253" s="199">
        <f>'Commercial Budget'!B84</f>
        <v>0</v>
      </c>
      <c r="M253" s="199">
        <f>'Commercial Budget'!C84</f>
        <v>0</v>
      </c>
      <c r="N253" s="66">
        <f t="shared" si="44"/>
        <v>0</v>
      </c>
      <c r="O253" s="517"/>
      <c r="P253" s="88"/>
    </row>
    <row r="254" spans="1:16">
      <c r="A254" t="str">
        <f>'Development Budget'!A86</f>
        <v>Environmental Study (Phase 1, Phase 2, Lead, Asbestos, etc.)</v>
      </c>
      <c r="B254" s="66">
        <f>'Development Budget'!B86</f>
        <v>0</v>
      </c>
      <c r="C254" s="66">
        <f>'Development Budget'!C86</f>
        <v>0</v>
      </c>
      <c r="D254" s="66">
        <f>'Development Budget'!D86</f>
        <v>0</v>
      </c>
      <c r="E254" s="66">
        <f>'Development Budget'!E86</f>
        <v>0</v>
      </c>
      <c r="F254" s="787">
        <f t="shared" si="43"/>
        <v>0</v>
      </c>
      <c r="G254" s="66">
        <f t="shared" si="45"/>
        <v>0</v>
      </c>
      <c r="H254" s="66" t="str">
        <f>IF(B$3,'Development Budget'!F86,"")</f>
        <v/>
      </c>
      <c r="I254" s="197" t="str">
        <f t="shared" si="40"/>
        <v/>
      </c>
      <c r="K254" s="19" t="str">
        <f>'Commercial Budget'!A85</f>
        <v>Developer Fees</v>
      </c>
      <c r="L254" s="19"/>
      <c r="M254" s="19"/>
      <c r="N254" s="19"/>
      <c r="O254" s="517"/>
      <c r="P254" s="88"/>
    </row>
    <row r="255" spans="1:16">
      <c r="A255" t="str">
        <f>'Development Budget'!A87</f>
        <v>Other Studies (traffic, wetlands, etc.)</v>
      </c>
      <c r="B255" s="66">
        <f>'Development Budget'!B87</f>
        <v>0</v>
      </c>
      <c r="C255" s="66">
        <f>'Development Budget'!C87</f>
        <v>0</v>
      </c>
      <c r="D255" s="66">
        <f>'Development Budget'!D87</f>
        <v>0</v>
      </c>
      <c r="E255" s="66">
        <f>'Development Budget'!E87</f>
        <v>0</v>
      </c>
      <c r="F255" s="787">
        <f t="shared" si="43"/>
        <v>0</v>
      </c>
      <c r="G255" s="66">
        <f t="shared" si="45"/>
        <v>0</v>
      </c>
      <c r="H255" s="66" t="str">
        <f>IF(B$3,'Development Budget'!F87,"")</f>
        <v/>
      </c>
      <c r="I255" s="197" t="str">
        <f t="shared" si="40"/>
        <v/>
      </c>
      <c r="K255" t="str">
        <f>'Commercial Budget'!A86</f>
        <v>Developer Fee</v>
      </c>
      <c r="L255" s="66">
        <f>'Commercial Budget'!B86</f>
        <v>0</v>
      </c>
      <c r="M255" s="66">
        <f>'Commercial Budget'!C86</f>
        <v>0</v>
      </c>
      <c r="N255" s="66">
        <f>IF($B$2,"",M255-L255)</f>
        <v>0</v>
      </c>
      <c r="O255" s="517"/>
      <c r="P255" s="88"/>
    </row>
    <row r="256" spans="1:16">
      <c r="A256" t="str">
        <f>'Development Budget'!A88</f>
        <v>Tax Credit Fees</v>
      </c>
      <c r="B256" s="66">
        <f>'Development Budget'!B88</f>
        <v>0</v>
      </c>
      <c r="C256" s="66"/>
      <c r="D256" s="66"/>
      <c r="E256" s="66">
        <f>'Development Budget'!E88</f>
        <v>0</v>
      </c>
      <c r="F256" s="787">
        <f t="shared" si="43"/>
        <v>0</v>
      </c>
      <c r="G256" s="66">
        <f t="shared" si="45"/>
        <v>0</v>
      </c>
      <c r="H256" s="66" t="str">
        <f>IF(B$3,'Development Budget'!F88,"")</f>
        <v/>
      </c>
      <c r="I256" s="197" t="str">
        <f t="shared" si="40"/>
        <v/>
      </c>
      <c r="K256" t="str">
        <f>'Commercial Budget'!A87</f>
        <v>Developer Overhead</v>
      </c>
      <c r="L256" s="66">
        <f>'Commercial Budget'!B87</f>
        <v>0</v>
      </c>
      <c r="M256" s="66">
        <f>'Commercial Budget'!C87</f>
        <v>0</v>
      </c>
      <c r="N256" s="66">
        <f>IF($B$2,"",M256-L256)</f>
        <v>0</v>
      </c>
      <c r="O256" s="517"/>
      <c r="P256" s="88"/>
    </row>
    <row r="257" spans="1:16">
      <c r="A257" t="str">
        <f>'Development Budget'!A89</f>
        <v>Compliance Fees</v>
      </c>
      <c r="B257" s="66">
        <f>'Development Budget'!B89</f>
        <v>0</v>
      </c>
      <c r="C257" s="66"/>
      <c r="D257" s="66"/>
      <c r="E257" s="66">
        <f>'Development Budget'!E89</f>
        <v>0</v>
      </c>
      <c r="F257" s="787">
        <f t="shared" si="43"/>
        <v>0</v>
      </c>
      <c r="G257" s="66">
        <f t="shared" si="45"/>
        <v>0</v>
      </c>
      <c r="H257" s="66" t="str">
        <f>IF(B$3,'Development Budget'!F89,"")</f>
        <v/>
      </c>
      <c r="I257" s="197" t="str">
        <f t="shared" si="40"/>
        <v/>
      </c>
      <c r="K257" t="str">
        <f>'Commercial Budget'!A88</f>
        <v>Developer Profit</v>
      </c>
      <c r="L257" s="66">
        <f>'Commercial Budget'!B88</f>
        <v>0</v>
      </c>
      <c r="M257" s="66">
        <f>'Commercial Budget'!C88</f>
        <v>0</v>
      </c>
      <c r="N257" s="66">
        <f>IF($B$2,"",M257-L257)</f>
        <v>0</v>
      </c>
      <c r="O257" s="517"/>
      <c r="P257" s="88"/>
    </row>
    <row r="258" spans="1:16">
      <c r="A258" t="str">
        <f>'Development Budget'!A90</f>
        <v>Cost Certification</v>
      </c>
      <c r="B258" s="66">
        <f>'Development Budget'!B90</f>
        <v>0</v>
      </c>
      <c r="C258" s="66">
        <f>'Development Budget'!C90</f>
        <v>0</v>
      </c>
      <c r="D258" s="66">
        <f>'Development Budget'!D90</f>
        <v>0</v>
      </c>
      <c r="E258" s="66">
        <f>'Development Budget'!E90</f>
        <v>0</v>
      </c>
      <c r="F258" s="787">
        <f t="shared" si="43"/>
        <v>0</v>
      </c>
      <c r="G258" s="66">
        <f t="shared" si="45"/>
        <v>0</v>
      </c>
      <c r="H258" s="66" t="str">
        <f>IF(B$3,'Development Budget'!F90,"")</f>
        <v/>
      </c>
      <c r="I258" s="197" t="str">
        <f t="shared" si="40"/>
        <v/>
      </c>
      <c r="K258" t="str">
        <f>'Commercial Budget'!A89</f>
        <v>Other (Specify)</v>
      </c>
      <c r="L258" s="66">
        <f>'Commercial Budget'!B89</f>
        <v>0</v>
      </c>
      <c r="M258" s="66">
        <f>'Commercial Budget'!C89</f>
        <v>0</v>
      </c>
      <c r="N258" s="66">
        <f>IF($B$2,"",M258-L258)</f>
        <v>0</v>
      </c>
      <c r="O258" s="517"/>
      <c r="P258" s="88"/>
    </row>
    <row r="259" spans="1:16">
      <c r="A259" t="str">
        <f>'Development Budget'!A91</f>
        <v>Green Certification Fees (LEED Certification, etc.)</v>
      </c>
      <c r="B259" s="66">
        <f>'Development Budget'!B91</f>
        <v>0</v>
      </c>
      <c r="C259" s="66">
        <f>'Development Budget'!C91</f>
        <v>0</v>
      </c>
      <c r="D259" s="66">
        <f>'Development Budget'!D91</f>
        <v>0</v>
      </c>
      <c r="E259" s="66">
        <f>'Development Budget'!E91</f>
        <v>0</v>
      </c>
      <c r="F259" s="787">
        <f t="shared" si="43"/>
        <v>0</v>
      </c>
      <c r="G259" s="66">
        <f t="shared" si="45"/>
        <v>0</v>
      </c>
      <c r="H259" s="66" t="str">
        <f>IF(B$3,'Development Budget'!F91,"")</f>
        <v/>
      </c>
      <c r="I259" s="197" t="str">
        <f t="shared" si="40"/>
        <v/>
      </c>
      <c r="L259" s="199">
        <f>'Commercial Budget'!B90</f>
        <v>0</v>
      </c>
      <c r="M259" s="199">
        <f>'Commercial Budget'!C90</f>
        <v>0</v>
      </c>
      <c r="N259" s="66">
        <f>IF($B$2,"",M259-L259)</f>
        <v>0</v>
      </c>
      <c r="O259" s="517"/>
      <c r="P259" s="88"/>
    </row>
    <row r="260" spans="1:16">
      <c r="A260" t="str">
        <f>'Development Budget'!A92</f>
        <v>Relocation - Temporary</v>
      </c>
      <c r="B260" s="66">
        <f>'Development Budget'!B92</f>
        <v>0</v>
      </c>
      <c r="C260" s="66">
        <f>'Development Budget'!C92</f>
        <v>0</v>
      </c>
      <c r="D260" s="66">
        <f>'Development Budget'!D92</f>
        <v>0</v>
      </c>
      <c r="E260" s="66">
        <f>'Development Budget'!E92</f>
        <v>0</v>
      </c>
      <c r="F260" s="787">
        <f t="shared" si="43"/>
        <v>0</v>
      </c>
      <c r="G260" s="66">
        <f t="shared" si="45"/>
        <v>0</v>
      </c>
      <c r="H260" s="66" t="str">
        <f>IF(B$3,'Development Budget'!F92,"")</f>
        <v/>
      </c>
      <c r="I260" s="197" t="str">
        <f t="shared" ref="I260:I278" si="46">IF(B$3,H260/$B$292,"")</f>
        <v/>
      </c>
      <c r="K260" s="19" t="str">
        <f>'Commercial Budget'!A91</f>
        <v>Project Reserves</v>
      </c>
      <c r="L260" s="19"/>
      <c r="M260" s="19"/>
      <c r="N260" s="19"/>
      <c r="O260" s="517"/>
      <c r="P260" s="88"/>
    </row>
    <row r="261" spans="1:16">
      <c r="A261" t="str">
        <f>'Development Budget'!A93</f>
        <v>Relocation - Permanent</v>
      </c>
      <c r="B261" s="66">
        <f>'Development Budget'!B93</f>
        <v>0</v>
      </c>
      <c r="C261" s="66">
        <f>'Development Budget'!C93</f>
        <v>0</v>
      </c>
      <c r="D261" s="66">
        <f>'Development Budget'!D93</f>
        <v>0</v>
      </c>
      <c r="E261" s="66">
        <f>'Development Budget'!E93</f>
        <v>0</v>
      </c>
      <c r="F261" s="787">
        <f t="shared" si="43"/>
        <v>0</v>
      </c>
      <c r="G261" s="66">
        <f t="shared" si="45"/>
        <v>0</v>
      </c>
      <c r="H261" s="66" t="str">
        <f>IF(B$3,'Development Budget'!F93,"")</f>
        <v/>
      </c>
      <c r="I261" s="197" t="str">
        <f t="shared" si="46"/>
        <v/>
      </c>
      <c r="K261" t="str">
        <f>'Commercial Budget'!A92</f>
        <v>Rent-up Reserves</v>
      </c>
      <c r="L261" s="66">
        <f>'Commercial Budget'!B92</f>
        <v>0</v>
      </c>
      <c r="M261" s="66">
        <f>'Commercial Budget'!C92</f>
        <v>0</v>
      </c>
      <c r="N261" s="66">
        <f t="shared" ref="N261:N267" si="47">IF($B$2,"",M261-L261)</f>
        <v>0</v>
      </c>
      <c r="O261" s="517"/>
      <c r="P261" s="88"/>
    </row>
    <row r="262" spans="1:16">
      <c r="A262" t="str">
        <f>'Development Budget'!A94</f>
        <v>Soft Cost Contingency</v>
      </c>
      <c r="B262" s="66">
        <f>'Development Budget'!B94</f>
        <v>0</v>
      </c>
      <c r="C262" s="66">
        <f>'Development Budget'!C94</f>
        <v>0</v>
      </c>
      <c r="D262" s="66">
        <f>'Development Budget'!D94</f>
        <v>0</v>
      </c>
      <c r="E262" s="66">
        <f>'Development Budget'!E94</f>
        <v>0</v>
      </c>
      <c r="F262" s="787">
        <f t="shared" si="43"/>
        <v>0</v>
      </c>
      <c r="G262" s="66">
        <f t="shared" si="45"/>
        <v>0</v>
      </c>
      <c r="H262" s="66" t="str">
        <f>IF(B$3,'Development Budget'!F94,"")</f>
        <v/>
      </c>
      <c r="I262" s="197" t="str">
        <f t="shared" si="46"/>
        <v/>
      </c>
      <c r="K262" t="str">
        <f>'Commercial Budget'!A93</f>
        <v>Operating Reserves</v>
      </c>
      <c r="L262" s="66">
        <f>'Commercial Budget'!B93</f>
        <v>0</v>
      </c>
      <c r="M262" s="66">
        <f>'Commercial Budget'!C93</f>
        <v>0</v>
      </c>
      <c r="N262" s="66">
        <f t="shared" si="47"/>
        <v>0</v>
      </c>
      <c r="O262" s="517"/>
      <c r="P262" s="88"/>
    </row>
    <row r="263" spans="1:16">
      <c r="A263" t="str">
        <f>'Development Budget'!A95</f>
        <v>Other (Specify)</v>
      </c>
      <c r="B263" s="66">
        <f>'Development Budget'!B95</f>
        <v>0</v>
      </c>
      <c r="C263" s="66">
        <f>'Development Budget'!C95</f>
        <v>0</v>
      </c>
      <c r="D263" s="66">
        <f>'Development Budget'!D95</f>
        <v>0</v>
      </c>
      <c r="E263" s="66">
        <f>'Development Budget'!E95</f>
        <v>0</v>
      </c>
      <c r="F263" s="787">
        <f t="shared" si="43"/>
        <v>0</v>
      </c>
      <c r="G263" s="66">
        <f t="shared" si="45"/>
        <v>0</v>
      </c>
      <c r="H263" s="66" t="str">
        <f>IF(B$3,'Development Budget'!F95,"")</f>
        <v/>
      </c>
      <c r="I263" s="197" t="str">
        <f t="shared" si="46"/>
        <v/>
      </c>
      <c r="K263" t="str">
        <f>'Commercial Budget'!A94</f>
        <v>Replacement Reserves</v>
      </c>
      <c r="L263" s="66">
        <f>'Commercial Budget'!B94</f>
        <v>0</v>
      </c>
      <c r="M263" s="66">
        <f>'Commercial Budget'!C94</f>
        <v>0</v>
      </c>
      <c r="N263" s="66">
        <f t="shared" si="47"/>
        <v>0</v>
      </c>
      <c r="O263" s="517"/>
      <c r="P263" s="88"/>
    </row>
    <row r="264" spans="1:16">
      <c r="A264" t="str">
        <f>'Development Budget'!A96</f>
        <v>Other (Specify)</v>
      </c>
      <c r="B264" s="66">
        <f>'Development Budget'!B96</f>
        <v>0</v>
      </c>
      <c r="C264" s="66">
        <f>'Development Budget'!C96</f>
        <v>0</v>
      </c>
      <c r="D264" s="66">
        <f>'Development Budget'!D96</f>
        <v>0</v>
      </c>
      <c r="E264" s="66">
        <f>'Development Budget'!E96</f>
        <v>0</v>
      </c>
      <c r="F264" s="787">
        <f t="shared" si="43"/>
        <v>0</v>
      </c>
      <c r="G264" s="66">
        <f t="shared" si="45"/>
        <v>0</v>
      </c>
      <c r="H264" s="66" t="str">
        <f>IF(B$3,'Development Budget'!F96,"")</f>
        <v/>
      </c>
      <c r="I264" s="197" t="str">
        <f t="shared" si="46"/>
        <v/>
      </c>
      <c r="K264" t="str">
        <f>'Commercial Budget'!A95</f>
        <v>Escrows</v>
      </c>
      <c r="L264" s="66">
        <f>'Commercial Budget'!B95</f>
        <v>0</v>
      </c>
      <c r="M264" s="66">
        <f>'Commercial Budget'!C95</f>
        <v>0</v>
      </c>
      <c r="N264" s="66">
        <f t="shared" si="47"/>
        <v>0</v>
      </c>
      <c r="O264" s="517"/>
      <c r="P264" s="88"/>
    </row>
    <row r="265" spans="1:16">
      <c r="A265" t="str">
        <f>'Development Budget'!A97</f>
        <v>Other (Specify)</v>
      </c>
      <c r="B265" s="66">
        <f>'Development Budget'!B97</f>
        <v>0</v>
      </c>
      <c r="C265" s="66">
        <f>'Development Budget'!C97</f>
        <v>0</v>
      </c>
      <c r="D265" s="66">
        <f>'Development Budget'!D97</f>
        <v>0</v>
      </c>
      <c r="E265" s="66">
        <f>'Development Budget'!E97</f>
        <v>0</v>
      </c>
      <c r="F265" s="787">
        <f t="shared" si="43"/>
        <v>0</v>
      </c>
      <c r="G265" s="66">
        <f t="shared" si="45"/>
        <v>0</v>
      </c>
      <c r="H265" s="66" t="str">
        <f>IF(B$3,'Development Budget'!F97,"")</f>
        <v/>
      </c>
      <c r="I265" s="197" t="str">
        <f t="shared" si="46"/>
        <v/>
      </c>
      <c r="K265" t="str">
        <f>'Commercial Budget'!A96</f>
        <v>Other (Specify)</v>
      </c>
      <c r="L265" s="66">
        <f>'Commercial Budget'!B96</f>
        <v>0</v>
      </c>
      <c r="M265" s="66">
        <f>'Commercial Budget'!C96</f>
        <v>0</v>
      </c>
      <c r="N265" s="66">
        <f t="shared" si="47"/>
        <v>0</v>
      </c>
      <c r="O265" s="517"/>
      <c r="P265" s="88"/>
    </row>
    <row r="266" spans="1:16" ht="15.75" thickBot="1">
      <c r="A266" s="1"/>
      <c r="B266" s="199">
        <f>SUM(B249:B265)</f>
        <v>0</v>
      </c>
      <c r="C266" s="199">
        <f>SUM(C249:C265)</f>
        <v>0</v>
      </c>
      <c r="D266" s="199">
        <f>SUM(D249:D265)</f>
        <v>0</v>
      </c>
      <c r="E266" s="199">
        <f>SUM(E249:E265)</f>
        <v>0</v>
      </c>
      <c r="F266" s="787"/>
      <c r="G266" s="199">
        <f t="shared" si="45"/>
        <v>0</v>
      </c>
      <c r="H266" s="199" t="str">
        <f>IF(B$3,'Development Budget'!F98,"")</f>
        <v/>
      </c>
      <c r="I266" s="197" t="str">
        <f t="shared" si="46"/>
        <v/>
      </c>
      <c r="L266" s="199">
        <f>'Commercial Budget'!B97</f>
        <v>0</v>
      </c>
      <c r="M266" s="199">
        <f>'Commercial Budget'!C97</f>
        <v>0</v>
      </c>
      <c r="N266" s="66">
        <f t="shared" si="47"/>
        <v>0</v>
      </c>
      <c r="O266" s="517"/>
      <c r="P266" s="88"/>
    </row>
    <row r="267" spans="1:16" ht="15.75" thickTop="1">
      <c r="A267" s="19" t="s">
        <v>475</v>
      </c>
      <c r="B267" s="19"/>
      <c r="C267" s="19"/>
      <c r="D267" s="19"/>
      <c r="E267" s="19"/>
      <c r="F267" s="19"/>
      <c r="G267" s="19"/>
      <c r="H267" s="19"/>
      <c r="I267" s="19" t="str">
        <f t="shared" si="46"/>
        <v/>
      </c>
      <c r="K267" s="68" t="str">
        <f>'Commercial Budget'!A98</f>
        <v>Total</v>
      </c>
      <c r="L267" s="198">
        <f>'Commercial Budget'!B98</f>
        <v>0</v>
      </c>
      <c r="M267" s="198">
        <f>'Commercial Budget'!C98</f>
        <v>0</v>
      </c>
      <c r="N267" s="66">
        <f t="shared" si="47"/>
        <v>0</v>
      </c>
      <c r="O267" s="517"/>
      <c r="P267" s="88"/>
    </row>
    <row r="268" spans="1:16">
      <c r="A268" t="str">
        <f>'Development Budget'!A100</f>
        <v>Organization Costs</v>
      </c>
      <c r="B268" s="66">
        <f>'Development Budget'!B100</f>
        <v>0</v>
      </c>
      <c r="C268" s="66"/>
      <c r="D268" s="66"/>
      <c r="E268" s="66">
        <f>'Development Budget'!E100</f>
        <v>0</v>
      </c>
      <c r="F268" s="787">
        <f t="shared" si="43"/>
        <v>0</v>
      </c>
      <c r="G268" s="66">
        <f>B268-E268</f>
        <v>0</v>
      </c>
      <c r="H268" s="66" t="str">
        <f>IF(B$3,'Development Budget'!F100,"")</f>
        <v/>
      </c>
      <c r="I268" s="197" t="str">
        <f t="shared" si="46"/>
        <v/>
      </c>
      <c r="O268" s="517"/>
      <c r="P268" s="88"/>
    </row>
    <row r="269" spans="1:16">
      <c r="A269" t="str">
        <f>'Development Budget'!A101</f>
        <v>Tax Opinion</v>
      </c>
      <c r="B269" s="66">
        <f>'Development Budget'!B101</f>
        <v>0</v>
      </c>
      <c r="C269" s="66"/>
      <c r="D269" s="66"/>
      <c r="E269" s="66">
        <f>'Development Budget'!E101</f>
        <v>0</v>
      </c>
      <c r="F269" s="787">
        <f t="shared" si="43"/>
        <v>0</v>
      </c>
      <c r="G269" s="66">
        <f t="shared" ref="G269:G274" si="48">B269-E269</f>
        <v>0</v>
      </c>
      <c r="H269" s="66" t="str">
        <f>IF(B$3,'Development Budget'!F101,"")</f>
        <v/>
      </c>
      <c r="I269" s="197" t="str">
        <f t="shared" si="46"/>
        <v/>
      </c>
      <c r="O269" s="517"/>
      <c r="P269" s="88"/>
    </row>
    <row r="270" spans="1:16">
      <c r="A270" t="str">
        <f>'Development Budget'!A102</f>
        <v>Syndication Legal Fees</v>
      </c>
      <c r="B270" s="66">
        <f>'Development Budget'!B102</f>
        <v>0</v>
      </c>
      <c r="C270" s="66"/>
      <c r="D270" s="66"/>
      <c r="E270" s="66">
        <f>'Development Budget'!E102</f>
        <v>0</v>
      </c>
      <c r="F270" s="787">
        <f t="shared" si="43"/>
        <v>0</v>
      </c>
      <c r="G270" s="66">
        <f t="shared" si="48"/>
        <v>0</v>
      </c>
      <c r="H270" s="66" t="str">
        <f>IF(B$3,'Development Budget'!F102,"")</f>
        <v/>
      </c>
      <c r="I270" s="197" t="str">
        <f t="shared" si="46"/>
        <v/>
      </c>
      <c r="O270" s="517"/>
      <c r="P270" s="88"/>
    </row>
    <row r="271" spans="1:16">
      <c r="A271" t="str">
        <f>'Development Budget'!A103</f>
        <v>Other (Specify)</v>
      </c>
      <c r="B271" s="66">
        <f>'Development Budget'!B103</f>
        <v>0</v>
      </c>
      <c r="C271" s="66"/>
      <c r="D271" s="66"/>
      <c r="E271" s="66">
        <f>'Development Budget'!E103</f>
        <v>0</v>
      </c>
      <c r="F271" s="787">
        <f t="shared" si="43"/>
        <v>0</v>
      </c>
      <c r="G271" s="66">
        <f t="shared" si="48"/>
        <v>0</v>
      </c>
      <c r="H271" s="66" t="str">
        <f>IF(B$3,'Development Budget'!F103,"")</f>
        <v/>
      </c>
      <c r="I271" s="197" t="str">
        <f t="shared" si="46"/>
        <v/>
      </c>
      <c r="O271" s="517"/>
      <c r="P271" s="88"/>
    </row>
    <row r="272" spans="1:16">
      <c r="A272" t="str">
        <f>'Development Budget'!A104</f>
        <v>Other (Specify)</v>
      </c>
      <c r="B272" s="66">
        <f>'Development Budget'!B104</f>
        <v>0</v>
      </c>
      <c r="C272" s="66"/>
      <c r="D272" s="66"/>
      <c r="E272" s="66">
        <f>'Development Budget'!E104</f>
        <v>0</v>
      </c>
      <c r="F272" s="787">
        <f t="shared" si="43"/>
        <v>0</v>
      </c>
      <c r="G272" s="66">
        <f t="shared" si="48"/>
        <v>0</v>
      </c>
      <c r="H272" s="66" t="str">
        <f>IF(B$3,'Development Budget'!F104,"")</f>
        <v/>
      </c>
      <c r="I272" s="197" t="str">
        <f t="shared" si="46"/>
        <v/>
      </c>
      <c r="O272" s="517"/>
      <c r="P272" s="88"/>
    </row>
    <row r="273" spans="1:16">
      <c r="A273" t="str">
        <f>'Development Budget'!A105</f>
        <v>Other (Specify)</v>
      </c>
      <c r="B273" s="66">
        <f>'Development Budget'!B105</f>
        <v>0</v>
      </c>
      <c r="C273" s="66"/>
      <c r="D273" s="66"/>
      <c r="E273" s="66">
        <f>'Development Budget'!E105</f>
        <v>0</v>
      </c>
      <c r="F273" s="787">
        <f t="shared" si="43"/>
        <v>0</v>
      </c>
      <c r="G273" s="66">
        <f t="shared" si="48"/>
        <v>0</v>
      </c>
      <c r="H273" s="66" t="str">
        <f>IF(B$3,'Development Budget'!F105,"")</f>
        <v/>
      </c>
      <c r="I273" s="197" t="str">
        <f t="shared" si="46"/>
        <v/>
      </c>
      <c r="O273" s="517"/>
      <c r="P273" s="88"/>
    </row>
    <row r="274" spans="1:16">
      <c r="A274" s="1"/>
      <c r="B274" s="199">
        <f>SUM(B268:B273)</f>
        <v>0</v>
      </c>
      <c r="C274" s="199"/>
      <c r="D274" s="199"/>
      <c r="E274" s="199">
        <f>SUM(E268:E273)</f>
        <v>0</v>
      </c>
      <c r="F274" s="787"/>
      <c r="G274" s="199">
        <f t="shared" si="48"/>
        <v>0</v>
      </c>
      <c r="H274" s="199" t="str">
        <f>IF(B$3,'Development Budget'!F106,"")</f>
        <v/>
      </c>
      <c r="I274" s="197" t="str">
        <f t="shared" si="46"/>
        <v/>
      </c>
      <c r="O274" s="517"/>
      <c r="P274" s="88"/>
    </row>
    <row r="275" spans="1:16">
      <c r="A275" s="19" t="s">
        <v>479</v>
      </c>
      <c r="B275" s="19"/>
      <c r="C275" s="19"/>
      <c r="D275" s="19"/>
      <c r="E275" s="19"/>
      <c r="F275" s="19"/>
      <c r="G275" s="19"/>
      <c r="H275" s="19"/>
      <c r="I275" s="19" t="str">
        <f t="shared" si="46"/>
        <v/>
      </c>
      <c r="O275" s="517"/>
      <c r="P275" s="88"/>
    </row>
    <row r="276" spans="1:16">
      <c r="A276" t="str">
        <f>'Development Budget'!A108</f>
        <v>Developer Fee</v>
      </c>
      <c r="B276" s="66">
        <f>'Development Budget'!B108</f>
        <v>0</v>
      </c>
      <c r="C276" s="66">
        <f>'Development Budget'!C108</f>
        <v>0</v>
      </c>
      <c r="D276" s="66">
        <f>'Development Budget'!D108</f>
        <v>0</v>
      </c>
      <c r="E276" s="66">
        <f>'Development Budget'!E108</f>
        <v>0</v>
      </c>
      <c r="F276" s="787">
        <f t="shared" si="43"/>
        <v>0</v>
      </c>
      <c r="G276" s="66">
        <f>B276-E276</f>
        <v>0</v>
      </c>
      <c r="H276" s="66" t="str">
        <f>IF(B$3,'Development Budget'!F108,"")</f>
        <v/>
      </c>
      <c r="I276" s="197" t="str">
        <f t="shared" si="46"/>
        <v/>
      </c>
      <c r="O276" s="517"/>
      <c r="P276" s="88"/>
    </row>
    <row r="277" spans="1:16">
      <c r="A277" t="str">
        <f>'Development Budget'!A109</f>
        <v>Developer Overhead</v>
      </c>
      <c r="B277" s="66">
        <f>'Development Budget'!B109</f>
        <v>0</v>
      </c>
      <c r="C277" s="66">
        <f>'Development Budget'!C109</f>
        <v>0</v>
      </c>
      <c r="D277" s="66">
        <f>'Development Budget'!D109</f>
        <v>0</v>
      </c>
      <c r="E277" s="66">
        <f>'Development Budget'!E109</f>
        <v>0</v>
      </c>
      <c r="F277" s="787">
        <f t="shared" si="43"/>
        <v>0</v>
      </c>
      <c r="G277" s="66">
        <f t="shared" ref="G277:G283" si="49">B277-E277</f>
        <v>0</v>
      </c>
      <c r="H277" s="66" t="str">
        <f>IF(B$3,'Development Budget'!F109,"")</f>
        <v/>
      </c>
      <c r="I277" s="197" t="str">
        <f t="shared" si="46"/>
        <v/>
      </c>
      <c r="O277" s="517"/>
      <c r="P277" s="88"/>
    </row>
    <row r="278" spans="1:16">
      <c r="A278" t="str">
        <f>'Development Budget'!A110</f>
        <v>Developer Profit</v>
      </c>
      <c r="B278" s="66">
        <f>'Development Budget'!B110</f>
        <v>0</v>
      </c>
      <c r="C278" s="66">
        <f>'Development Budget'!C110</f>
        <v>0</v>
      </c>
      <c r="D278" s="66">
        <f>'Development Budget'!D110</f>
        <v>0</v>
      </c>
      <c r="E278" s="66">
        <f>'Development Budget'!E110</f>
        <v>0</v>
      </c>
      <c r="F278" s="787">
        <f t="shared" si="43"/>
        <v>0</v>
      </c>
      <c r="G278" s="66">
        <f t="shared" si="49"/>
        <v>0</v>
      </c>
      <c r="H278" s="66" t="str">
        <f>IF(B$3,'Development Budget'!F110,"")</f>
        <v/>
      </c>
      <c r="I278" s="197" t="str">
        <f t="shared" si="46"/>
        <v/>
      </c>
      <c r="O278" s="517"/>
      <c r="P278" s="88"/>
    </row>
    <row r="279" spans="1:16">
      <c r="A279" t="s">
        <v>483</v>
      </c>
      <c r="B279" s="66">
        <f>'Development Budget'!B111</f>
        <v>0</v>
      </c>
      <c r="C279" s="66">
        <f>'Development Budget'!C111</f>
        <v>0</v>
      </c>
      <c r="D279" s="66">
        <f>'Development Budget'!D111</f>
        <v>0</v>
      </c>
      <c r="E279" s="66">
        <f>'Development Budget'!E111</f>
        <v>0</v>
      </c>
      <c r="F279" s="787">
        <f t="shared" si="43"/>
        <v>0</v>
      </c>
      <c r="G279" s="66">
        <f t="shared" si="49"/>
        <v>0</v>
      </c>
      <c r="H279" s="66" t="str">
        <f>IF(B$3,'Development Budget'!F111,"")</f>
        <v/>
      </c>
      <c r="I279" s="197"/>
      <c r="O279" s="517"/>
      <c r="P279" s="88"/>
    </row>
    <row r="280" spans="1:16">
      <c r="A280" t="str">
        <f>'Development Budget'!A112</f>
        <v>Third Party Development Management/Owner's Rep</v>
      </c>
      <c r="B280" s="66">
        <f>'Development Budget'!B112</f>
        <v>0</v>
      </c>
      <c r="C280" s="66">
        <f>'Development Budget'!C112</f>
        <v>0</v>
      </c>
      <c r="D280" s="66">
        <f>'Development Budget'!D112</f>
        <v>0</v>
      </c>
      <c r="E280" s="66">
        <f>'Development Budget'!E112</f>
        <v>0</v>
      </c>
      <c r="F280" s="787">
        <f t="shared" si="43"/>
        <v>0</v>
      </c>
      <c r="G280" s="66">
        <f t="shared" si="49"/>
        <v>0</v>
      </c>
      <c r="H280" s="66" t="str">
        <f>IF(B$3,'Development Budget'!F112,"")</f>
        <v/>
      </c>
      <c r="I280" s="197" t="str">
        <f t="shared" ref="I280:I287" si="50">IF(B$3,H280/$B$292,"")</f>
        <v/>
      </c>
      <c r="K280" s="66"/>
      <c r="O280" s="517"/>
      <c r="P280" s="88"/>
    </row>
    <row r="281" spans="1:16">
      <c r="A281" t="str">
        <f>'Development Budget'!A113</f>
        <v>Financial/Tax Credit Consultant, Application Preparation, etc.</v>
      </c>
      <c r="B281" s="66">
        <f>'Development Budget'!B113</f>
        <v>0</v>
      </c>
      <c r="C281" s="66">
        <f>'Development Budget'!C113</f>
        <v>0</v>
      </c>
      <c r="D281" s="66">
        <f>'Development Budget'!D113</f>
        <v>0</v>
      </c>
      <c r="E281" s="66">
        <f>'Development Budget'!E113</f>
        <v>0</v>
      </c>
      <c r="F281" s="787">
        <f t="shared" si="43"/>
        <v>0</v>
      </c>
      <c r="G281" s="66">
        <f t="shared" si="49"/>
        <v>0</v>
      </c>
      <c r="H281" s="66" t="str">
        <f>IF(B$3,'Development Budget'!F113,"")</f>
        <v/>
      </c>
      <c r="I281" s="197" t="str">
        <f t="shared" si="50"/>
        <v/>
      </c>
      <c r="K281" s="197"/>
      <c r="O281" s="517"/>
      <c r="P281" s="88"/>
    </row>
    <row r="282" spans="1:16">
      <c r="A282" t="str">
        <f>'Development Budget'!A114</f>
        <v>Other Consultant Fees</v>
      </c>
      <c r="B282" s="66">
        <f>'Development Budget'!B114</f>
        <v>0</v>
      </c>
      <c r="C282" s="66">
        <f>'Development Budget'!C114</f>
        <v>0</v>
      </c>
      <c r="D282" s="66">
        <f>'Development Budget'!D114</f>
        <v>0</v>
      </c>
      <c r="E282" s="66">
        <f>'Development Budget'!E114</f>
        <v>0</v>
      </c>
      <c r="F282" s="787">
        <f t="shared" si="43"/>
        <v>0</v>
      </c>
      <c r="G282" s="66">
        <f t="shared" si="49"/>
        <v>0</v>
      </c>
      <c r="H282" s="66" t="str">
        <f>IF(B$3,'Development Budget'!F114,"")</f>
        <v/>
      </c>
      <c r="I282" s="197" t="str">
        <f t="shared" si="50"/>
        <v/>
      </c>
      <c r="O282" s="517"/>
      <c r="P282" s="88"/>
    </row>
    <row r="283" spans="1:16">
      <c r="A283" s="1"/>
      <c r="B283" s="199">
        <f>SUM(B276:B282)</f>
        <v>0</v>
      </c>
      <c r="C283" s="199">
        <f>SUM(C276:C282)</f>
        <v>0</v>
      </c>
      <c r="D283" s="199">
        <f>SUM(D276:D282)</f>
        <v>0</v>
      </c>
      <c r="E283" s="199">
        <f>SUM(E276:E282)</f>
        <v>0</v>
      </c>
      <c r="F283" s="787"/>
      <c r="G283" s="199">
        <f t="shared" si="49"/>
        <v>0</v>
      </c>
      <c r="H283" s="199" t="str">
        <f>IF(B$3,'Development Budget'!F115,"")</f>
        <v/>
      </c>
      <c r="I283" s="197" t="str">
        <f t="shared" si="50"/>
        <v/>
      </c>
      <c r="O283" s="517"/>
      <c r="P283" s="88"/>
    </row>
    <row r="284" spans="1:16">
      <c r="A284" s="19" t="s">
        <v>487</v>
      </c>
      <c r="B284" s="19"/>
      <c r="C284" s="19"/>
      <c r="D284" s="19"/>
      <c r="E284" s="19"/>
      <c r="F284" s="19"/>
      <c r="G284" s="19"/>
      <c r="H284" s="19"/>
      <c r="I284" s="19" t="str">
        <f t="shared" si="50"/>
        <v/>
      </c>
      <c r="O284" s="517"/>
      <c r="P284" s="88"/>
    </row>
    <row r="285" spans="1:16">
      <c r="A285" t="str">
        <f>'Development Budget'!A117</f>
        <v>Rent-up Reserves</v>
      </c>
      <c r="B285" s="66">
        <f>'Development Budget'!B117</f>
        <v>0</v>
      </c>
      <c r="C285" s="66"/>
      <c r="D285" s="66"/>
      <c r="E285" s="66">
        <f>'Development Budget'!E117</f>
        <v>0</v>
      </c>
      <c r="F285" s="787">
        <f t="shared" si="43"/>
        <v>0</v>
      </c>
      <c r="G285" s="66">
        <f>B285-E285</f>
        <v>0</v>
      </c>
      <c r="H285" s="66" t="str">
        <f>IF(B$3,'Development Budget'!F117,"")</f>
        <v/>
      </c>
      <c r="I285" s="197" t="str">
        <f t="shared" si="50"/>
        <v/>
      </c>
      <c r="O285" s="517"/>
      <c r="P285" s="88"/>
    </row>
    <row r="286" spans="1:16">
      <c r="A286" t="str">
        <f>'Development Budget'!A118</f>
        <v>Operating Reserves</v>
      </c>
      <c r="B286" s="66">
        <f>'Development Budget'!B118</f>
        <v>0</v>
      </c>
      <c r="C286" s="66"/>
      <c r="D286" s="66"/>
      <c r="E286" s="66">
        <f>'Development Budget'!E118</f>
        <v>0</v>
      </c>
      <c r="F286" s="787">
        <f t="shared" si="43"/>
        <v>0</v>
      </c>
      <c r="G286" s="66">
        <f t="shared" ref="G286:G292" si="51">B286-E286</f>
        <v>0</v>
      </c>
      <c r="H286" s="66" t="str">
        <f>IF(B$3,'Development Budget'!F118,"")</f>
        <v/>
      </c>
      <c r="I286" s="197" t="str">
        <f t="shared" si="50"/>
        <v/>
      </c>
      <c r="O286" s="517"/>
      <c r="P286" s="88"/>
    </row>
    <row r="287" spans="1:16">
      <c r="A287" t="str">
        <f>'Development Budget'!A119</f>
        <v>Replacement Reserves</v>
      </c>
      <c r="B287" s="66">
        <f>'Development Budget'!B119</f>
        <v>0</v>
      </c>
      <c r="C287" s="66"/>
      <c r="D287" s="66"/>
      <c r="E287" s="66">
        <f>'Development Budget'!E119</f>
        <v>0</v>
      </c>
      <c r="F287" s="787">
        <f t="shared" si="43"/>
        <v>0</v>
      </c>
      <c r="G287" s="66">
        <f t="shared" si="51"/>
        <v>0</v>
      </c>
      <c r="H287" s="66" t="str">
        <f>IF(B$3,'Development Budget'!F119,"")</f>
        <v/>
      </c>
      <c r="I287" s="197" t="str">
        <f t="shared" si="50"/>
        <v/>
      </c>
      <c r="O287" s="517"/>
      <c r="P287" s="88"/>
    </row>
    <row r="288" spans="1:16">
      <c r="A288" t="str">
        <f>'Development Budget'!A120</f>
        <v>Debt Service Reserves</v>
      </c>
      <c r="B288" s="66">
        <f>'Development Budget'!B120</f>
        <v>0</v>
      </c>
      <c r="C288" s="66"/>
      <c r="D288" s="66"/>
      <c r="E288" s="66">
        <f>'Development Budget'!E120</f>
        <v>0</v>
      </c>
      <c r="F288" s="787">
        <f t="shared" si="43"/>
        <v>0</v>
      </c>
      <c r="G288" s="66">
        <f t="shared" si="51"/>
        <v>0</v>
      </c>
      <c r="H288" s="66" t="str">
        <f>IF(B$3,'Development Budget'!F120,"")</f>
        <v/>
      </c>
      <c r="I288" s="197"/>
      <c r="K288" t="s">
        <v>2754</v>
      </c>
      <c r="O288" s="517"/>
      <c r="P288" s="88"/>
    </row>
    <row r="289" spans="1:17">
      <c r="A289" t="str">
        <f>'Development Budget'!A121</f>
        <v>Other (Specify)</v>
      </c>
      <c r="B289" s="66">
        <f>'Development Budget'!B121</f>
        <v>0</v>
      </c>
      <c r="C289" s="66"/>
      <c r="D289" s="66"/>
      <c r="E289" s="66">
        <f>'Development Budget'!E121</f>
        <v>0</v>
      </c>
      <c r="F289" s="787">
        <f t="shared" si="43"/>
        <v>0</v>
      </c>
      <c r="G289" s="66">
        <f t="shared" si="51"/>
        <v>0</v>
      </c>
      <c r="H289" s="66" t="str">
        <f>IF(B$3,'Development Budget'!F121,"")</f>
        <v/>
      </c>
      <c r="I289" s="197" t="str">
        <f>IF(B$3,H289/$B$292,"")</f>
        <v/>
      </c>
      <c r="K289" s="66">
        <f>SUM(D292+B172+B173)</f>
        <v>0</v>
      </c>
      <c r="L289" s="18"/>
      <c r="O289" s="517"/>
      <c r="P289" s="88"/>
    </row>
    <row r="290" spans="1:17">
      <c r="A290" t="str">
        <f>'Development Budget'!A122</f>
        <v>Other (Specify)</v>
      </c>
      <c r="B290" s="66">
        <f>'Development Budget'!B122</f>
        <v>0</v>
      </c>
      <c r="C290" s="66"/>
      <c r="D290" s="66"/>
      <c r="E290" s="66">
        <f>'Development Budget'!E122</f>
        <v>0</v>
      </c>
      <c r="F290" s="787">
        <f t="shared" si="43"/>
        <v>0</v>
      </c>
      <c r="G290" s="66">
        <f t="shared" si="51"/>
        <v>0</v>
      </c>
      <c r="H290" s="66" t="str">
        <f>IF(B$3,'Development Budget'!F122,"")</f>
        <v/>
      </c>
      <c r="I290" s="197" t="str">
        <f>IF(B$3,H290/$B$292,"")</f>
        <v/>
      </c>
    </row>
    <row r="291" spans="1:17" ht="15.75" thickBot="1">
      <c r="B291" s="199">
        <f>SUM(B285:B290)</f>
        <v>0</v>
      </c>
      <c r="C291" s="199"/>
      <c r="D291" s="199"/>
      <c r="E291" s="66">
        <f>'Development Budget'!E123</f>
        <v>0</v>
      </c>
      <c r="F291" s="788"/>
      <c r="G291" s="66">
        <f t="shared" si="51"/>
        <v>0</v>
      </c>
      <c r="H291" s="199" t="str">
        <f>IF(B$3,'Development Budget'!F123,"")</f>
        <v/>
      </c>
      <c r="I291" s="389" t="str">
        <f>IF(B$3,H291/$B$292,"")</f>
        <v/>
      </c>
    </row>
    <row r="292" spans="1:17" ht="15.75" thickTop="1">
      <c r="A292" s="68" t="s">
        <v>377</v>
      </c>
      <c r="B292" s="198">
        <f>SUM(B172:B174,B177:B178,B181:B194,B197:B210,B213:B230,B233:B246,B249:B265,B268:B273,B276:B282,B285:B290)</f>
        <v>0</v>
      </c>
      <c r="C292" s="198">
        <f>SUM(C172:C173,C177:C178,C181:C194,C197:C210,C213:C230,C250:C255,C258:C265,C276:C282)</f>
        <v>0</v>
      </c>
      <c r="D292" s="198">
        <f>SUM(D172,D177:D178,D181:D194,D197:D210,D213:D230,D250:D255,D258:D265,D276:D282)</f>
        <v>0</v>
      </c>
      <c r="E292" s="198">
        <f>SUM(E172:E174,E177:E178,E181:E194,E197:E210,E213:E230,E233:E246,E249:E265,E268:E273,E276:E282,E285:E290)</f>
        <v>0</v>
      </c>
      <c r="F292" s="198"/>
      <c r="G292" s="198">
        <f t="shared" si="51"/>
        <v>0</v>
      </c>
      <c r="H292" s="198">
        <f>SUM(H172:H174,H177,H181:H194,H197:H210,H213:H230,H250:H265,H276:H282)</f>
        <v>0</v>
      </c>
      <c r="I292" s="390" t="str">
        <f>IF(B$3,H292/$K$289,"")</f>
        <v/>
      </c>
    </row>
    <row r="293" spans="1:17">
      <c r="B293" s="66"/>
      <c r="C293" s="66"/>
      <c r="D293" s="66"/>
      <c r="E293" s="66"/>
      <c r="F293" s="66"/>
      <c r="G293" s="208"/>
    </row>
    <row r="294" spans="1:17">
      <c r="G294" s="14"/>
    </row>
    <row r="296" spans="1:17">
      <c r="E296" s="1"/>
    </row>
    <row r="297" spans="1:17">
      <c r="A297" s="99" t="s">
        <v>66</v>
      </c>
      <c r="B297" s="99"/>
      <c r="C297" s="99"/>
      <c r="D297" s="99"/>
      <c r="E297" s="99"/>
      <c r="F297" s="99"/>
      <c r="G297" s="99"/>
      <c r="H297" s="99"/>
      <c r="I297" s="99"/>
      <c r="J297" s="99"/>
      <c r="K297" s="99"/>
      <c r="L297" s="99"/>
      <c r="M297" s="99"/>
    </row>
    <row r="298" spans="1:17">
      <c r="A298" t="s">
        <v>2755</v>
      </c>
      <c r="B298" s="1">
        <f>IF($B$6, Admin!$B$10, IF($B$10,Admin!$B$12,Admin!$B$11))</f>
        <v>95</v>
      </c>
      <c r="E298" s="1"/>
      <c r="G298" s="18" t="str">
        <f>IF($H$41=0, "UNITS MISSING", "")</f>
        <v>UNITS MISSING</v>
      </c>
    </row>
    <row r="299" spans="1:17">
      <c r="B299" s="1" t="s">
        <v>849</v>
      </c>
      <c r="C299" s="1" t="s">
        <v>2756</v>
      </c>
      <c r="D299" t="s">
        <v>557</v>
      </c>
      <c r="E299" t="s">
        <v>1323</v>
      </c>
      <c r="F299" t="s">
        <v>848</v>
      </c>
      <c r="G299" t="s">
        <v>2757</v>
      </c>
      <c r="H299" t="s">
        <v>2758</v>
      </c>
      <c r="K299" s="1"/>
    </row>
    <row r="300" spans="1:17">
      <c r="A300" t="s">
        <v>2759</v>
      </c>
      <c r="B300" s="1">
        <f>IF(H300, ROUND(G300 * F300, 0), 0)</f>
        <v>0</v>
      </c>
      <c r="C300" t="str">
        <f>IF(Scoring!B5="","",Scoring!B5)</f>
        <v/>
      </c>
      <c r="D300" s="8">
        <f>A38</f>
        <v>0.6</v>
      </c>
      <c r="E300">
        <f>H38+H39+H40</f>
        <v>0</v>
      </c>
      <c r="F300">
        <f>INDEX(Income_Level_Table[Scoring Weight], MATCH(D300, Income_Level_Table[Income Level], 0))</f>
        <v>50</v>
      </c>
      <c r="G300">
        <f>IF($H$41 = 0, 0, E300/$H$41)</f>
        <v>0</v>
      </c>
      <c r="H300" t="b">
        <f>IF(ISNA(MATCH(Calculations!$C$300, Scoring_Threshold_Table[Scoring Threshold], 0)), FALSE, INDEX(Scoring_Threshold_Table[Score 60%], MATCH(Calculations!$C$300, Scoring_Threshold_Table[Scoring Threshold], 0)))</f>
        <v>0</v>
      </c>
      <c r="I300" s="98" t="s">
        <v>2760</v>
      </c>
      <c r="K300" s="875" t="s">
        <v>2761</v>
      </c>
      <c r="L300" s="876"/>
      <c r="M300" s="876"/>
      <c r="N300" s="876"/>
      <c r="O300" s="876"/>
    </row>
    <row r="301" spans="1:17">
      <c r="B301" s="1">
        <f>ROUND(G301 * F301, 0)</f>
        <v>0</v>
      </c>
      <c r="D301" s="8">
        <f>A37</f>
        <v>0.5</v>
      </c>
      <c r="E301">
        <f>H37</f>
        <v>0</v>
      </c>
      <c r="F301">
        <f>INDEX(Income_Level_Table[Scoring Weight], MATCH(D301, Income_Level_Table[Income Level], 0))</f>
        <v>72.5</v>
      </c>
      <c r="G301">
        <f>IF($H$41 = 0, 0, E301/$H$41)</f>
        <v>0</v>
      </c>
      <c r="H301" t="b">
        <v>1</v>
      </c>
      <c r="K301" s="859" t="s">
        <v>2762</v>
      </c>
      <c r="L301" s="365"/>
      <c r="M301" s="365"/>
      <c r="N301" s="365"/>
      <c r="O301" s="365"/>
      <c r="P301" s="365"/>
      <c r="Q301" s="365"/>
    </row>
    <row r="302" spans="1:17">
      <c r="B302" s="1">
        <f>ROUND(G302 * F302, 0)</f>
        <v>0</v>
      </c>
      <c r="D302" s="8">
        <f>A36</f>
        <v>0.4</v>
      </c>
      <c r="E302">
        <f>H36+H35+H34</f>
        <v>0</v>
      </c>
      <c r="F302">
        <f>INDEX(Income_Level_Table[Scoring Weight], MATCH(D302, Income_Level_Table[Income Level], 0))</f>
        <v>92.5</v>
      </c>
      <c r="G302">
        <f>IF($H$41 = 0, 0, E302/$H$41)</f>
        <v>0</v>
      </c>
      <c r="H302" t="b">
        <v>1</v>
      </c>
      <c r="I302" s="98" t="s">
        <v>2763</v>
      </c>
      <c r="K302" s="1"/>
    </row>
    <row r="303" spans="1:17">
      <c r="A303" t="s">
        <v>2764</v>
      </c>
      <c r="B303" s="95">
        <f>IF($B$15 = -1, 0, INDEX(Admin!A119:F182, $B$15, COLUMN(Admin!C118)))</f>
        <v>0</v>
      </c>
      <c r="K303" s="1"/>
    </row>
    <row r="304" spans="1:17">
      <c r="A304" t="s">
        <v>2765</v>
      </c>
      <c r="B304" s="1">
        <f>IF(ISNA(D304), 0, INDEX(Very_Very_Low_Income_Targeting_Table[Score], D304))</f>
        <v>0</v>
      </c>
      <c r="C304">
        <f>Scoring!B8</f>
        <v>0</v>
      </c>
      <c r="D304" t="e">
        <f>MATCH(C304, Very_Very_Low_Income_Targeting_Table[Very, Very Low-Income Targeting], 0)</f>
        <v>#N/A</v>
      </c>
      <c r="E304">
        <f>H35</f>
        <v>0</v>
      </c>
      <c r="G304">
        <f>IF($H$41 = 0, 0, E304/$H$41)</f>
        <v>0</v>
      </c>
      <c r="K304" s="1"/>
    </row>
    <row r="305" spans="1:11">
      <c r="A305" t="s">
        <v>516</v>
      </c>
      <c r="B305" s="1">
        <f>IF(ISNA(D305), 0, INDEX(Extended_Low_Income_Use_Table[Score], D305))</f>
        <v>0</v>
      </c>
      <c r="C305" t="str">
        <f>IF(Scoring!B11="","",Scoring!B11)</f>
        <v/>
      </c>
      <c r="D305" t="e">
        <f>MATCH(C305, Extended_Low_Income_Use_Table[Extended Low-Income Use], 0)</f>
        <v>#N/A</v>
      </c>
      <c r="K305" s="1"/>
    </row>
    <row r="306" spans="1:11">
      <c r="A306" t="s">
        <v>2134</v>
      </c>
      <c r="B306" s="1">
        <f>IF(C306 = "Yes", Admin!B38, 0)</f>
        <v>0</v>
      </c>
      <c r="C306">
        <f>Scoring!B14</f>
        <v>0</v>
      </c>
      <c r="K306" s="1"/>
    </row>
    <row r="307" spans="1:11">
      <c r="A307" t="s">
        <v>2122</v>
      </c>
      <c r="B307" s="1">
        <f>IF($B$15 = -1, 0, INDEX(Admin!A119:F182, $B$15, COLUMN(Admin!D118)))</f>
        <v>0</v>
      </c>
      <c r="D307" t="s">
        <v>2766</v>
      </c>
      <c r="K307" s="1"/>
    </row>
    <row r="308" spans="1:11">
      <c r="A308" t="s">
        <v>2767</v>
      </c>
      <c r="B308" s="1">
        <f>IF(ISNA(MATCH(Application!$B$31, City_Table[City], 0)), 0, INDEX(City_Table[Score], MATCH(Application!$B$31, City_Table[City], 0)))</f>
        <v>0</v>
      </c>
      <c r="C308" s="18" t="str">
        <f>IF(ISNA(MATCH(Application!$B$31, City_Table[City], 0)), "CITY MISSING", "")</f>
        <v>CITY MISSING</v>
      </c>
      <c r="K308" s="1"/>
    </row>
    <row r="309" spans="1:11">
      <c r="A309" t="s">
        <v>2768</v>
      </c>
      <c r="B309" s="1">
        <f>IF($B$15 = -1, 0, INDEX(Admin!A119:F182, $B$15, COLUMN(Admin!E118)))</f>
        <v>0</v>
      </c>
      <c r="C309" s="18" t="str">
        <f>IF($B$15 = -1, "COUNTY MISSING", "")</f>
        <v>COUNTY MISSING</v>
      </c>
      <c r="K309" s="1"/>
    </row>
    <row r="310" spans="1:11">
      <c r="A310" t="s">
        <v>2125</v>
      </c>
      <c r="B310" s="1">
        <f>IF(B308=0, B309, B308)</f>
        <v>0</v>
      </c>
      <c r="C310" s="18"/>
      <c r="D310" t="s">
        <v>857</v>
      </c>
      <c r="K310" s="1"/>
    </row>
    <row r="311" spans="1:11">
      <c r="A311" t="s">
        <v>4212</v>
      </c>
      <c r="B311" s="1">
        <f>IF(C311 = "Yes", Admin!B39, 0)</f>
        <v>0</v>
      </c>
      <c r="C311">
        <f>Scoring!B20</f>
        <v>0</v>
      </c>
      <c r="E311" t="str">
        <f>IFERROR(_xlfn.SINGLE(INDEX(#REF!,D311, 3)),"")</f>
        <v/>
      </c>
      <c r="K311" s="1"/>
    </row>
    <row r="312" spans="1:11">
      <c r="A312" t="s">
        <v>4213</v>
      </c>
      <c r="B312" s="1">
        <f>IF(C312 = "Yes", Admin!B40, 0)</f>
        <v>0</v>
      </c>
      <c r="C312">
        <f>Scoring!B21</f>
        <v>0</v>
      </c>
      <c r="K312" s="1"/>
    </row>
    <row r="313" spans="1:11">
      <c r="A313" t="s">
        <v>2143</v>
      </c>
      <c r="B313" s="1">
        <f>IF(C313 = "Yes", Admin!B41, 0)</f>
        <v>0</v>
      </c>
      <c r="C313">
        <f>Scoring!B24</f>
        <v>0</v>
      </c>
      <c r="K313" s="1"/>
    </row>
    <row r="314" spans="1:11">
      <c r="A314" t="s">
        <v>2146</v>
      </c>
      <c r="B314" s="1">
        <f>IF(C314 = "Yes", Admin!B42, 0)</f>
        <v>0</v>
      </c>
      <c r="C314">
        <f>Scoring!B25</f>
        <v>0</v>
      </c>
      <c r="K314" s="1"/>
    </row>
    <row r="315" spans="1:11">
      <c r="A315" t="s">
        <v>2149</v>
      </c>
      <c r="B315" s="1">
        <f>IF(C315 = "Yes", Admin!B43, 0)</f>
        <v>0</v>
      </c>
      <c r="C315">
        <f>Scoring!B26</f>
        <v>0</v>
      </c>
      <c r="E315" s="1"/>
    </row>
    <row r="316" spans="1:11">
      <c r="A316" t="s">
        <v>2152</v>
      </c>
      <c r="B316" s="1">
        <f>IF(C316 = "Yes", Admin!B44, 0)</f>
        <v>0</v>
      </c>
      <c r="C316">
        <f>Scoring!B27</f>
        <v>0</v>
      </c>
      <c r="E316" s="1"/>
    </row>
    <row r="317" spans="1:11">
      <c r="A317" t="s">
        <v>2155</v>
      </c>
      <c r="B317" s="1">
        <f>IF(C317 = "Yes", Admin!B45, 0)</f>
        <v>0</v>
      </c>
      <c r="C317">
        <f>Scoring!B28</f>
        <v>0</v>
      </c>
      <c r="E317" s="1"/>
    </row>
    <row r="318" spans="1:11">
      <c r="A318" t="s">
        <v>2769</v>
      </c>
      <c r="B318" s="1">
        <f>IF(C318 = "Yes", Admin!B46, 0)</f>
        <v>0</v>
      </c>
      <c r="C318">
        <f>Scoring!B29</f>
        <v>0</v>
      </c>
      <c r="E318" s="1"/>
    </row>
    <row r="319" spans="1:11">
      <c r="A319" t="s">
        <v>4200</v>
      </c>
      <c r="B319" s="1">
        <f>IF(C319 = "Yes", Admin!B47, 0)</f>
        <v>0</v>
      </c>
      <c r="C319">
        <f>Scoring!B30</f>
        <v>0</v>
      </c>
      <c r="E319" s="1"/>
    </row>
    <row r="320" spans="1:11">
      <c r="A320" t="s">
        <v>528</v>
      </c>
      <c r="B320" s="1">
        <f>IF(C320 = "Yes", Admin!B48, 0)</f>
        <v>0</v>
      </c>
      <c r="C320">
        <f>Scoring!B33</f>
        <v>0</v>
      </c>
      <c r="E320" s="1"/>
    </row>
    <row r="321" spans="1:16">
      <c r="A321" t="s">
        <v>2770</v>
      </c>
      <c r="B321" s="1">
        <f>IF(C321 = "N/A",0, Admin!B49)</f>
        <v>15</v>
      </c>
      <c r="C321">
        <f>Scoring!B36</f>
        <v>0</v>
      </c>
      <c r="F321" s="1"/>
    </row>
    <row r="322" spans="1:16" ht="15.75" thickBot="1">
      <c r="A322" t="s">
        <v>532</v>
      </c>
      <c r="B322" s="1">
        <f>IF(C322 = "Yes", Admin!B50, 0)</f>
        <v>0</v>
      </c>
      <c r="C322">
        <f>Scoring!B39</f>
        <v>0</v>
      </c>
      <c r="E322" s="1"/>
    </row>
    <row r="323" spans="1:16" ht="15.75" thickTop="1">
      <c r="A323" s="68" t="s">
        <v>927</v>
      </c>
      <c r="B323" s="201">
        <f>SUM(B300:B307,B310:B322)</f>
        <v>15</v>
      </c>
      <c r="D323" t="b">
        <f>B323&gt;=B298</f>
        <v>0</v>
      </c>
      <c r="E323" t="str">
        <f>INDEX(Comments_Minimum_Score_table[],MATCH(D323,Comments_Minimum_Score_table[Minimum Score],0),2)</f>
        <v>The minimum score requirement has NOT been met</v>
      </c>
    </row>
    <row r="324" spans="1:16">
      <c r="E324" s="1"/>
    </row>
    <row r="325" spans="1:16">
      <c r="E325" s="1"/>
    </row>
    <row r="326" spans="1:16">
      <c r="A326" s="194" t="s">
        <v>1305</v>
      </c>
      <c r="B326" s="99"/>
      <c r="C326" s="99"/>
      <c r="D326" s="99"/>
      <c r="E326" s="99"/>
      <c r="F326" s="99"/>
      <c r="G326" s="99"/>
      <c r="H326" s="99"/>
      <c r="I326" s="99"/>
      <c r="J326" s="99"/>
      <c r="K326" s="99"/>
      <c r="L326" s="99"/>
      <c r="M326" s="99"/>
      <c r="N326" s="99"/>
      <c r="O326" s="99"/>
      <c r="P326" s="99"/>
    </row>
    <row r="327" spans="1:16">
      <c r="A327" s="22" t="s">
        <v>2771</v>
      </c>
      <c r="E327" s="1"/>
    </row>
    <row r="328" spans="1:16">
      <c r="B328" t="s">
        <v>2772</v>
      </c>
      <c r="C328" t="s">
        <v>2773</v>
      </c>
      <c r="E328" s="1"/>
    </row>
    <row r="329" spans="1:16">
      <c r="A329" t="s">
        <v>2774</v>
      </c>
      <c r="B329" t="b">
        <f>Application!B92 = "Yes"</f>
        <v>0</v>
      </c>
      <c r="C329">
        <f>IF(B329, Admin!B62, 0)</f>
        <v>0</v>
      </c>
      <c r="E329" s="1"/>
    </row>
    <row r="330" spans="1:16">
      <c r="A330" t="s">
        <v>2775</v>
      </c>
      <c r="C330">
        <f>Admin!B63</f>
        <v>4500</v>
      </c>
      <c r="E330" s="1"/>
    </row>
    <row r="331" spans="1:16">
      <c r="A331" t="s">
        <v>510</v>
      </c>
      <c r="C331" s="1">
        <f>MAX(C329:C330)</f>
        <v>4500</v>
      </c>
      <c r="D331" t="s">
        <v>2776</v>
      </c>
      <c r="E331" s="1"/>
    </row>
    <row r="332" spans="1:16">
      <c r="C332" s="1"/>
      <c r="E332" s="1"/>
    </row>
    <row r="333" spans="1:16">
      <c r="A333" s="22" t="s">
        <v>2771</v>
      </c>
      <c r="E333" s="1"/>
    </row>
    <row r="334" spans="1:16">
      <c r="B334" t="s">
        <v>2772</v>
      </c>
      <c r="C334" t="s">
        <v>2773</v>
      </c>
      <c r="E334" s="1"/>
    </row>
    <row r="335" spans="1:16">
      <c r="A335" t="s">
        <v>4204</v>
      </c>
      <c r="B335" t="b">
        <f>OR(Application!B112 &gt; 0)</f>
        <v>0</v>
      </c>
      <c r="E335" s="1"/>
    </row>
    <row r="336" spans="1:16">
      <c r="A336" t="s">
        <v>510</v>
      </c>
      <c r="C336" s="1">
        <f>IF(B335, Admin!B64, Admin!B65)</f>
        <v>350</v>
      </c>
      <c r="H336" s="49"/>
    </row>
    <row r="337" spans="1:8">
      <c r="H337" s="49"/>
    </row>
    <row r="338" spans="1:8">
      <c r="A338" s="22" t="s">
        <v>2777</v>
      </c>
    </row>
    <row r="339" spans="1:8">
      <c r="A339" t="s">
        <v>972</v>
      </c>
      <c r="B339" s="66">
        <f>B351</f>
        <v>0</v>
      </c>
    </row>
    <row r="340" spans="1:8">
      <c r="A340" t="s">
        <v>1316</v>
      </c>
      <c r="B340" s="66">
        <f>$E$126</f>
        <v>0</v>
      </c>
    </row>
    <row r="341" spans="1:8" ht="15.75" thickBot="1">
      <c r="A341" t="s">
        <v>2778</v>
      </c>
      <c r="B341" s="200">
        <f>Admin!B66</f>
        <v>0.33329999999999999</v>
      </c>
    </row>
    <row r="342" spans="1:8" ht="15.75" thickTop="1">
      <c r="A342" t="s">
        <v>510</v>
      </c>
      <c r="B342" s="198">
        <f>(B339+B340)*B341</f>
        <v>0</v>
      </c>
      <c r="C342" s="306"/>
    </row>
    <row r="343" spans="1:8">
      <c r="C343" s="1"/>
      <c r="E343" s="1"/>
    </row>
    <row r="344" spans="1:8">
      <c r="A344" s="22" t="s">
        <v>2779</v>
      </c>
      <c r="E344" s="1"/>
    </row>
    <row r="345" spans="1:8">
      <c r="A345" t="s">
        <v>898</v>
      </c>
      <c r="B345">
        <f>$H$45</f>
        <v>0</v>
      </c>
      <c r="E345" s="1"/>
    </row>
    <row r="346" spans="1:8">
      <c r="A346" t="s">
        <v>604</v>
      </c>
      <c r="B346" s="66">
        <f>'Proforma, Income &amp; Expense'!$B$76</f>
        <v>0</v>
      </c>
      <c r="E346" s="1"/>
    </row>
    <row r="347" spans="1:8">
      <c r="B347" s="66"/>
      <c r="E347" s="1"/>
    </row>
    <row r="348" spans="1:8">
      <c r="A348" s="22" t="s">
        <v>2780</v>
      </c>
      <c r="E348" s="1"/>
    </row>
    <row r="349" spans="1:8">
      <c r="B349" t="s">
        <v>968</v>
      </c>
      <c r="C349" t="s">
        <v>969</v>
      </c>
      <c r="D349" t="s">
        <v>970</v>
      </c>
      <c r="E349" s="1"/>
    </row>
    <row r="350" spans="1:8">
      <c r="A350" t="s">
        <v>2781</v>
      </c>
      <c r="B350" s="66">
        <f>SUM('Proforma, Income &amp; Expense'!E22:E34,'Proforma, Income &amp; Expense'!E37:E48,'Proforma, Income &amp; Expense'!E51:E62,'Proforma, Income &amp; Expense'!E65:E71)</f>
        <v>0</v>
      </c>
      <c r="C350" s="66"/>
      <c r="D350" s="66"/>
      <c r="F350" s="22" t="s">
        <v>2746</v>
      </c>
    </row>
    <row r="351" spans="1:8">
      <c r="A351" t="s">
        <v>972</v>
      </c>
      <c r="B351" s="66">
        <f>SUM('Proforma, Income &amp; Expense'!B22:B34,'Proforma, Income &amp; Expense'!B37:B48,'Proforma, Income &amp; Expense'!B51:B62,'Proforma, Income &amp; Expense'!B65:B71)</f>
        <v>0</v>
      </c>
      <c r="C351" s="66">
        <f>IF(B345=0, 0, B351/B345)</f>
        <v>0</v>
      </c>
      <c r="D351" s="66">
        <f>C331</f>
        <v>4500</v>
      </c>
      <c r="F351" t="b">
        <f>C351&gt;=D351</f>
        <v>0</v>
      </c>
      <c r="G351" t="str">
        <f>IF(C351=0,"",INDEX(Comments_Min_PUPA_table[],MATCH(F351,Comments_Min_PUPA_table[Minimum PUPA],0),2))</f>
        <v/>
      </c>
    </row>
    <row r="352" spans="1:8">
      <c r="A352" t="s">
        <v>490</v>
      </c>
      <c r="B352" s="66">
        <f>B346*H$45</f>
        <v>0</v>
      </c>
      <c r="C352" s="66">
        <f>B346</f>
        <v>0</v>
      </c>
      <c r="D352" s="66">
        <f>C336</f>
        <v>350</v>
      </c>
      <c r="F352" t="b">
        <f>C352&gt;=D352</f>
        <v>0</v>
      </c>
      <c r="G352" t="str">
        <f>IF(C352=0,"",INDEX(Comments_Min_Replacement_Reserves_table[],MATCH(F352,Comments_Min_Replacement_Reserves_table[Minimum Replacement Reserves],0),2))</f>
        <v/>
      </c>
    </row>
    <row r="353" spans="1:16">
      <c r="B353" s="66"/>
      <c r="C353" s="66"/>
      <c r="D353" s="66"/>
    </row>
    <row r="354" spans="1:16">
      <c r="A354" t="s">
        <v>973</v>
      </c>
      <c r="B354" s="66">
        <f>'Development Budget'!B118</f>
        <v>0</v>
      </c>
      <c r="C354" s="66"/>
      <c r="D354" s="66">
        <f>B342</f>
        <v>0</v>
      </c>
      <c r="F354" t="b">
        <f>B354 &gt;= D354</f>
        <v>1</v>
      </c>
      <c r="G354" s="123" t="str">
        <f>INDEX(Comments_Min_Oper_Reserves_table[],MATCH(F354,Comments_Min_Oper_Reserves_table[Minimum Operating Reserves],0),2)</f>
        <v>The minimum development operating reserves requirement has been met</v>
      </c>
    </row>
    <row r="355" spans="1:16">
      <c r="E355" s="1"/>
    </row>
    <row r="356" spans="1:16">
      <c r="E356" s="1"/>
    </row>
    <row r="357" spans="1:16">
      <c r="A357" s="194" t="s">
        <v>536</v>
      </c>
      <c r="B357" s="99"/>
      <c r="C357" s="99"/>
      <c r="D357" s="99"/>
      <c r="E357" s="99"/>
      <c r="F357" s="99"/>
      <c r="G357" s="99"/>
      <c r="H357" s="99"/>
      <c r="I357" s="99"/>
      <c r="J357" s="99"/>
      <c r="K357" s="99"/>
      <c r="L357" s="99"/>
      <c r="M357" s="99"/>
      <c r="N357" s="99"/>
      <c r="O357" s="99"/>
      <c r="P357" s="99"/>
    </row>
    <row r="358" spans="1:16">
      <c r="A358" t="s">
        <v>2782</v>
      </c>
      <c r="B358" s="67">
        <f>Application!B92</f>
        <v>0</v>
      </c>
      <c r="E358" s="1"/>
    </row>
    <row r="359" spans="1:16">
      <c r="A359" t="s">
        <v>2783</v>
      </c>
      <c r="B359" s="197">
        <f>IF(B358="Yes", Admin!B55, Admin!B54)</f>
        <v>7.0000000000000007E-2</v>
      </c>
      <c r="C359" t="str">
        <f>CONCATENATE("* Calculating at a ",INDEX(Admin!A54:B55,MATCH(B359,Admin!B54:B55,0),1)," of ",TEXT(B359,"0.0%"))</f>
        <v>* Calculating at a Standard Vacancy Allowance of 7.0%</v>
      </c>
      <c r="E359" s="1"/>
    </row>
    <row r="360" spans="1:16">
      <c r="E360" s="300" t="s">
        <v>2784</v>
      </c>
    </row>
    <row r="361" spans="1:16">
      <c r="A361" t="s">
        <v>2328</v>
      </c>
      <c r="B361" s="66">
        <f>SUM('Proforma, Income &amp; Expense'!B12:B15) * 12</f>
        <v>0</v>
      </c>
      <c r="E361" s="184" t="s">
        <v>963</v>
      </c>
      <c r="F361" s="83">
        <f>'Proforma, Income &amp; Expense'!B18</f>
        <v>0</v>
      </c>
    </row>
    <row r="362" spans="1:16" ht="15.75" thickBot="1">
      <c r="A362" t="s">
        <v>2331</v>
      </c>
      <c r="B362" s="66">
        <f>H74</f>
        <v>0</v>
      </c>
      <c r="E362" s="184" t="s">
        <v>964</v>
      </c>
      <c r="F362" s="83">
        <f>$B$350</f>
        <v>0</v>
      </c>
    </row>
    <row r="363" spans="1:16" ht="15.75" thickTop="1">
      <c r="A363" t="s">
        <v>959</v>
      </c>
      <c r="B363" s="448">
        <f>SUM(B361:B362)</f>
        <v>0</v>
      </c>
      <c r="E363" s="67" t="s">
        <v>2785</v>
      </c>
      <c r="F363" s="83">
        <f>IF(F361&gt;0,Admin!B58*F361,0)</f>
        <v>0</v>
      </c>
    </row>
    <row r="364" spans="1:16" ht="15.75" thickBot="1">
      <c r="A364" t="s">
        <v>960</v>
      </c>
      <c r="B364" s="66">
        <f>-(B363*$B$359)</f>
        <v>0</v>
      </c>
      <c r="E364" s="121" t="s">
        <v>966</v>
      </c>
      <c r="F364" s="83">
        <f>F361-F362-F363</f>
        <v>0</v>
      </c>
    </row>
    <row r="365" spans="1:16" ht="15.75" thickTop="1">
      <c r="A365" t="s">
        <v>961</v>
      </c>
      <c r="B365" s="198">
        <f>B363+B364</f>
        <v>0</v>
      </c>
      <c r="E365" s="1" t="s">
        <v>2786</v>
      </c>
      <c r="F365" s="66">
        <f>F364+B365</f>
        <v>0</v>
      </c>
    </row>
    <row r="366" spans="1:16">
      <c r="E366" s="1"/>
    </row>
    <row r="367" spans="1:16">
      <c r="A367" t="s">
        <v>490</v>
      </c>
      <c r="B367" s="66">
        <f>B346</f>
        <v>0</v>
      </c>
    </row>
    <row r="368" spans="1:16" ht="15.75" thickBot="1">
      <c r="A368" s="67" t="s">
        <v>2787</v>
      </c>
      <c r="B368">
        <f>$H$45</f>
        <v>0</v>
      </c>
      <c r="C368" t="s">
        <v>2788</v>
      </c>
    </row>
    <row r="369" spans="1:16" ht="15.75" thickTop="1">
      <c r="B369" s="448">
        <f>B367*B368</f>
        <v>0</v>
      </c>
    </row>
    <row r="370" spans="1:16" ht="15.75" thickBot="1">
      <c r="A370" t="s">
        <v>2789</v>
      </c>
      <c r="B370" s="66">
        <f>$B$351</f>
        <v>0</v>
      </c>
    </row>
    <row r="371" spans="1:16" ht="15.75" thickTop="1">
      <c r="A371" t="s">
        <v>2790</v>
      </c>
      <c r="B371" s="198">
        <f>B369+B370</f>
        <v>0</v>
      </c>
    </row>
    <row r="373" spans="1:16">
      <c r="A373" t="s">
        <v>2791</v>
      </c>
      <c r="B373">
        <f>Admin!$B$56</f>
        <v>1.02</v>
      </c>
    </row>
    <row r="374" spans="1:16">
      <c r="A374" t="s">
        <v>2792</v>
      </c>
      <c r="B374">
        <f>Admin!$B$57</f>
        <v>1.03</v>
      </c>
    </row>
    <row r="375" spans="1:16">
      <c r="A375" t="s">
        <v>2793</v>
      </c>
      <c r="B375" t="b">
        <f>Financing!B5="Yes"</f>
        <v>0</v>
      </c>
    </row>
    <row r="376" spans="1:16">
      <c r="E376" s="1"/>
    </row>
    <row r="377" spans="1:16">
      <c r="B377" s="1" t="s">
        <v>537</v>
      </c>
      <c r="C377" s="1" t="s">
        <v>976</v>
      </c>
      <c r="D377" s="1" t="s">
        <v>539</v>
      </c>
      <c r="E377" s="1" t="s">
        <v>540</v>
      </c>
      <c r="F377" s="1" t="s">
        <v>541</v>
      </c>
      <c r="G377" s="1" t="s">
        <v>542</v>
      </c>
      <c r="H377" s="1" t="s">
        <v>543</v>
      </c>
      <c r="I377" s="1" t="s">
        <v>544</v>
      </c>
      <c r="J377" s="1" t="s">
        <v>545</v>
      </c>
      <c r="K377" s="1" t="s">
        <v>546</v>
      </c>
      <c r="L377" s="1" t="s">
        <v>547</v>
      </c>
      <c r="M377" s="1" t="s">
        <v>548</v>
      </c>
      <c r="N377" s="1" t="s">
        <v>549</v>
      </c>
      <c r="O377" s="1" t="s">
        <v>550</v>
      </c>
      <c r="P377" s="1" t="s">
        <v>551</v>
      </c>
    </row>
    <row r="378" spans="1:16">
      <c r="A378" t="s">
        <v>1146</v>
      </c>
      <c r="B378" s="199">
        <f>B365</f>
        <v>0</v>
      </c>
      <c r="C378" s="66">
        <f t="shared" ref="C378:P378" si="52">B378*$B$373</f>
        <v>0</v>
      </c>
      <c r="D378" s="66">
        <f t="shared" si="52"/>
        <v>0</v>
      </c>
      <c r="E378" s="66">
        <f t="shared" si="52"/>
        <v>0</v>
      </c>
      <c r="F378" s="66">
        <f t="shared" si="52"/>
        <v>0</v>
      </c>
      <c r="G378" s="66">
        <f t="shared" si="52"/>
        <v>0</v>
      </c>
      <c r="H378" s="66">
        <f t="shared" si="52"/>
        <v>0</v>
      </c>
      <c r="I378" s="66">
        <f t="shared" si="52"/>
        <v>0</v>
      </c>
      <c r="J378" s="66">
        <f t="shared" si="52"/>
        <v>0</v>
      </c>
      <c r="K378" s="66">
        <f>J378*$B$373</f>
        <v>0</v>
      </c>
      <c r="L378" s="66">
        <f t="shared" si="52"/>
        <v>0</v>
      </c>
      <c r="M378" s="66">
        <f t="shared" si="52"/>
        <v>0</v>
      </c>
      <c r="N378" s="66">
        <f>M378*$B$373</f>
        <v>0</v>
      </c>
      <c r="O378" s="66">
        <f t="shared" si="52"/>
        <v>0</v>
      </c>
      <c r="P378" s="66">
        <f t="shared" si="52"/>
        <v>0</v>
      </c>
    </row>
    <row r="379" spans="1:16">
      <c r="A379" t="s">
        <v>2790</v>
      </c>
      <c r="B379" s="199">
        <f>B371</f>
        <v>0</v>
      </c>
      <c r="C379" s="66">
        <f t="shared" ref="C379:P379" si="53">B379*$B$374</f>
        <v>0</v>
      </c>
      <c r="D379" s="66">
        <f t="shared" si="53"/>
        <v>0</v>
      </c>
      <c r="E379" s="66">
        <f t="shared" si="53"/>
        <v>0</v>
      </c>
      <c r="F379" s="66">
        <f t="shared" si="53"/>
        <v>0</v>
      </c>
      <c r="G379" s="66">
        <f t="shared" si="53"/>
        <v>0</v>
      </c>
      <c r="H379" s="66">
        <f t="shared" si="53"/>
        <v>0</v>
      </c>
      <c r="I379" s="66">
        <f t="shared" si="53"/>
        <v>0</v>
      </c>
      <c r="J379" s="66">
        <f t="shared" si="53"/>
        <v>0</v>
      </c>
      <c r="K379" s="66">
        <f>J379*$B$374</f>
        <v>0</v>
      </c>
      <c r="L379" s="66">
        <f t="shared" si="53"/>
        <v>0</v>
      </c>
      <c r="M379" s="66">
        <f t="shared" si="53"/>
        <v>0</v>
      </c>
      <c r="N379" s="66">
        <f>M379*$B$374</f>
        <v>0</v>
      </c>
      <c r="O379" s="66">
        <f t="shared" si="53"/>
        <v>0</v>
      </c>
      <c r="P379" s="66">
        <f t="shared" si="53"/>
        <v>0</v>
      </c>
    </row>
    <row r="380" spans="1:16">
      <c r="A380" t="s">
        <v>1306</v>
      </c>
      <c r="B380" s="66">
        <f t="shared" ref="B380:P380" si="54">B378-B379</f>
        <v>0</v>
      </c>
      <c r="C380" s="66">
        <f t="shared" si="54"/>
        <v>0</v>
      </c>
      <c r="D380" s="66">
        <f t="shared" si="54"/>
        <v>0</v>
      </c>
      <c r="E380" s="66">
        <f t="shared" si="54"/>
        <v>0</v>
      </c>
      <c r="F380" s="66">
        <f t="shared" si="54"/>
        <v>0</v>
      </c>
      <c r="G380" s="66">
        <f t="shared" si="54"/>
        <v>0</v>
      </c>
      <c r="H380" s="66">
        <f t="shared" si="54"/>
        <v>0</v>
      </c>
      <c r="I380" s="66">
        <f t="shared" si="54"/>
        <v>0</v>
      </c>
      <c r="J380" s="66">
        <f t="shared" si="54"/>
        <v>0</v>
      </c>
      <c r="K380" s="66">
        <f t="shared" si="54"/>
        <v>0</v>
      </c>
      <c r="L380" s="66">
        <f t="shared" si="54"/>
        <v>0</v>
      </c>
      <c r="M380" s="66">
        <f t="shared" si="54"/>
        <v>0</v>
      </c>
      <c r="N380" s="66">
        <f t="shared" si="54"/>
        <v>0</v>
      </c>
      <c r="O380" s="66">
        <f t="shared" si="54"/>
        <v>0</v>
      </c>
      <c r="P380" s="66">
        <f t="shared" si="54"/>
        <v>0</v>
      </c>
    </row>
    <row r="381" spans="1:16">
      <c r="A381" t="s">
        <v>2794</v>
      </c>
      <c r="B381" s="66">
        <f>-ABS(E123)</f>
        <v>0</v>
      </c>
      <c r="C381" s="66">
        <f t="shared" ref="C381:P383" si="55">$B381</f>
        <v>0</v>
      </c>
      <c r="D381" s="66">
        <f t="shared" si="55"/>
        <v>0</v>
      </c>
      <c r="E381" s="66">
        <f t="shared" si="55"/>
        <v>0</v>
      </c>
      <c r="F381" s="66">
        <f t="shared" si="55"/>
        <v>0</v>
      </c>
      <c r="G381" s="66">
        <f t="shared" si="55"/>
        <v>0</v>
      </c>
      <c r="H381" s="66">
        <f t="shared" si="55"/>
        <v>0</v>
      </c>
      <c r="I381" s="66">
        <f t="shared" si="55"/>
        <v>0</v>
      </c>
      <c r="J381" s="66">
        <f t="shared" si="55"/>
        <v>0</v>
      </c>
      <c r="K381" s="66">
        <f t="shared" ref="K381:M383" si="56">$B381</f>
        <v>0</v>
      </c>
      <c r="L381" s="66">
        <f t="shared" si="56"/>
        <v>0</v>
      </c>
      <c r="M381" s="66">
        <f t="shared" si="56"/>
        <v>0</v>
      </c>
      <c r="N381" s="66">
        <f t="shared" si="55"/>
        <v>0</v>
      </c>
      <c r="O381" s="66">
        <f t="shared" si="55"/>
        <v>0</v>
      </c>
      <c r="P381" s="66">
        <f t="shared" si="55"/>
        <v>0</v>
      </c>
    </row>
    <row r="382" spans="1:16">
      <c r="A382" t="s">
        <v>2795</v>
      </c>
      <c r="B382" s="66">
        <f>-ABS(E124)</f>
        <v>0</v>
      </c>
      <c r="C382" s="66">
        <f t="shared" si="55"/>
        <v>0</v>
      </c>
      <c r="D382" s="66">
        <f t="shared" si="55"/>
        <v>0</v>
      </c>
      <c r="E382" s="66">
        <f t="shared" si="55"/>
        <v>0</v>
      </c>
      <c r="F382" s="66">
        <f t="shared" si="55"/>
        <v>0</v>
      </c>
      <c r="G382" s="66">
        <f t="shared" si="55"/>
        <v>0</v>
      </c>
      <c r="H382" s="66">
        <f t="shared" si="55"/>
        <v>0</v>
      </c>
      <c r="I382" s="66">
        <f t="shared" si="55"/>
        <v>0</v>
      </c>
      <c r="J382" s="66">
        <f t="shared" si="55"/>
        <v>0</v>
      </c>
      <c r="K382" s="66">
        <f t="shared" si="56"/>
        <v>0</v>
      </c>
      <c r="L382" s="66">
        <f t="shared" si="56"/>
        <v>0</v>
      </c>
      <c r="M382" s="66">
        <f t="shared" si="56"/>
        <v>0</v>
      </c>
      <c r="N382" s="66">
        <f t="shared" si="55"/>
        <v>0</v>
      </c>
      <c r="O382" s="66">
        <f t="shared" si="55"/>
        <v>0</v>
      </c>
      <c r="P382" s="66">
        <f t="shared" si="55"/>
        <v>0</v>
      </c>
    </row>
    <row r="383" spans="1:16">
      <c r="A383" t="s">
        <v>2796</v>
      </c>
      <c r="B383" s="66">
        <f>-ABS(E125)</f>
        <v>0</v>
      </c>
      <c r="C383" s="66">
        <f t="shared" si="55"/>
        <v>0</v>
      </c>
      <c r="D383" s="66">
        <f t="shared" si="55"/>
        <v>0</v>
      </c>
      <c r="E383" s="66">
        <f t="shared" si="55"/>
        <v>0</v>
      </c>
      <c r="F383" s="66">
        <f t="shared" si="55"/>
        <v>0</v>
      </c>
      <c r="G383" s="66">
        <f t="shared" si="55"/>
        <v>0</v>
      </c>
      <c r="H383" s="66">
        <f t="shared" si="55"/>
        <v>0</v>
      </c>
      <c r="I383" s="66">
        <f t="shared" si="55"/>
        <v>0</v>
      </c>
      <c r="J383" s="66">
        <f t="shared" si="55"/>
        <v>0</v>
      </c>
      <c r="K383" s="66">
        <f t="shared" si="56"/>
        <v>0</v>
      </c>
      <c r="L383" s="66">
        <f t="shared" si="56"/>
        <v>0</v>
      </c>
      <c r="M383" s="66">
        <f t="shared" si="56"/>
        <v>0</v>
      </c>
      <c r="N383" s="66">
        <f t="shared" si="55"/>
        <v>0</v>
      </c>
      <c r="O383" s="66">
        <f t="shared" si="55"/>
        <v>0</v>
      </c>
      <c r="P383" s="66">
        <f t="shared" si="55"/>
        <v>0</v>
      </c>
    </row>
    <row r="384" spans="1:16">
      <c r="A384" t="s">
        <v>2797</v>
      </c>
      <c r="B384" s="66">
        <f t="shared" ref="B384:P384" si="57">B380+B381+B382+B383</f>
        <v>0</v>
      </c>
      <c r="C384" s="66">
        <f t="shared" si="57"/>
        <v>0</v>
      </c>
      <c r="D384" s="66">
        <f t="shared" si="57"/>
        <v>0</v>
      </c>
      <c r="E384" s="66">
        <f t="shared" si="57"/>
        <v>0</v>
      </c>
      <c r="F384" s="66">
        <f t="shared" si="57"/>
        <v>0</v>
      </c>
      <c r="G384" s="66">
        <f t="shared" si="57"/>
        <v>0</v>
      </c>
      <c r="H384" s="66">
        <f t="shared" si="57"/>
        <v>0</v>
      </c>
      <c r="I384" s="66">
        <f t="shared" si="57"/>
        <v>0</v>
      </c>
      <c r="J384" s="66">
        <f t="shared" si="57"/>
        <v>0</v>
      </c>
      <c r="K384" s="66">
        <f t="shared" si="57"/>
        <v>0</v>
      </c>
      <c r="L384" s="66">
        <f t="shared" si="57"/>
        <v>0</v>
      </c>
      <c r="M384" s="66">
        <f t="shared" si="57"/>
        <v>0</v>
      </c>
      <c r="N384" s="66">
        <f t="shared" si="57"/>
        <v>0</v>
      </c>
      <c r="O384" s="66">
        <f t="shared" si="57"/>
        <v>0</v>
      </c>
      <c r="P384" s="66">
        <f t="shared" si="57"/>
        <v>0</v>
      </c>
    </row>
    <row r="385" spans="1:32">
      <c r="A385" t="s">
        <v>1215</v>
      </c>
      <c r="B385" s="200" t="str">
        <f>IF($B$375,0,IF(SUM(B381:B383) = 0, "Loans Missing",  B380/ABS(B381+B382+B383)))</f>
        <v>Loans Missing</v>
      </c>
      <c r="C385" s="200" t="str">
        <f t="shared" ref="C385:P385" si="58">IF($B$375,0,IF(SUM(C381:C383) = 0, "Loans Missing",  C380/ABS(C381+C382+C383)))</f>
        <v>Loans Missing</v>
      </c>
      <c r="D385" s="200" t="str">
        <f t="shared" si="58"/>
        <v>Loans Missing</v>
      </c>
      <c r="E385" s="200" t="str">
        <f t="shared" si="58"/>
        <v>Loans Missing</v>
      </c>
      <c r="F385" s="200" t="str">
        <f t="shared" si="58"/>
        <v>Loans Missing</v>
      </c>
      <c r="G385" s="200" t="str">
        <f t="shared" si="58"/>
        <v>Loans Missing</v>
      </c>
      <c r="H385" s="200" t="str">
        <f t="shared" si="58"/>
        <v>Loans Missing</v>
      </c>
      <c r="I385" s="200" t="str">
        <f t="shared" si="58"/>
        <v>Loans Missing</v>
      </c>
      <c r="J385" s="200" t="str">
        <f t="shared" si="58"/>
        <v>Loans Missing</v>
      </c>
      <c r="K385" s="200" t="str">
        <f t="shared" si="58"/>
        <v>Loans Missing</v>
      </c>
      <c r="L385" s="200" t="str">
        <f t="shared" si="58"/>
        <v>Loans Missing</v>
      </c>
      <c r="M385" s="200" t="str">
        <f t="shared" si="58"/>
        <v>Loans Missing</v>
      </c>
      <c r="N385" s="200" t="str">
        <f t="shared" si="58"/>
        <v>Loans Missing</v>
      </c>
      <c r="O385" s="200" t="str">
        <f t="shared" si="58"/>
        <v>Loans Missing</v>
      </c>
      <c r="P385" s="200" t="str">
        <f t="shared" si="58"/>
        <v>Loans Missing</v>
      </c>
    </row>
    <row r="386" spans="1:32">
      <c r="B386" s="195"/>
      <c r="C386" s="195"/>
      <c r="D386" s="195"/>
      <c r="E386" s="195"/>
      <c r="F386" s="195"/>
      <c r="G386" s="195"/>
      <c r="H386" s="195"/>
      <c r="I386" s="195"/>
      <c r="J386" s="195"/>
      <c r="K386" s="195"/>
      <c r="L386" s="195"/>
      <c r="M386" s="195"/>
      <c r="N386" s="195"/>
      <c r="O386" s="195"/>
      <c r="P386" s="195"/>
    </row>
    <row r="387" spans="1:32">
      <c r="A387" t="s">
        <v>2798</v>
      </c>
      <c r="B387" s="66">
        <f t="shared" ref="B387:P387" si="59">B384</f>
        <v>0</v>
      </c>
      <c r="C387" s="66">
        <f t="shared" si="59"/>
        <v>0</v>
      </c>
      <c r="D387" s="66">
        <f t="shared" si="59"/>
        <v>0</v>
      </c>
      <c r="E387" s="66">
        <f t="shared" si="59"/>
        <v>0</v>
      </c>
      <c r="F387" s="66">
        <f t="shared" si="59"/>
        <v>0</v>
      </c>
      <c r="G387" s="66">
        <f t="shared" si="59"/>
        <v>0</v>
      </c>
      <c r="H387" s="66">
        <f t="shared" si="59"/>
        <v>0</v>
      </c>
      <c r="I387" s="66">
        <f t="shared" si="59"/>
        <v>0</v>
      </c>
      <c r="J387" s="66">
        <f t="shared" si="59"/>
        <v>0</v>
      </c>
      <c r="K387" s="66">
        <f t="shared" si="59"/>
        <v>0</v>
      </c>
      <c r="L387" s="66">
        <f t="shared" si="59"/>
        <v>0</v>
      </c>
      <c r="M387" s="66">
        <f t="shared" si="59"/>
        <v>0</v>
      </c>
      <c r="N387" s="66">
        <f t="shared" si="59"/>
        <v>0</v>
      </c>
      <c r="O387" s="66">
        <f t="shared" si="59"/>
        <v>0</v>
      </c>
      <c r="P387" s="66">
        <f t="shared" si="59"/>
        <v>0</v>
      </c>
    </row>
    <row r="388" spans="1:32">
      <c r="A388" t="str">
        <f>'Proforma, Income &amp; Expense'!A4</f>
        <v>Partnership/Asset Mgt. Fees</v>
      </c>
      <c r="B388" s="66">
        <f>-ABS('Proforma, Income &amp; Expense'!B4)</f>
        <v>0</v>
      </c>
      <c r="C388" s="66">
        <f>-ABS('Proforma, Income &amp; Expense'!C4)</f>
        <v>0</v>
      </c>
      <c r="D388" s="66">
        <f>-ABS('Proforma, Income &amp; Expense'!D4)</f>
        <v>0</v>
      </c>
      <c r="E388" s="66">
        <f>-ABS('Proforma, Income &amp; Expense'!E4)</f>
        <v>0</v>
      </c>
      <c r="F388" s="66">
        <f>-ABS('Proforma, Income &amp; Expense'!F4)</f>
        <v>0</v>
      </c>
      <c r="G388" s="66">
        <f>-ABS('Proforma, Income &amp; Expense'!G4)</f>
        <v>0</v>
      </c>
      <c r="H388" s="66">
        <f>-ABS('Proforma, Income &amp; Expense'!H4)</f>
        <v>0</v>
      </c>
      <c r="I388" s="66">
        <f>-ABS('Proforma, Income &amp; Expense'!I4)</f>
        <v>0</v>
      </c>
      <c r="J388" s="66">
        <f>-ABS('Proforma, Income &amp; Expense'!J4)</f>
        <v>0</v>
      </c>
      <c r="K388" s="66">
        <f>-ABS('Proforma, Income &amp; Expense'!K4)</f>
        <v>0</v>
      </c>
      <c r="L388" s="66">
        <f>-ABS('Proforma, Income &amp; Expense'!L4)</f>
        <v>0</v>
      </c>
      <c r="M388" s="66">
        <f>-ABS('Proforma, Income &amp; Expense'!M4)</f>
        <v>0</v>
      </c>
      <c r="N388" s="66">
        <f>-ABS('Proforma, Income &amp; Expense'!N4)</f>
        <v>0</v>
      </c>
      <c r="O388" s="66">
        <f>-ABS('Proforma, Income &amp; Expense'!O4)</f>
        <v>0</v>
      </c>
      <c r="P388" s="66">
        <f>-ABS('Proforma, Income &amp; Expense'!P4)</f>
        <v>0</v>
      </c>
    </row>
    <row r="389" spans="1:32" ht="15" customHeight="1">
      <c r="A389" t="str">
        <f>'Proforma, Income &amp; Expense'!A5</f>
        <v>Bond Fees (if applicable)</v>
      </c>
      <c r="B389" s="66">
        <f>-ABS('Proforma, Income &amp; Expense'!B5)</f>
        <v>0</v>
      </c>
      <c r="C389" s="66">
        <f>-ABS('Proforma, Income &amp; Expense'!C5)</f>
        <v>0</v>
      </c>
      <c r="D389" s="66">
        <f>-ABS('Proforma, Income &amp; Expense'!D5)</f>
        <v>0</v>
      </c>
      <c r="E389" s="66">
        <f>-ABS('Proforma, Income &amp; Expense'!E5)</f>
        <v>0</v>
      </c>
      <c r="F389" s="66">
        <f>-ABS('Proforma, Income &amp; Expense'!F5)</f>
        <v>0</v>
      </c>
      <c r="G389" s="66">
        <f>-ABS('Proforma, Income &amp; Expense'!G5)</f>
        <v>0</v>
      </c>
      <c r="H389" s="66">
        <f>-ABS('Proforma, Income &amp; Expense'!H5)</f>
        <v>0</v>
      </c>
      <c r="I389" s="66">
        <f>-ABS('Proforma, Income &amp; Expense'!I5)</f>
        <v>0</v>
      </c>
      <c r="J389" s="66">
        <f>-ABS('Proforma, Income &amp; Expense'!J5)</f>
        <v>0</v>
      </c>
      <c r="K389" s="66">
        <f>-ABS('Proforma, Income &amp; Expense'!K5)</f>
        <v>0</v>
      </c>
      <c r="L389" s="66">
        <f>-ABS('Proforma, Income &amp; Expense'!L5)</f>
        <v>0</v>
      </c>
      <c r="M389" s="66">
        <f>-ABS('Proforma, Income &amp; Expense'!M5)</f>
        <v>0</v>
      </c>
      <c r="N389" s="66">
        <f>-ABS('Proforma, Income &amp; Expense'!N5)</f>
        <v>0</v>
      </c>
      <c r="O389" s="66">
        <f>-ABS('Proforma, Income &amp; Expense'!O5)</f>
        <v>0</v>
      </c>
      <c r="P389" s="66">
        <f>-ABS('Proforma, Income &amp; Expense'!P5)</f>
        <v>0</v>
      </c>
    </row>
    <row r="390" spans="1:32">
      <c r="A390" t="str">
        <f>'Proforma, Income &amp; Expense'!A6</f>
        <v>Deferred Developer Fee Repayment*</v>
      </c>
      <c r="B390" s="66">
        <f>-ABS('Proforma, Income &amp; Expense'!B6)</f>
        <v>0</v>
      </c>
      <c r="C390" s="66">
        <f>-ABS('Proforma, Income &amp; Expense'!C6)</f>
        <v>0</v>
      </c>
      <c r="D390" s="66">
        <f>-ABS('Proforma, Income &amp; Expense'!D6)</f>
        <v>0</v>
      </c>
      <c r="E390" s="66">
        <f>-ABS('Proforma, Income &amp; Expense'!E6)</f>
        <v>0</v>
      </c>
      <c r="F390" s="66">
        <f>-ABS('Proforma, Income &amp; Expense'!F6)</f>
        <v>0</v>
      </c>
      <c r="G390" s="66">
        <f>-ABS('Proforma, Income &amp; Expense'!G6)</f>
        <v>0</v>
      </c>
      <c r="H390" s="66">
        <f>-ABS('Proforma, Income &amp; Expense'!H6)</f>
        <v>0</v>
      </c>
      <c r="I390" s="66">
        <f>-ABS('Proforma, Income &amp; Expense'!I6)</f>
        <v>0</v>
      </c>
      <c r="J390" s="66">
        <f>-ABS('Proforma, Income &amp; Expense'!J6)</f>
        <v>0</v>
      </c>
      <c r="K390" s="66">
        <f>-ABS('Proforma, Income &amp; Expense'!K6)</f>
        <v>0</v>
      </c>
      <c r="L390" s="66">
        <f>-ABS('Proforma, Income &amp; Expense'!L6)</f>
        <v>0</v>
      </c>
      <c r="M390" s="66">
        <f>-ABS('Proforma, Income &amp; Expense'!M6)</f>
        <v>0</v>
      </c>
      <c r="N390" s="66">
        <f>-ABS('Proforma, Income &amp; Expense'!N6)</f>
        <v>0</v>
      </c>
      <c r="O390" s="66">
        <f>-ABS('Proforma, Income &amp; Expense'!O6)</f>
        <v>0</v>
      </c>
      <c r="P390" s="66">
        <f>-ABS('Proforma, Income &amp; Expense'!P6)</f>
        <v>0</v>
      </c>
    </row>
    <row r="391" spans="1:32">
      <c r="A391" t="str">
        <f>'Proforma, Income &amp; Expense'!A7</f>
        <v>Other (Specify)</v>
      </c>
      <c r="B391" s="66">
        <f>-ABS('Proforma, Income &amp; Expense'!B7)</f>
        <v>0</v>
      </c>
      <c r="C391" s="66">
        <f>-ABS('Proforma, Income &amp; Expense'!C7)</f>
        <v>0</v>
      </c>
      <c r="D391" s="66">
        <f>-ABS('Proforma, Income &amp; Expense'!D7)</f>
        <v>0</v>
      </c>
      <c r="E391" s="66">
        <f>-ABS('Proforma, Income &amp; Expense'!E7)</f>
        <v>0</v>
      </c>
      <c r="F391" s="66">
        <f>-ABS('Proforma, Income &amp; Expense'!F7)</f>
        <v>0</v>
      </c>
      <c r="G391" s="66">
        <f>-ABS('Proforma, Income &amp; Expense'!G7)</f>
        <v>0</v>
      </c>
      <c r="H391" s="66">
        <f>-ABS('Proforma, Income &amp; Expense'!H7)</f>
        <v>0</v>
      </c>
      <c r="I391" s="66">
        <f>-ABS('Proforma, Income &amp; Expense'!I7)</f>
        <v>0</v>
      </c>
      <c r="J391" s="66">
        <f>-ABS('Proforma, Income &amp; Expense'!J7)</f>
        <v>0</v>
      </c>
      <c r="K391" s="66">
        <f>-ABS('Proforma, Income &amp; Expense'!K7)</f>
        <v>0</v>
      </c>
      <c r="L391" s="66">
        <f>-ABS('Proforma, Income &amp; Expense'!L7)</f>
        <v>0</v>
      </c>
      <c r="M391" s="66">
        <f>-ABS('Proforma, Income &amp; Expense'!M7)</f>
        <v>0</v>
      </c>
      <c r="N391" s="66">
        <f>-ABS('Proforma, Income &amp; Expense'!N7)</f>
        <v>0</v>
      </c>
      <c r="O391" s="66">
        <f>-ABS('Proforma, Income &amp; Expense'!O7)</f>
        <v>0</v>
      </c>
      <c r="P391" s="66">
        <f>-ABS('Proforma, Income &amp; Expense'!P7)</f>
        <v>0</v>
      </c>
    </row>
    <row r="392" spans="1:32">
      <c r="A392" t="str">
        <f>'Proforma, Income &amp; Expense'!A8</f>
        <v>Cash Flow Paid for Services</v>
      </c>
      <c r="B392" s="66">
        <f>-ABS('Proforma, Income &amp; Expense'!B8)</f>
        <v>0</v>
      </c>
      <c r="C392" s="66">
        <f>-ABS('Proforma, Income &amp; Expense'!C8)</f>
        <v>0</v>
      </c>
      <c r="D392" s="66">
        <f>-ABS('Proforma, Income &amp; Expense'!D8)</f>
        <v>0</v>
      </c>
      <c r="E392" s="66">
        <f>-ABS('Proforma, Income &amp; Expense'!E8)</f>
        <v>0</v>
      </c>
      <c r="F392" s="66">
        <f>-ABS('Proforma, Income &amp; Expense'!F8)</f>
        <v>0</v>
      </c>
      <c r="G392" s="66">
        <f>-ABS('Proforma, Income &amp; Expense'!G8)</f>
        <v>0</v>
      </c>
      <c r="H392" s="66">
        <f>-ABS('Proforma, Income &amp; Expense'!H8)</f>
        <v>0</v>
      </c>
      <c r="I392" s="66">
        <f>-ABS('Proforma, Income &amp; Expense'!I8)</f>
        <v>0</v>
      </c>
      <c r="J392" s="66">
        <f>-ABS('Proforma, Income &amp; Expense'!J8)</f>
        <v>0</v>
      </c>
      <c r="K392" s="66">
        <f>-ABS('Proforma, Income &amp; Expense'!K8)</f>
        <v>0</v>
      </c>
      <c r="L392" s="66">
        <f>-ABS('Proforma, Income &amp; Expense'!L8)</f>
        <v>0</v>
      </c>
      <c r="M392" s="66">
        <f>-ABS('Proforma, Income &amp; Expense'!M8)</f>
        <v>0</v>
      </c>
      <c r="N392" s="66">
        <f>-ABS('Proforma, Income &amp; Expense'!N8)</f>
        <v>0</v>
      </c>
      <c r="O392" s="66">
        <f>-ABS('Proforma, Income &amp; Expense'!O8)</f>
        <v>0</v>
      </c>
      <c r="P392" s="66">
        <f>-ABS('Proforma, Income &amp; Expense'!P8)</f>
        <v>0</v>
      </c>
      <c r="Q392" s="16" t="s">
        <v>2799</v>
      </c>
      <c r="R392" s="16"/>
      <c r="S392" s="16"/>
      <c r="T392" s="16"/>
      <c r="U392" s="16"/>
    </row>
    <row r="393" spans="1:32">
      <c r="A393" t="s">
        <v>2800</v>
      </c>
      <c r="B393" s="66">
        <f>SUM(B387:B392)</f>
        <v>0</v>
      </c>
      <c r="C393" s="66">
        <f t="shared" ref="C393:P393" si="60">SUM(C387:C392)</f>
        <v>0</v>
      </c>
      <c r="D393" s="66">
        <f t="shared" si="60"/>
        <v>0</v>
      </c>
      <c r="E393" s="66">
        <f t="shared" si="60"/>
        <v>0</v>
      </c>
      <c r="F393" s="66">
        <f t="shared" si="60"/>
        <v>0</v>
      </c>
      <c r="G393" s="66">
        <f t="shared" si="60"/>
        <v>0</v>
      </c>
      <c r="H393" s="66">
        <f t="shared" si="60"/>
        <v>0</v>
      </c>
      <c r="I393" s="66">
        <f t="shared" si="60"/>
        <v>0</v>
      </c>
      <c r="J393" s="66">
        <f t="shared" si="60"/>
        <v>0</v>
      </c>
      <c r="K393" s="66">
        <f t="shared" si="60"/>
        <v>0</v>
      </c>
      <c r="L393" s="66">
        <f t="shared" si="60"/>
        <v>0</v>
      </c>
      <c r="M393" s="66">
        <f t="shared" si="60"/>
        <v>0</v>
      </c>
      <c r="N393" s="66">
        <f t="shared" si="60"/>
        <v>0</v>
      </c>
      <c r="O393" s="66">
        <f t="shared" si="60"/>
        <v>0</v>
      </c>
      <c r="P393" s="66">
        <f t="shared" si="60"/>
        <v>0</v>
      </c>
    </row>
    <row r="394" spans="1:32">
      <c r="B394" s="66"/>
      <c r="C394" s="66"/>
      <c r="D394" s="66"/>
      <c r="E394" s="66"/>
      <c r="F394" s="66"/>
      <c r="G394" s="66"/>
      <c r="H394" s="66"/>
      <c r="I394" s="66"/>
      <c r="J394" s="66"/>
      <c r="K394" s="66"/>
      <c r="L394" s="66"/>
      <c r="M394" s="66"/>
      <c r="N394" s="66"/>
      <c r="O394" s="66"/>
      <c r="P394" s="66"/>
      <c r="Q394">
        <f>MATCH(0,R398:AF398,0)</f>
        <v>1</v>
      </c>
    </row>
    <row r="395" spans="1:32">
      <c r="A395" t="s">
        <v>382</v>
      </c>
      <c r="B395" s="66">
        <f>B140</f>
        <v>0</v>
      </c>
      <c r="C395" s="67" t="s">
        <v>2801</v>
      </c>
      <c r="D395" s="129" t="str">
        <f>IF(ISNA(Q394) = TRUE, "After Year 15", CONCATENATE("IN YEAR ",Q394))</f>
        <v>IN YEAR 1</v>
      </c>
      <c r="E395" s="1"/>
      <c r="G395" t="str">
        <f>IF(B393:K393&lt;=0,"Cash Flow After Above Obligations Must Be Positive"," ")</f>
        <v>Cash Flow After Above Obligations Must Be Positive</v>
      </c>
      <c r="Q395" t="s">
        <v>2802</v>
      </c>
      <c r="R395" t="s">
        <v>537</v>
      </c>
      <c r="S395" t="s">
        <v>538</v>
      </c>
      <c r="T395" t="s">
        <v>539</v>
      </c>
      <c r="U395" t="s">
        <v>540</v>
      </c>
      <c r="V395" t="s">
        <v>541</v>
      </c>
      <c r="W395" t="s">
        <v>542</v>
      </c>
      <c r="X395" t="s">
        <v>543</v>
      </c>
      <c r="Y395" t="s">
        <v>544</v>
      </c>
      <c r="Z395" t="s">
        <v>545</v>
      </c>
      <c r="AA395" t="s">
        <v>546</v>
      </c>
      <c r="AB395" t="s">
        <v>547</v>
      </c>
      <c r="AC395" t="s">
        <v>548</v>
      </c>
      <c r="AD395" t="s">
        <v>549</v>
      </c>
      <c r="AE395" t="s">
        <v>550</v>
      </c>
      <c r="AF395" t="s">
        <v>551</v>
      </c>
    </row>
    <row r="396" spans="1:32">
      <c r="A396" t="s">
        <v>977</v>
      </c>
      <c r="B396" s="66">
        <f>SUM(B387:K387)</f>
        <v>0</v>
      </c>
      <c r="F396" t="b">
        <f>B396&gt;=B140</f>
        <v>1</v>
      </c>
      <c r="G396" t="str">
        <f>INDEX(Comments_10_Year_Test_table[],MATCH(F396,Comments_10_Year_Test_table[10 Year Cash Flow],0),2)</f>
        <v>The 10 Year cash flow available after obligations payable test has been met</v>
      </c>
      <c r="Q396" t="s">
        <v>2803</v>
      </c>
      <c r="R396" s="66">
        <f>B140</f>
        <v>0</v>
      </c>
      <c r="S396" s="66">
        <f t="shared" ref="S396:AF396" si="61">R398</f>
        <v>0</v>
      </c>
      <c r="T396" s="66">
        <f t="shared" si="61"/>
        <v>0</v>
      </c>
      <c r="U396" s="66">
        <f t="shared" si="61"/>
        <v>0</v>
      </c>
      <c r="V396" s="66">
        <f t="shared" si="61"/>
        <v>0</v>
      </c>
      <c r="W396" s="66">
        <f t="shared" si="61"/>
        <v>0</v>
      </c>
      <c r="X396" s="66">
        <f t="shared" si="61"/>
        <v>0</v>
      </c>
      <c r="Y396" s="66">
        <f t="shared" si="61"/>
        <v>0</v>
      </c>
      <c r="Z396" s="66">
        <f t="shared" si="61"/>
        <v>0</v>
      </c>
      <c r="AA396" s="66">
        <f t="shared" si="61"/>
        <v>0</v>
      </c>
      <c r="AB396" s="66">
        <f t="shared" si="61"/>
        <v>0</v>
      </c>
      <c r="AC396" s="66">
        <f t="shared" si="61"/>
        <v>0</v>
      </c>
      <c r="AD396" s="66">
        <f t="shared" si="61"/>
        <v>0</v>
      </c>
      <c r="AE396" s="66">
        <f t="shared" si="61"/>
        <v>0</v>
      </c>
      <c r="AF396" s="66">
        <f t="shared" si="61"/>
        <v>0</v>
      </c>
    </row>
    <row r="397" spans="1:32">
      <c r="A397" t="s">
        <v>978</v>
      </c>
      <c r="B397" s="66">
        <f>SUM(B387:P387)</f>
        <v>0</v>
      </c>
      <c r="F397" t="b">
        <f>B397&gt;=B140</f>
        <v>1</v>
      </c>
      <c r="G397" t="str">
        <f>INDEX(Comments_15_Year_Test_Table[],MATCH(F397,Comments_15_Year_Test_Table[15 Year Cash Flow],0),2)</f>
        <v>The 15 Year cash flow available after obligations payable test has been met</v>
      </c>
      <c r="Q397" t="s">
        <v>2804</v>
      </c>
      <c r="R397" s="149">
        <f>IF((R396&lt;(B387)),R396,ABS(B390))</f>
        <v>0</v>
      </c>
      <c r="S397" s="149">
        <f t="shared" ref="S397:AF397" si="62">IF((S396&lt;(C387)),S396,ABS(C390))</f>
        <v>0</v>
      </c>
      <c r="T397" s="149">
        <f t="shared" si="62"/>
        <v>0</v>
      </c>
      <c r="U397" s="149">
        <f t="shared" si="62"/>
        <v>0</v>
      </c>
      <c r="V397" s="149">
        <f t="shared" si="62"/>
        <v>0</v>
      </c>
      <c r="W397" s="149">
        <f t="shared" si="62"/>
        <v>0</v>
      </c>
      <c r="X397" s="149">
        <f t="shared" si="62"/>
        <v>0</v>
      </c>
      <c r="Y397" s="149">
        <f t="shared" si="62"/>
        <v>0</v>
      </c>
      <c r="Z397" s="149">
        <f t="shared" si="62"/>
        <v>0</v>
      </c>
      <c r="AA397" s="149">
        <f>IF((AA396&lt;(K387)),AA396,ABS(K390))</f>
        <v>0</v>
      </c>
      <c r="AB397" s="149">
        <f>IF((AB396&lt;(L387)),AB396,ABS(L390))</f>
        <v>0</v>
      </c>
      <c r="AC397" s="149">
        <f>IF((AC396&lt;(M387)),AC396,ABS(M390))</f>
        <v>0</v>
      </c>
      <c r="AD397" s="149">
        <f t="shared" si="62"/>
        <v>0</v>
      </c>
      <c r="AE397" s="149">
        <f t="shared" si="62"/>
        <v>0</v>
      </c>
      <c r="AF397" s="149">
        <f t="shared" si="62"/>
        <v>0</v>
      </c>
    </row>
    <row r="398" spans="1:32">
      <c r="D398" s="67" t="s">
        <v>2805</v>
      </c>
      <c r="E398" s="12">
        <f>Admin!B9</f>
        <v>1.1499999999999999</v>
      </c>
      <c r="F398" t="e">
        <f>ROUNDDOWN(B385,4)&gt;=ROUNDDOWN(Admin!B9,4)</f>
        <v>#VALUE!</v>
      </c>
      <c r="G398" t="e">
        <f>INDEX(Comments_Min_DCR_table[],MATCH(F398,Comments_Min_DCR_table[Min DCR],0),2)</f>
        <v>#VALUE!</v>
      </c>
      <c r="Q398" t="s">
        <v>2806</v>
      </c>
      <c r="R398" s="66">
        <f>IF(R396-R397&lt;0,0,R396-R397)</f>
        <v>0</v>
      </c>
      <c r="S398" s="66">
        <f t="shared" ref="S398:AF398" si="63">IF(S396-S397&lt;0,0,S396-S397)</f>
        <v>0</v>
      </c>
      <c r="T398" s="66">
        <f t="shared" si="63"/>
        <v>0</v>
      </c>
      <c r="U398" s="66">
        <f t="shared" si="63"/>
        <v>0</v>
      </c>
      <c r="V398" s="66">
        <f t="shared" si="63"/>
        <v>0</v>
      </c>
      <c r="W398" s="66">
        <f t="shared" si="63"/>
        <v>0</v>
      </c>
      <c r="X398" s="66">
        <f t="shared" si="63"/>
        <v>0</v>
      </c>
      <c r="Y398" s="66">
        <f t="shared" si="63"/>
        <v>0</v>
      </c>
      <c r="Z398" s="66">
        <f t="shared" si="63"/>
        <v>0</v>
      </c>
      <c r="AA398" s="66">
        <f t="shared" si="63"/>
        <v>0</v>
      </c>
      <c r="AB398" s="66">
        <f t="shared" si="63"/>
        <v>0</v>
      </c>
      <c r="AC398" s="66">
        <f t="shared" si="63"/>
        <v>0</v>
      </c>
      <c r="AD398" s="66">
        <f t="shared" si="63"/>
        <v>0</v>
      </c>
      <c r="AE398" s="66">
        <f t="shared" si="63"/>
        <v>0</v>
      </c>
      <c r="AF398" s="66">
        <f t="shared" si="63"/>
        <v>0</v>
      </c>
    </row>
    <row r="399" spans="1:32">
      <c r="E399" s="1"/>
    </row>
    <row r="400" spans="1:32">
      <c r="A400" s="194" t="s">
        <v>2807</v>
      </c>
      <c r="B400" s="99"/>
      <c r="C400" s="99"/>
      <c r="D400" s="99"/>
      <c r="E400" s="99"/>
      <c r="F400" s="99"/>
      <c r="G400" s="99"/>
      <c r="H400" s="99"/>
      <c r="I400" s="99"/>
      <c r="J400" s="99"/>
      <c r="K400" s="99"/>
      <c r="L400" s="99"/>
      <c r="M400" s="99"/>
      <c r="N400" s="99"/>
      <c r="O400" s="99"/>
      <c r="P400" s="99"/>
    </row>
    <row r="401" spans="1:5">
      <c r="D401" s="49"/>
      <c r="E401" s="1"/>
    </row>
    <row r="402" spans="1:5">
      <c r="A402" s="22" t="s">
        <v>2808</v>
      </c>
      <c r="D402" t="s">
        <v>2809</v>
      </c>
    </row>
    <row r="403" spans="1:5">
      <c r="A403" t="s">
        <v>2810</v>
      </c>
      <c r="B403" t="e">
        <f>INDEX(Developer_Additional_Question_Table[[Dev Fee Max Allowed Percent 1]:[Dev Fee Max Allowed Percent 3]],  MATCH(C403, Developer_Additional_Question_Table[Developer Additional Question], 0),  D403)</f>
        <v>#N/A</v>
      </c>
      <c r="C403">
        <f>Application!B9</f>
        <v>0</v>
      </c>
      <c r="D403" s="49">
        <f t="array" ref="D403">MATCH(1, ($H$45 &lt;= Admin!C71:C73) * ($H$45&gt;=Admin!B71:B73), 0)</f>
        <v>1</v>
      </c>
    </row>
    <row r="404" spans="1:5">
      <c r="A404" t="s">
        <v>2811</v>
      </c>
      <c r="B404" s="66">
        <f>B186</f>
        <v>0</v>
      </c>
      <c r="E404" s="1"/>
    </row>
    <row r="405" spans="1:5">
      <c r="A405" t="s">
        <v>2812</v>
      </c>
      <c r="B405" s="66">
        <f>B187</f>
        <v>0</v>
      </c>
      <c r="E405" s="1"/>
    </row>
    <row r="406" spans="1:5">
      <c r="A406" t="s">
        <v>982</v>
      </c>
      <c r="B406" s="66">
        <f>SUM(B404:B405)</f>
        <v>0</v>
      </c>
      <c r="E406" s="1"/>
    </row>
    <row r="407" spans="1:5">
      <c r="A407" t="s">
        <v>2813</v>
      </c>
      <c r="B407" s="66"/>
      <c r="E407" s="1"/>
    </row>
    <row r="408" spans="1:5">
      <c r="A408" s="209" t="s">
        <v>985</v>
      </c>
      <c r="B408" s="66">
        <f>B181+B182+B184</f>
        <v>0</v>
      </c>
      <c r="E408" s="1"/>
    </row>
    <row r="409" spans="1:5">
      <c r="A409" s="209" t="s">
        <v>986</v>
      </c>
      <c r="B409" s="66">
        <f>B177</f>
        <v>0</v>
      </c>
      <c r="E409" s="1"/>
    </row>
    <row r="410" spans="1:5">
      <c r="A410" s="209" t="s">
        <v>987</v>
      </c>
      <c r="B410" s="66">
        <f>B188</f>
        <v>0</v>
      </c>
      <c r="E410" s="1"/>
    </row>
    <row r="411" spans="1:5" ht="15.75" thickBot="1">
      <c r="A411" s="209" t="s">
        <v>495</v>
      </c>
      <c r="B411" s="66">
        <f>B183</f>
        <v>0</v>
      </c>
      <c r="E411" s="1"/>
    </row>
    <row r="412" spans="1:5" ht="15.75" thickTop="1">
      <c r="A412" s="73" t="s">
        <v>2814</v>
      </c>
      <c r="B412" s="448">
        <f>SUM(B408:B411)</f>
        <v>0</v>
      </c>
      <c r="E412" s="1"/>
    </row>
    <row r="413" spans="1:5">
      <c r="A413" t="s">
        <v>2815</v>
      </c>
      <c r="B413" s="66" t="e">
        <f>B412*B403</f>
        <v>#N/A</v>
      </c>
      <c r="D413" s="67" t="s">
        <v>2816</v>
      </c>
      <c r="E413" s="307">
        <f>IF(B412=0,0,B406/B412)</f>
        <v>0</v>
      </c>
    </row>
    <row r="414" spans="1:5">
      <c r="A414" s="73" t="s">
        <v>990</v>
      </c>
      <c r="B414" s="66" t="e">
        <f>IF(B406 &gt; B413, B406-B413, 0)</f>
        <v>#N/A</v>
      </c>
      <c r="E414" s="1"/>
    </row>
    <row r="415" spans="1:5">
      <c r="E415" s="1"/>
    </row>
    <row r="416" spans="1:5">
      <c r="A416" s="22" t="s">
        <v>2817</v>
      </c>
      <c r="E416" s="1"/>
    </row>
    <row r="417" spans="1:7">
      <c r="A417" t="s">
        <v>2810</v>
      </c>
      <c r="B417">
        <f t="array" ref="B417">INDEX(Dev_Fee_Aggregate_Max_Allowed_Table[%], MATCH(1, ($H$45 &lt;= Dev_Fee_Aggregate_Max_Allowed_Table[unit max]) * ($H$45&gt;=Dev_Fee_Aggregate_Max_Allowed_Table[unit min]), 0))</f>
        <v>0.15</v>
      </c>
      <c r="E417" s="1"/>
    </row>
    <row r="418" spans="1:7">
      <c r="A418" t="s">
        <v>2818</v>
      </c>
      <c r="B418">
        <f>IF(Application!B107 = "Yes", Admin!B68, 0)</f>
        <v>0</v>
      </c>
      <c r="C418" s="1"/>
      <c r="D418" s="1"/>
      <c r="E418" s="1"/>
    </row>
    <row r="419" spans="1:7">
      <c r="A419" t="s">
        <v>1967</v>
      </c>
      <c r="B419" s="66">
        <f>B292</f>
        <v>0</v>
      </c>
      <c r="E419" s="1"/>
    </row>
    <row r="420" spans="1:7">
      <c r="A420" t="s">
        <v>2819</v>
      </c>
      <c r="B420" s="66" t="e">
        <f>-B414</f>
        <v>#N/A</v>
      </c>
      <c r="E420" s="1"/>
    </row>
    <row r="421" spans="1:7" s="320" customFormat="1" ht="14.25" customHeight="1">
      <c r="A421" s="320" t="s">
        <v>2820</v>
      </c>
      <c r="B421" s="509">
        <f>IF(Admin!B33="yes",0,-Calculations!B173*0.5)</f>
        <v>0</v>
      </c>
      <c r="C421" s="320" t="str">
        <f>IF(Admin!B33="yes", "existing structures override granted", "")</f>
        <v/>
      </c>
      <c r="E421" s="489"/>
    </row>
    <row r="422" spans="1:7">
      <c r="A422" t="s">
        <v>2821</v>
      </c>
      <c r="B422" s="66">
        <f>-B172</f>
        <v>0</v>
      </c>
      <c r="E422" s="1"/>
      <c r="F422" s="1"/>
    </row>
    <row r="423" spans="1:7">
      <c r="A423" t="s">
        <v>2822</v>
      </c>
      <c r="B423" s="66">
        <f>-SUM(B276:B282)</f>
        <v>0</v>
      </c>
      <c r="E423" s="1"/>
    </row>
    <row r="424" spans="1:7" ht="15.75" thickBot="1">
      <c r="A424" t="s">
        <v>2823</v>
      </c>
      <c r="B424" s="66">
        <f>-SUM(B285:B290)</f>
        <v>0</v>
      </c>
      <c r="E424" s="1"/>
    </row>
    <row r="425" spans="1:7" ht="15.75" thickTop="1">
      <c r="A425" s="73" t="s">
        <v>2824</v>
      </c>
      <c r="B425" s="448" t="e">
        <f>SUM(B419:B424)</f>
        <v>#N/A</v>
      </c>
      <c r="E425" s="1"/>
    </row>
    <row r="426" spans="1:7">
      <c r="A426" t="s">
        <v>2825</v>
      </c>
      <c r="B426" s="66" t="e">
        <f>ROUND(B425*(B431), 0)</f>
        <v>#N/A</v>
      </c>
      <c r="C426" s="123"/>
      <c r="F426" s="22" t="s">
        <v>2826</v>
      </c>
    </row>
    <row r="427" spans="1:7">
      <c r="A427" t="s">
        <v>2827</v>
      </c>
      <c r="B427" s="66">
        <f>SUM(B276,B277,B278,B280,B281,B282)</f>
        <v>0</v>
      </c>
      <c r="D427" s="67" t="s">
        <v>2828</v>
      </c>
      <c r="E427" s="197">
        <f>IFERROR(B427/B425,0)</f>
        <v>0</v>
      </c>
      <c r="F427" t="b">
        <f>B417&gt;=E427</f>
        <v>1</v>
      </c>
      <c r="G427" t="str">
        <f>IF(NOT(F427),CONCATENATE("cannot exceed ", TEXT(B417, "0.00%")),"")</f>
        <v/>
      </c>
    </row>
    <row r="428" spans="1:7" ht="15.75" thickBot="1">
      <c r="A428" t="s">
        <v>2829</v>
      </c>
      <c r="B428" s="66">
        <f>B279</f>
        <v>0</v>
      </c>
      <c r="D428" s="67" t="s">
        <v>2830</v>
      </c>
      <c r="E428" s="197">
        <f>IFERROR(B428/B425,0)</f>
        <v>0</v>
      </c>
      <c r="F428" t="b">
        <f>B418&gt;=E428</f>
        <v>1</v>
      </c>
      <c r="G428" t="str">
        <f>IF(NOT(F428),CONCATENATE("cannot exceed ", TEXT(B418, "0.00%")),"")</f>
        <v/>
      </c>
    </row>
    <row r="429" spans="1:7" s="320" customFormat="1" ht="15.75" thickTop="1">
      <c r="A429" s="471" t="s">
        <v>990</v>
      </c>
      <c r="B429" s="472" t="e">
        <f>IF(B427+B428 &gt; B426, B427-B426+B428, 0)</f>
        <v>#N/A</v>
      </c>
      <c r="D429" s="473" t="s">
        <v>953</v>
      </c>
      <c r="E429" s="474">
        <f>B427+B428</f>
        <v>0</v>
      </c>
    </row>
    <row r="430" spans="1:7">
      <c r="A430" t="s">
        <v>2828</v>
      </c>
      <c r="B430" s="197" t="e">
        <f>IF(B425=0,0,(B427+B428)/B425)</f>
        <v>#N/A</v>
      </c>
      <c r="E430" s="1"/>
    </row>
    <row r="431" spans="1:7">
      <c r="A431" s="73" t="s">
        <v>2831</v>
      </c>
      <c r="B431" s="197">
        <f>B417+B418</f>
        <v>0.15</v>
      </c>
      <c r="E431" s="1"/>
    </row>
    <row r="432" spans="1:7">
      <c r="E432" s="1"/>
    </row>
    <row r="433" spans="1:16">
      <c r="A433" s="248" t="s">
        <v>2832</v>
      </c>
      <c r="B433" s="99"/>
      <c r="C433" s="99"/>
      <c r="D433" s="99"/>
      <c r="E433" s="99"/>
      <c r="F433" s="99"/>
      <c r="G433" s="99"/>
      <c r="H433" s="99"/>
      <c r="I433" s="99"/>
      <c r="J433" s="99"/>
      <c r="K433" s="99"/>
      <c r="L433" s="99"/>
      <c r="M433" s="99"/>
      <c r="N433" s="99"/>
      <c r="O433" s="99"/>
      <c r="P433" s="99"/>
    </row>
    <row r="434" spans="1:16">
      <c r="F434" s="1"/>
    </row>
    <row r="435" spans="1:16">
      <c r="A435" t="s">
        <v>2683</v>
      </c>
      <c r="B435" t="b">
        <f>$B$6</f>
        <v>0</v>
      </c>
      <c r="F435" s="1"/>
    </row>
    <row r="436" spans="1:16">
      <c r="A436" t="s">
        <v>2687</v>
      </c>
      <c r="B436" t="b">
        <f>$B$10</f>
        <v>0</v>
      </c>
      <c r="F436" s="1"/>
    </row>
    <row r="437" spans="1:16">
      <c r="A437" t="s">
        <v>2684</v>
      </c>
      <c r="B437" t="b">
        <f>$B$7</f>
        <v>0</v>
      </c>
      <c r="F437" s="1"/>
    </row>
    <row r="438" spans="1:16">
      <c r="B438" t="s">
        <v>863</v>
      </c>
      <c r="C438" t="s">
        <v>127</v>
      </c>
      <c r="F438" s="1"/>
    </row>
    <row r="439" spans="1:16">
      <c r="A439" s="22" t="s">
        <v>864</v>
      </c>
      <c r="F439" s="1"/>
    </row>
    <row r="440" spans="1:16">
      <c r="A440" s="207">
        <v>0.04</v>
      </c>
      <c r="B440" s="66">
        <f>IF($B$435, 0, $C$292)</f>
        <v>0</v>
      </c>
      <c r="C440" s="66">
        <f>IF($B$435, 0, $C$292)</f>
        <v>0</v>
      </c>
      <c r="D440" t="s">
        <v>2833</v>
      </c>
      <c r="F440" s="1"/>
    </row>
    <row r="441" spans="1:16">
      <c r="A441" s="207">
        <v>0.09</v>
      </c>
      <c r="B441" s="66">
        <f>IF($B$435,$D$292,0)</f>
        <v>0</v>
      </c>
      <c r="C441" s="66">
        <f>IF($B$435,$D$292,0)</f>
        <v>0</v>
      </c>
      <c r="D441" t="s">
        <v>2834</v>
      </c>
      <c r="F441" s="1"/>
    </row>
    <row r="442" spans="1:16">
      <c r="A442" t="s">
        <v>2835</v>
      </c>
      <c r="B442" s="66">
        <f>IF(AND($B$435, $B$437), $B$173, 0)</f>
        <v>0</v>
      </c>
      <c r="C442" s="66">
        <f>IF(AND($B$435, $B$437), $B$173, 0)</f>
        <v>0</v>
      </c>
      <c r="D442" t="s">
        <v>2836</v>
      </c>
      <c r="F442" s="1"/>
    </row>
    <row r="443" spans="1:16" ht="17.25">
      <c r="B443" s="66"/>
      <c r="C443" s="66"/>
      <c r="D443" s="280" t="s">
        <v>2837</v>
      </c>
      <c r="F443" s="1"/>
    </row>
    <row r="444" spans="1:16">
      <c r="A444" t="s">
        <v>864</v>
      </c>
      <c r="B444" s="66">
        <f>SUM(B440:B442)</f>
        <v>0</v>
      </c>
      <c r="C444" s="66">
        <f>SUM(C440:C442)</f>
        <v>0</v>
      </c>
      <c r="D444" s="66" t="str">
        <f>IF(AND(Admin!$B$18, $B$10),C444,"")</f>
        <v/>
      </c>
      <c r="F444" s="1"/>
    </row>
    <row r="445" spans="1:16">
      <c r="A445" t="s">
        <v>2838</v>
      </c>
      <c r="B445" s="66" t="e">
        <f>-$B$429</f>
        <v>#N/A</v>
      </c>
      <c r="C445" s="66" t="e">
        <f>-$B$429</f>
        <v>#N/A</v>
      </c>
      <c r="D445" s="66" t="str">
        <f>IF(AND(Admin!$B$18, $B$10),C445,"")</f>
        <v/>
      </c>
      <c r="F445" s="1"/>
    </row>
    <row r="446" spans="1:16" ht="15.75" thickBot="1">
      <c r="A446" t="s">
        <v>2839</v>
      </c>
      <c r="B446" s="66">
        <f>-ABS(IF(Admin!$B$79 = "", Application!B85, Admin!$B$79))</f>
        <v>0</v>
      </c>
      <c r="C446" s="66">
        <f>-ABS(IF(Admin!$B$80 = "",Application!B87, Admin!$B$80))</f>
        <v>0</v>
      </c>
      <c r="D446" s="66" t="str">
        <f>IF(AND(Admin!$B$18, $B$10),C446,"")</f>
        <v/>
      </c>
      <c r="E446" t="s">
        <v>2840</v>
      </c>
      <c r="F446" s="1"/>
    </row>
    <row r="447" spans="1:16" ht="15.75" thickTop="1">
      <c r="A447" t="s">
        <v>868</v>
      </c>
      <c r="B447" s="198" t="e">
        <f>SUM(B444:B446)</f>
        <v>#N/A</v>
      </c>
      <c r="C447" s="198" t="e">
        <f>SUM(C444:C446)</f>
        <v>#N/A</v>
      </c>
      <c r="D447" s="198" t="str">
        <f>IF(AND(Admin!$B$18, $B$10),C447,"")</f>
        <v/>
      </c>
      <c r="F447" s="1"/>
    </row>
    <row r="448" spans="1:16">
      <c r="B448" s="66"/>
      <c r="E448" s="1"/>
    </row>
    <row r="449" spans="1:16">
      <c r="E449" s="1"/>
    </row>
    <row r="450" spans="1:16">
      <c r="A450" s="194" t="s">
        <v>2841</v>
      </c>
      <c r="B450" s="99"/>
      <c r="C450" s="99"/>
      <c r="D450" s="99"/>
      <c r="E450" s="99"/>
      <c r="F450" s="99"/>
      <c r="G450" s="99"/>
      <c r="H450" s="99"/>
      <c r="I450" s="99"/>
      <c r="J450" s="99"/>
      <c r="K450" s="99"/>
      <c r="L450" s="99"/>
      <c r="M450" s="99"/>
      <c r="N450" s="99"/>
      <c r="O450" s="99"/>
      <c r="P450" s="99"/>
    </row>
    <row r="451" spans="1:16">
      <c r="E451" s="1"/>
    </row>
    <row r="452" spans="1:16">
      <c r="A452" t="s">
        <v>2842</v>
      </c>
      <c r="B452" t="b">
        <f>$B$21</f>
        <v>0</v>
      </c>
      <c r="E452" s="1"/>
    </row>
    <row r="454" spans="1:16">
      <c r="A454" s="13" t="s">
        <v>2843</v>
      </c>
    </row>
    <row r="455" spans="1:16" ht="18.75">
      <c r="A455" s="249" t="s">
        <v>2844</v>
      </c>
    </row>
    <row r="456" spans="1:16">
      <c r="A456" t="s">
        <v>797</v>
      </c>
      <c r="B456" s="66" t="e">
        <f>$B$447</f>
        <v>#N/A</v>
      </c>
    </row>
    <row r="457" spans="1:16" ht="15.75" thickBot="1">
      <c r="A457" t="s">
        <v>2845</v>
      </c>
      <c r="B457" s="66">
        <f>IF(B7, 'Development Budget'!C5, 0)</f>
        <v>0</v>
      </c>
    </row>
    <row r="458" spans="1:16" ht="15.75" thickTop="1">
      <c r="B458" s="448" t="e">
        <f>B456-B457</f>
        <v>#N/A</v>
      </c>
    </row>
    <row r="459" spans="1:16" ht="15.75" thickBot="1">
      <c r="A459" t="s">
        <v>2846</v>
      </c>
      <c r="B459" s="12">
        <f>IF($B$452, Admin!$B$81, 1)</f>
        <v>1</v>
      </c>
    </row>
    <row r="460" spans="1:16" ht="15.75" thickTop="1">
      <c r="A460" t="s">
        <v>2847</v>
      </c>
      <c r="B460" s="448" t="e">
        <f>ROUND(B458*B459, 0)</f>
        <v>#N/A</v>
      </c>
    </row>
    <row r="461" spans="1:16" ht="15.75" thickBot="1">
      <c r="A461" t="s">
        <v>871</v>
      </c>
      <c r="B461" s="70">
        <f>$K$74</f>
        <v>0</v>
      </c>
    </row>
    <row r="462" spans="1:16" ht="15.75" thickTop="1">
      <c r="A462" t="s">
        <v>2848</v>
      </c>
      <c r="B462" s="448" t="e">
        <f>ROUND(B460*B461, 0)</f>
        <v>#N/A</v>
      </c>
    </row>
    <row r="463" spans="1:16" ht="15.75" thickBot="1">
      <c r="A463" t="s">
        <v>2849</v>
      </c>
      <c r="B463" s="324">
        <f>IF($B$6, Application!$B$19, Application!$B$20)</f>
        <v>0.04</v>
      </c>
      <c r="C463" t="s">
        <v>2850</v>
      </c>
    </row>
    <row r="464" spans="1:16" ht="15.75" thickTop="1">
      <c r="A464" t="s">
        <v>2851</v>
      </c>
      <c r="B464" s="448" t="e">
        <f>ROUND(B462*B463, 0)</f>
        <v>#N/A</v>
      </c>
    </row>
    <row r="466" spans="1:11" ht="18.75">
      <c r="A466" s="249" t="s">
        <v>2852</v>
      </c>
    </row>
    <row r="467" spans="1:11">
      <c r="A467" t="s">
        <v>797</v>
      </c>
      <c r="B467" s="66">
        <f>C173</f>
        <v>0</v>
      </c>
    </row>
    <row r="468" spans="1:11" ht="15.75" thickBot="1">
      <c r="A468" t="s">
        <v>871</v>
      </c>
      <c r="B468" s="70">
        <f>$K$74</f>
        <v>0</v>
      </c>
    </row>
    <row r="469" spans="1:11" ht="15.75" thickTop="1">
      <c r="A469" t="s">
        <v>2848</v>
      </c>
      <c r="B469" s="448">
        <f>B467*B468</f>
        <v>0</v>
      </c>
    </row>
    <row r="470" spans="1:11" ht="15.75" thickBot="1">
      <c r="A470" t="s">
        <v>2849</v>
      </c>
      <c r="B470" s="324">
        <f>Application!$B$21</f>
        <v>0.04</v>
      </c>
      <c r="C470" t="s">
        <v>2853</v>
      </c>
    </row>
    <row r="471" spans="1:11" ht="15.75" thickTop="1">
      <c r="A471" t="s">
        <v>2854</v>
      </c>
      <c r="B471" s="448">
        <f>B469*B470</f>
        <v>0</v>
      </c>
    </row>
    <row r="473" spans="1:11">
      <c r="A473" s="1" t="s">
        <v>2855</v>
      </c>
      <c r="B473" s="199" t="e">
        <f>B464+B471</f>
        <v>#N/A</v>
      </c>
    </row>
    <row r="475" spans="1:11">
      <c r="A475" s="13" t="s">
        <v>2856</v>
      </c>
    </row>
    <row r="476" spans="1:11">
      <c r="A476" t="s">
        <v>875</v>
      </c>
      <c r="B476" s="66">
        <f>$B$292</f>
        <v>0</v>
      </c>
    </row>
    <row r="477" spans="1:11" ht="15.75" thickBot="1">
      <c r="A477" t="s">
        <v>946</v>
      </c>
      <c r="B477" s="66">
        <f>IF(Admin!B28&gt;0, Admin!B28, $B$145)</f>
        <v>0</v>
      </c>
      <c r="D477" s="417" t="s">
        <v>2857</v>
      </c>
      <c r="E477" s="417"/>
      <c r="F477" s="417"/>
      <c r="G477" s="417"/>
      <c r="H477" s="417"/>
      <c r="I477" s="417"/>
      <c r="J477" s="417"/>
      <c r="K477" s="417"/>
    </row>
    <row r="478" spans="1:11" ht="15.75" thickTop="1">
      <c r="A478" t="s">
        <v>2858</v>
      </c>
      <c r="B478" s="448">
        <f>B476-B477</f>
        <v>0</v>
      </c>
    </row>
    <row r="479" spans="1:11" ht="15.75" thickBot="1">
      <c r="A479" t="s">
        <v>879</v>
      </c>
      <c r="B479" s="211">
        <f>Application!$B$16</f>
        <v>0</v>
      </c>
    </row>
    <row r="480" spans="1:11" ht="15.75" thickTop="1">
      <c r="A480" s="1" t="s">
        <v>2851</v>
      </c>
      <c r="B480" s="198">
        <f>IFERROR(B478/(B479*10),0)</f>
        <v>0</v>
      </c>
    </row>
    <row r="482" spans="1:5">
      <c r="A482" s="13" t="s">
        <v>2859</v>
      </c>
    </row>
    <row r="483" spans="1:5">
      <c r="A483" t="s">
        <v>2860</v>
      </c>
      <c r="B483" t="e">
        <f>INDEX(Admin!$B$119:$B$182, Calculations!$B$15)</f>
        <v>#VALUE!</v>
      </c>
    </row>
    <row r="484" spans="1:5">
      <c r="A484" t="s">
        <v>2861</v>
      </c>
      <c r="B484">
        <f>IFERROR(INDEX(Zone_Factor_Table[Factor],MATCH(Calculations!B483,Zone_Factor_Table[Zone],0)),0)</f>
        <v>0</v>
      </c>
    </row>
    <row r="485" spans="1:5">
      <c r="A485" t="s">
        <v>2862</v>
      </c>
      <c r="B485">
        <f>IF(ISNA(MATCH(Application!$B$62, Building_Type_Table[Building Type])), 1, INDEX(Building_Type_Table[Basis Limit test Index], MATCH(Application!$B$62, Building_Type_Table[Building Type], 0)))</f>
        <v>1</v>
      </c>
    </row>
    <row r="487" spans="1:5">
      <c r="B487" t="s">
        <v>1323</v>
      </c>
      <c r="C487" t="s">
        <v>2863</v>
      </c>
      <c r="D487" t="s">
        <v>2864</v>
      </c>
      <c r="E487" t="s">
        <v>2847</v>
      </c>
    </row>
    <row r="488" spans="1:5">
      <c r="A488" t="s">
        <v>103</v>
      </c>
      <c r="B488">
        <f>$B$45</f>
        <v>0</v>
      </c>
      <c r="C488" s="66">
        <f>INDEX(Basis_Limit_Test_Table[[Elevator Base]:[Non-Elevator Base]], MATCH(Calculations!$A488, Basis_Limit_Test_Table[Bedrooms], 0), $B$485)</f>
        <v>89067</v>
      </c>
      <c r="D488" s="66">
        <f t="shared" ref="D488:D493" si="64">TRUNC(($B$484*C488),0)</f>
        <v>0</v>
      </c>
      <c r="E488" s="66">
        <f t="shared" ref="E488:E493" si="65">D488*B488</f>
        <v>0</v>
      </c>
    </row>
    <row r="489" spans="1:5">
      <c r="A489" t="s">
        <v>104</v>
      </c>
      <c r="B489">
        <f>$C$45</f>
        <v>0</v>
      </c>
      <c r="C489" s="66">
        <f>INDEX(Basis_Limit_Test_Table[[Elevator Base]:[Non-Elevator Base]], MATCH(Calculations!$A489, Basis_Limit_Test_Table[Bedrooms], 0), $B$485)</f>
        <v>102108</v>
      </c>
      <c r="D489" s="66">
        <f>TRUNC(($B$484*C489),0)</f>
        <v>0</v>
      </c>
      <c r="E489" s="66">
        <f>D489*B489</f>
        <v>0</v>
      </c>
    </row>
    <row r="490" spans="1:5">
      <c r="A490" t="s">
        <v>105</v>
      </c>
      <c r="B490">
        <f>$D$45</f>
        <v>0</v>
      </c>
      <c r="C490" s="66">
        <f>INDEX(Basis_Limit_Test_Table[[Elevator Base]:[Non-Elevator Base]], MATCH(Calculations!$A490, Basis_Limit_Test_Table[Bedrooms], 0), $B$485)</f>
        <v>124155</v>
      </c>
      <c r="D490" s="66">
        <f t="shared" si="64"/>
        <v>0</v>
      </c>
      <c r="E490" s="66">
        <f t="shared" si="65"/>
        <v>0</v>
      </c>
    </row>
    <row r="491" spans="1:5">
      <c r="A491" t="s">
        <v>106</v>
      </c>
      <c r="B491">
        <f>$E$45</f>
        <v>0</v>
      </c>
      <c r="C491" s="66">
        <f>INDEX(Basis_Limit_Test_Table[[Elevator Base]:[Non-Elevator Base]], MATCH(Calculations!$A491, Basis_Limit_Test_Table[Bedrooms], 0), $B$485)</f>
        <v>160614</v>
      </c>
      <c r="D491" s="66">
        <f t="shared" si="64"/>
        <v>0</v>
      </c>
      <c r="E491" s="66">
        <f t="shared" si="65"/>
        <v>0</v>
      </c>
    </row>
    <row r="492" spans="1:5">
      <c r="A492" t="s">
        <v>107</v>
      </c>
      <c r="B492">
        <f>$F$45</f>
        <v>0</v>
      </c>
      <c r="C492" s="66">
        <f>INDEX(Basis_Limit_Test_Table[[Elevator Base]:[Non-Elevator Base]], MATCH(Calculations!$A492, Basis_Limit_Test_Table[Bedrooms], 0), $B$485)</f>
        <v>176308</v>
      </c>
      <c r="D492" s="66">
        <f t="shared" si="64"/>
        <v>0</v>
      </c>
      <c r="E492" s="66">
        <f t="shared" si="65"/>
        <v>0</v>
      </c>
    </row>
    <row r="493" spans="1:5" ht="15.75" thickBot="1">
      <c r="A493" t="s">
        <v>108</v>
      </c>
      <c r="B493">
        <f>$G$45</f>
        <v>0</v>
      </c>
      <c r="C493" s="66">
        <f>INDEX(Basis_Limit_Test_Table[[Elevator Base]:[Non-Elevator Base]], MATCH(Calculations!$A493, Basis_Limit_Test_Table[Bedrooms], 0), $B$485)</f>
        <v>192056</v>
      </c>
      <c r="D493" s="66">
        <f t="shared" si="64"/>
        <v>0</v>
      </c>
      <c r="E493" s="66">
        <f t="shared" si="65"/>
        <v>0</v>
      </c>
    </row>
    <row r="494" spans="1:5" ht="15.75" thickTop="1">
      <c r="E494" s="198">
        <f>SUM(E488:E493)</f>
        <v>0</v>
      </c>
    </row>
    <row r="495" spans="1:5">
      <c r="E495" s="199"/>
    </row>
    <row r="496" spans="1:5">
      <c r="A496" t="s">
        <v>2847</v>
      </c>
      <c r="B496" s="66">
        <f>IF(Admin!B30&gt;0, Admin!B30, E494)</f>
        <v>0</v>
      </c>
      <c r="E496" s="199"/>
    </row>
    <row r="497" spans="1:6">
      <c r="A497" t="s">
        <v>2846</v>
      </c>
      <c r="B497" s="12">
        <f>IF($B$452, Admin!$B$81, 1)</f>
        <v>1</v>
      </c>
      <c r="E497" s="199"/>
    </row>
    <row r="498" spans="1:6" ht="15.75" thickBot="1">
      <c r="A498" t="s">
        <v>871</v>
      </c>
      <c r="B498" s="137">
        <f>$K$74</f>
        <v>0</v>
      </c>
      <c r="E498" s="199"/>
    </row>
    <row r="499" spans="1:6" ht="15.75" thickTop="1">
      <c r="A499" t="s">
        <v>2865</v>
      </c>
      <c r="B499" s="448">
        <f>B496*B497*B498</f>
        <v>0</v>
      </c>
      <c r="D499" t="str">
        <f>IF(Admin!$B$30&gt;0,"cost basis override granted - federal credit","")</f>
        <v/>
      </c>
      <c r="E499" s="199"/>
    </row>
    <row r="500" spans="1:6" ht="15.75" thickBot="1">
      <c r="A500" t="s">
        <v>2849</v>
      </c>
      <c r="B500" s="324">
        <f>IF($B$6, Application!$B$19, Application!$B$20)</f>
        <v>0.04</v>
      </c>
      <c r="D500" t="str">
        <f>IF(Admin!$B$31&gt;0, "cost basis override granted - state credit", "")</f>
        <v/>
      </c>
      <c r="E500" s="199"/>
    </row>
    <row r="501" spans="1:6" ht="15.75" thickTop="1">
      <c r="A501" s="1" t="s">
        <v>2866</v>
      </c>
      <c r="B501" s="198">
        <f>B499*B500</f>
        <v>0</v>
      </c>
      <c r="D501" t="str">
        <f>IF(AND(Admin!$B$30&gt;0, Admin!$B$31&gt;0), "cost basis override granted", CONCATENATE(D499,D500))</f>
        <v/>
      </c>
      <c r="E501" s="199"/>
    </row>
    <row r="502" spans="1:6">
      <c r="E502" s="199"/>
    </row>
    <row r="503" spans="1:6">
      <c r="A503" t="s">
        <v>2867</v>
      </c>
      <c r="B503" s="66">
        <f>IF(Application!B74="Yes", "", Admin!B14)</f>
        <v>0</v>
      </c>
      <c r="E503" s="199"/>
    </row>
    <row r="505" spans="1:6">
      <c r="A505" s="253"/>
      <c r="B505" s="254"/>
      <c r="C505" s="253"/>
      <c r="D505" s="253"/>
      <c r="E505" s="253"/>
      <c r="F505" s="253"/>
    </row>
    <row r="506" spans="1:6">
      <c r="A506" t="s">
        <v>2868</v>
      </c>
      <c r="B506" s="66" t="e">
        <f>MIN(B473, B480, B501, B503)</f>
        <v>#N/A</v>
      </c>
    </row>
    <row r="507" spans="1:6" ht="15.75" thickBot="1">
      <c r="A507" t="s">
        <v>2869</v>
      </c>
      <c r="B507" s="66">
        <f>B668</f>
        <v>0</v>
      </c>
    </row>
    <row r="508" spans="1:6" ht="15.75" thickTop="1">
      <c r="B508" s="448" t="e">
        <f>SUM(B506:B507)</f>
        <v>#N/A</v>
      </c>
    </row>
    <row r="510" spans="1:6">
      <c r="A510" s="1" t="s">
        <v>888</v>
      </c>
      <c r="B510" s="199" t="e">
        <f>IF(AND($B$6, B508 &gt; Admin!$B$14), Admin!$B$14, B508)</f>
        <v>#N/A</v>
      </c>
      <c r="C510" t="s">
        <v>2870</v>
      </c>
    </row>
    <row r="512" spans="1:6">
      <c r="E512" s="199"/>
    </row>
    <row r="513" spans="1:16">
      <c r="A513" s="194" t="s">
        <v>2871</v>
      </c>
      <c r="B513" s="99"/>
      <c r="C513" s="99"/>
      <c r="D513" s="99"/>
      <c r="E513" s="99"/>
      <c r="F513" s="99"/>
      <c r="G513" s="99"/>
      <c r="H513" s="99"/>
      <c r="I513" s="99"/>
      <c r="J513" s="99"/>
      <c r="K513" s="99"/>
      <c r="L513" s="99"/>
      <c r="M513" s="99"/>
      <c r="N513" s="99"/>
      <c r="O513" s="99"/>
      <c r="P513" s="99"/>
    </row>
    <row r="514" spans="1:16">
      <c r="E514" s="199"/>
    </row>
    <row r="515" spans="1:16">
      <c r="A515" t="s">
        <v>2842</v>
      </c>
      <c r="B515" t="b">
        <f>$B$21</f>
        <v>0</v>
      </c>
      <c r="E515" s="199"/>
    </row>
    <row r="516" spans="1:16">
      <c r="C516" s="22" t="s">
        <v>2837</v>
      </c>
      <c r="F516" s="13" t="s">
        <v>4190</v>
      </c>
      <c r="G516" s="891" t="s">
        <v>4188</v>
      </c>
      <c r="H516" s="891" t="s">
        <v>4189</v>
      </c>
    </row>
    <row r="517" spans="1:16">
      <c r="A517" s="13" t="s">
        <v>2843</v>
      </c>
      <c r="E517" s="199"/>
      <c r="F517" t="s">
        <v>2872</v>
      </c>
      <c r="G517" s="1" t="b">
        <f>IF(ISNA(MATCH(Application!$B$10,Tax_Credit_Type_Table[Type Of Tax Credit],0)), FALSE,INDEX(Tax_Credit_Type_Table[Use Alternate Credit Calculation], MATCH(Application!$B$10,Tax_Credit_Type_Table[Type Of Tax Credit],0), 1))</f>
        <v>0</v>
      </c>
      <c r="H517" t="b">
        <f>$B$12</f>
        <v>0</v>
      </c>
    </row>
    <row r="518" spans="1:16">
      <c r="A518" t="s">
        <v>868</v>
      </c>
      <c r="B518" s="66" t="e">
        <f>$B$447</f>
        <v>#N/A</v>
      </c>
      <c r="C518" s="66" t="str">
        <f>IF(AND(Admin!$B$18, $B$10),B518,"")</f>
        <v/>
      </c>
      <c r="E518" s="199"/>
      <c r="F518" t="s">
        <v>898</v>
      </c>
      <c r="G518" s="149">
        <f>H41+H43</f>
        <v>0</v>
      </c>
      <c r="H518" s="149">
        <f>H41+H43</f>
        <v>0</v>
      </c>
    </row>
    <row r="519" spans="1:16" ht="15.75" thickBot="1">
      <c r="A519" t="s">
        <v>2846</v>
      </c>
      <c r="B519" s="12">
        <f>IF($B$515, Admin!$B$81, 1)</f>
        <v>1</v>
      </c>
      <c r="C519" s="12" t="str">
        <f>IF(AND(Admin!$B$18, $B$10),B519,"")</f>
        <v/>
      </c>
      <c r="E519" s="199"/>
      <c r="F519" t="s">
        <v>2873</v>
      </c>
      <c r="G519" s="149" t="str">
        <f>IF(AND(Admin!B26&gt;0, G517),Admin!B26,"0")</f>
        <v>0</v>
      </c>
      <c r="H519" s="149" t="str">
        <f>IF(AND(Admin!B34&gt;0, H517),Admin!B34,"0")</f>
        <v>0</v>
      </c>
    </row>
    <row r="520" spans="1:16" ht="15.75" thickTop="1">
      <c r="A520" t="s">
        <v>2847</v>
      </c>
      <c r="B520" s="448" t="e">
        <f>ROUND(B518*B519, 0)</f>
        <v>#N/A</v>
      </c>
      <c r="C520" s="448" t="str">
        <f>IF(AND(Admin!$B$18, $B$10),B520,"")</f>
        <v/>
      </c>
      <c r="E520" s="199"/>
      <c r="F520" s="1" t="s">
        <v>2851</v>
      </c>
      <c r="G520" s="198" t="str">
        <f>IF(AND(Admin!B26&gt;0, G517),G519*G518,"")</f>
        <v/>
      </c>
      <c r="H520" s="198" t="str">
        <f>IF(AND(Admin!B26&gt;0, H517),H519*H518,"")</f>
        <v/>
      </c>
    </row>
    <row r="521" spans="1:16" ht="15.75" thickBot="1">
      <c r="A521" t="s">
        <v>871</v>
      </c>
      <c r="B521" s="137">
        <f>$K$74</f>
        <v>0</v>
      </c>
      <c r="C521" s="137" t="str">
        <f>IF(AND(Admin!$B$18, $B$10),B521,"")</f>
        <v/>
      </c>
      <c r="E521" s="199"/>
      <c r="F521" t="s">
        <v>2874</v>
      </c>
      <c r="G521" s="149" t="str">
        <f>IF(AND(Admin!B26&gt;0, G517), Admin!B27, "")</f>
        <v/>
      </c>
      <c r="H521" s="149" t="str">
        <f>IF(AND(Admin!B34&gt;0, H517), Admin!B35, "")</f>
        <v/>
      </c>
    </row>
    <row r="522" spans="1:16" ht="15.75" thickTop="1">
      <c r="A522" t="s">
        <v>2848</v>
      </c>
      <c r="B522" s="448" t="e">
        <f>B520*B521</f>
        <v>#N/A</v>
      </c>
      <c r="C522" s="448" t="str">
        <f>IF(AND(Admin!$B$18, $B$10),B522,"")</f>
        <v/>
      </c>
      <c r="E522" s="199"/>
      <c r="F522" s="1" t="s">
        <v>2875</v>
      </c>
      <c r="G522" s="198">
        <f>MIN(G520,G521)</f>
        <v>0</v>
      </c>
      <c r="H522" s="198">
        <f>MIN(H520,H521)</f>
        <v>0</v>
      </c>
    </row>
    <row r="523" spans="1:16" ht="15.75" thickBot="1">
      <c r="A523" t="s">
        <v>2849</v>
      </c>
      <c r="B523" s="137">
        <f>IF(G529&lt;&gt;"", G529, 0.3)</f>
        <v>0.3</v>
      </c>
      <c r="C523" s="137" t="str">
        <f>IF(AND(Admin!$B$18, $B$10),B523,"")</f>
        <v/>
      </c>
      <c r="E523" s="199"/>
    </row>
    <row r="524" spans="1:16" ht="15.75" thickTop="1">
      <c r="A524" t="s">
        <v>2851</v>
      </c>
      <c r="B524" s="448" t="e">
        <f>ROUND(B522*B523, 0)</f>
        <v>#N/A</v>
      </c>
      <c r="C524" s="448" t="str">
        <f>IF(AND(Admin!$B$18, $B$10),B524,"")</f>
        <v/>
      </c>
      <c r="E524" s="199"/>
    </row>
    <row r="525" spans="1:16">
      <c r="B525" s="66"/>
      <c r="C525" s="66"/>
      <c r="E525" s="199"/>
      <c r="F525" s="889" t="s">
        <v>2876</v>
      </c>
    </row>
    <row r="526" spans="1:16">
      <c r="A526" t="s">
        <v>2877</v>
      </c>
      <c r="B526" s="199" t="e">
        <f>B524/6</f>
        <v>#N/A</v>
      </c>
      <c r="C526" s="199" t="str">
        <f>IF(AND(Admin!$B$18, $B$10),B526,"")</f>
        <v/>
      </c>
      <c r="E526" s="199"/>
      <c r="F526" s="817" t="s">
        <v>2878</v>
      </c>
      <c r="G526" s="66">
        <f>Admin!B21</f>
        <v>0</v>
      </c>
      <c r="H526" s="66"/>
    </row>
    <row r="527" spans="1:16">
      <c r="E527" s="199"/>
      <c r="F527" s="817" t="s">
        <v>2851</v>
      </c>
      <c r="G527" s="66">
        <f>G526*6</f>
        <v>0</v>
      </c>
      <c r="H527" s="66"/>
    </row>
    <row r="528" spans="1:16">
      <c r="A528" s="13" t="s">
        <v>2879</v>
      </c>
      <c r="B528" s="121" t="s">
        <v>4234</v>
      </c>
      <c r="C528" s="1" t="b">
        <f>AND($B$10, Admin!B22="")</f>
        <v>0</v>
      </c>
      <c r="E528" s="199"/>
      <c r="F528" s="817" t="s">
        <v>2848</v>
      </c>
      <c r="G528" s="66" t="e">
        <f>B522</f>
        <v>#N/A</v>
      </c>
      <c r="H528" s="66"/>
    </row>
    <row r="529" spans="1:7">
      <c r="A529" t="s">
        <v>875</v>
      </c>
      <c r="B529" s="66">
        <f>$B$292</f>
        <v>0</v>
      </c>
      <c r="C529" s="66" t="str">
        <f>IF(AND(Admin!$B$19, $C$528),B529,"")</f>
        <v/>
      </c>
      <c r="E529" s="199"/>
      <c r="F529" s="817" t="s">
        <v>2880</v>
      </c>
      <c r="G529" t="str">
        <f>IF(Admin!B21&gt;0, G527/G528, "")</f>
        <v/>
      </c>
    </row>
    <row r="530" spans="1:7">
      <c r="A530" t="s">
        <v>946</v>
      </c>
      <c r="B530" s="66">
        <f>IF(Admin!B29&gt;0, Admin!B29, $B$145)</f>
        <v>0</v>
      </c>
      <c r="C530" s="66" t="str">
        <f>IF(AND(Admin!$B$19, $C$528),B530,"")</f>
        <v/>
      </c>
    </row>
    <row r="531" spans="1:7" ht="15.75" thickBot="1">
      <c r="A531" t="s">
        <v>943</v>
      </c>
      <c r="B531" s="66" t="e">
        <f>B618</f>
        <v>#N/A</v>
      </c>
      <c r="C531" s="66" t="str">
        <f>IF(AND(Admin!$B$19, $C$528),B531,"")</f>
        <v/>
      </c>
    </row>
    <row r="532" spans="1:7" ht="15.75" thickTop="1">
      <c r="A532" t="s">
        <v>2858</v>
      </c>
      <c r="B532" s="448" t="e">
        <f>B529-(B530 + B531)</f>
        <v>#N/A</v>
      </c>
      <c r="C532" s="448" t="str">
        <f>IF(AND(Admin!$B$19, $C$528),B532,"")</f>
        <v/>
      </c>
    </row>
    <row r="533" spans="1:7" ht="15.75" thickBot="1">
      <c r="A533" t="s">
        <v>879</v>
      </c>
      <c r="B533" s="211">
        <f>Application!$B$17</f>
        <v>0</v>
      </c>
      <c r="C533" s="211" t="str">
        <f>IF(AND(Admin!$B$19, $C$528),B533,"")</f>
        <v/>
      </c>
    </row>
    <row r="534" spans="1:7" ht="15.75" thickTop="1">
      <c r="A534" s="1" t="s">
        <v>2851</v>
      </c>
      <c r="B534" s="198" t="e">
        <f>B532/(B533*6)</f>
        <v>#N/A</v>
      </c>
      <c r="C534" s="198" t="str">
        <f>IF(AND(Admin!$B$19, $B$10), IF(Admin!B22="", B534, Admin!B22),"")</f>
        <v/>
      </c>
    </row>
    <row r="536" spans="1:7">
      <c r="A536" s="13" t="s">
        <v>2881</v>
      </c>
    </row>
    <row r="537" spans="1:7">
      <c r="A537" t="s">
        <v>2860</v>
      </c>
      <c r="B537" t="e">
        <f>INDEX(Admin!$B$119:$B$182, Calculations!$B$15)</f>
        <v>#VALUE!</v>
      </c>
      <c r="C537" t="str">
        <f>IF(AND(Admin!$B$20, $B$10),B537,"")</f>
        <v/>
      </c>
    </row>
    <row r="538" spans="1:7">
      <c r="A538" t="s">
        <v>2861</v>
      </c>
      <c r="B538" t="e">
        <f>INDEX(Zone_Factor_Table[Factor],MATCH(Calculations!B537,Zone_Factor_Table[Zone],0))</f>
        <v>#VALUE!</v>
      </c>
      <c r="C538" t="str">
        <f>IF(AND(Admin!$B$20, $B$10),B538,"")</f>
        <v/>
      </c>
    </row>
    <row r="539" spans="1:7">
      <c r="A539" t="s">
        <v>2862</v>
      </c>
      <c r="B539">
        <f>IF(ISNA(MATCH(Application!$B$62, Building_Type_Table[Building Type])), 1, INDEX(Building_Type_Table[Basis Limit test Index], MATCH(Application!$B$62, Building_Type_Table[Building Type], 0)))</f>
        <v>1</v>
      </c>
      <c r="C539" t="str">
        <f>IF(AND(Admin!$B$20, $B$10),B539,"")</f>
        <v/>
      </c>
    </row>
    <row r="541" spans="1:7">
      <c r="B541" t="s">
        <v>1323</v>
      </c>
      <c r="C541" t="s">
        <v>2863</v>
      </c>
      <c r="D541" t="s">
        <v>2864</v>
      </c>
      <c r="E541" t="s">
        <v>2847</v>
      </c>
      <c r="F541" s="22" t="s">
        <v>2837</v>
      </c>
    </row>
    <row r="542" spans="1:7">
      <c r="A542" t="s">
        <v>103</v>
      </c>
      <c r="B542">
        <f>$B$45</f>
        <v>0</v>
      </c>
      <c r="C542" s="66">
        <f>INDEX(Basis_Limit_Test_Table[[Elevator Base]:[Non-Elevator Base]], MATCH(Calculations!$A542, Basis_Limit_Test_Table[Bedrooms], 0), $B$485)</f>
        <v>89067</v>
      </c>
      <c r="D542" s="66">
        <f t="shared" ref="D542:D547" si="66">TRUNC(($B$484*C542),0)</f>
        <v>0</v>
      </c>
      <c r="E542" s="66">
        <f t="shared" ref="E542:E547" si="67">D542*B542</f>
        <v>0</v>
      </c>
      <c r="F542" s="65" t="str">
        <f>IF(AND(Admin!$B$20, $B$10),E542,"")</f>
        <v/>
      </c>
    </row>
    <row r="543" spans="1:7">
      <c r="A543" t="s">
        <v>104</v>
      </c>
      <c r="B543">
        <f>$C$45</f>
        <v>0</v>
      </c>
      <c r="C543" s="66">
        <f>INDEX(Basis_Limit_Test_Table[[Elevator Base]:[Non-Elevator Base]], MATCH(Calculations!$A543, Basis_Limit_Test_Table[Bedrooms], 0), $B$485)</f>
        <v>102108</v>
      </c>
      <c r="D543" s="66">
        <f t="shared" si="66"/>
        <v>0</v>
      </c>
      <c r="E543" s="66">
        <f t="shared" si="67"/>
        <v>0</v>
      </c>
      <c r="F543" s="65" t="str">
        <f>IF(AND(Admin!$B$20, $B$10),E543,"")</f>
        <v/>
      </c>
    </row>
    <row r="544" spans="1:7">
      <c r="A544" t="s">
        <v>105</v>
      </c>
      <c r="B544">
        <f>$D$45</f>
        <v>0</v>
      </c>
      <c r="C544" s="66">
        <f>INDEX(Basis_Limit_Test_Table[[Elevator Base]:[Non-Elevator Base]], MATCH(Calculations!$A544, Basis_Limit_Test_Table[Bedrooms], 0), $B$485)</f>
        <v>124155</v>
      </c>
      <c r="D544" s="66">
        <f t="shared" si="66"/>
        <v>0</v>
      </c>
      <c r="E544" s="66">
        <f t="shared" si="67"/>
        <v>0</v>
      </c>
      <c r="F544" s="65" t="str">
        <f>IF(AND(Admin!$B$20, $B$10),E544,"")</f>
        <v/>
      </c>
    </row>
    <row r="545" spans="1:11">
      <c r="A545" t="s">
        <v>106</v>
      </c>
      <c r="B545">
        <f>$E$45</f>
        <v>0</v>
      </c>
      <c r="C545" s="66">
        <f>INDEX(Basis_Limit_Test_Table[[Elevator Base]:[Non-Elevator Base]], MATCH(Calculations!$A545, Basis_Limit_Test_Table[Bedrooms], 0), $B$485)</f>
        <v>160614</v>
      </c>
      <c r="D545" s="66">
        <f t="shared" si="66"/>
        <v>0</v>
      </c>
      <c r="E545" s="66">
        <f t="shared" si="67"/>
        <v>0</v>
      </c>
      <c r="F545" s="65" t="str">
        <f>IF(AND(Admin!$B$20, $B$10),E545,"")</f>
        <v/>
      </c>
    </row>
    <row r="546" spans="1:11">
      <c r="A546" t="s">
        <v>107</v>
      </c>
      <c r="B546">
        <f>$F$45</f>
        <v>0</v>
      </c>
      <c r="C546" s="66">
        <f>INDEX(Basis_Limit_Test_Table[[Elevator Base]:[Non-Elevator Base]], MATCH(Calculations!$A546, Basis_Limit_Test_Table[Bedrooms], 0), $B$485)</f>
        <v>176308</v>
      </c>
      <c r="D546" s="66">
        <f t="shared" si="66"/>
        <v>0</v>
      </c>
      <c r="E546" s="66">
        <f t="shared" si="67"/>
        <v>0</v>
      </c>
      <c r="F546" s="65" t="str">
        <f>IF(AND(Admin!$B$20, $B$10),E546,"")</f>
        <v/>
      </c>
    </row>
    <row r="547" spans="1:11" ht="15.75" thickBot="1">
      <c r="A547" t="s">
        <v>108</v>
      </c>
      <c r="B547">
        <f>$G$45</f>
        <v>0</v>
      </c>
      <c r="C547" s="66">
        <f>INDEX(Basis_Limit_Test_Table[[Elevator Base]:[Non-Elevator Base]], MATCH(Calculations!$A547, Basis_Limit_Test_Table[Bedrooms], 0), $B$485)</f>
        <v>192056</v>
      </c>
      <c r="D547" s="66">
        <f t="shared" si="66"/>
        <v>0</v>
      </c>
      <c r="E547" s="66">
        <f t="shared" si="67"/>
        <v>0</v>
      </c>
      <c r="F547" s="65" t="str">
        <f>IF(AND(Admin!$B$20, $B$10),E547,"")</f>
        <v/>
      </c>
    </row>
    <row r="548" spans="1:11" ht="15.75" thickTop="1">
      <c r="E548" s="198">
        <f>SUM(E542:E547)</f>
        <v>0</v>
      </c>
      <c r="F548" s="198" t="str">
        <f>IF(AND(Admin!$B$20, $B$10),E548,"")</f>
        <v/>
      </c>
    </row>
    <row r="549" spans="1:11">
      <c r="E549" s="199"/>
    </row>
    <row r="550" spans="1:11">
      <c r="A550" t="s">
        <v>2847</v>
      </c>
      <c r="B550">
        <f>IF(Admin!B31&gt;0, Admin!B31, E494)</f>
        <v>0</v>
      </c>
      <c r="C550" s="66" t="str">
        <f>IF(AND(Admin!$B$20, $B$10),B550,"")</f>
        <v/>
      </c>
      <c r="E550" s="199"/>
    </row>
    <row r="551" spans="1:11">
      <c r="A551" t="s">
        <v>2882</v>
      </c>
      <c r="B551" s="12">
        <f>IF($B$452, Admin!$B$81, 1)</f>
        <v>1</v>
      </c>
      <c r="C551" s="66" t="str">
        <f>IF(AND(Admin!$B$20, $B$10),B551,"")</f>
        <v/>
      </c>
      <c r="E551" s="199"/>
    </row>
    <row r="552" spans="1:11" ht="15.75" thickBot="1">
      <c r="A552" t="s">
        <v>871</v>
      </c>
      <c r="B552" s="70">
        <f>$K$74</f>
        <v>0</v>
      </c>
      <c r="C552" s="137" t="str">
        <f>IF(AND(Admin!$B$20, $B$10),B552,"")</f>
        <v/>
      </c>
      <c r="E552" s="199"/>
    </row>
    <row r="553" spans="1:11" ht="15.75" thickTop="1">
      <c r="A553" t="s">
        <v>2865</v>
      </c>
      <c r="B553" s="448">
        <f>B550*B551*B552</f>
        <v>0</v>
      </c>
      <c r="C553" s="448" t="str">
        <f>IF(AND(Admin!$B$20, $B$10),B553,"")</f>
        <v/>
      </c>
      <c r="E553" s="199"/>
    </row>
    <row r="554" spans="1:11" ht="15.75" thickBot="1">
      <c r="A554" t="s">
        <v>2849</v>
      </c>
      <c r="B554" s="137">
        <v>0.3</v>
      </c>
      <c r="C554" s="137" t="str">
        <f>IF(AND(Admin!$B$20, $B$10),B554,"")</f>
        <v/>
      </c>
      <c r="D554" s="317" t="str">
        <f>IF(Admin!B30&gt;0, "cost basis override granted", "")</f>
        <v/>
      </c>
      <c r="E554" s="199"/>
    </row>
    <row r="555" spans="1:11" ht="15.75" thickTop="1">
      <c r="A555" s="1" t="s">
        <v>2866</v>
      </c>
      <c r="B555" s="198">
        <f>B553*B554/6</f>
        <v>0</v>
      </c>
      <c r="C555" s="198" t="str">
        <f>IF(AND(Admin!$B$20, $B$10),B555,"")</f>
        <v/>
      </c>
      <c r="E555" s="199"/>
    </row>
    <row r="557" spans="1:11">
      <c r="A557" t="s">
        <v>2867</v>
      </c>
      <c r="B557" s="66">
        <f>Admin!B15</f>
        <v>0</v>
      </c>
      <c r="C557" s="66" t="str">
        <f>IF(AND(Admin!$B$20, $B$10),B557,"")</f>
        <v/>
      </c>
    </row>
    <row r="559" spans="1:11">
      <c r="A559" s="253"/>
      <c r="B559" s="254"/>
      <c r="C559" s="253"/>
      <c r="D559" s="253"/>
      <c r="E559" s="253"/>
      <c r="F559" s="253"/>
    </row>
    <row r="560" spans="1:11">
      <c r="A560" s="1" t="s">
        <v>2883</v>
      </c>
      <c r="B560" s="199">
        <f>IF(B10,IF(G522&gt;0, G522,  MIN(C526, C534, C555, C557)), 0)</f>
        <v>0</v>
      </c>
      <c r="D560" s="310" t="s">
        <v>2884</v>
      </c>
      <c r="E560" s="310"/>
      <c r="F560" s="310"/>
      <c r="G560" s="310"/>
      <c r="H560" s="310"/>
      <c r="I560" s="310"/>
      <c r="J560" s="310"/>
      <c r="K560" s="310"/>
    </row>
    <row r="561" spans="1:10">
      <c r="A561" t="s">
        <v>2885</v>
      </c>
      <c r="B561" s="204" t="e">
        <f>(B560*6)/B522</f>
        <v>#N/A</v>
      </c>
      <c r="D561" t="e">
        <f>B561 &lt;= 0.31</f>
        <v>#N/A</v>
      </c>
      <c r="E561" t="e">
        <f>INDEX(Comments_State_TC_Test_table[],MATCH(D561,Comments_State_TC_Test_table[State Tax Credit Test],0),2)</f>
        <v>#N/A</v>
      </c>
    </row>
    <row r="562" spans="1:10">
      <c r="A562" s="194" t="s">
        <v>4191</v>
      </c>
      <c r="B562" s="99"/>
      <c r="C562" s="99"/>
      <c r="D562" s="99"/>
      <c r="E562" s="99"/>
      <c r="F562" s="99"/>
      <c r="G562" s="99"/>
      <c r="H562" s="99"/>
      <c r="I562" s="99"/>
      <c r="J562" s="99"/>
    </row>
    <row r="563" spans="1:10">
      <c r="E563" s="199"/>
    </row>
    <row r="564" spans="1:10">
      <c r="A564" t="s">
        <v>4230</v>
      </c>
      <c r="B564" t="b">
        <f>$B$12</f>
        <v>0</v>
      </c>
      <c r="E564" s="199"/>
    </row>
    <row r="565" spans="1:10">
      <c r="A565" t="s">
        <v>2842</v>
      </c>
      <c r="B565" t="b">
        <f>$B$21</f>
        <v>0</v>
      </c>
      <c r="E565" s="199"/>
    </row>
    <row r="566" spans="1:10">
      <c r="C566" s="22" t="s">
        <v>4192</v>
      </c>
      <c r="F566" s="13"/>
      <c r="G566" s="891"/>
      <c r="H566" s="891"/>
    </row>
    <row r="567" spans="1:10">
      <c r="A567" s="13" t="s">
        <v>2843</v>
      </c>
      <c r="E567" s="199"/>
      <c r="G567" s="1"/>
    </row>
    <row r="568" spans="1:10">
      <c r="A568" t="s">
        <v>868</v>
      </c>
      <c r="B568" s="66" t="e">
        <f>$B$447</f>
        <v>#N/A</v>
      </c>
      <c r="C568" s="66" t="str">
        <f t="shared" ref="C568:C574" si="68">IF(AND($B$564, $B$10),B568,"")</f>
        <v/>
      </c>
      <c r="E568" s="199"/>
      <c r="G568" s="149"/>
      <c r="H568" s="149"/>
    </row>
    <row r="569" spans="1:10" ht="15.75" thickBot="1">
      <c r="A569" t="s">
        <v>2846</v>
      </c>
      <c r="B569" s="12">
        <f>IF($B$515, Admin!$B$81, 1)</f>
        <v>1</v>
      </c>
      <c r="C569" s="12" t="str">
        <f t="shared" si="68"/>
        <v/>
      </c>
      <c r="E569" s="199"/>
      <c r="G569" s="149"/>
      <c r="H569" s="149"/>
    </row>
    <row r="570" spans="1:10" ht="15.75" thickTop="1">
      <c r="A570" t="s">
        <v>2847</v>
      </c>
      <c r="B570" s="448" t="e">
        <f>ROUND(B568*B569, 0)</f>
        <v>#N/A</v>
      </c>
      <c r="C570" s="448" t="str">
        <f t="shared" si="68"/>
        <v/>
      </c>
      <c r="E570" s="199"/>
      <c r="F570" s="1"/>
      <c r="G570" s="198"/>
      <c r="H570" s="198"/>
    </row>
    <row r="571" spans="1:10" ht="15.75" thickBot="1">
      <c r="A571" t="s">
        <v>871</v>
      </c>
      <c r="B571" s="137">
        <f>$K$74</f>
        <v>0</v>
      </c>
      <c r="C571" s="137" t="str">
        <f t="shared" si="68"/>
        <v/>
      </c>
      <c r="E571" s="199"/>
      <c r="G571" s="149"/>
      <c r="H571" s="149"/>
    </row>
    <row r="572" spans="1:10" ht="15.75" thickTop="1">
      <c r="A572" t="s">
        <v>2848</v>
      </c>
      <c r="B572" s="448" t="e">
        <f>B570*B571</f>
        <v>#N/A</v>
      </c>
      <c r="C572" s="448" t="str">
        <f t="shared" si="68"/>
        <v/>
      </c>
      <c r="E572" s="199"/>
      <c r="F572" s="1"/>
      <c r="G572" s="198"/>
      <c r="H572" s="198"/>
    </row>
    <row r="573" spans="1:10" ht="15.75" thickBot="1">
      <c r="A573" t="s">
        <v>2849</v>
      </c>
      <c r="B573" s="137">
        <v>0.3</v>
      </c>
      <c r="C573" s="137" t="str">
        <f t="shared" si="68"/>
        <v/>
      </c>
      <c r="E573" s="199"/>
    </row>
    <row r="574" spans="1:10" ht="15.75" thickTop="1">
      <c r="A574" t="s">
        <v>2851</v>
      </c>
      <c r="B574" s="448" t="e">
        <f>ROUND(B572*B573, 0)</f>
        <v>#N/A</v>
      </c>
      <c r="C574" s="448" t="str">
        <f t="shared" si="68"/>
        <v/>
      </c>
      <c r="E574" s="199"/>
    </row>
    <row r="575" spans="1:10">
      <c r="B575" s="66"/>
      <c r="C575" s="66"/>
      <c r="E575" s="199"/>
      <c r="F575" s="889"/>
    </row>
    <row r="576" spans="1:10">
      <c r="A576" t="s">
        <v>2877</v>
      </c>
      <c r="B576" s="199" t="e">
        <f>B574/5</f>
        <v>#N/A</v>
      </c>
      <c r="C576" s="199" t="str">
        <f>IF(AND($B$564, $B$10),B576,"")</f>
        <v/>
      </c>
      <c r="E576" s="199"/>
      <c r="F576" s="817"/>
      <c r="G576" s="66"/>
      <c r="H576" s="66"/>
    </row>
    <row r="577" spans="1:8">
      <c r="E577" s="199"/>
      <c r="F577" s="817"/>
      <c r="G577" s="66"/>
      <c r="H577" s="66"/>
    </row>
    <row r="578" spans="1:8">
      <c r="A578" s="13" t="s">
        <v>2879</v>
      </c>
      <c r="B578" s="121" t="s">
        <v>4234</v>
      </c>
      <c r="C578" s="1" t="b">
        <f>AND($B$10, $B$12, Admin!B23="")</f>
        <v>0</v>
      </c>
      <c r="E578" s="199"/>
      <c r="F578" s="817"/>
      <c r="G578" s="66"/>
      <c r="H578" s="66"/>
    </row>
    <row r="579" spans="1:8">
      <c r="A579" t="s">
        <v>875</v>
      </c>
      <c r="B579" s="66">
        <f>$B$292</f>
        <v>0</v>
      </c>
      <c r="C579" s="66" t="str">
        <f>IF(AND($B$564, $C$578), B579,"")</f>
        <v/>
      </c>
      <c r="E579" s="199"/>
      <c r="F579" s="817"/>
    </row>
    <row r="580" spans="1:8">
      <c r="A580" t="s">
        <v>946</v>
      </c>
      <c r="B580" s="66">
        <f>IF(Admin!B29&gt;0, Admin!B29, $B$145)</f>
        <v>0</v>
      </c>
      <c r="C580" s="66" t="str">
        <f>IF(AND($B$564, $C$578),B580,"")</f>
        <v/>
      </c>
    </row>
    <row r="581" spans="1:8" ht="15.75" thickBot="1">
      <c r="A581" t="s">
        <v>943</v>
      </c>
      <c r="B581" s="66" t="e">
        <f>B618</f>
        <v>#N/A</v>
      </c>
      <c r="C581" s="66" t="str">
        <f>IF(AND($B$564, $C$578),B581,"")</f>
        <v/>
      </c>
    </row>
    <row r="582" spans="1:8" ht="15.75" thickTop="1">
      <c r="A582" t="s">
        <v>2858</v>
      </c>
      <c r="B582" s="448" t="e">
        <f>B579-(B580 + B581)</f>
        <v>#N/A</v>
      </c>
      <c r="C582" s="448" t="str">
        <f>IF(AND($B$564, $C$578),B582,"")</f>
        <v/>
      </c>
    </row>
    <row r="583" spans="1:8" ht="15.75" thickBot="1">
      <c r="A583" t="s">
        <v>879</v>
      </c>
      <c r="B583" s="211">
        <f>Application!$B$18</f>
        <v>0</v>
      </c>
      <c r="C583" s="211" t="str">
        <f>IF(AND($B$564, $C$578),B583,"")</f>
        <v/>
      </c>
    </row>
    <row r="584" spans="1:8" ht="15.75" thickTop="1">
      <c r="A584" s="1" t="s">
        <v>2851</v>
      </c>
      <c r="B584" s="198" t="e">
        <f>B582/(B583*6)</f>
        <v>#N/A</v>
      </c>
      <c r="C584" s="198" t="str">
        <f>IF(AND($B$564, $B$10), IF(Admin!B23="", B584, Admin!B23),"")</f>
        <v/>
      </c>
    </row>
    <row r="586" spans="1:8">
      <c r="A586" s="13" t="s">
        <v>2881</v>
      </c>
    </row>
    <row r="587" spans="1:8">
      <c r="A587" t="s">
        <v>2860</v>
      </c>
      <c r="B587" t="e">
        <f>INDEX(Admin!$B$119:$B$182, Calculations!$B$15)</f>
        <v>#VALUE!</v>
      </c>
      <c r="C587" t="str">
        <f>IF(AND($B$564, $B$10),B587,"")</f>
        <v/>
      </c>
    </row>
    <row r="588" spans="1:8">
      <c r="A588" t="s">
        <v>2861</v>
      </c>
      <c r="B588" t="e">
        <f>INDEX(Zone_Factor_Table[Factor],MATCH(Calculations!B587,Zone_Factor_Table[Zone],0))</f>
        <v>#VALUE!</v>
      </c>
      <c r="C588" t="str">
        <f>IF(AND($B$564, $B$10),B588,"")</f>
        <v/>
      </c>
    </row>
    <row r="589" spans="1:8">
      <c r="A589" t="s">
        <v>2862</v>
      </c>
      <c r="B589">
        <f>IF(ISNA(MATCH(Application!$B$62, Building_Type_Table[Building Type])), 1, INDEX(Building_Type_Table[Basis Limit test Index], MATCH(Application!$B$62, Building_Type_Table[Building Type], 0)))</f>
        <v>1</v>
      </c>
      <c r="C589" t="str">
        <f>IF(AND(Admin!$B$20, $B$10),B589,"")</f>
        <v/>
      </c>
    </row>
    <row r="591" spans="1:8">
      <c r="B591" t="s">
        <v>1323</v>
      </c>
      <c r="C591" t="s">
        <v>2863</v>
      </c>
      <c r="D591" t="s">
        <v>2864</v>
      </c>
      <c r="E591" t="s">
        <v>2847</v>
      </c>
      <c r="F591" s="22" t="s">
        <v>4192</v>
      </c>
    </row>
    <row r="592" spans="1:8">
      <c r="A592" t="s">
        <v>103</v>
      </c>
      <c r="B592">
        <f>$B$45</f>
        <v>0</v>
      </c>
      <c r="C592" s="66">
        <f>INDEX(Basis_Limit_Test_Table[[Elevator Base]:[Non-Elevator Base]], MATCH(Calculations!$A592, Basis_Limit_Test_Table[Bedrooms], 0), $B$485)</f>
        <v>89067</v>
      </c>
      <c r="D592" s="66">
        <f t="shared" ref="D592:D597" si="69">TRUNC(($B$484*C592),0)</f>
        <v>0</v>
      </c>
      <c r="E592" s="66">
        <f t="shared" ref="E592:E597" si="70">D592*B592</f>
        <v>0</v>
      </c>
      <c r="F592" s="65" t="str">
        <f t="shared" ref="F592:F598" si="71">IF(AND($B$12, $B$10),E592,"")</f>
        <v/>
      </c>
    </row>
    <row r="593" spans="1:6">
      <c r="A593" t="s">
        <v>104</v>
      </c>
      <c r="B593">
        <f>$C$45</f>
        <v>0</v>
      </c>
      <c r="C593" s="66">
        <f>INDEX(Basis_Limit_Test_Table[[Elevator Base]:[Non-Elevator Base]], MATCH(Calculations!$A593, Basis_Limit_Test_Table[Bedrooms], 0), $B$485)</f>
        <v>102108</v>
      </c>
      <c r="D593" s="66">
        <f t="shared" si="69"/>
        <v>0</v>
      </c>
      <c r="E593" s="66">
        <f t="shared" si="70"/>
        <v>0</v>
      </c>
      <c r="F593" s="65" t="str">
        <f t="shared" si="71"/>
        <v/>
      </c>
    </row>
    <row r="594" spans="1:6">
      <c r="A594" t="s">
        <v>105</v>
      </c>
      <c r="B594">
        <f>$D$45</f>
        <v>0</v>
      </c>
      <c r="C594" s="66">
        <f>INDEX(Basis_Limit_Test_Table[[Elevator Base]:[Non-Elevator Base]], MATCH(Calculations!$A594, Basis_Limit_Test_Table[Bedrooms], 0), $B$485)</f>
        <v>124155</v>
      </c>
      <c r="D594" s="66">
        <f t="shared" si="69"/>
        <v>0</v>
      </c>
      <c r="E594" s="66">
        <f t="shared" si="70"/>
        <v>0</v>
      </c>
      <c r="F594" s="65" t="str">
        <f t="shared" si="71"/>
        <v/>
      </c>
    </row>
    <row r="595" spans="1:6">
      <c r="A595" t="s">
        <v>106</v>
      </c>
      <c r="B595">
        <f>$E$45</f>
        <v>0</v>
      </c>
      <c r="C595" s="66">
        <f>INDEX(Basis_Limit_Test_Table[[Elevator Base]:[Non-Elevator Base]], MATCH(Calculations!$A595, Basis_Limit_Test_Table[Bedrooms], 0), $B$485)</f>
        <v>160614</v>
      </c>
      <c r="D595" s="66">
        <f t="shared" si="69"/>
        <v>0</v>
      </c>
      <c r="E595" s="66">
        <f t="shared" si="70"/>
        <v>0</v>
      </c>
      <c r="F595" s="65" t="str">
        <f t="shared" si="71"/>
        <v/>
      </c>
    </row>
    <row r="596" spans="1:6">
      <c r="A596" t="s">
        <v>107</v>
      </c>
      <c r="B596">
        <f>$F$45</f>
        <v>0</v>
      </c>
      <c r="C596" s="66">
        <f>INDEX(Basis_Limit_Test_Table[[Elevator Base]:[Non-Elevator Base]], MATCH(Calculations!$A596, Basis_Limit_Test_Table[Bedrooms], 0), $B$485)</f>
        <v>176308</v>
      </c>
      <c r="D596" s="66">
        <f t="shared" si="69"/>
        <v>0</v>
      </c>
      <c r="E596" s="66">
        <f t="shared" si="70"/>
        <v>0</v>
      </c>
      <c r="F596" s="65" t="str">
        <f t="shared" si="71"/>
        <v/>
      </c>
    </row>
    <row r="597" spans="1:6" ht="15.75" thickBot="1">
      <c r="A597" t="s">
        <v>108</v>
      </c>
      <c r="B597">
        <f>$G$45</f>
        <v>0</v>
      </c>
      <c r="C597" s="66">
        <f>INDEX(Basis_Limit_Test_Table[[Elevator Base]:[Non-Elevator Base]], MATCH(Calculations!$A597, Basis_Limit_Test_Table[Bedrooms], 0), $B$485)</f>
        <v>192056</v>
      </c>
      <c r="D597" s="66">
        <f t="shared" si="69"/>
        <v>0</v>
      </c>
      <c r="E597" s="66">
        <f t="shared" si="70"/>
        <v>0</v>
      </c>
      <c r="F597" s="65" t="str">
        <f t="shared" si="71"/>
        <v/>
      </c>
    </row>
    <row r="598" spans="1:6" ht="15.75" thickTop="1">
      <c r="E598" s="198">
        <f>SUM(E592:E597)</f>
        <v>0</v>
      </c>
      <c r="F598" s="198" t="str">
        <f t="shared" si="71"/>
        <v/>
      </c>
    </row>
    <row r="599" spans="1:6">
      <c r="E599" s="199"/>
    </row>
    <row r="600" spans="1:6">
      <c r="A600" t="s">
        <v>2847</v>
      </c>
      <c r="B600">
        <f>IF(Admin!B31&gt;0, Admin!B31, E494)</f>
        <v>0</v>
      </c>
      <c r="C600" s="66" t="str">
        <f t="shared" ref="C600:C605" si="72">IF(AND($B$564, $B$10),B600,"")</f>
        <v/>
      </c>
      <c r="E600" s="199"/>
    </row>
    <row r="601" spans="1:6">
      <c r="A601" t="s">
        <v>2882</v>
      </c>
      <c r="B601" s="12">
        <f>IF($B$452, Admin!$B$81, 1)</f>
        <v>1</v>
      </c>
      <c r="C601" s="66" t="str">
        <f t="shared" si="72"/>
        <v/>
      </c>
      <c r="E601" s="199"/>
    </row>
    <row r="602" spans="1:6" ht="15.75" thickBot="1">
      <c r="A602" t="s">
        <v>871</v>
      </c>
      <c r="B602" s="70">
        <f>$K$74</f>
        <v>0</v>
      </c>
      <c r="C602" s="137" t="str">
        <f t="shared" si="72"/>
        <v/>
      </c>
      <c r="E602" s="199"/>
    </row>
    <row r="603" spans="1:6" ht="15.75" thickTop="1">
      <c r="A603" t="s">
        <v>2865</v>
      </c>
      <c r="B603" s="448">
        <f>B600*B601*B602</f>
        <v>0</v>
      </c>
      <c r="C603" s="448" t="str">
        <f t="shared" si="72"/>
        <v/>
      </c>
      <c r="E603" s="199"/>
    </row>
    <row r="604" spans="1:6" ht="15.75" thickBot="1">
      <c r="A604" t="s">
        <v>2849</v>
      </c>
      <c r="B604" s="137">
        <v>0.3</v>
      </c>
      <c r="C604" s="137" t="str">
        <f t="shared" si="72"/>
        <v/>
      </c>
      <c r="D604" s="317" t="str">
        <f>IF(Admin!B82&gt;0, "cost basis override granted", "")</f>
        <v>cost basis override granted</v>
      </c>
      <c r="E604" s="199"/>
    </row>
    <row r="605" spans="1:6" ht="15.75" thickTop="1">
      <c r="A605" s="1" t="s">
        <v>2866</v>
      </c>
      <c r="B605" s="198">
        <f>B603*B604/5</f>
        <v>0</v>
      </c>
      <c r="C605" s="198" t="str">
        <f t="shared" si="72"/>
        <v/>
      </c>
      <c r="E605" s="199"/>
    </row>
    <row r="607" spans="1:6">
      <c r="A607" t="s">
        <v>2867</v>
      </c>
      <c r="B607" s="66">
        <f>Admin!B16</f>
        <v>200000</v>
      </c>
      <c r="C607" s="66" t="str">
        <f>IF(AND($B$564, $B$10),B607,"")</f>
        <v/>
      </c>
    </row>
    <row r="609" spans="1:16">
      <c r="A609" s="253"/>
      <c r="B609" s="254"/>
      <c r="C609" s="253"/>
      <c r="D609" s="253"/>
      <c r="E609" s="253"/>
      <c r="F609" s="253"/>
    </row>
    <row r="610" spans="1:16">
      <c r="A610" s="1" t="s">
        <v>4229</v>
      </c>
      <c r="B610" s="199">
        <f>IF(Application!B12 = "Yes",MIN(C576, C584, C605, C607, H522), 0)</f>
        <v>0</v>
      </c>
      <c r="D610" s="310" t="s">
        <v>2884</v>
      </c>
      <c r="E610" s="310"/>
      <c r="F610" s="310"/>
      <c r="G610" s="310"/>
      <c r="H610" s="310"/>
      <c r="I610" s="310"/>
      <c r="J610" s="310"/>
    </row>
    <row r="611" spans="1:16">
      <c r="A611" t="s">
        <v>2885</v>
      </c>
      <c r="B611" s="204" t="e">
        <f>(B610*6)/B572</f>
        <v>#N/A</v>
      </c>
      <c r="D611" t="e">
        <f>B611 &lt;= 0.31</f>
        <v>#N/A</v>
      </c>
      <c r="E611" t="e">
        <f>INDEX(Comments_State_TC_Test_table[],MATCH(D611,Comments_State_TC_Test_table[State Tax Credit Test],0),2)</f>
        <v>#N/A</v>
      </c>
    </row>
    <row r="612" spans="1:16">
      <c r="A612" s="248" t="s">
        <v>2886</v>
      </c>
      <c r="B612" s="99"/>
      <c r="C612" s="99"/>
      <c r="D612" s="99"/>
      <c r="E612" s="99"/>
      <c r="F612" s="99"/>
      <c r="G612" s="99"/>
      <c r="H612" s="99"/>
      <c r="I612" s="99"/>
      <c r="J612" s="99"/>
      <c r="K612" s="99"/>
      <c r="L612" s="99"/>
      <c r="M612" s="99"/>
      <c r="N612" s="99"/>
      <c r="O612" s="99"/>
      <c r="P612" s="99"/>
    </row>
    <row r="614" spans="1:16">
      <c r="A614" s="13" t="s">
        <v>863</v>
      </c>
      <c r="B614" s="16" t="s">
        <v>2887</v>
      </c>
      <c r="E614" s="16" t="s">
        <v>2888</v>
      </c>
    </row>
    <row r="615" spans="1:16">
      <c r="A615" t="s">
        <v>888</v>
      </c>
      <c r="B615" s="66" t="e">
        <f>B506</f>
        <v>#N/A</v>
      </c>
    </row>
    <row r="616" spans="1:16">
      <c r="A616" t="s">
        <v>2889</v>
      </c>
      <c r="B616" s="92">
        <v>10</v>
      </c>
      <c r="D616" s="22" t="s">
        <v>2890</v>
      </c>
    </row>
    <row r="617" spans="1:16" ht="15.75" thickBot="1">
      <c r="A617" t="s">
        <v>2891</v>
      </c>
      <c r="B617" s="211">
        <f>Application!$B$16</f>
        <v>0</v>
      </c>
      <c r="D617" t="s">
        <v>942</v>
      </c>
      <c r="E617" s="66">
        <f>$B$630</f>
        <v>0</v>
      </c>
    </row>
    <row r="618" spans="1:16" ht="15.75" thickTop="1">
      <c r="A618" s="1" t="s">
        <v>943</v>
      </c>
      <c r="B618" s="198" t="e">
        <f>ROUND(B615*$B$616*$B$617, 0)</f>
        <v>#N/A</v>
      </c>
      <c r="D618" t="s">
        <v>943</v>
      </c>
      <c r="E618" s="66" t="e">
        <f>$B$620</f>
        <v>#N/A</v>
      </c>
    </row>
    <row r="619" spans="1:16" ht="15.75" thickBot="1">
      <c r="D619" t="s">
        <v>944</v>
      </c>
      <c r="E619" s="66">
        <f>$B$621</f>
        <v>0</v>
      </c>
    </row>
    <row r="620" spans="1:16" ht="15.75" thickTop="1">
      <c r="A620" t="s">
        <v>2892</v>
      </c>
      <c r="B620" s="448" t="e">
        <f>ROUND(B510*$B$616*$B$617, 0)</f>
        <v>#N/A</v>
      </c>
      <c r="D620" t="s">
        <v>1320</v>
      </c>
      <c r="E620" s="448" t="e">
        <f>$B$622</f>
        <v>#N/A</v>
      </c>
      <c r="F620" s="16" t="b">
        <f>IF(ISNA(E620),FALSE,ROUND($E$620,0)=ROUND($E$621,0))</f>
        <v>0</v>
      </c>
      <c r="G620" t="str">
        <f>INDEX(Comments_Development_Funds_table[],MATCH(F620,Comments_Development_Funds_table[Development Funds],0),2)</f>
        <v>Development Total Funds do not equal Budget</v>
      </c>
    </row>
    <row r="621" spans="1:16" ht="15.75" thickBot="1">
      <c r="A621" t="s">
        <v>2893</v>
      </c>
      <c r="B621" s="66">
        <f>$B$145</f>
        <v>0</v>
      </c>
      <c r="D621" t="s">
        <v>993</v>
      </c>
      <c r="E621" s="66">
        <f>$B$623</f>
        <v>0</v>
      </c>
    </row>
    <row r="622" spans="1:16" ht="15.75" thickTop="1">
      <c r="A622" t="s">
        <v>1320</v>
      </c>
      <c r="B622" s="448" t="e">
        <f>SUM(B620+B621+B166+(F624*B630+C630))</f>
        <v>#N/A</v>
      </c>
      <c r="D622" t="s">
        <v>2858</v>
      </c>
      <c r="E622" s="448" t="e">
        <f>E620-E621</f>
        <v>#N/A</v>
      </c>
    </row>
    <row r="623" spans="1:16">
      <c r="A623" t="s">
        <v>993</v>
      </c>
      <c r="B623" s="66">
        <f>$B$292+$B$687</f>
        <v>0</v>
      </c>
    </row>
    <row r="624" spans="1:16">
      <c r="F624" s="16" t="b">
        <f>IF(AND($B$6,$B$10),FALSE,TRUE)</f>
        <v>1</v>
      </c>
      <c r="G624" t="s">
        <v>4238</v>
      </c>
    </row>
    <row r="625" spans="1:16">
      <c r="B625" s="66"/>
    </row>
    <row r="626" spans="1:16">
      <c r="A626" s="13" t="s">
        <v>127</v>
      </c>
      <c r="B626" s="203" t="s">
        <v>127</v>
      </c>
      <c r="C626" s="1" t="s">
        <v>4189</v>
      </c>
    </row>
    <row r="627" spans="1:16">
      <c r="A627" t="s">
        <v>888</v>
      </c>
      <c r="B627" s="66">
        <f>B560</f>
        <v>0</v>
      </c>
      <c r="C627" s="66">
        <f>B610</f>
        <v>0</v>
      </c>
    </row>
    <row r="628" spans="1:16">
      <c r="A628" t="s">
        <v>879</v>
      </c>
      <c r="B628" s="211">
        <f>Application!$B$17</f>
        <v>0</v>
      </c>
      <c r="C628" s="211">
        <f>Application!$B$18</f>
        <v>0</v>
      </c>
    </row>
    <row r="629" spans="1:16" ht="15.75" thickBot="1">
      <c r="B629" s="92">
        <v>6</v>
      </c>
      <c r="C629" s="92">
        <v>5</v>
      </c>
    </row>
    <row r="630" spans="1:16" ht="15.75" thickTop="1">
      <c r="A630" s="1" t="s">
        <v>942</v>
      </c>
      <c r="B630" s="198">
        <f>B627*B628*B629</f>
        <v>0</v>
      </c>
      <c r="C630" s="198">
        <f>C627*C628*C629</f>
        <v>0</v>
      </c>
    </row>
    <row r="631" spans="1:16">
      <c r="B631" s="66"/>
    </row>
    <row r="633" spans="1:16">
      <c r="A633" s="248" t="s">
        <v>2894</v>
      </c>
      <c r="B633" s="99"/>
      <c r="C633" s="99"/>
      <c r="D633" s="99"/>
      <c r="E633" s="99"/>
      <c r="F633" s="99"/>
      <c r="G633" s="99"/>
      <c r="H633" s="99"/>
      <c r="I633" s="99"/>
      <c r="J633" s="99"/>
      <c r="K633" s="99"/>
      <c r="L633" s="99"/>
      <c r="M633" s="99"/>
      <c r="N633" s="99"/>
      <c r="O633" s="99"/>
      <c r="P633" s="99"/>
    </row>
    <row r="635" spans="1:16">
      <c r="A635" t="s">
        <v>2683</v>
      </c>
      <c r="B635" t="b">
        <f>B6</f>
        <v>0</v>
      </c>
    </row>
    <row r="636" spans="1:16">
      <c r="A636" t="s">
        <v>2895</v>
      </c>
      <c r="B636" t="b">
        <f>NOT($B$21)</f>
        <v>1</v>
      </c>
    </row>
    <row r="637" spans="1:16">
      <c r="A637" t="s">
        <v>2896</v>
      </c>
      <c r="B637" t="b">
        <f>$B$22</f>
        <v>0</v>
      </c>
    </row>
    <row r="638" spans="1:16">
      <c r="A638" t="s">
        <v>2897</v>
      </c>
      <c r="B638" t="b">
        <f>AND(B636, B635, B637)</f>
        <v>0</v>
      </c>
      <c r="C638" t="s">
        <v>2898</v>
      </c>
    </row>
    <row r="640" spans="1:16">
      <c r="A640" t="s">
        <v>2899</v>
      </c>
      <c r="B640" s="66" t="e">
        <f>B506</f>
        <v>#N/A</v>
      </c>
      <c r="C640" s="518"/>
    </row>
    <row r="641" spans="1:4">
      <c r="A641" t="s">
        <v>2889</v>
      </c>
      <c r="B641" s="92">
        <v>10</v>
      </c>
    </row>
    <row r="642" spans="1:4" ht="15.75" thickBot="1">
      <c r="A642" t="s">
        <v>2891</v>
      </c>
      <c r="B642" s="211">
        <f>Application!$B$16</f>
        <v>0</v>
      </c>
    </row>
    <row r="643" spans="1:4" ht="15.75" thickTop="1">
      <c r="A643" t="s">
        <v>2900</v>
      </c>
      <c r="B643" s="448" t="e">
        <f>ROUND(B640*B641*B642, 0)</f>
        <v>#N/A</v>
      </c>
    </row>
    <row r="644" spans="1:4" ht="15.75" thickBot="1">
      <c r="A644" t="s">
        <v>2901</v>
      </c>
      <c r="B644" s="66">
        <f>$B$145+$B$630</f>
        <v>0</v>
      </c>
      <c r="D644" s="22"/>
    </row>
    <row r="645" spans="1:4" ht="15.75" thickTop="1">
      <c r="A645" t="s">
        <v>2902</v>
      </c>
      <c r="B645" s="448" t="e">
        <f>B643+B644</f>
        <v>#N/A</v>
      </c>
    </row>
    <row r="646" spans="1:4" ht="15.75" thickBot="1">
      <c r="A646" t="s">
        <v>875</v>
      </c>
      <c r="B646" s="66">
        <f>$B$292</f>
        <v>0</v>
      </c>
    </row>
    <row r="647" spans="1:4" ht="15.75" thickTop="1">
      <c r="A647" t="s">
        <v>2903</v>
      </c>
      <c r="B647" s="448" t="e">
        <f>B646 - B645</f>
        <v>#N/A</v>
      </c>
    </row>
    <row r="649" spans="1:4">
      <c r="B649" s="211" t="s">
        <v>2851</v>
      </c>
    </row>
    <row r="650" spans="1:4">
      <c r="A650" t="s">
        <v>2903</v>
      </c>
      <c r="B650" s="66">
        <f>IFERROR(ROUND(B647/($B$642*10), 0),0)</f>
        <v>0</v>
      </c>
    </row>
    <row r="651" spans="1:4" ht="15.75" thickBot="1">
      <c r="A651" t="s">
        <v>2900</v>
      </c>
      <c r="B651" s="66">
        <f>IFERROR(ROUND(B643/($B$642*10), 0),0)</f>
        <v>0</v>
      </c>
    </row>
    <row r="652" spans="1:4" ht="15.75" thickTop="1">
      <c r="A652" t="s">
        <v>2904</v>
      </c>
      <c r="B652" s="448">
        <f>SUM(B650:B651)</f>
        <v>0</v>
      </c>
    </row>
    <row r="654" spans="1:4">
      <c r="A654" t="s">
        <v>2849</v>
      </c>
      <c r="B654" s="137">
        <f>Application!$B$19</f>
        <v>0.09</v>
      </c>
    </row>
    <row r="655" spans="1:4">
      <c r="A655" t="s">
        <v>2903</v>
      </c>
      <c r="B655" s="66">
        <f>$B$650</f>
        <v>0</v>
      </c>
    </row>
    <row r="656" spans="1:4">
      <c r="A656" t="s">
        <v>2905</v>
      </c>
      <c r="B656" s="66">
        <f>ROUND(B655/B654, 0)</f>
        <v>0</v>
      </c>
    </row>
    <row r="658" spans="1:3">
      <c r="A658" t="s">
        <v>2906</v>
      </c>
      <c r="B658" s="66" t="e">
        <f>B462</f>
        <v>#N/A</v>
      </c>
    </row>
    <row r="659" spans="1:3">
      <c r="A659" t="s">
        <v>2907</v>
      </c>
      <c r="B659" s="251">
        <f>IF(B638, ROUND(B656/B658,4), 0)</f>
        <v>0</v>
      </c>
    </row>
    <row r="660" spans="1:3">
      <c r="B660" s="250"/>
    </row>
    <row r="661" spans="1:3">
      <c r="A661" t="s">
        <v>2908</v>
      </c>
      <c r="B661" s="66" t="e">
        <f>(B658*Admin!B82)-B658</f>
        <v>#N/A</v>
      </c>
    </row>
    <row r="662" spans="1:3">
      <c r="A662" t="s">
        <v>2909</v>
      </c>
      <c r="B662" s="66" t="e">
        <f>B661*B654</f>
        <v>#N/A</v>
      </c>
    </row>
    <row r="663" spans="1:3">
      <c r="B663" s="66"/>
    </row>
    <row r="664" spans="1:3">
      <c r="A664" t="s">
        <v>2910</v>
      </c>
      <c r="B664" s="149">
        <f>B655</f>
        <v>0</v>
      </c>
    </row>
    <row r="665" spans="1:3">
      <c r="A665" t="s">
        <v>2911</v>
      </c>
      <c r="B665" s="149">
        <f>Admin!B32</f>
        <v>0</v>
      </c>
      <c r="C665" s="18"/>
    </row>
    <row r="666" spans="1:3">
      <c r="A666" t="s">
        <v>2912</v>
      </c>
      <c r="B666" s="149">
        <f>IF(B665&gt;0,B665,B664)</f>
        <v>0</v>
      </c>
      <c r="C666" s="18"/>
    </row>
    <row r="667" spans="1:3">
      <c r="B667" s="348"/>
      <c r="C667" s="18"/>
    </row>
    <row r="668" spans="1:3">
      <c r="A668" t="s">
        <v>2913</v>
      </c>
      <c r="B668" s="199">
        <f>IF(NOT(B638), 0, MIN(B662, B666))</f>
        <v>0</v>
      </c>
    </row>
    <row r="669" spans="1:3">
      <c r="B669" s="199"/>
    </row>
    <row r="670" spans="1:3">
      <c r="A670" t="s">
        <v>2914</v>
      </c>
      <c r="B670" t="b">
        <f>B659&gt;0.001</f>
        <v>0</v>
      </c>
      <c r="C670" t="s">
        <v>2915</v>
      </c>
    </row>
    <row r="673" spans="1:16">
      <c r="A673" s="194"/>
      <c r="B673" s="99"/>
      <c r="C673" s="99"/>
      <c r="D673" s="99"/>
      <c r="E673" s="99"/>
      <c r="F673" s="99"/>
      <c r="G673" s="99"/>
      <c r="H673" s="99"/>
      <c r="I673" s="99"/>
      <c r="J673" s="99"/>
      <c r="K673" s="99"/>
      <c r="L673" s="99"/>
      <c r="M673" s="99"/>
      <c r="N673" s="99"/>
      <c r="O673" s="99"/>
      <c r="P673" s="99"/>
    </row>
    <row r="675" spans="1:16">
      <c r="A675" s="22" t="s">
        <v>2916</v>
      </c>
    </row>
    <row r="676" spans="1:16">
      <c r="A676" s="19" t="s">
        <v>2917</v>
      </c>
      <c r="B676" s="19" t="s">
        <v>568</v>
      </c>
      <c r="C676" s="90"/>
      <c r="D676" s="90"/>
      <c r="E676" s="90"/>
      <c r="F676" s="90"/>
    </row>
    <row r="677" spans="1:16">
      <c r="A677" t="s">
        <v>396</v>
      </c>
      <c r="B677">
        <f>SUM('Commercial Budget'!B4:B6)</f>
        <v>0</v>
      </c>
    </row>
    <row r="678" spans="1:16">
      <c r="A678" t="s">
        <v>406</v>
      </c>
      <c r="B678">
        <f>SUM('Commercial Budget'!B9:B10)</f>
        <v>0</v>
      </c>
    </row>
    <row r="679" spans="1:16">
      <c r="A679" t="s">
        <v>409</v>
      </c>
      <c r="B679">
        <f>SUM('Commercial Budget'!B13:B23)</f>
        <v>0</v>
      </c>
    </row>
    <row r="680" spans="1:16">
      <c r="A680" t="s">
        <v>421</v>
      </c>
      <c r="B680">
        <f>SUM('Commercial Budget'!B26:B33)</f>
        <v>0</v>
      </c>
    </row>
    <row r="681" spans="1:16">
      <c r="A681" t="s">
        <v>432</v>
      </c>
      <c r="B681">
        <f>SUM('Commercial Budget'!B36:B50)</f>
        <v>0</v>
      </c>
    </row>
    <row r="682" spans="1:16">
      <c r="A682" t="s">
        <v>448</v>
      </c>
      <c r="B682">
        <f>SUM('Commercial Budget'!B53:B63)</f>
        <v>0</v>
      </c>
    </row>
    <row r="683" spans="1:16">
      <c r="A683" t="s">
        <v>459</v>
      </c>
      <c r="B683">
        <f>SUM('Commercial Budget'!B66:B75)</f>
        <v>0</v>
      </c>
    </row>
    <row r="684" spans="1:16">
      <c r="A684" t="s">
        <v>475</v>
      </c>
      <c r="B684">
        <f>SUM('Commercial Budget'!B78:B83)</f>
        <v>0</v>
      </c>
    </row>
    <row r="685" spans="1:16">
      <c r="A685" t="s">
        <v>479</v>
      </c>
      <c r="B685">
        <f>SUM('Commercial Budget'!B86:B89)</f>
        <v>0</v>
      </c>
    </row>
    <row r="686" spans="1:16">
      <c r="A686" t="s">
        <v>487</v>
      </c>
      <c r="B686">
        <f>SUM('Commercial Budget'!B92:B96)</f>
        <v>0</v>
      </c>
    </row>
    <row r="687" spans="1:16">
      <c r="A687" s="1" t="s">
        <v>377</v>
      </c>
      <c r="B687" s="1">
        <f>SUM(B677:B686)</f>
        <v>0</v>
      </c>
      <c r="C687" s="1"/>
      <c r="D687" s="1"/>
      <c r="E687" s="1"/>
      <c r="F687" s="1"/>
      <c r="H687" s="1"/>
    </row>
    <row r="689" spans="1:13">
      <c r="A689" s="22" t="s">
        <v>73</v>
      </c>
    </row>
    <row r="690" spans="1:13">
      <c r="A690" s="19" t="s">
        <v>2918</v>
      </c>
      <c r="B690" s="65"/>
    </row>
    <row r="691" spans="1:13">
      <c r="A691" t="s">
        <v>708</v>
      </c>
      <c r="B691">
        <f>SUM('Cost Summary'!C8:C35)</f>
        <v>0</v>
      </c>
    </row>
    <row r="692" spans="1:13">
      <c r="A692" t="s">
        <v>763</v>
      </c>
      <c r="B692">
        <f>SUM('Cost Summary'!C38:C41)</f>
        <v>0</v>
      </c>
    </row>
    <row r="693" spans="1:13">
      <c r="A693" t="s">
        <v>765</v>
      </c>
      <c r="B693">
        <f>SUM('Cost Summary'!C44:C48)</f>
        <v>0</v>
      </c>
    </row>
    <row r="694" spans="1:13">
      <c r="A694" t="s">
        <v>770</v>
      </c>
      <c r="B694">
        <f>SUM('Cost Summary'!C51:C56)</f>
        <v>0</v>
      </c>
    </row>
    <row r="695" spans="1:13">
      <c r="A695" s="1" t="s">
        <v>377</v>
      </c>
      <c r="B695" s="1">
        <f>SUM(B691:B694)</f>
        <v>0</v>
      </c>
    </row>
    <row r="696" spans="1:13">
      <c r="A696" s="1"/>
      <c r="B696" s="1"/>
    </row>
    <row r="697" spans="1:13">
      <c r="A697" s="99" t="s">
        <v>77</v>
      </c>
      <c r="B697" s="99"/>
      <c r="C697" s="99"/>
      <c r="D697" s="99"/>
      <c r="E697" s="99"/>
      <c r="F697" s="99"/>
      <c r="G697" s="99"/>
      <c r="H697" s="71"/>
      <c r="I697" s="71"/>
      <c r="J697" s="71"/>
      <c r="K697" s="71"/>
      <c r="L697" s="71"/>
      <c r="M697" s="71"/>
    </row>
    <row r="699" spans="1:13">
      <c r="A699" t="s">
        <v>2919</v>
      </c>
      <c r="B699">
        <f>IF(OR($B$21, $B$638), Admin!$B$81, IF($B$659, MIN(Admin!$B$81, $B$62), 1))</f>
        <v>1</v>
      </c>
    </row>
    <row r="700" spans="1:13">
      <c r="A700" t="s">
        <v>2920</v>
      </c>
      <c r="B700" s="265">
        <f>H56</f>
        <v>0</v>
      </c>
    </row>
    <row r="701" spans="1:13">
      <c r="A701" t="s">
        <v>2921</v>
      </c>
      <c r="B701" s="265">
        <f>H41</f>
        <v>0</v>
      </c>
    </row>
    <row r="702" spans="1:13">
      <c r="A702" t="s">
        <v>888</v>
      </c>
      <c r="B702" s="66" t="e">
        <f>ROUND($B$510,0)</f>
        <v>#N/A</v>
      </c>
      <c r="D702" s="301" t="s">
        <v>2922</v>
      </c>
      <c r="E702" s="301"/>
    </row>
    <row r="703" spans="1:13">
      <c r="B703" s="137"/>
    </row>
    <row r="706" spans="1:31">
      <c r="A706" s="1" t="s">
        <v>2923</v>
      </c>
      <c r="B706" s="1"/>
    </row>
    <row r="707" spans="1:31" ht="60" customHeight="1">
      <c r="A707" s="19" t="s">
        <v>2924</v>
      </c>
      <c r="B707" s="93" t="s">
        <v>795</v>
      </c>
      <c r="C707" s="93" t="s">
        <v>779</v>
      </c>
      <c r="D707" s="93" t="s">
        <v>780</v>
      </c>
      <c r="E707" s="93" t="s">
        <v>796</v>
      </c>
      <c r="F707" s="93" t="s">
        <v>782</v>
      </c>
      <c r="G707" s="93" t="s">
        <v>783</v>
      </c>
      <c r="H707" s="93" t="s">
        <v>2925</v>
      </c>
      <c r="I707" s="93" t="s">
        <v>2926</v>
      </c>
      <c r="J707" s="93" t="s">
        <v>2927</v>
      </c>
      <c r="K707" s="93" t="s">
        <v>786</v>
      </c>
      <c r="L707" s="93" t="s">
        <v>2928</v>
      </c>
      <c r="M707" s="93" t="s">
        <v>2929</v>
      </c>
      <c r="N707" s="93" t="s">
        <v>2930</v>
      </c>
      <c r="O707" s="93" t="s">
        <v>2931</v>
      </c>
      <c r="P707" s="93" t="s">
        <v>2932</v>
      </c>
      <c r="Q707" s="93" t="s">
        <v>2933</v>
      </c>
      <c r="R707" s="93" t="s">
        <v>2934</v>
      </c>
      <c r="S707" s="93" t="s">
        <v>2935</v>
      </c>
      <c r="T707" s="93" t="s">
        <v>2936</v>
      </c>
      <c r="U707" s="93" t="s">
        <v>2937</v>
      </c>
      <c r="V707" s="93" t="s">
        <v>2938</v>
      </c>
      <c r="W707" s="93" t="s">
        <v>2939</v>
      </c>
      <c r="X707" s="93" t="s">
        <v>2940</v>
      </c>
      <c r="Y707" s="93" t="s">
        <v>2941</v>
      </c>
      <c r="Z707" s="93" t="s">
        <v>2942</v>
      </c>
      <c r="AA707" s="93" t="s">
        <v>2943</v>
      </c>
      <c r="AB707" s="93" t="s">
        <v>2944</v>
      </c>
      <c r="AC707" s="93" t="s">
        <v>2945</v>
      </c>
      <c r="AD707" s="93" t="s">
        <v>2946</v>
      </c>
      <c r="AE707" s="93" t="s">
        <v>2947</v>
      </c>
    </row>
    <row r="708" spans="1:31" ht="15" customHeight="1">
      <c r="A708">
        <f>'Final Building Profile'!A4</f>
        <v>1</v>
      </c>
      <c r="B708">
        <f>'Final Building Profile'!D4</f>
        <v>0</v>
      </c>
      <c r="C708">
        <f>'Final Building Profile'!E4</f>
        <v>0</v>
      </c>
      <c r="D708">
        <f>'Final Building Profile'!F4</f>
        <v>0</v>
      </c>
      <c r="E708" s="265">
        <f>'Final Building Profile'!G4</f>
        <v>0</v>
      </c>
      <c r="F708" s="265">
        <f>'Final Building Profile'!H4</f>
        <v>0</v>
      </c>
      <c r="G708" s="265">
        <f>'Final Building Profile'!I4</f>
        <v>0</v>
      </c>
      <c r="H708" s="197">
        <f t="shared" ref="H708:H739" si="73">IF((B708-C708) &lt;&gt; 0, ROUND(D708/(B708-C708), 4), 0)</f>
        <v>0</v>
      </c>
      <c r="I708" s="197">
        <f t="shared" ref="I708:I739" si="74">IF((E708-F708) = 0, 0, ROUND(G708/(E708-F708), 4))</f>
        <v>0</v>
      </c>
      <c r="J708" s="137">
        <f t="shared" ref="J708:J739" si="75">MIN(H708, I708)</f>
        <v>0</v>
      </c>
      <c r="K708" s="66">
        <f>'Final Building Profile'!L4</f>
        <v>0</v>
      </c>
      <c r="L708" s="66">
        <f>K708*$B$699</f>
        <v>0</v>
      </c>
      <c r="M708">
        <f>'Final Building Profile'!M4</f>
        <v>0</v>
      </c>
      <c r="N708" s="66">
        <f t="shared" ref="N708:N739" si="76">M708*$B$699</f>
        <v>0</v>
      </c>
      <c r="O708" s="66">
        <f t="shared" ref="O708:O739" si="77">L708+N708</f>
        <v>0</v>
      </c>
      <c r="P708" s="66">
        <f t="shared" ref="P708:P739" si="78">O708*J708</f>
        <v>0</v>
      </c>
      <c r="Q708" s="204">
        <f>'Final Building Profile'!K4</f>
        <v>0</v>
      </c>
      <c r="R708" s="66">
        <f>P708*Q708</f>
        <v>0</v>
      </c>
      <c r="S708" s="65">
        <f>'Final Building Profile'!N4-'Final Building Profile'!O4</f>
        <v>0</v>
      </c>
      <c r="T708" s="65">
        <f t="shared" ref="T708:T739" si="79">S708*J708</f>
        <v>0</v>
      </c>
      <c r="U708" s="204">
        <f>'Final Building Profile'!Q4</f>
        <v>0</v>
      </c>
      <c r="V708" s="65">
        <f>IF('Final Building Profile'!P4&lt;&gt;"", U708, 0) * T708</f>
        <v>0</v>
      </c>
      <c r="W708" s="266">
        <f t="shared" ref="W708:W739" si="80">IF($P$807 = 0, 0, (P708/$P$807) * Q708)</f>
        <v>0</v>
      </c>
      <c r="X708" s="266">
        <f>IF($T$807 = 0, 0, (T708/$T$807) * U708)</f>
        <v>0</v>
      </c>
      <c r="Y708" s="266" t="e">
        <f t="shared" ref="Y708:Y739" si="81">J708*(G708/$B$700)</f>
        <v>#DIV/0!</v>
      </c>
      <c r="Z708" s="266" t="e">
        <f t="shared" ref="Z708:Z739" si="82">J708*(D708/$B$701)</f>
        <v>#DIV/0!</v>
      </c>
      <c r="AA708" s="266" t="e">
        <f t="shared" ref="AA708:AA739" si="83">IF(I708=J708, Y708, Z708)</f>
        <v>#DIV/0!</v>
      </c>
      <c r="AB708" s="65" t="e">
        <f>IF($B$702&lt;$V$809, ROUND($B$702/$V$809*P708, 0), P708)</f>
        <v>#N/A</v>
      </c>
      <c r="AC708" s="65" t="e">
        <f>IF($B$702&lt;$V$809, ROUNDDOWN($B$702/$V$809*R708, 0), R708)</f>
        <v>#N/A</v>
      </c>
      <c r="AD708" s="65" t="e">
        <f>IF($B$702&lt;$V$809, ROUND($B$702/$V$809*T708, 0), T708)</f>
        <v>#N/A</v>
      </c>
      <c r="AE708" s="65" t="e">
        <f>IF($B$702&lt;$V$809, ROUND($B$702/$V$809*V708, 0), V708)</f>
        <v>#N/A</v>
      </c>
    </row>
    <row r="709" spans="1:31" ht="15" customHeight="1">
      <c r="A709">
        <f>'Final Building Profile'!A5</f>
        <v>2</v>
      </c>
      <c r="B709">
        <f>'Final Building Profile'!D5</f>
        <v>0</v>
      </c>
      <c r="C709">
        <f>'Final Building Profile'!E5</f>
        <v>0</v>
      </c>
      <c r="D709">
        <f>'Final Building Profile'!F5</f>
        <v>0</v>
      </c>
      <c r="E709" s="265">
        <f>'Final Building Profile'!G5</f>
        <v>0</v>
      </c>
      <c r="F709" s="265">
        <f>'Final Building Profile'!H5</f>
        <v>0</v>
      </c>
      <c r="G709" s="265">
        <f>'Final Building Profile'!I5</f>
        <v>0</v>
      </c>
      <c r="H709" s="197">
        <f t="shared" si="73"/>
        <v>0</v>
      </c>
      <c r="I709" s="197">
        <f t="shared" si="74"/>
        <v>0</v>
      </c>
      <c r="J709" s="137">
        <f t="shared" si="75"/>
        <v>0</v>
      </c>
      <c r="K709" s="66">
        <f>'Final Building Profile'!L5</f>
        <v>0</v>
      </c>
      <c r="L709" s="66">
        <f t="shared" ref="L709:L772" si="84">K709*$B$699</f>
        <v>0</v>
      </c>
      <c r="M709">
        <f>'Final Building Profile'!M5</f>
        <v>0</v>
      </c>
      <c r="N709" s="66">
        <f t="shared" si="76"/>
        <v>0</v>
      </c>
      <c r="O709" s="66">
        <f t="shared" si="77"/>
        <v>0</v>
      </c>
      <c r="P709" s="66">
        <f t="shared" si="78"/>
        <v>0</v>
      </c>
      <c r="Q709" s="204">
        <f>'Final Building Profile'!K5</f>
        <v>0</v>
      </c>
      <c r="R709" s="66">
        <f t="shared" ref="R709:R772" si="85">P709*Q709</f>
        <v>0</v>
      </c>
      <c r="S709" s="65">
        <f>'Final Building Profile'!N5-'Final Building Profile'!O5</f>
        <v>0</v>
      </c>
      <c r="T709" s="65">
        <f t="shared" si="79"/>
        <v>0</v>
      </c>
      <c r="U709" s="204">
        <f>'Final Building Profile'!Q5</f>
        <v>0</v>
      </c>
      <c r="V709" s="65">
        <f>IF('Final Building Profile'!P5&lt;&gt;"", U709, 0) * T709</f>
        <v>0</v>
      </c>
      <c r="W709" s="266">
        <f t="shared" si="80"/>
        <v>0</v>
      </c>
      <c r="X709" s="266">
        <f t="shared" ref="X709:X772" si="86">IF($T$807 = 0, 0, (T709/$T$807) * U709)</f>
        <v>0</v>
      </c>
      <c r="Y709" s="266" t="e">
        <f t="shared" si="81"/>
        <v>#DIV/0!</v>
      </c>
      <c r="Z709" s="266" t="e">
        <f t="shared" si="82"/>
        <v>#DIV/0!</v>
      </c>
      <c r="AA709" s="266" t="e">
        <f t="shared" si="83"/>
        <v>#DIV/0!</v>
      </c>
      <c r="AB709" s="65" t="e">
        <f t="shared" ref="AB709:AB739" si="87">IF($B$702&lt;$V$809, ROUND($B$702/$V$809*P709, 0), P709)</f>
        <v>#N/A</v>
      </c>
      <c r="AC709" s="65" t="e">
        <f t="shared" ref="AC709:AC739" si="88">IF($B$702&lt;$V$809, ROUNDDOWN($B$702/$V$809*R709, 0), R709)</f>
        <v>#N/A</v>
      </c>
      <c r="AD709" s="65" t="e">
        <f t="shared" ref="AD709:AD739" si="89">IF($B$702&lt;$V$809, ROUND($B$702/$V$809*T709, 0), T709)</f>
        <v>#N/A</v>
      </c>
      <c r="AE709" s="65" t="e">
        <f t="shared" ref="AE709:AE739" si="90">IF($B$702&lt;$V$809, ROUND($B$702/$V$809*V709, 0), V709)</f>
        <v>#N/A</v>
      </c>
    </row>
    <row r="710" spans="1:31" ht="15" customHeight="1">
      <c r="A710">
        <f>'Final Building Profile'!A6</f>
        <v>3</v>
      </c>
      <c r="B710">
        <f>'Final Building Profile'!D6</f>
        <v>0</v>
      </c>
      <c r="C710">
        <f>'Final Building Profile'!E6</f>
        <v>0</v>
      </c>
      <c r="D710">
        <f>'Final Building Profile'!F6</f>
        <v>0</v>
      </c>
      <c r="E710" s="265">
        <f>'Final Building Profile'!G6</f>
        <v>0</v>
      </c>
      <c r="F710" s="265">
        <f>'Final Building Profile'!H6</f>
        <v>0</v>
      </c>
      <c r="G710" s="265">
        <f>'Final Building Profile'!I6</f>
        <v>0</v>
      </c>
      <c r="H710" s="197">
        <f t="shared" si="73"/>
        <v>0</v>
      </c>
      <c r="I710" s="197">
        <f t="shared" si="74"/>
        <v>0</v>
      </c>
      <c r="J710" s="137">
        <f t="shared" si="75"/>
        <v>0</v>
      </c>
      <c r="K710" s="66">
        <f>'Final Building Profile'!L6</f>
        <v>0</v>
      </c>
      <c r="L710" s="66">
        <f t="shared" si="84"/>
        <v>0</v>
      </c>
      <c r="M710">
        <f>'Final Building Profile'!M6</f>
        <v>0</v>
      </c>
      <c r="N710" s="66">
        <f t="shared" si="76"/>
        <v>0</v>
      </c>
      <c r="O710" s="66">
        <f t="shared" si="77"/>
        <v>0</v>
      </c>
      <c r="P710" s="66">
        <f t="shared" si="78"/>
        <v>0</v>
      </c>
      <c r="Q710" s="204">
        <f>'Final Building Profile'!K6</f>
        <v>0</v>
      </c>
      <c r="R710" s="66">
        <f t="shared" si="85"/>
        <v>0</v>
      </c>
      <c r="S710" s="65">
        <f>'Final Building Profile'!N6-'Final Building Profile'!O6</f>
        <v>0</v>
      </c>
      <c r="T710" s="65">
        <f t="shared" si="79"/>
        <v>0</v>
      </c>
      <c r="U710" s="204">
        <f>'Final Building Profile'!Q6</f>
        <v>0</v>
      </c>
      <c r="V710" s="65">
        <f>IF('Final Building Profile'!P6&lt;&gt;"", U710, 0) * T710</f>
        <v>0</v>
      </c>
      <c r="W710" s="266">
        <f t="shared" si="80"/>
        <v>0</v>
      </c>
      <c r="X710" s="266">
        <f t="shared" si="86"/>
        <v>0</v>
      </c>
      <c r="Y710" s="266" t="e">
        <f t="shared" si="81"/>
        <v>#DIV/0!</v>
      </c>
      <c r="Z710" s="266" t="e">
        <f t="shared" si="82"/>
        <v>#DIV/0!</v>
      </c>
      <c r="AA710" s="266" t="e">
        <f t="shared" si="83"/>
        <v>#DIV/0!</v>
      </c>
      <c r="AB710" s="65" t="e">
        <f t="shared" si="87"/>
        <v>#N/A</v>
      </c>
      <c r="AC710" s="65" t="e">
        <f t="shared" si="88"/>
        <v>#N/A</v>
      </c>
      <c r="AD710" s="65" t="e">
        <f t="shared" si="89"/>
        <v>#N/A</v>
      </c>
      <c r="AE710" s="65" t="e">
        <f t="shared" si="90"/>
        <v>#N/A</v>
      </c>
    </row>
    <row r="711" spans="1:31" ht="15" customHeight="1">
      <c r="A711">
        <f>'Final Building Profile'!A7</f>
        <v>4</v>
      </c>
      <c r="B711">
        <f>'Final Building Profile'!D7</f>
        <v>0</v>
      </c>
      <c r="C711">
        <f>'Final Building Profile'!E7</f>
        <v>0</v>
      </c>
      <c r="D711">
        <f>'Final Building Profile'!F7</f>
        <v>0</v>
      </c>
      <c r="E711" s="265">
        <f>'Final Building Profile'!G7</f>
        <v>0</v>
      </c>
      <c r="F711" s="265">
        <f>'Final Building Profile'!H7</f>
        <v>0</v>
      </c>
      <c r="G711" s="265">
        <f>'Final Building Profile'!I7</f>
        <v>0</v>
      </c>
      <c r="H711" s="197">
        <f t="shared" si="73"/>
        <v>0</v>
      </c>
      <c r="I711" s="197">
        <f t="shared" si="74"/>
        <v>0</v>
      </c>
      <c r="J711" s="137">
        <f t="shared" si="75"/>
        <v>0</v>
      </c>
      <c r="K711" s="66">
        <f>'Final Building Profile'!L7</f>
        <v>0</v>
      </c>
      <c r="L711" s="66">
        <f t="shared" si="84"/>
        <v>0</v>
      </c>
      <c r="M711">
        <f>'Final Building Profile'!M7</f>
        <v>0</v>
      </c>
      <c r="N711" s="66">
        <f t="shared" si="76"/>
        <v>0</v>
      </c>
      <c r="O711" s="66">
        <f t="shared" si="77"/>
        <v>0</v>
      </c>
      <c r="P711" s="66">
        <f t="shared" si="78"/>
        <v>0</v>
      </c>
      <c r="Q711" s="204">
        <f>'Final Building Profile'!K7</f>
        <v>0</v>
      </c>
      <c r="R711" s="66">
        <f t="shared" si="85"/>
        <v>0</v>
      </c>
      <c r="S711" s="65">
        <f>'Final Building Profile'!N7-'Final Building Profile'!O7</f>
        <v>0</v>
      </c>
      <c r="T711" s="65">
        <f t="shared" si="79"/>
        <v>0</v>
      </c>
      <c r="U711" s="204">
        <f>'Final Building Profile'!Q7</f>
        <v>0</v>
      </c>
      <c r="V711" s="65">
        <f>IF('Final Building Profile'!P7&lt;&gt;"", U711, 0) * T711</f>
        <v>0</v>
      </c>
      <c r="W711" s="266">
        <f t="shared" si="80"/>
        <v>0</v>
      </c>
      <c r="X711" s="266">
        <f t="shared" si="86"/>
        <v>0</v>
      </c>
      <c r="Y711" s="266" t="e">
        <f t="shared" si="81"/>
        <v>#DIV/0!</v>
      </c>
      <c r="Z711" s="266" t="e">
        <f t="shared" si="82"/>
        <v>#DIV/0!</v>
      </c>
      <c r="AA711" s="266" t="e">
        <f t="shared" si="83"/>
        <v>#DIV/0!</v>
      </c>
      <c r="AB711" s="65" t="e">
        <f t="shared" si="87"/>
        <v>#N/A</v>
      </c>
      <c r="AC711" s="65" t="e">
        <f t="shared" si="88"/>
        <v>#N/A</v>
      </c>
      <c r="AD711" s="65" t="e">
        <f t="shared" si="89"/>
        <v>#N/A</v>
      </c>
      <c r="AE711" s="65" t="e">
        <f t="shared" si="90"/>
        <v>#N/A</v>
      </c>
    </row>
    <row r="712" spans="1:31" ht="15" customHeight="1">
      <c r="A712">
        <f>'Final Building Profile'!A8</f>
        <v>5</v>
      </c>
      <c r="B712">
        <f>'Final Building Profile'!D8</f>
        <v>0</v>
      </c>
      <c r="C712">
        <f>'Final Building Profile'!E8</f>
        <v>0</v>
      </c>
      <c r="D712">
        <f>'Final Building Profile'!F8</f>
        <v>0</v>
      </c>
      <c r="E712" s="265">
        <f>'Final Building Profile'!G8</f>
        <v>0</v>
      </c>
      <c r="F712" s="265">
        <f>'Final Building Profile'!H8</f>
        <v>0</v>
      </c>
      <c r="G712" s="265">
        <f>'Final Building Profile'!I8</f>
        <v>0</v>
      </c>
      <c r="H712" s="197">
        <f t="shared" si="73"/>
        <v>0</v>
      </c>
      <c r="I712" s="197">
        <f t="shared" si="74"/>
        <v>0</v>
      </c>
      <c r="J712" s="137">
        <f t="shared" si="75"/>
        <v>0</v>
      </c>
      <c r="K712" s="66">
        <f>'Final Building Profile'!L8</f>
        <v>0</v>
      </c>
      <c r="L712" s="66">
        <f t="shared" si="84"/>
        <v>0</v>
      </c>
      <c r="M712">
        <f>'Final Building Profile'!M8</f>
        <v>0</v>
      </c>
      <c r="N712" s="66">
        <f t="shared" si="76"/>
        <v>0</v>
      </c>
      <c r="O712" s="66">
        <f t="shared" si="77"/>
        <v>0</v>
      </c>
      <c r="P712" s="66">
        <f t="shared" si="78"/>
        <v>0</v>
      </c>
      <c r="Q712" s="204">
        <f>'Final Building Profile'!K8</f>
        <v>0</v>
      </c>
      <c r="R712" s="66">
        <f t="shared" si="85"/>
        <v>0</v>
      </c>
      <c r="S712" s="65">
        <f>'Final Building Profile'!N8-'Final Building Profile'!O8</f>
        <v>0</v>
      </c>
      <c r="T712" s="65">
        <f t="shared" si="79"/>
        <v>0</v>
      </c>
      <c r="U712" s="204">
        <f>'Final Building Profile'!Q8</f>
        <v>0</v>
      </c>
      <c r="V712" s="65">
        <f>IF('Final Building Profile'!P8&lt;&gt;"", U712, 0) * T712</f>
        <v>0</v>
      </c>
      <c r="W712" s="266">
        <f t="shared" si="80"/>
        <v>0</v>
      </c>
      <c r="X712" s="266">
        <f t="shared" si="86"/>
        <v>0</v>
      </c>
      <c r="Y712" s="266" t="e">
        <f t="shared" si="81"/>
        <v>#DIV/0!</v>
      </c>
      <c r="Z712" s="266" t="e">
        <f t="shared" si="82"/>
        <v>#DIV/0!</v>
      </c>
      <c r="AA712" s="266" t="e">
        <f t="shared" si="83"/>
        <v>#DIV/0!</v>
      </c>
      <c r="AB712" s="65" t="e">
        <f t="shared" si="87"/>
        <v>#N/A</v>
      </c>
      <c r="AC712" s="65" t="e">
        <f t="shared" si="88"/>
        <v>#N/A</v>
      </c>
      <c r="AD712" s="65" t="e">
        <f t="shared" si="89"/>
        <v>#N/A</v>
      </c>
      <c r="AE712" s="65" t="e">
        <f t="shared" si="90"/>
        <v>#N/A</v>
      </c>
    </row>
    <row r="713" spans="1:31" ht="15" customHeight="1">
      <c r="A713">
        <f>'Final Building Profile'!A9</f>
        <v>6</v>
      </c>
      <c r="B713">
        <f>'Final Building Profile'!D9</f>
        <v>0</v>
      </c>
      <c r="C713">
        <f>'Final Building Profile'!E9</f>
        <v>0</v>
      </c>
      <c r="D713">
        <f>'Final Building Profile'!F9</f>
        <v>0</v>
      </c>
      <c r="E713" s="265">
        <f>'Final Building Profile'!G9</f>
        <v>0</v>
      </c>
      <c r="F713" s="265">
        <f>'Final Building Profile'!H9</f>
        <v>0</v>
      </c>
      <c r="G713" s="265">
        <f>'Final Building Profile'!I9</f>
        <v>0</v>
      </c>
      <c r="H713" s="197">
        <f t="shared" si="73"/>
        <v>0</v>
      </c>
      <c r="I713" s="197">
        <f t="shared" si="74"/>
        <v>0</v>
      </c>
      <c r="J713" s="137">
        <f t="shared" si="75"/>
        <v>0</v>
      </c>
      <c r="K713" s="66">
        <f>'Final Building Profile'!L9</f>
        <v>0</v>
      </c>
      <c r="L713" s="66">
        <f t="shared" si="84"/>
        <v>0</v>
      </c>
      <c r="M713">
        <f>'Final Building Profile'!M9</f>
        <v>0</v>
      </c>
      <c r="N713" s="66">
        <f t="shared" si="76"/>
        <v>0</v>
      </c>
      <c r="O713" s="66">
        <f t="shared" si="77"/>
        <v>0</v>
      </c>
      <c r="P713" s="66">
        <f t="shared" si="78"/>
        <v>0</v>
      </c>
      <c r="Q713" s="204">
        <f>'Final Building Profile'!K9</f>
        <v>0</v>
      </c>
      <c r="R713" s="66">
        <f t="shared" si="85"/>
        <v>0</v>
      </c>
      <c r="S713" s="65">
        <f>'Final Building Profile'!N9-'Final Building Profile'!O9</f>
        <v>0</v>
      </c>
      <c r="T713" s="65">
        <f t="shared" si="79"/>
        <v>0</v>
      </c>
      <c r="U713" s="204">
        <f>'Final Building Profile'!Q9</f>
        <v>0</v>
      </c>
      <c r="V713" s="65">
        <f>IF('Final Building Profile'!P9&lt;&gt;"", U713, 0) * T713</f>
        <v>0</v>
      </c>
      <c r="W713" s="266">
        <f t="shared" si="80"/>
        <v>0</v>
      </c>
      <c r="X713" s="266">
        <f t="shared" si="86"/>
        <v>0</v>
      </c>
      <c r="Y713" s="266" t="e">
        <f t="shared" si="81"/>
        <v>#DIV/0!</v>
      </c>
      <c r="Z713" s="266" t="e">
        <f t="shared" si="82"/>
        <v>#DIV/0!</v>
      </c>
      <c r="AA713" s="266" t="e">
        <f t="shared" si="83"/>
        <v>#DIV/0!</v>
      </c>
      <c r="AB713" s="65" t="e">
        <f t="shared" si="87"/>
        <v>#N/A</v>
      </c>
      <c r="AC713" s="65" t="e">
        <f t="shared" si="88"/>
        <v>#N/A</v>
      </c>
      <c r="AD713" s="65" t="e">
        <f t="shared" si="89"/>
        <v>#N/A</v>
      </c>
      <c r="AE713" s="65" t="e">
        <f t="shared" si="90"/>
        <v>#N/A</v>
      </c>
    </row>
    <row r="714" spans="1:31" ht="15" customHeight="1">
      <c r="A714">
        <f>'Final Building Profile'!A10</f>
        <v>7</v>
      </c>
      <c r="B714">
        <f>'Final Building Profile'!D10</f>
        <v>0</v>
      </c>
      <c r="C714">
        <f>'Final Building Profile'!E10</f>
        <v>0</v>
      </c>
      <c r="D714">
        <f>'Final Building Profile'!F10</f>
        <v>0</v>
      </c>
      <c r="E714" s="265">
        <f>'Final Building Profile'!G10</f>
        <v>0</v>
      </c>
      <c r="F714" s="265">
        <f>'Final Building Profile'!H10</f>
        <v>0</v>
      </c>
      <c r="G714" s="265">
        <f>'Final Building Profile'!I10</f>
        <v>0</v>
      </c>
      <c r="H714" s="197">
        <f t="shared" si="73"/>
        <v>0</v>
      </c>
      <c r="I714" s="197">
        <f t="shared" si="74"/>
        <v>0</v>
      </c>
      <c r="J714" s="137">
        <f t="shared" si="75"/>
        <v>0</v>
      </c>
      <c r="K714" s="66">
        <f>'Final Building Profile'!L10</f>
        <v>0</v>
      </c>
      <c r="L714" s="66">
        <f t="shared" si="84"/>
        <v>0</v>
      </c>
      <c r="M714">
        <f>'Final Building Profile'!M10</f>
        <v>0</v>
      </c>
      <c r="N714" s="66">
        <f t="shared" si="76"/>
        <v>0</v>
      </c>
      <c r="O714" s="66">
        <f t="shared" si="77"/>
        <v>0</v>
      </c>
      <c r="P714" s="66">
        <f t="shared" si="78"/>
        <v>0</v>
      </c>
      <c r="Q714" s="204">
        <f>'Final Building Profile'!K10</f>
        <v>0</v>
      </c>
      <c r="R714" s="66">
        <f t="shared" si="85"/>
        <v>0</v>
      </c>
      <c r="S714" s="65">
        <f>'Final Building Profile'!N10-'Final Building Profile'!O10</f>
        <v>0</v>
      </c>
      <c r="T714" s="65">
        <f t="shared" si="79"/>
        <v>0</v>
      </c>
      <c r="U714" s="204">
        <f>'Final Building Profile'!Q10</f>
        <v>0</v>
      </c>
      <c r="V714" s="65">
        <f>IF('Final Building Profile'!P10&lt;&gt;"", U714, 0) * T714</f>
        <v>0</v>
      </c>
      <c r="W714" s="266">
        <f t="shared" si="80"/>
        <v>0</v>
      </c>
      <c r="X714" s="266">
        <f t="shared" si="86"/>
        <v>0</v>
      </c>
      <c r="Y714" s="266" t="e">
        <f t="shared" si="81"/>
        <v>#DIV/0!</v>
      </c>
      <c r="Z714" s="266" t="e">
        <f t="shared" si="82"/>
        <v>#DIV/0!</v>
      </c>
      <c r="AA714" s="266" t="e">
        <f t="shared" si="83"/>
        <v>#DIV/0!</v>
      </c>
      <c r="AB714" s="65" t="e">
        <f t="shared" si="87"/>
        <v>#N/A</v>
      </c>
      <c r="AC714" s="65" t="e">
        <f t="shared" si="88"/>
        <v>#N/A</v>
      </c>
      <c r="AD714" s="65" t="e">
        <f t="shared" si="89"/>
        <v>#N/A</v>
      </c>
      <c r="AE714" s="65" t="e">
        <f t="shared" si="90"/>
        <v>#N/A</v>
      </c>
    </row>
    <row r="715" spans="1:31" ht="15" customHeight="1">
      <c r="A715">
        <f>'Final Building Profile'!A11</f>
        <v>8</v>
      </c>
      <c r="B715">
        <f>'Final Building Profile'!D11</f>
        <v>0</v>
      </c>
      <c r="C715">
        <f>'Final Building Profile'!E11</f>
        <v>0</v>
      </c>
      <c r="D715">
        <f>'Final Building Profile'!F11</f>
        <v>0</v>
      </c>
      <c r="E715" s="265">
        <f>'Final Building Profile'!G11</f>
        <v>0</v>
      </c>
      <c r="F715" s="265">
        <f>'Final Building Profile'!H11</f>
        <v>0</v>
      </c>
      <c r="G715" s="265">
        <f>'Final Building Profile'!I11</f>
        <v>0</v>
      </c>
      <c r="H715" s="197">
        <f t="shared" si="73"/>
        <v>0</v>
      </c>
      <c r="I715" s="197">
        <f t="shared" si="74"/>
        <v>0</v>
      </c>
      <c r="J715" s="137">
        <f t="shared" si="75"/>
        <v>0</v>
      </c>
      <c r="K715" s="66">
        <f>'Final Building Profile'!L11</f>
        <v>0</v>
      </c>
      <c r="L715" s="66">
        <f t="shared" si="84"/>
        <v>0</v>
      </c>
      <c r="M715">
        <f>'Final Building Profile'!M11</f>
        <v>0</v>
      </c>
      <c r="N715" s="66">
        <f t="shared" si="76"/>
        <v>0</v>
      </c>
      <c r="O715" s="66">
        <f t="shared" si="77"/>
        <v>0</v>
      </c>
      <c r="P715" s="66">
        <f t="shared" si="78"/>
        <v>0</v>
      </c>
      <c r="Q715" s="204">
        <f>'Final Building Profile'!K11</f>
        <v>0</v>
      </c>
      <c r="R715" s="66">
        <f t="shared" si="85"/>
        <v>0</v>
      </c>
      <c r="S715" s="65">
        <f>'Final Building Profile'!N11-'Final Building Profile'!O11</f>
        <v>0</v>
      </c>
      <c r="T715" s="65">
        <f t="shared" si="79"/>
        <v>0</v>
      </c>
      <c r="U715" s="204">
        <f>'Final Building Profile'!Q11</f>
        <v>0</v>
      </c>
      <c r="V715" s="65">
        <f>IF('Final Building Profile'!P11&lt;&gt;"", U715, 0) * T715</f>
        <v>0</v>
      </c>
      <c r="W715" s="266">
        <f t="shared" si="80"/>
        <v>0</v>
      </c>
      <c r="X715" s="266">
        <f t="shared" si="86"/>
        <v>0</v>
      </c>
      <c r="Y715" s="266" t="e">
        <f t="shared" si="81"/>
        <v>#DIV/0!</v>
      </c>
      <c r="Z715" s="266" t="e">
        <f t="shared" si="82"/>
        <v>#DIV/0!</v>
      </c>
      <c r="AA715" s="266" t="e">
        <f t="shared" si="83"/>
        <v>#DIV/0!</v>
      </c>
      <c r="AB715" s="65" t="e">
        <f t="shared" si="87"/>
        <v>#N/A</v>
      </c>
      <c r="AC715" s="65" t="e">
        <f t="shared" si="88"/>
        <v>#N/A</v>
      </c>
      <c r="AD715" s="65" t="e">
        <f t="shared" si="89"/>
        <v>#N/A</v>
      </c>
      <c r="AE715" s="65" t="e">
        <f t="shared" si="90"/>
        <v>#N/A</v>
      </c>
    </row>
    <row r="716" spans="1:31" ht="15" customHeight="1">
      <c r="A716">
        <f>'Final Building Profile'!A12</f>
        <v>9</v>
      </c>
      <c r="B716">
        <f>'Final Building Profile'!D12</f>
        <v>0</v>
      </c>
      <c r="C716">
        <f>'Final Building Profile'!E12</f>
        <v>0</v>
      </c>
      <c r="D716">
        <f>'Final Building Profile'!F12</f>
        <v>0</v>
      </c>
      <c r="E716" s="265">
        <f>'Final Building Profile'!G12</f>
        <v>0</v>
      </c>
      <c r="F716" s="265">
        <f>'Final Building Profile'!H12</f>
        <v>0</v>
      </c>
      <c r="G716" s="265">
        <f>'Final Building Profile'!I12</f>
        <v>0</v>
      </c>
      <c r="H716" s="197">
        <f t="shared" si="73"/>
        <v>0</v>
      </c>
      <c r="I716" s="197">
        <f t="shared" si="74"/>
        <v>0</v>
      </c>
      <c r="J716" s="137">
        <f t="shared" si="75"/>
        <v>0</v>
      </c>
      <c r="K716" s="66">
        <f>'Final Building Profile'!L12</f>
        <v>0</v>
      </c>
      <c r="L716" s="66">
        <f t="shared" si="84"/>
        <v>0</v>
      </c>
      <c r="M716">
        <f>'Final Building Profile'!M12</f>
        <v>0</v>
      </c>
      <c r="N716" s="66">
        <f t="shared" si="76"/>
        <v>0</v>
      </c>
      <c r="O716" s="66">
        <f t="shared" si="77"/>
        <v>0</v>
      </c>
      <c r="P716" s="66">
        <f t="shared" si="78"/>
        <v>0</v>
      </c>
      <c r="Q716" s="204">
        <f>'Final Building Profile'!K12</f>
        <v>0</v>
      </c>
      <c r="R716" s="66">
        <f t="shared" si="85"/>
        <v>0</v>
      </c>
      <c r="S716" s="65">
        <f>'Final Building Profile'!N12-'Final Building Profile'!O12</f>
        <v>0</v>
      </c>
      <c r="T716" s="65">
        <f t="shared" si="79"/>
        <v>0</v>
      </c>
      <c r="U716" s="204">
        <f>'Final Building Profile'!Q12</f>
        <v>0</v>
      </c>
      <c r="V716" s="65">
        <f>IF('Final Building Profile'!P12&lt;&gt;"", U716, 0) * T716</f>
        <v>0</v>
      </c>
      <c r="W716" s="266">
        <f t="shared" si="80"/>
        <v>0</v>
      </c>
      <c r="X716" s="266">
        <f t="shared" si="86"/>
        <v>0</v>
      </c>
      <c r="Y716" s="266" t="e">
        <f t="shared" si="81"/>
        <v>#DIV/0!</v>
      </c>
      <c r="Z716" s="266" t="e">
        <f t="shared" si="82"/>
        <v>#DIV/0!</v>
      </c>
      <c r="AA716" s="266" t="e">
        <f t="shared" si="83"/>
        <v>#DIV/0!</v>
      </c>
      <c r="AB716" s="65" t="e">
        <f t="shared" si="87"/>
        <v>#N/A</v>
      </c>
      <c r="AC716" s="65" t="e">
        <f t="shared" si="88"/>
        <v>#N/A</v>
      </c>
      <c r="AD716" s="65" t="e">
        <f t="shared" si="89"/>
        <v>#N/A</v>
      </c>
      <c r="AE716" s="65" t="e">
        <f t="shared" si="90"/>
        <v>#N/A</v>
      </c>
    </row>
    <row r="717" spans="1:31" ht="15" customHeight="1">
      <c r="A717">
        <f>'Final Building Profile'!A13</f>
        <v>10</v>
      </c>
      <c r="B717">
        <f>'Final Building Profile'!D13</f>
        <v>0</v>
      </c>
      <c r="C717">
        <f>'Final Building Profile'!E13</f>
        <v>0</v>
      </c>
      <c r="D717">
        <f>'Final Building Profile'!F13</f>
        <v>0</v>
      </c>
      <c r="E717" s="265">
        <f>'Final Building Profile'!G13</f>
        <v>0</v>
      </c>
      <c r="F717" s="265">
        <f>'Final Building Profile'!H13</f>
        <v>0</v>
      </c>
      <c r="G717" s="265">
        <f>'Final Building Profile'!I13</f>
        <v>0</v>
      </c>
      <c r="H717" s="197">
        <f t="shared" si="73"/>
        <v>0</v>
      </c>
      <c r="I717" s="197">
        <f t="shared" si="74"/>
        <v>0</v>
      </c>
      <c r="J717" s="137">
        <f t="shared" si="75"/>
        <v>0</v>
      </c>
      <c r="K717" s="66">
        <f>'Final Building Profile'!L13</f>
        <v>0</v>
      </c>
      <c r="L717" s="66">
        <f t="shared" si="84"/>
        <v>0</v>
      </c>
      <c r="M717">
        <f>'Final Building Profile'!M13</f>
        <v>0</v>
      </c>
      <c r="N717" s="66">
        <f t="shared" si="76"/>
        <v>0</v>
      </c>
      <c r="O717" s="66">
        <f t="shared" si="77"/>
        <v>0</v>
      </c>
      <c r="P717" s="66">
        <f t="shared" si="78"/>
        <v>0</v>
      </c>
      <c r="Q717" s="204">
        <f>'Final Building Profile'!K13</f>
        <v>0</v>
      </c>
      <c r="R717" s="66">
        <f t="shared" si="85"/>
        <v>0</v>
      </c>
      <c r="S717" s="65">
        <f>'Final Building Profile'!N13-'Final Building Profile'!O13</f>
        <v>0</v>
      </c>
      <c r="T717" s="65">
        <f t="shared" si="79"/>
        <v>0</v>
      </c>
      <c r="U717" s="204">
        <f>'Final Building Profile'!Q13</f>
        <v>0</v>
      </c>
      <c r="V717" s="65">
        <f>IF('Final Building Profile'!P13&lt;&gt;"", U717, 0) * T717</f>
        <v>0</v>
      </c>
      <c r="W717" s="266">
        <f t="shared" si="80"/>
        <v>0</v>
      </c>
      <c r="X717" s="266">
        <f t="shared" si="86"/>
        <v>0</v>
      </c>
      <c r="Y717" s="266" t="e">
        <f t="shared" si="81"/>
        <v>#DIV/0!</v>
      </c>
      <c r="Z717" s="266" t="e">
        <f t="shared" si="82"/>
        <v>#DIV/0!</v>
      </c>
      <c r="AA717" s="266" t="e">
        <f t="shared" si="83"/>
        <v>#DIV/0!</v>
      </c>
      <c r="AB717" s="65" t="e">
        <f t="shared" si="87"/>
        <v>#N/A</v>
      </c>
      <c r="AC717" s="65" t="e">
        <f t="shared" si="88"/>
        <v>#N/A</v>
      </c>
      <c r="AD717" s="65" t="e">
        <f t="shared" si="89"/>
        <v>#N/A</v>
      </c>
      <c r="AE717" s="65" t="e">
        <f t="shared" si="90"/>
        <v>#N/A</v>
      </c>
    </row>
    <row r="718" spans="1:31" ht="15" customHeight="1">
      <c r="A718">
        <f>'Final Building Profile'!A14</f>
        <v>11</v>
      </c>
      <c r="B718">
        <f>'Final Building Profile'!D14</f>
        <v>0</v>
      </c>
      <c r="C718">
        <f>'Final Building Profile'!E14</f>
        <v>0</v>
      </c>
      <c r="D718">
        <f>'Final Building Profile'!F14</f>
        <v>0</v>
      </c>
      <c r="E718" s="265">
        <f>'Final Building Profile'!G14</f>
        <v>0</v>
      </c>
      <c r="F718" s="265">
        <f>'Final Building Profile'!H14</f>
        <v>0</v>
      </c>
      <c r="G718" s="265">
        <f>'Final Building Profile'!I14</f>
        <v>0</v>
      </c>
      <c r="H718" s="197">
        <f t="shared" si="73"/>
        <v>0</v>
      </c>
      <c r="I718" s="197">
        <f t="shared" si="74"/>
        <v>0</v>
      </c>
      <c r="J718" s="137">
        <f t="shared" si="75"/>
        <v>0</v>
      </c>
      <c r="K718" s="66">
        <f>'Final Building Profile'!L14</f>
        <v>0</v>
      </c>
      <c r="L718" s="66">
        <f t="shared" si="84"/>
        <v>0</v>
      </c>
      <c r="M718">
        <f>'Final Building Profile'!M14</f>
        <v>0</v>
      </c>
      <c r="N718" s="66">
        <f t="shared" si="76"/>
        <v>0</v>
      </c>
      <c r="O718" s="66">
        <f t="shared" si="77"/>
        <v>0</v>
      </c>
      <c r="P718" s="66">
        <f t="shared" si="78"/>
        <v>0</v>
      </c>
      <c r="Q718" s="204">
        <f>'Final Building Profile'!K14</f>
        <v>0</v>
      </c>
      <c r="R718" s="66">
        <f t="shared" si="85"/>
        <v>0</v>
      </c>
      <c r="S718" s="65">
        <f>'Final Building Profile'!N14-'Final Building Profile'!O14</f>
        <v>0</v>
      </c>
      <c r="T718" s="65">
        <f t="shared" si="79"/>
        <v>0</v>
      </c>
      <c r="U718" s="204">
        <f>'Final Building Profile'!Q14</f>
        <v>0</v>
      </c>
      <c r="V718" s="65">
        <f>IF('Final Building Profile'!P14&lt;&gt;"", U718, 0) * T718</f>
        <v>0</v>
      </c>
      <c r="W718" s="266">
        <f t="shared" si="80"/>
        <v>0</v>
      </c>
      <c r="X718" s="266">
        <f t="shared" si="86"/>
        <v>0</v>
      </c>
      <c r="Y718" s="266" t="e">
        <f t="shared" si="81"/>
        <v>#DIV/0!</v>
      </c>
      <c r="Z718" s="266" t="e">
        <f t="shared" si="82"/>
        <v>#DIV/0!</v>
      </c>
      <c r="AA718" s="266" t="e">
        <f t="shared" si="83"/>
        <v>#DIV/0!</v>
      </c>
      <c r="AB718" s="65" t="e">
        <f t="shared" si="87"/>
        <v>#N/A</v>
      </c>
      <c r="AC718" s="65" t="e">
        <f t="shared" si="88"/>
        <v>#N/A</v>
      </c>
      <c r="AD718" s="65" t="e">
        <f t="shared" si="89"/>
        <v>#N/A</v>
      </c>
      <c r="AE718" s="65" t="e">
        <f t="shared" si="90"/>
        <v>#N/A</v>
      </c>
    </row>
    <row r="719" spans="1:31" ht="15" customHeight="1">
      <c r="A719">
        <f>'Final Building Profile'!A15</f>
        <v>12</v>
      </c>
      <c r="B719">
        <f>'Final Building Profile'!D15</f>
        <v>0</v>
      </c>
      <c r="C719">
        <f>'Final Building Profile'!E15</f>
        <v>0</v>
      </c>
      <c r="D719">
        <f>'Final Building Profile'!F15</f>
        <v>0</v>
      </c>
      <c r="E719" s="265">
        <f>'Final Building Profile'!G15</f>
        <v>0</v>
      </c>
      <c r="F719" s="265">
        <f>'Final Building Profile'!H15</f>
        <v>0</v>
      </c>
      <c r="G719" s="265">
        <f>'Final Building Profile'!I15</f>
        <v>0</v>
      </c>
      <c r="H719" s="197">
        <f t="shared" si="73"/>
        <v>0</v>
      </c>
      <c r="I719" s="197">
        <f t="shared" si="74"/>
        <v>0</v>
      </c>
      <c r="J719" s="137">
        <f t="shared" si="75"/>
        <v>0</v>
      </c>
      <c r="K719" s="66">
        <f>'Final Building Profile'!L15</f>
        <v>0</v>
      </c>
      <c r="L719" s="66">
        <f t="shared" si="84"/>
        <v>0</v>
      </c>
      <c r="M719">
        <f>'Final Building Profile'!M15</f>
        <v>0</v>
      </c>
      <c r="N719" s="66">
        <f t="shared" si="76"/>
        <v>0</v>
      </c>
      <c r="O719" s="66">
        <f t="shared" si="77"/>
        <v>0</v>
      </c>
      <c r="P719" s="66">
        <f t="shared" si="78"/>
        <v>0</v>
      </c>
      <c r="Q719" s="204">
        <f>'Final Building Profile'!K15</f>
        <v>0</v>
      </c>
      <c r="R719" s="66">
        <f t="shared" si="85"/>
        <v>0</v>
      </c>
      <c r="S719" s="65">
        <f>'Final Building Profile'!N15-'Final Building Profile'!O15</f>
        <v>0</v>
      </c>
      <c r="T719" s="65">
        <f t="shared" si="79"/>
        <v>0</v>
      </c>
      <c r="U719" s="204">
        <f>'Final Building Profile'!Q15</f>
        <v>0</v>
      </c>
      <c r="V719" s="65">
        <f>IF('Final Building Profile'!P15&lt;&gt;"", U719, 0) * T719</f>
        <v>0</v>
      </c>
      <c r="W719" s="266">
        <f t="shared" si="80"/>
        <v>0</v>
      </c>
      <c r="X719" s="266">
        <f t="shared" si="86"/>
        <v>0</v>
      </c>
      <c r="Y719" s="266" t="e">
        <f t="shared" si="81"/>
        <v>#DIV/0!</v>
      </c>
      <c r="Z719" s="266" t="e">
        <f t="shared" si="82"/>
        <v>#DIV/0!</v>
      </c>
      <c r="AA719" s="266" t="e">
        <f t="shared" si="83"/>
        <v>#DIV/0!</v>
      </c>
      <c r="AB719" s="65" t="e">
        <f t="shared" si="87"/>
        <v>#N/A</v>
      </c>
      <c r="AC719" s="65" t="e">
        <f t="shared" si="88"/>
        <v>#N/A</v>
      </c>
      <c r="AD719" s="65" t="e">
        <f t="shared" si="89"/>
        <v>#N/A</v>
      </c>
      <c r="AE719" s="65" t="e">
        <f t="shared" si="90"/>
        <v>#N/A</v>
      </c>
    </row>
    <row r="720" spans="1:31" ht="15" customHeight="1">
      <c r="A720">
        <f>'Final Building Profile'!A16</f>
        <v>13</v>
      </c>
      <c r="B720">
        <f>'Final Building Profile'!D16</f>
        <v>0</v>
      </c>
      <c r="C720">
        <f>'Final Building Profile'!E16</f>
        <v>0</v>
      </c>
      <c r="D720">
        <f>'Final Building Profile'!F16</f>
        <v>0</v>
      </c>
      <c r="E720" s="265">
        <f>'Final Building Profile'!G16</f>
        <v>0</v>
      </c>
      <c r="F720" s="265">
        <f>'Final Building Profile'!H16</f>
        <v>0</v>
      </c>
      <c r="G720" s="265">
        <f>'Final Building Profile'!I16</f>
        <v>0</v>
      </c>
      <c r="H720" s="197">
        <f t="shared" si="73"/>
        <v>0</v>
      </c>
      <c r="I720" s="197">
        <f t="shared" si="74"/>
        <v>0</v>
      </c>
      <c r="J720" s="137">
        <f t="shared" si="75"/>
        <v>0</v>
      </c>
      <c r="K720" s="66">
        <f>'Final Building Profile'!L16</f>
        <v>0</v>
      </c>
      <c r="L720" s="66">
        <f t="shared" si="84"/>
        <v>0</v>
      </c>
      <c r="M720">
        <f>'Final Building Profile'!M16</f>
        <v>0</v>
      </c>
      <c r="N720" s="66">
        <f t="shared" si="76"/>
        <v>0</v>
      </c>
      <c r="O720" s="66">
        <f t="shared" si="77"/>
        <v>0</v>
      </c>
      <c r="P720" s="66">
        <f t="shared" si="78"/>
        <v>0</v>
      </c>
      <c r="Q720" s="204">
        <f>'Final Building Profile'!K16</f>
        <v>0</v>
      </c>
      <c r="R720" s="66">
        <f t="shared" si="85"/>
        <v>0</v>
      </c>
      <c r="S720" s="65">
        <f>'Final Building Profile'!N16-'Final Building Profile'!O16</f>
        <v>0</v>
      </c>
      <c r="T720" s="65">
        <f t="shared" si="79"/>
        <v>0</v>
      </c>
      <c r="U720" s="204">
        <f>'Final Building Profile'!Q16</f>
        <v>0</v>
      </c>
      <c r="V720" s="65">
        <f>IF('Final Building Profile'!P16&lt;&gt;"", U720, 0) * T720</f>
        <v>0</v>
      </c>
      <c r="W720" s="266">
        <f t="shared" si="80"/>
        <v>0</v>
      </c>
      <c r="X720" s="266">
        <f t="shared" si="86"/>
        <v>0</v>
      </c>
      <c r="Y720" s="266" t="e">
        <f t="shared" si="81"/>
        <v>#DIV/0!</v>
      </c>
      <c r="Z720" s="266" t="e">
        <f t="shared" si="82"/>
        <v>#DIV/0!</v>
      </c>
      <c r="AA720" s="266" t="e">
        <f t="shared" si="83"/>
        <v>#DIV/0!</v>
      </c>
      <c r="AB720" s="65" t="e">
        <f t="shared" si="87"/>
        <v>#N/A</v>
      </c>
      <c r="AC720" s="65" t="e">
        <f t="shared" si="88"/>
        <v>#N/A</v>
      </c>
      <c r="AD720" s="65" t="e">
        <f t="shared" si="89"/>
        <v>#N/A</v>
      </c>
      <c r="AE720" s="65" t="e">
        <f t="shared" si="90"/>
        <v>#N/A</v>
      </c>
    </row>
    <row r="721" spans="1:31" ht="15" customHeight="1">
      <c r="A721">
        <f>'Final Building Profile'!A17</f>
        <v>14</v>
      </c>
      <c r="B721">
        <f>'Final Building Profile'!D17</f>
        <v>0</v>
      </c>
      <c r="C721">
        <f>'Final Building Profile'!E17</f>
        <v>0</v>
      </c>
      <c r="D721">
        <f>'Final Building Profile'!F17</f>
        <v>0</v>
      </c>
      <c r="E721" s="265">
        <f>'Final Building Profile'!G17</f>
        <v>0</v>
      </c>
      <c r="F721" s="265">
        <f>'Final Building Profile'!H17</f>
        <v>0</v>
      </c>
      <c r="G721" s="265">
        <f>'Final Building Profile'!I17</f>
        <v>0</v>
      </c>
      <c r="H721" s="197">
        <f t="shared" si="73"/>
        <v>0</v>
      </c>
      <c r="I721" s="197">
        <f t="shared" si="74"/>
        <v>0</v>
      </c>
      <c r="J721" s="137">
        <f t="shared" si="75"/>
        <v>0</v>
      </c>
      <c r="K721" s="66">
        <f>'Final Building Profile'!L17</f>
        <v>0</v>
      </c>
      <c r="L721" s="66">
        <f t="shared" si="84"/>
        <v>0</v>
      </c>
      <c r="M721">
        <f>'Final Building Profile'!M17</f>
        <v>0</v>
      </c>
      <c r="N721" s="66">
        <f t="shared" si="76"/>
        <v>0</v>
      </c>
      <c r="O721" s="66">
        <f t="shared" si="77"/>
        <v>0</v>
      </c>
      <c r="P721" s="66">
        <f t="shared" si="78"/>
        <v>0</v>
      </c>
      <c r="Q721" s="204">
        <f>'Final Building Profile'!K17</f>
        <v>0</v>
      </c>
      <c r="R721" s="66">
        <f t="shared" si="85"/>
        <v>0</v>
      </c>
      <c r="S721" s="65">
        <f>'Final Building Profile'!N17-'Final Building Profile'!O17</f>
        <v>0</v>
      </c>
      <c r="T721" s="65">
        <f t="shared" si="79"/>
        <v>0</v>
      </c>
      <c r="U721" s="204">
        <f>'Final Building Profile'!Q17</f>
        <v>0</v>
      </c>
      <c r="V721" s="65">
        <f>IF('Final Building Profile'!P17&lt;&gt;"", U721, 0) * T721</f>
        <v>0</v>
      </c>
      <c r="W721" s="266">
        <f t="shared" si="80"/>
        <v>0</v>
      </c>
      <c r="X721" s="266">
        <f t="shared" si="86"/>
        <v>0</v>
      </c>
      <c r="Y721" s="266" t="e">
        <f t="shared" si="81"/>
        <v>#DIV/0!</v>
      </c>
      <c r="Z721" s="266" t="e">
        <f t="shared" si="82"/>
        <v>#DIV/0!</v>
      </c>
      <c r="AA721" s="266" t="e">
        <f t="shared" si="83"/>
        <v>#DIV/0!</v>
      </c>
      <c r="AB721" s="65" t="e">
        <f t="shared" si="87"/>
        <v>#N/A</v>
      </c>
      <c r="AC721" s="65" t="e">
        <f t="shared" si="88"/>
        <v>#N/A</v>
      </c>
      <c r="AD721" s="65" t="e">
        <f t="shared" si="89"/>
        <v>#N/A</v>
      </c>
      <c r="AE721" s="65" t="e">
        <f t="shared" si="90"/>
        <v>#N/A</v>
      </c>
    </row>
    <row r="722" spans="1:31" ht="15" customHeight="1">
      <c r="A722">
        <f>'Final Building Profile'!A18</f>
        <v>15</v>
      </c>
      <c r="B722">
        <f>'Final Building Profile'!D18</f>
        <v>0</v>
      </c>
      <c r="C722">
        <f>'Final Building Profile'!E18</f>
        <v>0</v>
      </c>
      <c r="D722">
        <f>'Final Building Profile'!F18</f>
        <v>0</v>
      </c>
      <c r="E722" s="265">
        <f>'Final Building Profile'!G18</f>
        <v>0</v>
      </c>
      <c r="F722" s="265">
        <f>'Final Building Profile'!H18</f>
        <v>0</v>
      </c>
      <c r="G722" s="265">
        <f>'Final Building Profile'!I18</f>
        <v>0</v>
      </c>
      <c r="H722" s="197">
        <f t="shared" si="73"/>
        <v>0</v>
      </c>
      <c r="I722" s="197">
        <f t="shared" si="74"/>
        <v>0</v>
      </c>
      <c r="J722" s="137">
        <f t="shared" si="75"/>
        <v>0</v>
      </c>
      <c r="K722" s="66">
        <f>'Final Building Profile'!L18</f>
        <v>0</v>
      </c>
      <c r="L722" s="66">
        <f t="shared" si="84"/>
        <v>0</v>
      </c>
      <c r="M722">
        <f>'Final Building Profile'!M18</f>
        <v>0</v>
      </c>
      <c r="N722" s="66">
        <f t="shared" si="76"/>
        <v>0</v>
      </c>
      <c r="O722" s="66">
        <f t="shared" si="77"/>
        <v>0</v>
      </c>
      <c r="P722" s="66">
        <f t="shared" si="78"/>
        <v>0</v>
      </c>
      <c r="Q722" s="204">
        <f>'Final Building Profile'!K18</f>
        <v>0</v>
      </c>
      <c r="R722" s="66">
        <f t="shared" si="85"/>
        <v>0</v>
      </c>
      <c r="S722" s="65">
        <f>'Final Building Profile'!N18-'Final Building Profile'!O18</f>
        <v>0</v>
      </c>
      <c r="T722" s="65">
        <f t="shared" si="79"/>
        <v>0</v>
      </c>
      <c r="U722" s="204">
        <f>'Final Building Profile'!Q18</f>
        <v>0</v>
      </c>
      <c r="V722" s="65">
        <f>IF('Final Building Profile'!P18&lt;&gt;"", U722, 0) * T722</f>
        <v>0</v>
      </c>
      <c r="W722" s="266">
        <f t="shared" si="80"/>
        <v>0</v>
      </c>
      <c r="X722" s="266">
        <f t="shared" si="86"/>
        <v>0</v>
      </c>
      <c r="Y722" s="266" t="e">
        <f t="shared" si="81"/>
        <v>#DIV/0!</v>
      </c>
      <c r="Z722" s="266" t="e">
        <f t="shared" si="82"/>
        <v>#DIV/0!</v>
      </c>
      <c r="AA722" s="266" t="e">
        <f t="shared" si="83"/>
        <v>#DIV/0!</v>
      </c>
      <c r="AB722" s="65" t="e">
        <f t="shared" si="87"/>
        <v>#N/A</v>
      </c>
      <c r="AC722" s="65" t="e">
        <f t="shared" si="88"/>
        <v>#N/A</v>
      </c>
      <c r="AD722" s="65" t="e">
        <f t="shared" si="89"/>
        <v>#N/A</v>
      </c>
      <c r="AE722" s="65" t="e">
        <f t="shared" si="90"/>
        <v>#N/A</v>
      </c>
    </row>
    <row r="723" spans="1:31" ht="15" customHeight="1">
      <c r="A723">
        <f>'Final Building Profile'!A19</f>
        <v>16</v>
      </c>
      <c r="B723">
        <f>'Final Building Profile'!D19</f>
        <v>0</v>
      </c>
      <c r="C723">
        <f>'Final Building Profile'!E19</f>
        <v>0</v>
      </c>
      <c r="D723">
        <f>'Final Building Profile'!F19</f>
        <v>0</v>
      </c>
      <c r="E723" s="265">
        <f>'Final Building Profile'!G19</f>
        <v>0</v>
      </c>
      <c r="F723" s="265">
        <f>'Final Building Profile'!H19</f>
        <v>0</v>
      </c>
      <c r="G723" s="265">
        <f>'Final Building Profile'!I19</f>
        <v>0</v>
      </c>
      <c r="H723" s="197">
        <f t="shared" si="73"/>
        <v>0</v>
      </c>
      <c r="I723" s="197">
        <f t="shared" si="74"/>
        <v>0</v>
      </c>
      <c r="J723" s="137">
        <f t="shared" si="75"/>
        <v>0</v>
      </c>
      <c r="K723" s="66">
        <f>'Final Building Profile'!L19</f>
        <v>0</v>
      </c>
      <c r="L723" s="66">
        <f t="shared" si="84"/>
        <v>0</v>
      </c>
      <c r="M723">
        <f>'Final Building Profile'!M19</f>
        <v>0</v>
      </c>
      <c r="N723" s="66">
        <f t="shared" si="76"/>
        <v>0</v>
      </c>
      <c r="O723" s="66">
        <f t="shared" si="77"/>
        <v>0</v>
      </c>
      <c r="P723" s="66">
        <f t="shared" si="78"/>
        <v>0</v>
      </c>
      <c r="Q723" s="204">
        <f>'Final Building Profile'!K19</f>
        <v>0</v>
      </c>
      <c r="R723" s="66">
        <f t="shared" si="85"/>
        <v>0</v>
      </c>
      <c r="S723" s="65">
        <f>'Final Building Profile'!N19-'Final Building Profile'!O19</f>
        <v>0</v>
      </c>
      <c r="T723" s="65">
        <f t="shared" si="79"/>
        <v>0</v>
      </c>
      <c r="U723" s="204">
        <f>'Final Building Profile'!Q19</f>
        <v>0</v>
      </c>
      <c r="V723" s="65">
        <f>IF('Final Building Profile'!P19&lt;&gt;"", U723, 0) * T723</f>
        <v>0</v>
      </c>
      <c r="W723" s="266">
        <f t="shared" si="80"/>
        <v>0</v>
      </c>
      <c r="X723" s="266">
        <f t="shared" si="86"/>
        <v>0</v>
      </c>
      <c r="Y723" s="266" t="e">
        <f t="shared" si="81"/>
        <v>#DIV/0!</v>
      </c>
      <c r="Z723" s="266" t="e">
        <f t="shared" si="82"/>
        <v>#DIV/0!</v>
      </c>
      <c r="AA723" s="266" t="e">
        <f t="shared" si="83"/>
        <v>#DIV/0!</v>
      </c>
      <c r="AB723" s="65" t="e">
        <f t="shared" si="87"/>
        <v>#N/A</v>
      </c>
      <c r="AC723" s="65" t="e">
        <f t="shared" si="88"/>
        <v>#N/A</v>
      </c>
      <c r="AD723" s="65" t="e">
        <f t="shared" si="89"/>
        <v>#N/A</v>
      </c>
      <c r="AE723" s="65" t="e">
        <f t="shared" si="90"/>
        <v>#N/A</v>
      </c>
    </row>
    <row r="724" spans="1:31" ht="15" customHeight="1">
      <c r="A724">
        <f>'Final Building Profile'!A20</f>
        <v>17</v>
      </c>
      <c r="B724">
        <f>'Final Building Profile'!D20</f>
        <v>0</v>
      </c>
      <c r="C724">
        <f>'Final Building Profile'!E20</f>
        <v>0</v>
      </c>
      <c r="D724">
        <f>'Final Building Profile'!F20</f>
        <v>0</v>
      </c>
      <c r="E724" s="265">
        <f>'Final Building Profile'!G20</f>
        <v>0</v>
      </c>
      <c r="F724" s="265">
        <f>'Final Building Profile'!H20</f>
        <v>0</v>
      </c>
      <c r="G724" s="265">
        <f>'Final Building Profile'!I20</f>
        <v>0</v>
      </c>
      <c r="H724" s="197">
        <f t="shared" si="73"/>
        <v>0</v>
      </c>
      <c r="I724" s="197">
        <f t="shared" si="74"/>
        <v>0</v>
      </c>
      <c r="J724" s="137">
        <f t="shared" si="75"/>
        <v>0</v>
      </c>
      <c r="K724" s="66">
        <f>'Final Building Profile'!L20</f>
        <v>0</v>
      </c>
      <c r="L724" s="66">
        <f t="shared" si="84"/>
        <v>0</v>
      </c>
      <c r="M724">
        <f>'Final Building Profile'!M20</f>
        <v>0</v>
      </c>
      <c r="N724" s="66">
        <f t="shared" si="76"/>
        <v>0</v>
      </c>
      <c r="O724" s="66">
        <f t="shared" si="77"/>
        <v>0</v>
      </c>
      <c r="P724" s="66">
        <f t="shared" si="78"/>
        <v>0</v>
      </c>
      <c r="Q724" s="204">
        <f>'Final Building Profile'!K20</f>
        <v>0</v>
      </c>
      <c r="R724" s="66">
        <f t="shared" si="85"/>
        <v>0</v>
      </c>
      <c r="S724" s="65">
        <f>'Final Building Profile'!N20-'Final Building Profile'!O20</f>
        <v>0</v>
      </c>
      <c r="T724" s="65">
        <f t="shared" si="79"/>
        <v>0</v>
      </c>
      <c r="U724" s="204">
        <f>'Final Building Profile'!Q20</f>
        <v>0</v>
      </c>
      <c r="V724" s="65">
        <f>IF('Final Building Profile'!P20&lt;&gt;"", U724, 0) * T724</f>
        <v>0</v>
      </c>
      <c r="W724" s="266">
        <f t="shared" si="80"/>
        <v>0</v>
      </c>
      <c r="X724" s="266">
        <f t="shared" si="86"/>
        <v>0</v>
      </c>
      <c r="Y724" s="266" t="e">
        <f t="shared" si="81"/>
        <v>#DIV/0!</v>
      </c>
      <c r="Z724" s="266" t="e">
        <f t="shared" si="82"/>
        <v>#DIV/0!</v>
      </c>
      <c r="AA724" s="266" t="e">
        <f t="shared" si="83"/>
        <v>#DIV/0!</v>
      </c>
      <c r="AB724" s="65" t="e">
        <f t="shared" si="87"/>
        <v>#N/A</v>
      </c>
      <c r="AC724" s="65" t="e">
        <f t="shared" si="88"/>
        <v>#N/A</v>
      </c>
      <c r="AD724" s="65" t="e">
        <f t="shared" si="89"/>
        <v>#N/A</v>
      </c>
      <c r="AE724" s="65" t="e">
        <f t="shared" si="90"/>
        <v>#N/A</v>
      </c>
    </row>
    <row r="725" spans="1:31" ht="15" customHeight="1">
      <c r="A725">
        <f>'Final Building Profile'!A21</f>
        <v>18</v>
      </c>
      <c r="B725">
        <f>'Final Building Profile'!D21</f>
        <v>0</v>
      </c>
      <c r="C725">
        <f>'Final Building Profile'!E21</f>
        <v>0</v>
      </c>
      <c r="D725">
        <f>'Final Building Profile'!F21</f>
        <v>0</v>
      </c>
      <c r="E725" s="265">
        <f>'Final Building Profile'!G21</f>
        <v>0</v>
      </c>
      <c r="F725" s="265">
        <f>'Final Building Profile'!H21</f>
        <v>0</v>
      </c>
      <c r="G725" s="265">
        <f>'Final Building Profile'!I21</f>
        <v>0</v>
      </c>
      <c r="H725" s="197">
        <f t="shared" si="73"/>
        <v>0</v>
      </c>
      <c r="I725" s="197">
        <f t="shared" si="74"/>
        <v>0</v>
      </c>
      <c r="J725" s="137">
        <f t="shared" si="75"/>
        <v>0</v>
      </c>
      <c r="K725" s="66">
        <f>'Final Building Profile'!L21</f>
        <v>0</v>
      </c>
      <c r="L725" s="66">
        <f t="shared" si="84"/>
        <v>0</v>
      </c>
      <c r="M725">
        <f>'Final Building Profile'!M21</f>
        <v>0</v>
      </c>
      <c r="N725" s="66">
        <f t="shared" si="76"/>
        <v>0</v>
      </c>
      <c r="O725" s="66">
        <f t="shared" si="77"/>
        <v>0</v>
      </c>
      <c r="P725" s="66">
        <f t="shared" si="78"/>
        <v>0</v>
      </c>
      <c r="Q725" s="204">
        <f>'Final Building Profile'!K21</f>
        <v>0</v>
      </c>
      <c r="R725" s="66">
        <f t="shared" si="85"/>
        <v>0</v>
      </c>
      <c r="S725" s="65">
        <f>'Final Building Profile'!N21-'Final Building Profile'!O21</f>
        <v>0</v>
      </c>
      <c r="T725" s="65">
        <f t="shared" si="79"/>
        <v>0</v>
      </c>
      <c r="U725" s="204">
        <f>'Final Building Profile'!Q21</f>
        <v>0</v>
      </c>
      <c r="V725" s="65">
        <f>IF('Final Building Profile'!P21&lt;&gt;"", U725, 0) * T725</f>
        <v>0</v>
      </c>
      <c r="W725" s="266">
        <f t="shared" si="80"/>
        <v>0</v>
      </c>
      <c r="X725" s="266">
        <f t="shared" si="86"/>
        <v>0</v>
      </c>
      <c r="Y725" s="266" t="e">
        <f t="shared" si="81"/>
        <v>#DIV/0!</v>
      </c>
      <c r="Z725" s="266" t="e">
        <f t="shared" si="82"/>
        <v>#DIV/0!</v>
      </c>
      <c r="AA725" s="266" t="e">
        <f t="shared" si="83"/>
        <v>#DIV/0!</v>
      </c>
      <c r="AB725" s="65" t="e">
        <f t="shared" si="87"/>
        <v>#N/A</v>
      </c>
      <c r="AC725" s="65" t="e">
        <f t="shared" si="88"/>
        <v>#N/A</v>
      </c>
      <c r="AD725" s="65" t="e">
        <f t="shared" si="89"/>
        <v>#N/A</v>
      </c>
      <c r="AE725" s="65" t="e">
        <f t="shared" si="90"/>
        <v>#N/A</v>
      </c>
    </row>
    <row r="726" spans="1:31" ht="15" customHeight="1">
      <c r="A726">
        <f>'Final Building Profile'!A22</f>
        <v>19</v>
      </c>
      <c r="B726">
        <f>'Final Building Profile'!D22</f>
        <v>0</v>
      </c>
      <c r="C726">
        <f>'Final Building Profile'!E22</f>
        <v>0</v>
      </c>
      <c r="D726">
        <f>'Final Building Profile'!F22</f>
        <v>0</v>
      </c>
      <c r="E726" s="265">
        <f>'Final Building Profile'!G22</f>
        <v>0</v>
      </c>
      <c r="F726" s="265">
        <f>'Final Building Profile'!H22</f>
        <v>0</v>
      </c>
      <c r="G726" s="265">
        <f>'Final Building Profile'!I22</f>
        <v>0</v>
      </c>
      <c r="H726" s="197">
        <f t="shared" si="73"/>
        <v>0</v>
      </c>
      <c r="I726" s="197">
        <f t="shared" si="74"/>
        <v>0</v>
      </c>
      <c r="J726" s="137">
        <f t="shared" si="75"/>
        <v>0</v>
      </c>
      <c r="K726" s="66">
        <f>'Final Building Profile'!L22</f>
        <v>0</v>
      </c>
      <c r="L726" s="66">
        <f t="shared" si="84"/>
        <v>0</v>
      </c>
      <c r="M726">
        <f>'Final Building Profile'!M22</f>
        <v>0</v>
      </c>
      <c r="N726" s="66">
        <f t="shared" si="76"/>
        <v>0</v>
      </c>
      <c r="O726" s="66">
        <f t="shared" si="77"/>
        <v>0</v>
      </c>
      <c r="P726" s="66">
        <f t="shared" si="78"/>
        <v>0</v>
      </c>
      <c r="Q726" s="204">
        <f>'Final Building Profile'!K22</f>
        <v>0</v>
      </c>
      <c r="R726" s="66">
        <f t="shared" si="85"/>
        <v>0</v>
      </c>
      <c r="S726" s="65">
        <f>'Final Building Profile'!N22-'Final Building Profile'!O22</f>
        <v>0</v>
      </c>
      <c r="T726" s="65">
        <f t="shared" si="79"/>
        <v>0</v>
      </c>
      <c r="U726" s="204">
        <f>'Final Building Profile'!Q22</f>
        <v>0</v>
      </c>
      <c r="V726" s="65">
        <f>IF('Final Building Profile'!P22&lt;&gt;"", U726, 0) * T726</f>
        <v>0</v>
      </c>
      <c r="W726" s="266">
        <f t="shared" si="80"/>
        <v>0</v>
      </c>
      <c r="X726" s="266">
        <f t="shared" si="86"/>
        <v>0</v>
      </c>
      <c r="Y726" s="266" t="e">
        <f t="shared" si="81"/>
        <v>#DIV/0!</v>
      </c>
      <c r="Z726" s="266" t="e">
        <f t="shared" si="82"/>
        <v>#DIV/0!</v>
      </c>
      <c r="AA726" s="266" t="e">
        <f t="shared" si="83"/>
        <v>#DIV/0!</v>
      </c>
      <c r="AB726" s="65" t="e">
        <f t="shared" si="87"/>
        <v>#N/A</v>
      </c>
      <c r="AC726" s="65" t="e">
        <f t="shared" si="88"/>
        <v>#N/A</v>
      </c>
      <c r="AD726" s="65" t="e">
        <f t="shared" si="89"/>
        <v>#N/A</v>
      </c>
      <c r="AE726" s="65" t="e">
        <f t="shared" si="90"/>
        <v>#N/A</v>
      </c>
    </row>
    <row r="727" spans="1:31" ht="15" customHeight="1">
      <c r="A727">
        <f>'Final Building Profile'!A23</f>
        <v>20</v>
      </c>
      <c r="B727">
        <f>'Final Building Profile'!D23</f>
        <v>0</v>
      </c>
      <c r="C727">
        <f>'Final Building Profile'!E23</f>
        <v>0</v>
      </c>
      <c r="D727">
        <f>'Final Building Profile'!F23</f>
        <v>0</v>
      </c>
      <c r="E727" s="265">
        <f>'Final Building Profile'!G23</f>
        <v>0</v>
      </c>
      <c r="F727" s="265">
        <f>'Final Building Profile'!H23</f>
        <v>0</v>
      </c>
      <c r="G727" s="265">
        <f>'Final Building Profile'!I23</f>
        <v>0</v>
      </c>
      <c r="H727" s="197">
        <f t="shared" si="73"/>
        <v>0</v>
      </c>
      <c r="I727" s="197">
        <f t="shared" si="74"/>
        <v>0</v>
      </c>
      <c r="J727" s="137">
        <f t="shared" si="75"/>
        <v>0</v>
      </c>
      <c r="K727" s="66">
        <f>'Final Building Profile'!L23</f>
        <v>0</v>
      </c>
      <c r="L727" s="66">
        <f t="shared" si="84"/>
        <v>0</v>
      </c>
      <c r="M727">
        <f>'Final Building Profile'!M23</f>
        <v>0</v>
      </c>
      <c r="N727" s="66">
        <f t="shared" si="76"/>
        <v>0</v>
      </c>
      <c r="O727" s="66">
        <f t="shared" si="77"/>
        <v>0</v>
      </c>
      <c r="P727" s="66">
        <f t="shared" si="78"/>
        <v>0</v>
      </c>
      <c r="Q727" s="204">
        <f>'Final Building Profile'!K23</f>
        <v>0</v>
      </c>
      <c r="R727" s="66">
        <f t="shared" si="85"/>
        <v>0</v>
      </c>
      <c r="S727" s="65">
        <f>'Final Building Profile'!N23-'Final Building Profile'!O23</f>
        <v>0</v>
      </c>
      <c r="T727" s="65">
        <f t="shared" si="79"/>
        <v>0</v>
      </c>
      <c r="U727" s="204">
        <f>'Final Building Profile'!Q23</f>
        <v>0</v>
      </c>
      <c r="V727" s="65">
        <f>IF('Final Building Profile'!P23&lt;&gt;"", U727, 0) * T727</f>
        <v>0</v>
      </c>
      <c r="W727" s="266">
        <f t="shared" si="80"/>
        <v>0</v>
      </c>
      <c r="X727" s="266">
        <f t="shared" si="86"/>
        <v>0</v>
      </c>
      <c r="Y727" s="266" t="e">
        <f t="shared" si="81"/>
        <v>#DIV/0!</v>
      </c>
      <c r="Z727" s="266" t="e">
        <f t="shared" si="82"/>
        <v>#DIV/0!</v>
      </c>
      <c r="AA727" s="266" t="e">
        <f t="shared" si="83"/>
        <v>#DIV/0!</v>
      </c>
      <c r="AB727" s="65" t="e">
        <f t="shared" si="87"/>
        <v>#N/A</v>
      </c>
      <c r="AC727" s="65" t="e">
        <f t="shared" si="88"/>
        <v>#N/A</v>
      </c>
      <c r="AD727" s="65" t="e">
        <f t="shared" si="89"/>
        <v>#N/A</v>
      </c>
      <c r="AE727" s="65" t="e">
        <f t="shared" si="90"/>
        <v>#N/A</v>
      </c>
    </row>
    <row r="728" spans="1:31" ht="15" customHeight="1">
      <c r="A728">
        <f>'Final Building Profile'!A24</f>
        <v>21</v>
      </c>
      <c r="B728">
        <f>'Final Building Profile'!D24</f>
        <v>0</v>
      </c>
      <c r="C728">
        <f>'Final Building Profile'!E24</f>
        <v>0</v>
      </c>
      <c r="D728">
        <f>'Final Building Profile'!F24</f>
        <v>0</v>
      </c>
      <c r="E728" s="265">
        <f>'Final Building Profile'!G24</f>
        <v>0</v>
      </c>
      <c r="F728" s="265">
        <f>'Final Building Profile'!H24</f>
        <v>0</v>
      </c>
      <c r="G728" s="265">
        <f>'Final Building Profile'!I24</f>
        <v>0</v>
      </c>
      <c r="H728" s="197">
        <f t="shared" si="73"/>
        <v>0</v>
      </c>
      <c r="I728" s="197">
        <f t="shared" si="74"/>
        <v>0</v>
      </c>
      <c r="J728" s="137">
        <f t="shared" si="75"/>
        <v>0</v>
      </c>
      <c r="K728" s="66">
        <f>'Final Building Profile'!L24</f>
        <v>0</v>
      </c>
      <c r="L728" s="66">
        <f t="shared" si="84"/>
        <v>0</v>
      </c>
      <c r="M728">
        <f>'Final Building Profile'!M24</f>
        <v>0</v>
      </c>
      <c r="N728" s="66">
        <f t="shared" si="76"/>
        <v>0</v>
      </c>
      <c r="O728" s="66">
        <f t="shared" si="77"/>
        <v>0</v>
      </c>
      <c r="P728" s="66">
        <f t="shared" si="78"/>
        <v>0</v>
      </c>
      <c r="Q728" s="204">
        <f>'Final Building Profile'!K24</f>
        <v>0</v>
      </c>
      <c r="R728" s="66">
        <f t="shared" si="85"/>
        <v>0</v>
      </c>
      <c r="S728" s="65">
        <f>'Final Building Profile'!N24-'Final Building Profile'!O24</f>
        <v>0</v>
      </c>
      <c r="T728" s="65">
        <f t="shared" si="79"/>
        <v>0</v>
      </c>
      <c r="U728" s="204">
        <f>'Final Building Profile'!Q24</f>
        <v>0</v>
      </c>
      <c r="V728" s="65">
        <f>IF('Final Building Profile'!P24&lt;&gt;"", U728, 0) * T728</f>
        <v>0</v>
      </c>
      <c r="W728" s="266">
        <f t="shared" si="80"/>
        <v>0</v>
      </c>
      <c r="X728" s="266">
        <f t="shared" si="86"/>
        <v>0</v>
      </c>
      <c r="Y728" s="266" t="e">
        <f t="shared" si="81"/>
        <v>#DIV/0!</v>
      </c>
      <c r="Z728" s="266" t="e">
        <f t="shared" si="82"/>
        <v>#DIV/0!</v>
      </c>
      <c r="AA728" s="266" t="e">
        <f t="shared" si="83"/>
        <v>#DIV/0!</v>
      </c>
      <c r="AB728" s="65" t="e">
        <f t="shared" si="87"/>
        <v>#N/A</v>
      </c>
      <c r="AC728" s="65" t="e">
        <f t="shared" si="88"/>
        <v>#N/A</v>
      </c>
      <c r="AD728" s="65" t="e">
        <f t="shared" si="89"/>
        <v>#N/A</v>
      </c>
      <c r="AE728" s="65" t="e">
        <f t="shared" si="90"/>
        <v>#N/A</v>
      </c>
    </row>
    <row r="729" spans="1:31" ht="15" customHeight="1">
      <c r="A729">
        <f>'Final Building Profile'!A25</f>
        <v>22</v>
      </c>
      <c r="B729">
        <f>'Final Building Profile'!D25</f>
        <v>0</v>
      </c>
      <c r="C729">
        <f>'Final Building Profile'!E25</f>
        <v>0</v>
      </c>
      <c r="D729">
        <f>'Final Building Profile'!F25</f>
        <v>0</v>
      </c>
      <c r="E729" s="265">
        <f>'Final Building Profile'!G25</f>
        <v>0</v>
      </c>
      <c r="F729" s="265">
        <f>'Final Building Profile'!H25</f>
        <v>0</v>
      </c>
      <c r="G729" s="265">
        <f>'Final Building Profile'!I25</f>
        <v>0</v>
      </c>
      <c r="H729" s="197">
        <f t="shared" si="73"/>
        <v>0</v>
      </c>
      <c r="I729" s="197">
        <f t="shared" si="74"/>
        <v>0</v>
      </c>
      <c r="J729" s="137">
        <f t="shared" si="75"/>
        <v>0</v>
      </c>
      <c r="K729" s="66">
        <f>'Final Building Profile'!L25</f>
        <v>0</v>
      </c>
      <c r="L729" s="66">
        <f t="shared" si="84"/>
        <v>0</v>
      </c>
      <c r="M729">
        <f>'Final Building Profile'!M25</f>
        <v>0</v>
      </c>
      <c r="N729" s="66">
        <f t="shared" si="76"/>
        <v>0</v>
      </c>
      <c r="O729" s="66">
        <f t="shared" si="77"/>
        <v>0</v>
      </c>
      <c r="P729" s="66">
        <f t="shared" si="78"/>
        <v>0</v>
      </c>
      <c r="Q729" s="204">
        <f>'Final Building Profile'!K25</f>
        <v>0</v>
      </c>
      <c r="R729" s="66">
        <f t="shared" si="85"/>
        <v>0</v>
      </c>
      <c r="S729" s="65">
        <f>'Final Building Profile'!N25-'Final Building Profile'!O25</f>
        <v>0</v>
      </c>
      <c r="T729" s="65">
        <f t="shared" si="79"/>
        <v>0</v>
      </c>
      <c r="U729" s="204">
        <f>'Final Building Profile'!Q25</f>
        <v>0</v>
      </c>
      <c r="V729" s="65">
        <f>IF('Final Building Profile'!P25&lt;&gt;"", U729, 0) * T729</f>
        <v>0</v>
      </c>
      <c r="W729" s="266">
        <f t="shared" si="80"/>
        <v>0</v>
      </c>
      <c r="X729" s="266">
        <f t="shared" si="86"/>
        <v>0</v>
      </c>
      <c r="Y729" s="266" t="e">
        <f t="shared" si="81"/>
        <v>#DIV/0!</v>
      </c>
      <c r="Z729" s="266" t="e">
        <f t="shared" si="82"/>
        <v>#DIV/0!</v>
      </c>
      <c r="AA729" s="266" t="e">
        <f t="shared" si="83"/>
        <v>#DIV/0!</v>
      </c>
      <c r="AB729" s="65" t="e">
        <f t="shared" si="87"/>
        <v>#N/A</v>
      </c>
      <c r="AC729" s="65" t="e">
        <f t="shared" si="88"/>
        <v>#N/A</v>
      </c>
      <c r="AD729" s="65" t="e">
        <f t="shared" si="89"/>
        <v>#N/A</v>
      </c>
      <c r="AE729" s="65" t="e">
        <f t="shared" si="90"/>
        <v>#N/A</v>
      </c>
    </row>
    <row r="730" spans="1:31" ht="15" customHeight="1">
      <c r="A730">
        <f>'Final Building Profile'!A26</f>
        <v>23</v>
      </c>
      <c r="B730">
        <f>'Final Building Profile'!D26</f>
        <v>0</v>
      </c>
      <c r="C730">
        <f>'Final Building Profile'!E26</f>
        <v>0</v>
      </c>
      <c r="D730">
        <f>'Final Building Profile'!F26</f>
        <v>0</v>
      </c>
      <c r="E730" s="265">
        <f>'Final Building Profile'!G26</f>
        <v>0</v>
      </c>
      <c r="F730" s="265">
        <f>'Final Building Profile'!H26</f>
        <v>0</v>
      </c>
      <c r="G730" s="265">
        <f>'Final Building Profile'!I26</f>
        <v>0</v>
      </c>
      <c r="H730" s="197">
        <f t="shared" si="73"/>
        <v>0</v>
      </c>
      <c r="I730" s="197">
        <f t="shared" si="74"/>
        <v>0</v>
      </c>
      <c r="J730" s="137">
        <f t="shared" si="75"/>
        <v>0</v>
      </c>
      <c r="K730" s="66">
        <f>'Final Building Profile'!L26</f>
        <v>0</v>
      </c>
      <c r="L730" s="66">
        <f t="shared" si="84"/>
        <v>0</v>
      </c>
      <c r="M730">
        <f>'Final Building Profile'!M26</f>
        <v>0</v>
      </c>
      <c r="N730" s="66">
        <f t="shared" si="76"/>
        <v>0</v>
      </c>
      <c r="O730" s="66">
        <f t="shared" si="77"/>
        <v>0</v>
      </c>
      <c r="P730" s="66">
        <f t="shared" si="78"/>
        <v>0</v>
      </c>
      <c r="Q730" s="204">
        <f>'Final Building Profile'!K26</f>
        <v>0</v>
      </c>
      <c r="R730" s="66">
        <f t="shared" si="85"/>
        <v>0</v>
      </c>
      <c r="S730" s="65">
        <f>'Final Building Profile'!N26-'Final Building Profile'!O26</f>
        <v>0</v>
      </c>
      <c r="T730" s="65">
        <f t="shared" si="79"/>
        <v>0</v>
      </c>
      <c r="U730" s="204">
        <f>'Final Building Profile'!Q26</f>
        <v>0</v>
      </c>
      <c r="V730" s="65">
        <f>IF('Final Building Profile'!P26&lt;&gt;"", U730, 0) * T730</f>
        <v>0</v>
      </c>
      <c r="W730" s="266">
        <f t="shared" si="80"/>
        <v>0</v>
      </c>
      <c r="X730" s="266">
        <f t="shared" si="86"/>
        <v>0</v>
      </c>
      <c r="Y730" s="266" t="e">
        <f t="shared" si="81"/>
        <v>#DIV/0!</v>
      </c>
      <c r="Z730" s="266" t="e">
        <f t="shared" si="82"/>
        <v>#DIV/0!</v>
      </c>
      <c r="AA730" s="266" t="e">
        <f t="shared" si="83"/>
        <v>#DIV/0!</v>
      </c>
      <c r="AB730" s="65" t="e">
        <f t="shared" si="87"/>
        <v>#N/A</v>
      </c>
      <c r="AC730" s="65" t="e">
        <f t="shared" si="88"/>
        <v>#N/A</v>
      </c>
      <c r="AD730" s="65" t="e">
        <f t="shared" si="89"/>
        <v>#N/A</v>
      </c>
      <c r="AE730" s="65" t="e">
        <f t="shared" si="90"/>
        <v>#N/A</v>
      </c>
    </row>
    <row r="731" spans="1:31" ht="15" customHeight="1">
      <c r="A731">
        <f>'Final Building Profile'!A27</f>
        <v>24</v>
      </c>
      <c r="B731">
        <f>'Final Building Profile'!D27</f>
        <v>0</v>
      </c>
      <c r="C731">
        <f>'Final Building Profile'!E27</f>
        <v>0</v>
      </c>
      <c r="D731">
        <f>'Final Building Profile'!F27</f>
        <v>0</v>
      </c>
      <c r="E731" s="265">
        <f>'Final Building Profile'!G27</f>
        <v>0</v>
      </c>
      <c r="F731" s="265">
        <f>'Final Building Profile'!H27</f>
        <v>0</v>
      </c>
      <c r="G731" s="265">
        <f>'Final Building Profile'!I27</f>
        <v>0</v>
      </c>
      <c r="H731" s="197">
        <f t="shared" si="73"/>
        <v>0</v>
      </c>
      <c r="I731" s="197">
        <f t="shared" si="74"/>
        <v>0</v>
      </c>
      <c r="J731" s="137">
        <f t="shared" si="75"/>
        <v>0</v>
      </c>
      <c r="K731" s="66">
        <f>'Final Building Profile'!L27</f>
        <v>0</v>
      </c>
      <c r="L731" s="66">
        <f t="shared" si="84"/>
        <v>0</v>
      </c>
      <c r="M731">
        <f>'Final Building Profile'!M27</f>
        <v>0</v>
      </c>
      <c r="N731" s="66">
        <f t="shared" si="76"/>
        <v>0</v>
      </c>
      <c r="O731" s="66">
        <f t="shared" si="77"/>
        <v>0</v>
      </c>
      <c r="P731" s="66">
        <f t="shared" si="78"/>
        <v>0</v>
      </c>
      <c r="Q731" s="204">
        <f>'Final Building Profile'!K27</f>
        <v>0</v>
      </c>
      <c r="R731" s="66">
        <f t="shared" si="85"/>
        <v>0</v>
      </c>
      <c r="S731" s="65">
        <f>'Final Building Profile'!N27-'Final Building Profile'!O27</f>
        <v>0</v>
      </c>
      <c r="T731" s="65">
        <f t="shared" si="79"/>
        <v>0</v>
      </c>
      <c r="U731" s="204">
        <f>'Final Building Profile'!Q27</f>
        <v>0</v>
      </c>
      <c r="V731" s="65">
        <f>IF('Final Building Profile'!P27&lt;&gt;"", U731, 0) * T731</f>
        <v>0</v>
      </c>
      <c r="W731" s="266">
        <f t="shared" si="80"/>
        <v>0</v>
      </c>
      <c r="X731" s="266">
        <f t="shared" si="86"/>
        <v>0</v>
      </c>
      <c r="Y731" s="266" t="e">
        <f t="shared" si="81"/>
        <v>#DIV/0!</v>
      </c>
      <c r="Z731" s="266" t="e">
        <f t="shared" si="82"/>
        <v>#DIV/0!</v>
      </c>
      <c r="AA731" s="266" t="e">
        <f t="shared" si="83"/>
        <v>#DIV/0!</v>
      </c>
      <c r="AB731" s="65" t="e">
        <f t="shared" si="87"/>
        <v>#N/A</v>
      </c>
      <c r="AC731" s="65" t="e">
        <f t="shared" si="88"/>
        <v>#N/A</v>
      </c>
      <c r="AD731" s="65" t="e">
        <f t="shared" si="89"/>
        <v>#N/A</v>
      </c>
      <c r="AE731" s="65" t="e">
        <f t="shared" si="90"/>
        <v>#N/A</v>
      </c>
    </row>
    <row r="732" spans="1:31" ht="15" customHeight="1">
      <c r="A732">
        <f>'Final Building Profile'!A28</f>
        <v>25</v>
      </c>
      <c r="B732">
        <f>'Final Building Profile'!D28</f>
        <v>0</v>
      </c>
      <c r="C732">
        <f>'Final Building Profile'!E28</f>
        <v>0</v>
      </c>
      <c r="D732">
        <f>'Final Building Profile'!F28</f>
        <v>0</v>
      </c>
      <c r="E732" s="265">
        <f>'Final Building Profile'!G28</f>
        <v>0</v>
      </c>
      <c r="F732" s="265">
        <f>'Final Building Profile'!H28</f>
        <v>0</v>
      </c>
      <c r="G732" s="265">
        <f>'Final Building Profile'!I28</f>
        <v>0</v>
      </c>
      <c r="H732" s="197">
        <f t="shared" si="73"/>
        <v>0</v>
      </c>
      <c r="I732" s="197">
        <f t="shared" si="74"/>
        <v>0</v>
      </c>
      <c r="J732" s="137">
        <f t="shared" si="75"/>
        <v>0</v>
      </c>
      <c r="K732" s="66">
        <f>'Final Building Profile'!L28</f>
        <v>0</v>
      </c>
      <c r="L732" s="66">
        <f t="shared" si="84"/>
        <v>0</v>
      </c>
      <c r="M732">
        <f>'Final Building Profile'!M28</f>
        <v>0</v>
      </c>
      <c r="N732" s="66">
        <f t="shared" si="76"/>
        <v>0</v>
      </c>
      <c r="O732" s="66">
        <f t="shared" si="77"/>
        <v>0</v>
      </c>
      <c r="P732" s="66">
        <f t="shared" si="78"/>
        <v>0</v>
      </c>
      <c r="Q732" s="204">
        <f>'Final Building Profile'!K28</f>
        <v>0</v>
      </c>
      <c r="R732" s="66">
        <f t="shared" si="85"/>
        <v>0</v>
      </c>
      <c r="S732" s="65">
        <f>'Final Building Profile'!N28-'Final Building Profile'!O28</f>
        <v>0</v>
      </c>
      <c r="T732" s="65">
        <f t="shared" si="79"/>
        <v>0</v>
      </c>
      <c r="U732" s="204">
        <f>'Final Building Profile'!Q28</f>
        <v>0</v>
      </c>
      <c r="V732" s="65">
        <f>IF('Final Building Profile'!P28&lt;&gt;"", U732, 0) * T732</f>
        <v>0</v>
      </c>
      <c r="W732" s="266">
        <f t="shared" si="80"/>
        <v>0</v>
      </c>
      <c r="X732" s="266">
        <f t="shared" si="86"/>
        <v>0</v>
      </c>
      <c r="Y732" s="266" t="e">
        <f t="shared" si="81"/>
        <v>#DIV/0!</v>
      </c>
      <c r="Z732" s="266" t="e">
        <f t="shared" si="82"/>
        <v>#DIV/0!</v>
      </c>
      <c r="AA732" s="266" t="e">
        <f t="shared" si="83"/>
        <v>#DIV/0!</v>
      </c>
      <c r="AB732" s="65" t="e">
        <f t="shared" si="87"/>
        <v>#N/A</v>
      </c>
      <c r="AC732" s="65" t="e">
        <f t="shared" si="88"/>
        <v>#N/A</v>
      </c>
      <c r="AD732" s="65" t="e">
        <f t="shared" si="89"/>
        <v>#N/A</v>
      </c>
      <c r="AE732" s="65" t="e">
        <f t="shared" si="90"/>
        <v>#N/A</v>
      </c>
    </row>
    <row r="733" spans="1:31" ht="15" customHeight="1">
      <c r="A733">
        <f>'Final Building Profile'!A29</f>
        <v>26</v>
      </c>
      <c r="B733">
        <f>'Final Building Profile'!D29</f>
        <v>0</v>
      </c>
      <c r="C733">
        <f>'Final Building Profile'!E29</f>
        <v>0</v>
      </c>
      <c r="D733">
        <f>'Final Building Profile'!F29</f>
        <v>0</v>
      </c>
      <c r="E733" s="265">
        <f>'Final Building Profile'!G29</f>
        <v>0</v>
      </c>
      <c r="F733" s="265">
        <f>'Final Building Profile'!H29</f>
        <v>0</v>
      </c>
      <c r="G733" s="265">
        <f>'Final Building Profile'!I29</f>
        <v>0</v>
      </c>
      <c r="H733" s="197">
        <f t="shared" si="73"/>
        <v>0</v>
      </c>
      <c r="I733" s="197">
        <f t="shared" si="74"/>
        <v>0</v>
      </c>
      <c r="J733" s="137">
        <f t="shared" si="75"/>
        <v>0</v>
      </c>
      <c r="K733" s="66">
        <f>'Final Building Profile'!L29</f>
        <v>0</v>
      </c>
      <c r="L733" s="66">
        <f t="shared" si="84"/>
        <v>0</v>
      </c>
      <c r="M733">
        <f>'Final Building Profile'!M29</f>
        <v>0</v>
      </c>
      <c r="N733" s="66">
        <f t="shared" si="76"/>
        <v>0</v>
      </c>
      <c r="O733" s="66">
        <f t="shared" si="77"/>
        <v>0</v>
      </c>
      <c r="P733" s="66">
        <f t="shared" si="78"/>
        <v>0</v>
      </c>
      <c r="Q733" s="204">
        <f>'Final Building Profile'!K29</f>
        <v>0</v>
      </c>
      <c r="R733" s="66">
        <f t="shared" si="85"/>
        <v>0</v>
      </c>
      <c r="S733" s="65">
        <f>'Final Building Profile'!N29-'Final Building Profile'!O29</f>
        <v>0</v>
      </c>
      <c r="T733" s="65">
        <f t="shared" si="79"/>
        <v>0</v>
      </c>
      <c r="U733" s="204">
        <f>'Final Building Profile'!Q29</f>
        <v>0</v>
      </c>
      <c r="V733" s="65">
        <f>IF('Final Building Profile'!P29&lt;&gt;"", U733, 0) * T733</f>
        <v>0</v>
      </c>
      <c r="W733" s="266">
        <f t="shared" si="80"/>
        <v>0</v>
      </c>
      <c r="X733" s="266">
        <f t="shared" si="86"/>
        <v>0</v>
      </c>
      <c r="Y733" s="266" t="e">
        <f t="shared" si="81"/>
        <v>#DIV/0!</v>
      </c>
      <c r="Z733" s="266" t="e">
        <f t="shared" si="82"/>
        <v>#DIV/0!</v>
      </c>
      <c r="AA733" s="266" t="e">
        <f t="shared" si="83"/>
        <v>#DIV/0!</v>
      </c>
      <c r="AB733" s="65" t="e">
        <f t="shared" si="87"/>
        <v>#N/A</v>
      </c>
      <c r="AC733" s="65" t="e">
        <f t="shared" si="88"/>
        <v>#N/A</v>
      </c>
      <c r="AD733" s="65" t="e">
        <f t="shared" si="89"/>
        <v>#N/A</v>
      </c>
      <c r="AE733" s="65" t="e">
        <f t="shared" si="90"/>
        <v>#N/A</v>
      </c>
    </row>
    <row r="734" spans="1:31" ht="15" customHeight="1">
      <c r="A734">
        <f>'Final Building Profile'!A30</f>
        <v>27</v>
      </c>
      <c r="B734">
        <f>'Final Building Profile'!D30</f>
        <v>0</v>
      </c>
      <c r="C734">
        <f>'Final Building Profile'!E30</f>
        <v>0</v>
      </c>
      <c r="D734">
        <f>'Final Building Profile'!F30</f>
        <v>0</v>
      </c>
      <c r="E734" s="265">
        <f>'Final Building Profile'!G30</f>
        <v>0</v>
      </c>
      <c r="F734" s="265">
        <f>'Final Building Profile'!H30</f>
        <v>0</v>
      </c>
      <c r="G734" s="265">
        <f>'Final Building Profile'!I30</f>
        <v>0</v>
      </c>
      <c r="H734" s="197">
        <f t="shared" si="73"/>
        <v>0</v>
      </c>
      <c r="I734" s="197">
        <f t="shared" si="74"/>
        <v>0</v>
      </c>
      <c r="J734" s="137">
        <f t="shared" si="75"/>
        <v>0</v>
      </c>
      <c r="K734" s="66">
        <f>'Final Building Profile'!L30</f>
        <v>0</v>
      </c>
      <c r="L734" s="66">
        <f t="shared" si="84"/>
        <v>0</v>
      </c>
      <c r="M734">
        <f>'Final Building Profile'!M30</f>
        <v>0</v>
      </c>
      <c r="N734" s="66">
        <f t="shared" si="76"/>
        <v>0</v>
      </c>
      <c r="O734" s="66">
        <f t="shared" si="77"/>
        <v>0</v>
      </c>
      <c r="P734" s="66">
        <f t="shared" si="78"/>
        <v>0</v>
      </c>
      <c r="Q734" s="204">
        <f>'Final Building Profile'!K30</f>
        <v>0</v>
      </c>
      <c r="R734" s="66">
        <f t="shared" si="85"/>
        <v>0</v>
      </c>
      <c r="S734" s="65">
        <f>'Final Building Profile'!N30-'Final Building Profile'!O30</f>
        <v>0</v>
      </c>
      <c r="T734" s="65">
        <f t="shared" si="79"/>
        <v>0</v>
      </c>
      <c r="U734" s="204">
        <f>'Final Building Profile'!Q30</f>
        <v>0</v>
      </c>
      <c r="V734" s="65">
        <f>IF('Final Building Profile'!P30&lt;&gt;"", U734, 0) * T734</f>
        <v>0</v>
      </c>
      <c r="W734" s="266">
        <f t="shared" si="80"/>
        <v>0</v>
      </c>
      <c r="X734" s="266">
        <f t="shared" si="86"/>
        <v>0</v>
      </c>
      <c r="Y734" s="266" t="e">
        <f t="shared" si="81"/>
        <v>#DIV/0!</v>
      </c>
      <c r="Z734" s="266" t="e">
        <f t="shared" si="82"/>
        <v>#DIV/0!</v>
      </c>
      <c r="AA734" s="266" t="e">
        <f t="shared" si="83"/>
        <v>#DIV/0!</v>
      </c>
      <c r="AB734" s="65" t="e">
        <f t="shared" si="87"/>
        <v>#N/A</v>
      </c>
      <c r="AC734" s="65" t="e">
        <f t="shared" si="88"/>
        <v>#N/A</v>
      </c>
      <c r="AD734" s="65" t="e">
        <f t="shared" si="89"/>
        <v>#N/A</v>
      </c>
      <c r="AE734" s="65" t="e">
        <f t="shared" si="90"/>
        <v>#N/A</v>
      </c>
    </row>
    <row r="735" spans="1:31" ht="15" customHeight="1">
      <c r="A735">
        <f>'Final Building Profile'!A31</f>
        <v>28</v>
      </c>
      <c r="B735">
        <f>'Final Building Profile'!D31</f>
        <v>0</v>
      </c>
      <c r="C735">
        <f>'Final Building Profile'!E31</f>
        <v>0</v>
      </c>
      <c r="D735">
        <f>'Final Building Profile'!F31</f>
        <v>0</v>
      </c>
      <c r="E735" s="265">
        <f>'Final Building Profile'!G31</f>
        <v>0</v>
      </c>
      <c r="F735" s="265">
        <f>'Final Building Profile'!H31</f>
        <v>0</v>
      </c>
      <c r="G735" s="265">
        <f>'Final Building Profile'!I31</f>
        <v>0</v>
      </c>
      <c r="H735" s="197">
        <f t="shared" si="73"/>
        <v>0</v>
      </c>
      <c r="I735" s="197">
        <f t="shared" si="74"/>
        <v>0</v>
      </c>
      <c r="J735" s="137">
        <f t="shared" si="75"/>
        <v>0</v>
      </c>
      <c r="K735" s="66">
        <f>'Final Building Profile'!L31</f>
        <v>0</v>
      </c>
      <c r="L735" s="66">
        <f t="shared" si="84"/>
        <v>0</v>
      </c>
      <c r="M735">
        <f>'Final Building Profile'!M31</f>
        <v>0</v>
      </c>
      <c r="N735" s="66">
        <f t="shared" si="76"/>
        <v>0</v>
      </c>
      <c r="O735" s="66">
        <f t="shared" si="77"/>
        <v>0</v>
      </c>
      <c r="P735" s="66">
        <f t="shared" si="78"/>
        <v>0</v>
      </c>
      <c r="Q735" s="204">
        <f>'Final Building Profile'!K31</f>
        <v>0</v>
      </c>
      <c r="R735" s="66">
        <f t="shared" si="85"/>
        <v>0</v>
      </c>
      <c r="S735" s="65">
        <f>'Final Building Profile'!N31-'Final Building Profile'!O31</f>
        <v>0</v>
      </c>
      <c r="T735" s="65">
        <f t="shared" si="79"/>
        <v>0</v>
      </c>
      <c r="U735" s="204">
        <f>'Final Building Profile'!Q31</f>
        <v>0</v>
      </c>
      <c r="V735" s="65">
        <f>IF('Final Building Profile'!P31&lt;&gt;"", U735, 0) * T735</f>
        <v>0</v>
      </c>
      <c r="W735" s="266">
        <f t="shared" si="80"/>
        <v>0</v>
      </c>
      <c r="X735" s="266">
        <f t="shared" si="86"/>
        <v>0</v>
      </c>
      <c r="Y735" s="266" t="e">
        <f t="shared" si="81"/>
        <v>#DIV/0!</v>
      </c>
      <c r="Z735" s="266" t="e">
        <f t="shared" si="82"/>
        <v>#DIV/0!</v>
      </c>
      <c r="AA735" s="266" t="e">
        <f t="shared" si="83"/>
        <v>#DIV/0!</v>
      </c>
      <c r="AB735" s="65" t="e">
        <f t="shared" si="87"/>
        <v>#N/A</v>
      </c>
      <c r="AC735" s="65" t="e">
        <f t="shared" si="88"/>
        <v>#N/A</v>
      </c>
      <c r="AD735" s="65" t="e">
        <f t="shared" si="89"/>
        <v>#N/A</v>
      </c>
      <c r="AE735" s="65" t="e">
        <f t="shared" si="90"/>
        <v>#N/A</v>
      </c>
    </row>
    <row r="736" spans="1:31" ht="15" customHeight="1">
      <c r="A736">
        <f>'Final Building Profile'!A32</f>
        <v>29</v>
      </c>
      <c r="B736">
        <f>'Final Building Profile'!D32</f>
        <v>0</v>
      </c>
      <c r="C736">
        <f>'Final Building Profile'!E32</f>
        <v>0</v>
      </c>
      <c r="D736">
        <f>'Final Building Profile'!F32</f>
        <v>0</v>
      </c>
      <c r="E736" s="265">
        <f>'Final Building Profile'!G32</f>
        <v>0</v>
      </c>
      <c r="F736" s="265">
        <f>'Final Building Profile'!H32</f>
        <v>0</v>
      </c>
      <c r="G736" s="265">
        <f>'Final Building Profile'!I32</f>
        <v>0</v>
      </c>
      <c r="H736" s="197">
        <f t="shared" si="73"/>
        <v>0</v>
      </c>
      <c r="I736" s="197">
        <f t="shared" si="74"/>
        <v>0</v>
      </c>
      <c r="J736" s="137">
        <f t="shared" si="75"/>
        <v>0</v>
      </c>
      <c r="K736" s="66">
        <f>'Final Building Profile'!L32</f>
        <v>0</v>
      </c>
      <c r="L736" s="66">
        <f t="shared" si="84"/>
        <v>0</v>
      </c>
      <c r="M736">
        <f>'Final Building Profile'!M32</f>
        <v>0</v>
      </c>
      <c r="N736" s="66">
        <f t="shared" si="76"/>
        <v>0</v>
      </c>
      <c r="O736" s="66">
        <f t="shared" si="77"/>
        <v>0</v>
      </c>
      <c r="P736" s="66">
        <f t="shared" si="78"/>
        <v>0</v>
      </c>
      <c r="Q736" s="204">
        <f>'Final Building Profile'!K32</f>
        <v>0</v>
      </c>
      <c r="R736" s="66">
        <f t="shared" si="85"/>
        <v>0</v>
      </c>
      <c r="S736" s="65">
        <f>'Final Building Profile'!N32-'Final Building Profile'!O32</f>
        <v>0</v>
      </c>
      <c r="T736" s="65">
        <f t="shared" si="79"/>
        <v>0</v>
      </c>
      <c r="U736" s="204">
        <f>'Final Building Profile'!Q32</f>
        <v>0</v>
      </c>
      <c r="V736" s="65">
        <f>IF('Final Building Profile'!P32&lt;&gt;"", U736, 0) * T736</f>
        <v>0</v>
      </c>
      <c r="W736" s="266">
        <f t="shared" si="80"/>
        <v>0</v>
      </c>
      <c r="X736" s="266">
        <f t="shared" si="86"/>
        <v>0</v>
      </c>
      <c r="Y736" s="266" t="e">
        <f t="shared" si="81"/>
        <v>#DIV/0!</v>
      </c>
      <c r="Z736" s="266" t="e">
        <f t="shared" si="82"/>
        <v>#DIV/0!</v>
      </c>
      <c r="AA736" s="266" t="e">
        <f t="shared" si="83"/>
        <v>#DIV/0!</v>
      </c>
      <c r="AB736" s="65" t="e">
        <f t="shared" si="87"/>
        <v>#N/A</v>
      </c>
      <c r="AC736" s="65" t="e">
        <f t="shared" si="88"/>
        <v>#N/A</v>
      </c>
      <c r="AD736" s="65" t="e">
        <f t="shared" si="89"/>
        <v>#N/A</v>
      </c>
      <c r="AE736" s="65" t="e">
        <f t="shared" si="90"/>
        <v>#N/A</v>
      </c>
    </row>
    <row r="737" spans="1:31" ht="15" customHeight="1">
      <c r="A737">
        <f>'Final Building Profile'!A33</f>
        <v>30</v>
      </c>
      <c r="B737">
        <f>'Final Building Profile'!D33</f>
        <v>0</v>
      </c>
      <c r="C737">
        <f>'Final Building Profile'!E33</f>
        <v>0</v>
      </c>
      <c r="D737">
        <f>'Final Building Profile'!F33</f>
        <v>0</v>
      </c>
      <c r="E737" s="265">
        <f>'Final Building Profile'!G33</f>
        <v>0</v>
      </c>
      <c r="F737" s="265">
        <f>'Final Building Profile'!H33</f>
        <v>0</v>
      </c>
      <c r="G737" s="265">
        <f>'Final Building Profile'!I33</f>
        <v>0</v>
      </c>
      <c r="H737" s="197">
        <f t="shared" si="73"/>
        <v>0</v>
      </c>
      <c r="I737" s="197">
        <f t="shared" si="74"/>
        <v>0</v>
      </c>
      <c r="J737" s="137">
        <f t="shared" si="75"/>
        <v>0</v>
      </c>
      <c r="K737" s="66">
        <f>'Final Building Profile'!L33</f>
        <v>0</v>
      </c>
      <c r="L737" s="66">
        <f t="shared" si="84"/>
        <v>0</v>
      </c>
      <c r="M737">
        <f>'Final Building Profile'!M33</f>
        <v>0</v>
      </c>
      <c r="N737" s="66">
        <f t="shared" si="76"/>
        <v>0</v>
      </c>
      <c r="O737" s="66">
        <f t="shared" si="77"/>
        <v>0</v>
      </c>
      <c r="P737" s="66">
        <f t="shared" si="78"/>
        <v>0</v>
      </c>
      <c r="Q737" s="204">
        <f>'Final Building Profile'!K33</f>
        <v>0</v>
      </c>
      <c r="R737" s="66">
        <f t="shared" si="85"/>
        <v>0</v>
      </c>
      <c r="S737" s="65">
        <f>'Final Building Profile'!N33-'Final Building Profile'!O33</f>
        <v>0</v>
      </c>
      <c r="T737" s="65">
        <f t="shared" si="79"/>
        <v>0</v>
      </c>
      <c r="U737" s="204">
        <f>'Final Building Profile'!Q33</f>
        <v>0</v>
      </c>
      <c r="V737" s="65">
        <f>IF('Final Building Profile'!P33&lt;&gt;"", U737, 0) * T737</f>
        <v>0</v>
      </c>
      <c r="W737" s="266">
        <f t="shared" si="80"/>
        <v>0</v>
      </c>
      <c r="X737" s="266">
        <f t="shared" si="86"/>
        <v>0</v>
      </c>
      <c r="Y737" s="266" t="e">
        <f t="shared" si="81"/>
        <v>#DIV/0!</v>
      </c>
      <c r="Z737" s="266" t="e">
        <f t="shared" si="82"/>
        <v>#DIV/0!</v>
      </c>
      <c r="AA737" s="266" t="e">
        <f t="shared" si="83"/>
        <v>#DIV/0!</v>
      </c>
      <c r="AB737" s="65" t="e">
        <f t="shared" si="87"/>
        <v>#N/A</v>
      </c>
      <c r="AC737" s="65" t="e">
        <f t="shared" si="88"/>
        <v>#N/A</v>
      </c>
      <c r="AD737" s="65" t="e">
        <f t="shared" si="89"/>
        <v>#N/A</v>
      </c>
      <c r="AE737" s="65" t="e">
        <f t="shared" si="90"/>
        <v>#N/A</v>
      </c>
    </row>
    <row r="738" spans="1:31" ht="15" customHeight="1">
      <c r="A738">
        <f>'Final Building Profile'!A34</f>
        <v>31</v>
      </c>
      <c r="B738">
        <f>'Final Building Profile'!D34</f>
        <v>0</v>
      </c>
      <c r="C738">
        <f>'Final Building Profile'!E34</f>
        <v>0</v>
      </c>
      <c r="D738">
        <f>'Final Building Profile'!F34</f>
        <v>0</v>
      </c>
      <c r="E738" s="265">
        <f>'Final Building Profile'!G34</f>
        <v>0</v>
      </c>
      <c r="F738" s="265">
        <f>'Final Building Profile'!H34</f>
        <v>0</v>
      </c>
      <c r="G738" s="265">
        <f>'Final Building Profile'!I34</f>
        <v>0</v>
      </c>
      <c r="H738" s="197">
        <f t="shared" si="73"/>
        <v>0</v>
      </c>
      <c r="I738" s="197">
        <f t="shared" si="74"/>
        <v>0</v>
      </c>
      <c r="J738" s="137">
        <f t="shared" si="75"/>
        <v>0</v>
      </c>
      <c r="K738" s="66">
        <f>'Final Building Profile'!L34</f>
        <v>0</v>
      </c>
      <c r="L738" s="66">
        <f t="shared" si="84"/>
        <v>0</v>
      </c>
      <c r="M738">
        <f>'Final Building Profile'!M34</f>
        <v>0</v>
      </c>
      <c r="N738" s="66">
        <f t="shared" si="76"/>
        <v>0</v>
      </c>
      <c r="O738" s="66">
        <f t="shared" si="77"/>
        <v>0</v>
      </c>
      <c r="P738" s="66">
        <f t="shared" si="78"/>
        <v>0</v>
      </c>
      <c r="Q738" s="204">
        <f>'Final Building Profile'!K34</f>
        <v>0</v>
      </c>
      <c r="R738" s="66">
        <f t="shared" si="85"/>
        <v>0</v>
      </c>
      <c r="S738" s="65">
        <f>'Final Building Profile'!N34-'Final Building Profile'!O34</f>
        <v>0</v>
      </c>
      <c r="T738" s="65">
        <f t="shared" si="79"/>
        <v>0</v>
      </c>
      <c r="U738" s="204">
        <f>'Final Building Profile'!Q34</f>
        <v>0</v>
      </c>
      <c r="V738" s="65">
        <f>IF('Final Building Profile'!P34&lt;&gt;"", U738, 0) * T738</f>
        <v>0</v>
      </c>
      <c r="W738" s="266">
        <f t="shared" si="80"/>
        <v>0</v>
      </c>
      <c r="X738" s="266">
        <f t="shared" si="86"/>
        <v>0</v>
      </c>
      <c r="Y738" s="266" t="e">
        <f t="shared" si="81"/>
        <v>#DIV/0!</v>
      </c>
      <c r="Z738" s="266" t="e">
        <f t="shared" si="82"/>
        <v>#DIV/0!</v>
      </c>
      <c r="AA738" s="266" t="e">
        <f t="shared" si="83"/>
        <v>#DIV/0!</v>
      </c>
      <c r="AB738" s="65" t="e">
        <f t="shared" si="87"/>
        <v>#N/A</v>
      </c>
      <c r="AC738" s="65" t="e">
        <f t="shared" si="88"/>
        <v>#N/A</v>
      </c>
      <c r="AD738" s="65" t="e">
        <f t="shared" si="89"/>
        <v>#N/A</v>
      </c>
      <c r="AE738" s="65" t="e">
        <f t="shared" si="90"/>
        <v>#N/A</v>
      </c>
    </row>
    <row r="739" spans="1:31" ht="15" customHeight="1">
      <c r="A739">
        <f>'Final Building Profile'!A35</f>
        <v>32</v>
      </c>
      <c r="B739">
        <f>'Final Building Profile'!D35</f>
        <v>0</v>
      </c>
      <c r="C739">
        <f>'Final Building Profile'!E35</f>
        <v>0</v>
      </c>
      <c r="D739">
        <f>'Final Building Profile'!F35</f>
        <v>0</v>
      </c>
      <c r="E739" s="265">
        <f>'Final Building Profile'!G35</f>
        <v>0</v>
      </c>
      <c r="F739" s="265">
        <f>'Final Building Profile'!H35</f>
        <v>0</v>
      </c>
      <c r="G739" s="265">
        <f>'Final Building Profile'!I35</f>
        <v>0</v>
      </c>
      <c r="H739" s="197">
        <f t="shared" si="73"/>
        <v>0</v>
      </c>
      <c r="I739" s="197">
        <f t="shared" si="74"/>
        <v>0</v>
      </c>
      <c r="J739" s="137">
        <f t="shared" si="75"/>
        <v>0</v>
      </c>
      <c r="K739" s="66">
        <f>'Final Building Profile'!L35</f>
        <v>0</v>
      </c>
      <c r="L739" s="66">
        <f t="shared" si="84"/>
        <v>0</v>
      </c>
      <c r="M739">
        <f>'Final Building Profile'!M35</f>
        <v>0</v>
      </c>
      <c r="N739" s="66">
        <f t="shared" si="76"/>
        <v>0</v>
      </c>
      <c r="O739" s="66">
        <f t="shared" si="77"/>
        <v>0</v>
      </c>
      <c r="P739" s="66">
        <f t="shared" si="78"/>
        <v>0</v>
      </c>
      <c r="Q739" s="204">
        <f>'Final Building Profile'!K35</f>
        <v>0</v>
      </c>
      <c r="R739" s="66">
        <f t="shared" si="85"/>
        <v>0</v>
      </c>
      <c r="S739" s="65">
        <f>'Final Building Profile'!N35-'Final Building Profile'!O35</f>
        <v>0</v>
      </c>
      <c r="T739" s="65">
        <f t="shared" si="79"/>
        <v>0</v>
      </c>
      <c r="U739" s="204">
        <f>'Final Building Profile'!Q35</f>
        <v>0</v>
      </c>
      <c r="V739" s="65">
        <f>IF('Final Building Profile'!P35&lt;&gt;"", U739, 0) * T739</f>
        <v>0</v>
      </c>
      <c r="W739" s="266">
        <f t="shared" si="80"/>
        <v>0</v>
      </c>
      <c r="X739" s="266">
        <f t="shared" si="86"/>
        <v>0</v>
      </c>
      <c r="Y739" s="266" t="e">
        <f t="shared" si="81"/>
        <v>#DIV/0!</v>
      </c>
      <c r="Z739" s="266" t="e">
        <f t="shared" si="82"/>
        <v>#DIV/0!</v>
      </c>
      <c r="AA739" s="266" t="e">
        <f t="shared" si="83"/>
        <v>#DIV/0!</v>
      </c>
      <c r="AB739" s="65" t="e">
        <f t="shared" si="87"/>
        <v>#N/A</v>
      </c>
      <c r="AC739" s="65" t="e">
        <f t="shared" si="88"/>
        <v>#N/A</v>
      </c>
      <c r="AD739" s="65" t="e">
        <f t="shared" si="89"/>
        <v>#N/A</v>
      </c>
      <c r="AE739" s="65" t="e">
        <f t="shared" si="90"/>
        <v>#N/A</v>
      </c>
    </row>
    <row r="740" spans="1:31" ht="15" customHeight="1">
      <c r="A740">
        <f>'Final Building Profile'!A36</f>
        <v>33</v>
      </c>
      <c r="B740">
        <f>'Final Building Profile'!D36</f>
        <v>0</v>
      </c>
      <c r="C740">
        <f>'Final Building Profile'!E36</f>
        <v>0</v>
      </c>
      <c r="D740">
        <f>'Final Building Profile'!F36</f>
        <v>0</v>
      </c>
      <c r="E740" s="265">
        <f>'Final Building Profile'!G36</f>
        <v>0</v>
      </c>
      <c r="F740" s="265">
        <f>'Final Building Profile'!H36</f>
        <v>0</v>
      </c>
      <c r="G740" s="265">
        <f>'Final Building Profile'!I36</f>
        <v>0</v>
      </c>
      <c r="H740" s="197">
        <f t="shared" ref="H740:H771" si="91">IF((B740-C740) &lt;&gt; 0, ROUND(D740/(B740-C740), 4), 0)</f>
        <v>0</v>
      </c>
      <c r="I740" s="197">
        <f t="shared" ref="I740:I771" si="92">IF((E740-F740) = 0, 0, ROUND(G740/(E740-F740), 4))</f>
        <v>0</v>
      </c>
      <c r="J740" s="137">
        <f t="shared" ref="J740:J771" si="93">MIN(H740, I740)</f>
        <v>0</v>
      </c>
      <c r="K740" s="66">
        <f>'Final Building Profile'!L36</f>
        <v>0</v>
      </c>
      <c r="L740" s="66">
        <f t="shared" si="84"/>
        <v>0</v>
      </c>
      <c r="M740">
        <f>'Final Building Profile'!M36</f>
        <v>0</v>
      </c>
      <c r="N740" s="66">
        <f t="shared" ref="N740:N771" si="94">M740*$B$699</f>
        <v>0</v>
      </c>
      <c r="O740" s="66">
        <f t="shared" ref="O740:O771" si="95">L740+N740</f>
        <v>0</v>
      </c>
      <c r="P740" s="66">
        <f t="shared" ref="P740:P771" si="96">O740*J740</f>
        <v>0</v>
      </c>
      <c r="Q740" s="204">
        <f>'Final Building Profile'!K36</f>
        <v>0</v>
      </c>
      <c r="R740" s="66">
        <f t="shared" si="85"/>
        <v>0</v>
      </c>
      <c r="S740" s="65">
        <f>'Final Building Profile'!N36-'Final Building Profile'!O36</f>
        <v>0</v>
      </c>
      <c r="T740" s="65">
        <f t="shared" ref="T740:T771" si="97">S740*J740</f>
        <v>0</v>
      </c>
      <c r="U740" s="204">
        <f>'Final Building Profile'!Q36</f>
        <v>0</v>
      </c>
      <c r="V740" s="65">
        <f>IF('Final Building Profile'!P36&lt;&gt;"", U740, 0) * T740</f>
        <v>0</v>
      </c>
      <c r="W740" s="266">
        <f t="shared" ref="W740:W771" si="98">IF($P$807 = 0, 0, (P740/$P$807) * Q740)</f>
        <v>0</v>
      </c>
      <c r="X740" s="266">
        <f t="shared" si="86"/>
        <v>0</v>
      </c>
      <c r="Y740" s="266" t="e">
        <f t="shared" ref="Y740:Y771" si="99">J740*(G740/$B$700)</f>
        <v>#DIV/0!</v>
      </c>
      <c r="Z740" s="266" t="e">
        <f t="shared" ref="Z740:Z771" si="100">J740*(D740/$B$701)</f>
        <v>#DIV/0!</v>
      </c>
      <c r="AA740" s="266" t="e">
        <f t="shared" ref="AA740:AA771" si="101">IF(I740=J740, Y740, Z740)</f>
        <v>#DIV/0!</v>
      </c>
      <c r="AB740" s="65" t="e">
        <f t="shared" ref="AB740:AB771" si="102">IF($B$702&lt;$V$809, ROUND($B$702/$V$809*P740, 0), P740)</f>
        <v>#N/A</v>
      </c>
      <c r="AC740" s="65" t="e">
        <f t="shared" ref="AC740:AC771" si="103">IF($B$702&lt;$V$809, ROUNDDOWN($B$702/$V$809*R740, 0), R740)</f>
        <v>#N/A</v>
      </c>
      <c r="AD740" s="65" t="e">
        <f t="shared" ref="AD740:AD771" si="104">IF($B$702&lt;$V$809, ROUND($B$702/$V$809*T740, 0), T740)</f>
        <v>#N/A</v>
      </c>
      <c r="AE740" s="65" t="e">
        <f t="shared" ref="AE740:AE771" si="105">IF($B$702&lt;$V$809, ROUND($B$702/$V$809*V740, 0), V740)</f>
        <v>#N/A</v>
      </c>
    </row>
    <row r="741" spans="1:31" ht="15" customHeight="1">
      <c r="A741">
        <f>'Final Building Profile'!A37</f>
        <v>34</v>
      </c>
      <c r="B741">
        <f>'Final Building Profile'!D37</f>
        <v>0</v>
      </c>
      <c r="C741">
        <f>'Final Building Profile'!E37</f>
        <v>0</v>
      </c>
      <c r="D741">
        <f>'Final Building Profile'!F37</f>
        <v>0</v>
      </c>
      <c r="E741" s="265">
        <f>'Final Building Profile'!G37</f>
        <v>0</v>
      </c>
      <c r="F741" s="265">
        <f>'Final Building Profile'!H37</f>
        <v>0</v>
      </c>
      <c r="G741" s="265">
        <f>'Final Building Profile'!I37</f>
        <v>0</v>
      </c>
      <c r="H741" s="197">
        <f t="shared" si="91"/>
        <v>0</v>
      </c>
      <c r="I741" s="197">
        <f t="shared" si="92"/>
        <v>0</v>
      </c>
      <c r="J741" s="137">
        <f t="shared" si="93"/>
        <v>0</v>
      </c>
      <c r="K741" s="66">
        <f>'Final Building Profile'!L37</f>
        <v>0</v>
      </c>
      <c r="L741" s="66">
        <f t="shared" si="84"/>
        <v>0</v>
      </c>
      <c r="M741">
        <f>'Final Building Profile'!M37</f>
        <v>0</v>
      </c>
      <c r="N741" s="66">
        <f t="shared" si="94"/>
        <v>0</v>
      </c>
      <c r="O741" s="66">
        <f t="shared" si="95"/>
        <v>0</v>
      </c>
      <c r="P741" s="66">
        <f t="shared" si="96"/>
        <v>0</v>
      </c>
      <c r="Q741" s="204">
        <f>'Final Building Profile'!K37</f>
        <v>0</v>
      </c>
      <c r="R741" s="66">
        <f t="shared" si="85"/>
        <v>0</v>
      </c>
      <c r="S741" s="65">
        <f>'Final Building Profile'!N37-'Final Building Profile'!O37</f>
        <v>0</v>
      </c>
      <c r="T741" s="65">
        <f t="shared" si="97"/>
        <v>0</v>
      </c>
      <c r="U741" s="204">
        <f>'Final Building Profile'!Q37</f>
        <v>0</v>
      </c>
      <c r="V741" s="65">
        <f>IF('Final Building Profile'!P37&lt;&gt;"", U741, 0) * T741</f>
        <v>0</v>
      </c>
      <c r="W741" s="266">
        <f t="shared" si="98"/>
        <v>0</v>
      </c>
      <c r="X741" s="266">
        <f t="shared" si="86"/>
        <v>0</v>
      </c>
      <c r="Y741" s="266" t="e">
        <f t="shared" si="99"/>
        <v>#DIV/0!</v>
      </c>
      <c r="Z741" s="266" t="e">
        <f t="shared" si="100"/>
        <v>#DIV/0!</v>
      </c>
      <c r="AA741" s="266" t="e">
        <f t="shared" si="101"/>
        <v>#DIV/0!</v>
      </c>
      <c r="AB741" s="65" t="e">
        <f t="shared" si="102"/>
        <v>#N/A</v>
      </c>
      <c r="AC741" s="65" t="e">
        <f t="shared" si="103"/>
        <v>#N/A</v>
      </c>
      <c r="AD741" s="65" t="e">
        <f t="shared" si="104"/>
        <v>#N/A</v>
      </c>
      <c r="AE741" s="65" t="e">
        <f t="shared" si="105"/>
        <v>#N/A</v>
      </c>
    </row>
    <row r="742" spans="1:31" ht="15" customHeight="1">
      <c r="A742">
        <f>'Final Building Profile'!A38</f>
        <v>35</v>
      </c>
      <c r="B742">
        <f>'Final Building Profile'!D38</f>
        <v>0</v>
      </c>
      <c r="C742">
        <f>'Final Building Profile'!E38</f>
        <v>0</v>
      </c>
      <c r="D742">
        <f>'Final Building Profile'!F38</f>
        <v>0</v>
      </c>
      <c r="E742" s="265">
        <f>'Final Building Profile'!G38</f>
        <v>0</v>
      </c>
      <c r="F742" s="265">
        <f>'Final Building Profile'!H38</f>
        <v>0</v>
      </c>
      <c r="G742" s="265">
        <f>'Final Building Profile'!I38</f>
        <v>0</v>
      </c>
      <c r="H742" s="197">
        <f t="shared" si="91"/>
        <v>0</v>
      </c>
      <c r="I742" s="197">
        <f t="shared" si="92"/>
        <v>0</v>
      </c>
      <c r="J742" s="137">
        <f t="shared" si="93"/>
        <v>0</v>
      </c>
      <c r="K742" s="66">
        <f>'Final Building Profile'!L38</f>
        <v>0</v>
      </c>
      <c r="L742" s="66">
        <f t="shared" si="84"/>
        <v>0</v>
      </c>
      <c r="M742">
        <f>'Final Building Profile'!M38</f>
        <v>0</v>
      </c>
      <c r="N742" s="66">
        <f t="shared" si="94"/>
        <v>0</v>
      </c>
      <c r="O742" s="66">
        <f t="shared" si="95"/>
        <v>0</v>
      </c>
      <c r="P742" s="66">
        <f t="shared" si="96"/>
        <v>0</v>
      </c>
      <c r="Q742" s="204">
        <f>'Final Building Profile'!K38</f>
        <v>0</v>
      </c>
      <c r="R742" s="66">
        <f t="shared" si="85"/>
        <v>0</v>
      </c>
      <c r="S742" s="65">
        <f>'Final Building Profile'!N38-'Final Building Profile'!O38</f>
        <v>0</v>
      </c>
      <c r="T742" s="65">
        <f t="shared" si="97"/>
        <v>0</v>
      </c>
      <c r="U742" s="204">
        <f>'Final Building Profile'!Q38</f>
        <v>0</v>
      </c>
      <c r="V742" s="65">
        <f>IF('Final Building Profile'!P38&lt;&gt;"", U742, 0) * T742</f>
        <v>0</v>
      </c>
      <c r="W742" s="266">
        <f t="shared" si="98"/>
        <v>0</v>
      </c>
      <c r="X742" s="266">
        <f t="shared" si="86"/>
        <v>0</v>
      </c>
      <c r="Y742" s="266" t="e">
        <f t="shared" si="99"/>
        <v>#DIV/0!</v>
      </c>
      <c r="Z742" s="266" t="e">
        <f t="shared" si="100"/>
        <v>#DIV/0!</v>
      </c>
      <c r="AA742" s="266" t="e">
        <f t="shared" si="101"/>
        <v>#DIV/0!</v>
      </c>
      <c r="AB742" s="65" t="e">
        <f t="shared" si="102"/>
        <v>#N/A</v>
      </c>
      <c r="AC742" s="65" t="e">
        <f t="shared" si="103"/>
        <v>#N/A</v>
      </c>
      <c r="AD742" s="65" t="e">
        <f t="shared" si="104"/>
        <v>#N/A</v>
      </c>
      <c r="AE742" s="65" t="e">
        <f t="shared" si="105"/>
        <v>#N/A</v>
      </c>
    </row>
    <row r="743" spans="1:31" ht="15" customHeight="1">
      <c r="A743">
        <f>'Final Building Profile'!A39</f>
        <v>36</v>
      </c>
      <c r="B743">
        <f>'Final Building Profile'!D39</f>
        <v>0</v>
      </c>
      <c r="C743">
        <f>'Final Building Profile'!E39</f>
        <v>0</v>
      </c>
      <c r="D743">
        <f>'Final Building Profile'!F39</f>
        <v>0</v>
      </c>
      <c r="E743" s="265">
        <f>'Final Building Profile'!G39</f>
        <v>0</v>
      </c>
      <c r="F743" s="265">
        <f>'Final Building Profile'!H39</f>
        <v>0</v>
      </c>
      <c r="G743" s="265">
        <f>'Final Building Profile'!I39</f>
        <v>0</v>
      </c>
      <c r="H743" s="197">
        <f t="shared" si="91"/>
        <v>0</v>
      </c>
      <c r="I743" s="197">
        <f t="shared" si="92"/>
        <v>0</v>
      </c>
      <c r="J743" s="137">
        <f t="shared" si="93"/>
        <v>0</v>
      </c>
      <c r="K743" s="66">
        <f>'Final Building Profile'!L39</f>
        <v>0</v>
      </c>
      <c r="L743" s="66">
        <f t="shared" si="84"/>
        <v>0</v>
      </c>
      <c r="M743">
        <f>'Final Building Profile'!M39</f>
        <v>0</v>
      </c>
      <c r="N743" s="66">
        <f t="shared" si="94"/>
        <v>0</v>
      </c>
      <c r="O743" s="66">
        <f t="shared" si="95"/>
        <v>0</v>
      </c>
      <c r="P743" s="66">
        <f t="shared" si="96"/>
        <v>0</v>
      </c>
      <c r="Q743" s="204">
        <f>'Final Building Profile'!K39</f>
        <v>0</v>
      </c>
      <c r="R743" s="66">
        <f t="shared" si="85"/>
        <v>0</v>
      </c>
      <c r="S743" s="65">
        <f>'Final Building Profile'!N39-'Final Building Profile'!O39</f>
        <v>0</v>
      </c>
      <c r="T743" s="65">
        <f t="shared" si="97"/>
        <v>0</v>
      </c>
      <c r="U743" s="204">
        <f>'Final Building Profile'!Q39</f>
        <v>0</v>
      </c>
      <c r="V743" s="65">
        <f>IF('Final Building Profile'!P39&lt;&gt;"", U743, 0) * T743</f>
        <v>0</v>
      </c>
      <c r="W743" s="266">
        <f t="shared" si="98"/>
        <v>0</v>
      </c>
      <c r="X743" s="266">
        <f t="shared" si="86"/>
        <v>0</v>
      </c>
      <c r="Y743" s="266" t="e">
        <f t="shared" si="99"/>
        <v>#DIV/0!</v>
      </c>
      <c r="Z743" s="266" t="e">
        <f t="shared" si="100"/>
        <v>#DIV/0!</v>
      </c>
      <c r="AA743" s="266" t="e">
        <f t="shared" si="101"/>
        <v>#DIV/0!</v>
      </c>
      <c r="AB743" s="65" t="e">
        <f t="shared" si="102"/>
        <v>#N/A</v>
      </c>
      <c r="AC743" s="65" t="e">
        <f t="shared" si="103"/>
        <v>#N/A</v>
      </c>
      <c r="AD743" s="65" t="e">
        <f t="shared" si="104"/>
        <v>#N/A</v>
      </c>
      <c r="AE743" s="65" t="e">
        <f t="shared" si="105"/>
        <v>#N/A</v>
      </c>
    </row>
    <row r="744" spans="1:31" ht="15" customHeight="1">
      <c r="A744">
        <f>'Final Building Profile'!A40</f>
        <v>37</v>
      </c>
      <c r="B744">
        <f>'Final Building Profile'!D40</f>
        <v>0</v>
      </c>
      <c r="C744">
        <f>'Final Building Profile'!E40</f>
        <v>0</v>
      </c>
      <c r="D744">
        <f>'Final Building Profile'!F40</f>
        <v>0</v>
      </c>
      <c r="E744" s="265">
        <f>'Final Building Profile'!G40</f>
        <v>0</v>
      </c>
      <c r="F744" s="265">
        <f>'Final Building Profile'!H40</f>
        <v>0</v>
      </c>
      <c r="G744" s="265">
        <f>'Final Building Profile'!I40</f>
        <v>0</v>
      </c>
      <c r="H744" s="197">
        <f t="shared" si="91"/>
        <v>0</v>
      </c>
      <c r="I744" s="197">
        <f t="shared" si="92"/>
        <v>0</v>
      </c>
      <c r="J744" s="137">
        <f t="shared" si="93"/>
        <v>0</v>
      </c>
      <c r="K744" s="66">
        <f>'Final Building Profile'!L40</f>
        <v>0</v>
      </c>
      <c r="L744" s="66">
        <f t="shared" si="84"/>
        <v>0</v>
      </c>
      <c r="M744">
        <f>'Final Building Profile'!M40</f>
        <v>0</v>
      </c>
      <c r="N744" s="66">
        <f t="shared" si="94"/>
        <v>0</v>
      </c>
      <c r="O744" s="66">
        <f t="shared" si="95"/>
        <v>0</v>
      </c>
      <c r="P744" s="66">
        <f t="shared" si="96"/>
        <v>0</v>
      </c>
      <c r="Q744" s="204">
        <f>'Final Building Profile'!K40</f>
        <v>0</v>
      </c>
      <c r="R744" s="66">
        <f t="shared" si="85"/>
        <v>0</v>
      </c>
      <c r="S744" s="65">
        <f>'Final Building Profile'!N40-'Final Building Profile'!O40</f>
        <v>0</v>
      </c>
      <c r="T744" s="65">
        <f t="shared" si="97"/>
        <v>0</v>
      </c>
      <c r="U744" s="204">
        <f>'Final Building Profile'!Q40</f>
        <v>0</v>
      </c>
      <c r="V744" s="65">
        <f>IF('Final Building Profile'!P40&lt;&gt;"", U744, 0) * T744</f>
        <v>0</v>
      </c>
      <c r="W744" s="266">
        <f t="shared" si="98"/>
        <v>0</v>
      </c>
      <c r="X744" s="266">
        <f t="shared" si="86"/>
        <v>0</v>
      </c>
      <c r="Y744" s="266" t="e">
        <f t="shared" si="99"/>
        <v>#DIV/0!</v>
      </c>
      <c r="Z744" s="266" t="e">
        <f t="shared" si="100"/>
        <v>#DIV/0!</v>
      </c>
      <c r="AA744" s="266" t="e">
        <f t="shared" si="101"/>
        <v>#DIV/0!</v>
      </c>
      <c r="AB744" s="65" t="e">
        <f t="shared" si="102"/>
        <v>#N/A</v>
      </c>
      <c r="AC744" s="65" t="e">
        <f t="shared" si="103"/>
        <v>#N/A</v>
      </c>
      <c r="AD744" s="65" t="e">
        <f t="shared" si="104"/>
        <v>#N/A</v>
      </c>
      <c r="AE744" s="65" t="e">
        <f t="shared" si="105"/>
        <v>#N/A</v>
      </c>
    </row>
    <row r="745" spans="1:31" ht="15" customHeight="1">
      <c r="A745">
        <f>'Final Building Profile'!A41</f>
        <v>38</v>
      </c>
      <c r="B745">
        <f>'Final Building Profile'!D41</f>
        <v>0</v>
      </c>
      <c r="C745">
        <f>'Final Building Profile'!E41</f>
        <v>0</v>
      </c>
      <c r="D745">
        <f>'Final Building Profile'!F41</f>
        <v>0</v>
      </c>
      <c r="E745" s="265">
        <f>'Final Building Profile'!G41</f>
        <v>0</v>
      </c>
      <c r="F745" s="265">
        <f>'Final Building Profile'!H41</f>
        <v>0</v>
      </c>
      <c r="G745" s="265">
        <f>'Final Building Profile'!I41</f>
        <v>0</v>
      </c>
      <c r="H745" s="197">
        <f t="shared" si="91"/>
        <v>0</v>
      </c>
      <c r="I745" s="197">
        <f t="shared" si="92"/>
        <v>0</v>
      </c>
      <c r="J745" s="137">
        <f t="shared" si="93"/>
        <v>0</v>
      </c>
      <c r="K745" s="66">
        <f>'Final Building Profile'!L41</f>
        <v>0</v>
      </c>
      <c r="L745" s="66">
        <f t="shared" si="84"/>
        <v>0</v>
      </c>
      <c r="M745">
        <f>'Final Building Profile'!M41</f>
        <v>0</v>
      </c>
      <c r="N745" s="66">
        <f t="shared" si="94"/>
        <v>0</v>
      </c>
      <c r="O745" s="66">
        <f t="shared" si="95"/>
        <v>0</v>
      </c>
      <c r="P745" s="66">
        <f t="shared" si="96"/>
        <v>0</v>
      </c>
      <c r="Q745" s="204">
        <f>'Final Building Profile'!K41</f>
        <v>0</v>
      </c>
      <c r="R745" s="66">
        <f t="shared" si="85"/>
        <v>0</v>
      </c>
      <c r="S745" s="65">
        <f>'Final Building Profile'!N41-'Final Building Profile'!O41</f>
        <v>0</v>
      </c>
      <c r="T745" s="65">
        <f t="shared" si="97"/>
        <v>0</v>
      </c>
      <c r="U745" s="204">
        <f>'Final Building Profile'!Q41</f>
        <v>0</v>
      </c>
      <c r="V745" s="65">
        <f>IF('Final Building Profile'!P41&lt;&gt;"", U745, 0) * T745</f>
        <v>0</v>
      </c>
      <c r="W745" s="266">
        <f t="shared" si="98"/>
        <v>0</v>
      </c>
      <c r="X745" s="266">
        <f t="shared" si="86"/>
        <v>0</v>
      </c>
      <c r="Y745" s="266" t="e">
        <f t="shared" si="99"/>
        <v>#DIV/0!</v>
      </c>
      <c r="Z745" s="266" t="e">
        <f t="shared" si="100"/>
        <v>#DIV/0!</v>
      </c>
      <c r="AA745" s="266" t="e">
        <f t="shared" si="101"/>
        <v>#DIV/0!</v>
      </c>
      <c r="AB745" s="65" t="e">
        <f t="shared" si="102"/>
        <v>#N/A</v>
      </c>
      <c r="AC745" s="65" t="e">
        <f t="shared" si="103"/>
        <v>#N/A</v>
      </c>
      <c r="AD745" s="65" t="e">
        <f t="shared" si="104"/>
        <v>#N/A</v>
      </c>
      <c r="AE745" s="65" t="e">
        <f t="shared" si="105"/>
        <v>#N/A</v>
      </c>
    </row>
    <row r="746" spans="1:31" ht="15" customHeight="1">
      <c r="A746">
        <f>'Final Building Profile'!A42</f>
        <v>39</v>
      </c>
      <c r="B746">
        <f>'Final Building Profile'!D42</f>
        <v>0</v>
      </c>
      <c r="C746">
        <f>'Final Building Profile'!E42</f>
        <v>0</v>
      </c>
      <c r="D746">
        <f>'Final Building Profile'!F42</f>
        <v>0</v>
      </c>
      <c r="E746" s="265">
        <f>'Final Building Profile'!G42</f>
        <v>0</v>
      </c>
      <c r="F746" s="265">
        <f>'Final Building Profile'!H42</f>
        <v>0</v>
      </c>
      <c r="G746" s="265">
        <f>'Final Building Profile'!I42</f>
        <v>0</v>
      </c>
      <c r="H746" s="197">
        <f t="shared" si="91"/>
        <v>0</v>
      </c>
      <c r="I746" s="197">
        <f t="shared" si="92"/>
        <v>0</v>
      </c>
      <c r="J746" s="137">
        <f t="shared" si="93"/>
        <v>0</v>
      </c>
      <c r="K746" s="66">
        <f>'Final Building Profile'!L42</f>
        <v>0</v>
      </c>
      <c r="L746" s="66">
        <f t="shared" si="84"/>
        <v>0</v>
      </c>
      <c r="M746">
        <f>'Final Building Profile'!M42</f>
        <v>0</v>
      </c>
      <c r="N746" s="66">
        <f t="shared" si="94"/>
        <v>0</v>
      </c>
      <c r="O746" s="66">
        <f t="shared" si="95"/>
        <v>0</v>
      </c>
      <c r="P746" s="66">
        <f t="shared" si="96"/>
        <v>0</v>
      </c>
      <c r="Q746" s="204">
        <f>'Final Building Profile'!K42</f>
        <v>0</v>
      </c>
      <c r="R746" s="66">
        <f t="shared" si="85"/>
        <v>0</v>
      </c>
      <c r="S746" s="65">
        <f>'Final Building Profile'!N42-'Final Building Profile'!O42</f>
        <v>0</v>
      </c>
      <c r="T746" s="65">
        <f t="shared" si="97"/>
        <v>0</v>
      </c>
      <c r="U746" s="204">
        <f>'Final Building Profile'!Q42</f>
        <v>0</v>
      </c>
      <c r="V746" s="65">
        <f>IF('Final Building Profile'!P42&lt;&gt;"", U746, 0) * T746</f>
        <v>0</v>
      </c>
      <c r="W746" s="266">
        <f t="shared" si="98"/>
        <v>0</v>
      </c>
      <c r="X746" s="266">
        <f t="shared" si="86"/>
        <v>0</v>
      </c>
      <c r="Y746" s="266" t="e">
        <f t="shared" si="99"/>
        <v>#DIV/0!</v>
      </c>
      <c r="Z746" s="266" t="e">
        <f t="shared" si="100"/>
        <v>#DIV/0!</v>
      </c>
      <c r="AA746" s="266" t="e">
        <f t="shared" si="101"/>
        <v>#DIV/0!</v>
      </c>
      <c r="AB746" s="65" t="e">
        <f t="shared" si="102"/>
        <v>#N/A</v>
      </c>
      <c r="AC746" s="65" t="e">
        <f t="shared" si="103"/>
        <v>#N/A</v>
      </c>
      <c r="AD746" s="65" t="e">
        <f t="shared" si="104"/>
        <v>#N/A</v>
      </c>
      <c r="AE746" s="65" t="e">
        <f t="shared" si="105"/>
        <v>#N/A</v>
      </c>
    </row>
    <row r="747" spans="1:31" ht="15" customHeight="1">
      <c r="A747">
        <f>'Final Building Profile'!A43</f>
        <v>40</v>
      </c>
      <c r="B747">
        <f>'Final Building Profile'!D43</f>
        <v>0</v>
      </c>
      <c r="C747">
        <f>'Final Building Profile'!E43</f>
        <v>0</v>
      </c>
      <c r="D747">
        <f>'Final Building Profile'!F43</f>
        <v>0</v>
      </c>
      <c r="E747" s="265">
        <f>'Final Building Profile'!G43</f>
        <v>0</v>
      </c>
      <c r="F747" s="265">
        <f>'Final Building Profile'!H43</f>
        <v>0</v>
      </c>
      <c r="G747" s="265">
        <f>'Final Building Profile'!I43</f>
        <v>0</v>
      </c>
      <c r="H747" s="197">
        <f t="shared" si="91"/>
        <v>0</v>
      </c>
      <c r="I747" s="197">
        <f t="shared" si="92"/>
        <v>0</v>
      </c>
      <c r="J747" s="137">
        <f t="shared" si="93"/>
        <v>0</v>
      </c>
      <c r="K747" s="66">
        <f>'Final Building Profile'!L43</f>
        <v>0</v>
      </c>
      <c r="L747" s="66">
        <f t="shared" si="84"/>
        <v>0</v>
      </c>
      <c r="M747">
        <f>'Final Building Profile'!M43</f>
        <v>0</v>
      </c>
      <c r="N747" s="66">
        <f t="shared" si="94"/>
        <v>0</v>
      </c>
      <c r="O747" s="66">
        <f t="shared" si="95"/>
        <v>0</v>
      </c>
      <c r="P747" s="66">
        <f t="shared" si="96"/>
        <v>0</v>
      </c>
      <c r="Q747" s="204">
        <f>'Final Building Profile'!K43</f>
        <v>0</v>
      </c>
      <c r="R747" s="66">
        <f t="shared" si="85"/>
        <v>0</v>
      </c>
      <c r="S747" s="65">
        <f>'Final Building Profile'!N43-'Final Building Profile'!O43</f>
        <v>0</v>
      </c>
      <c r="T747" s="65">
        <f t="shared" si="97"/>
        <v>0</v>
      </c>
      <c r="U747" s="204">
        <f>'Final Building Profile'!Q43</f>
        <v>0</v>
      </c>
      <c r="V747" s="65">
        <f>IF('Final Building Profile'!P43&lt;&gt;"", U747, 0) * T747</f>
        <v>0</v>
      </c>
      <c r="W747" s="266">
        <f t="shared" si="98"/>
        <v>0</v>
      </c>
      <c r="X747" s="266">
        <f t="shared" si="86"/>
        <v>0</v>
      </c>
      <c r="Y747" s="266" t="e">
        <f t="shared" si="99"/>
        <v>#DIV/0!</v>
      </c>
      <c r="Z747" s="266" t="e">
        <f t="shared" si="100"/>
        <v>#DIV/0!</v>
      </c>
      <c r="AA747" s="266" t="e">
        <f t="shared" si="101"/>
        <v>#DIV/0!</v>
      </c>
      <c r="AB747" s="65" t="e">
        <f t="shared" si="102"/>
        <v>#N/A</v>
      </c>
      <c r="AC747" s="65" t="e">
        <f t="shared" si="103"/>
        <v>#N/A</v>
      </c>
      <c r="AD747" s="65" t="e">
        <f t="shared" si="104"/>
        <v>#N/A</v>
      </c>
      <c r="AE747" s="65" t="e">
        <f t="shared" si="105"/>
        <v>#N/A</v>
      </c>
    </row>
    <row r="748" spans="1:31" ht="15" customHeight="1">
      <c r="A748">
        <f>'Final Building Profile'!A44</f>
        <v>41</v>
      </c>
      <c r="B748">
        <f>'Final Building Profile'!D44</f>
        <v>0</v>
      </c>
      <c r="C748">
        <f>'Final Building Profile'!E44</f>
        <v>0</v>
      </c>
      <c r="D748">
        <f>'Final Building Profile'!F44</f>
        <v>0</v>
      </c>
      <c r="E748" s="265">
        <f>'Final Building Profile'!G44</f>
        <v>0</v>
      </c>
      <c r="F748" s="265">
        <f>'Final Building Profile'!H44</f>
        <v>0</v>
      </c>
      <c r="G748" s="265">
        <f>'Final Building Profile'!I44</f>
        <v>0</v>
      </c>
      <c r="H748" s="197">
        <f t="shared" si="91"/>
        <v>0</v>
      </c>
      <c r="I748" s="197">
        <f t="shared" si="92"/>
        <v>0</v>
      </c>
      <c r="J748" s="137">
        <f t="shared" si="93"/>
        <v>0</v>
      </c>
      <c r="K748" s="66">
        <f>'Final Building Profile'!L44</f>
        <v>0</v>
      </c>
      <c r="L748" s="66">
        <f t="shared" si="84"/>
        <v>0</v>
      </c>
      <c r="M748">
        <f>'Final Building Profile'!M44</f>
        <v>0</v>
      </c>
      <c r="N748" s="66">
        <f t="shared" si="94"/>
        <v>0</v>
      </c>
      <c r="O748" s="66">
        <f t="shared" si="95"/>
        <v>0</v>
      </c>
      <c r="P748" s="66">
        <f t="shared" si="96"/>
        <v>0</v>
      </c>
      <c r="Q748" s="204">
        <f>'Final Building Profile'!K44</f>
        <v>0</v>
      </c>
      <c r="R748" s="66">
        <f t="shared" si="85"/>
        <v>0</v>
      </c>
      <c r="S748" s="65">
        <f>'Final Building Profile'!N44-'Final Building Profile'!O44</f>
        <v>0</v>
      </c>
      <c r="T748" s="65">
        <f t="shared" si="97"/>
        <v>0</v>
      </c>
      <c r="U748" s="204">
        <f>'Final Building Profile'!Q44</f>
        <v>0</v>
      </c>
      <c r="V748" s="65">
        <f>IF('Final Building Profile'!P44&lt;&gt;"", U748, 0) * T748</f>
        <v>0</v>
      </c>
      <c r="W748" s="266">
        <f t="shared" si="98"/>
        <v>0</v>
      </c>
      <c r="X748" s="266">
        <f t="shared" si="86"/>
        <v>0</v>
      </c>
      <c r="Y748" s="266" t="e">
        <f t="shared" si="99"/>
        <v>#DIV/0!</v>
      </c>
      <c r="Z748" s="266" t="e">
        <f t="shared" si="100"/>
        <v>#DIV/0!</v>
      </c>
      <c r="AA748" s="266" t="e">
        <f t="shared" si="101"/>
        <v>#DIV/0!</v>
      </c>
      <c r="AB748" s="65" t="e">
        <f t="shared" si="102"/>
        <v>#N/A</v>
      </c>
      <c r="AC748" s="65" t="e">
        <f t="shared" si="103"/>
        <v>#N/A</v>
      </c>
      <c r="AD748" s="65" t="e">
        <f t="shared" si="104"/>
        <v>#N/A</v>
      </c>
      <c r="AE748" s="65" t="e">
        <f t="shared" si="105"/>
        <v>#N/A</v>
      </c>
    </row>
    <row r="749" spans="1:31" ht="15" customHeight="1">
      <c r="A749">
        <f>'Final Building Profile'!A45</f>
        <v>42</v>
      </c>
      <c r="B749">
        <f>'Final Building Profile'!D45</f>
        <v>0</v>
      </c>
      <c r="C749">
        <f>'Final Building Profile'!E45</f>
        <v>0</v>
      </c>
      <c r="D749">
        <f>'Final Building Profile'!F45</f>
        <v>0</v>
      </c>
      <c r="E749" s="265">
        <f>'Final Building Profile'!G45</f>
        <v>0</v>
      </c>
      <c r="F749" s="265">
        <f>'Final Building Profile'!H45</f>
        <v>0</v>
      </c>
      <c r="G749" s="265">
        <f>'Final Building Profile'!I45</f>
        <v>0</v>
      </c>
      <c r="H749" s="197">
        <f t="shared" si="91"/>
        <v>0</v>
      </c>
      <c r="I749" s="197">
        <f t="shared" si="92"/>
        <v>0</v>
      </c>
      <c r="J749" s="137">
        <f t="shared" si="93"/>
        <v>0</v>
      </c>
      <c r="K749" s="66">
        <f>'Final Building Profile'!L45</f>
        <v>0</v>
      </c>
      <c r="L749" s="66">
        <f t="shared" si="84"/>
        <v>0</v>
      </c>
      <c r="M749">
        <f>'Final Building Profile'!M45</f>
        <v>0</v>
      </c>
      <c r="N749" s="66">
        <f t="shared" si="94"/>
        <v>0</v>
      </c>
      <c r="O749" s="66">
        <f t="shared" si="95"/>
        <v>0</v>
      </c>
      <c r="P749" s="66">
        <f t="shared" si="96"/>
        <v>0</v>
      </c>
      <c r="Q749" s="204">
        <f>'Final Building Profile'!K45</f>
        <v>0</v>
      </c>
      <c r="R749" s="66">
        <f t="shared" si="85"/>
        <v>0</v>
      </c>
      <c r="S749" s="65">
        <f>'Final Building Profile'!N45-'Final Building Profile'!O45</f>
        <v>0</v>
      </c>
      <c r="T749" s="65">
        <f t="shared" si="97"/>
        <v>0</v>
      </c>
      <c r="U749" s="204">
        <f>'Final Building Profile'!Q45</f>
        <v>0</v>
      </c>
      <c r="V749" s="65">
        <f>IF('Final Building Profile'!P45&lt;&gt;"", U749, 0) * T749</f>
        <v>0</v>
      </c>
      <c r="W749" s="266">
        <f t="shared" si="98"/>
        <v>0</v>
      </c>
      <c r="X749" s="266">
        <f t="shared" si="86"/>
        <v>0</v>
      </c>
      <c r="Y749" s="266" t="e">
        <f t="shared" si="99"/>
        <v>#DIV/0!</v>
      </c>
      <c r="Z749" s="266" t="e">
        <f t="shared" si="100"/>
        <v>#DIV/0!</v>
      </c>
      <c r="AA749" s="266" t="e">
        <f t="shared" si="101"/>
        <v>#DIV/0!</v>
      </c>
      <c r="AB749" s="65" t="e">
        <f t="shared" si="102"/>
        <v>#N/A</v>
      </c>
      <c r="AC749" s="65" t="e">
        <f t="shared" si="103"/>
        <v>#N/A</v>
      </c>
      <c r="AD749" s="65" t="e">
        <f t="shared" si="104"/>
        <v>#N/A</v>
      </c>
      <c r="AE749" s="65" t="e">
        <f t="shared" si="105"/>
        <v>#N/A</v>
      </c>
    </row>
    <row r="750" spans="1:31" ht="15" customHeight="1">
      <c r="A750">
        <f>'Final Building Profile'!A46</f>
        <v>43</v>
      </c>
      <c r="B750">
        <f>'Final Building Profile'!D46</f>
        <v>0</v>
      </c>
      <c r="C750">
        <f>'Final Building Profile'!E46</f>
        <v>0</v>
      </c>
      <c r="D750">
        <f>'Final Building Profile'!F46</f>
        <v>0</v>
      </c>
      <c r="E750" s="265">
        <f>'Final Building Profile'!G46</f>
        <v>0</v>
      </c>
      <c r="F750" s="265">
        <f>'Final Building Profile'!H46</f>
        <v>0</v>
      </c>
      <c r="G750" s="265">
        <f>'Final Building Profile'!I46</f>
        <v>0</v>
      </c>
      <c r="H750" s="197">
        <f t="shared" si="91"/>
        <v>0</v>
      </c>
      <c r="I750" s="197">
        <f t="shared" si="92"/>
        <v>0</v>
      </c>
      <c r="J750" s="137">
        <f t="shared" si="93"/>
        <v>0</v>
      </c>
      <c r="K750" s="66">
        <f>'Final Building Profile'!L46</f>
        <v>0</v>
      </c>
      <c r="L750" s="66">
        <f t="shared" si="84"/>
        <v>0</v>
      </c>
      <c r="M750">
        <f>'Final Building Profile'!M46</f>
        <v>0</v>
      </c>
      <c r="N750" s="66">
        <f t="shared" si="94"/>
        <v>0</v>
      </c>
      <c r="O750" s="66">
        <f t="shared" si="95"/>
        <v>0</v>
      </c>
      <c r="P750" s="66">
        <f t="shared" si="96"/>
        <v>0</v>
      </c>
      <c r="Q750" s="204">
        <f>'Final Building Profile'!K46</f>
        <v>0</v>
      </c>
      <c r="R750" s="66">
        <f t="shared" si="85"/>
        <v>0</v>
      </c>
      <c r="S750" s="65">
        <f>'Final Building Profile'!N46-'Final Building Profile'!O46</f>
        <v>0</v>
      </c>
      <c r="T750" s="65">
        <f t="shared" si="97"/>
        <v>0</v>
      </c>
      <c r="U750" s="204">
        <f>'Final Building Profile'!Q46</f>
        <v>0</v>
      </c>
      <c r="V750" s="65">
        <f>IF('Final Building Profile'!P46&lt;&gt;"", U750, 0) * T750</f>
        <v>0</v>
      </c>
      <c r="W750" s="266">
        <f t="shared" si="98"/>
        <v>0</v>
      </c>
      <c r="X750" s="266">
        <f t="shared" si="86"/>
        <v>0</v>
      </c>
      <c r="Y750" s="266" t="e">
        <f t="shared" si="99"/>
        <v>#DIV/0!</v>
      </c>
      <c r="Z750" s="266" t="e">
        <f t="shared" si="100"/>
        <v>#DIV/0!</v>
      </c>
      <c r="AA750" s="266" t="e">
        <f t="shared" si="101"/>
        <v>#DIV/0!</v>
      </c>
      <c r="AB750" s="65" t="e">
        <f t="shared" si="102"/>
        <v>#N/A</v>
      </c>
      <c r="AC750" s="65" t="e">
        <f t="shared" si="103"/>
        <v>#N/A</v>
      </c>
      <c r="AD750" s="65" t="e">
        <f t="shared" si="104"/>
        <v>#N/A</v>
      </c>
      <c r="AE750" s="65" t="e">
        <f t="shared" si="105"/>
        <v>#N/A</v>
      </c>
    </row>
    <row r="751" spans="1:31" ht="15" customHeight="1">
      <c r="A751">
        <f>'Final Building Profile'!A47</f>
        <v>44</v>
      </c>
      <c r="B751">
        <f>'Final Building Profile'!D47</f>
        <v>0</v>
      </c>
      <c r="C751">
        <f>'Final Building Profile'!E47</f>
        <v>0</v>
      </c>
      <c r="D751">
        <f>'Final Building Profile'!F47</f>
        <v>0</v>
      </c>
      <c r="E751" s="265">
        <f>'Final Building Profile'!G47</f>
        <v>0</v>
      </c>
      <c r="F751" s="265">
        <f>'Final Building Profile'!H47</f>
        <v>0</v>
      </c>
      <c r="G751" s="265">
        <f>'Final Building Profile'!I47</f>
        <v>0</v>
      </c>
      <c r="H751" s="197">
        <f t="shared" si="91"/>
        <v>0</v>
      </c>
      <c r="I751" s="197">
        <f t="shared" si="92"/>
        <v>0</v>
      </c>
      <c r="J751" s="137">
        <f t="shared" si="93"/>
        <v>0</v>
      </c>
      <c r="K751" s="66">
        <f>'Final Building Profile'!L47</f>
        <v>0</v>
      </c>
      <c r="L751" s="66">
        <f t="shared" si="84"/>
        <v>0</v>
      </c>
      <c r="M751">
        <f>'Final Building Profile'!M47</f>
        <v>0</v>
      </c>
      <c r="N751" s="66">
        <f t="shared" si="94"/>
        <v>0</v>
      </c>
      <c r="O751" s="66">
        <f t="shared" si="95"/>
        <v>0</v>
      </c>
      <c r="P751" s="66">
        <f t="shared" si="96"/>
        <v>0</v>
      </c>
      <c r="Q751" s="204">
        <f>'Final Building Profile'!K47</f>
        <v>0</v>
      </c>
      <c r="R751" s="66">
        <f t="shared" si="85"/>
        <v>0</v>
      </c>
      <c r="S751" s="65">
        <f>'Final Building Profile'!N47-'Final Building Profile'!O47</f>
        <v>0</v>
      </c>
      <c r="T751" s="65">
        <f t="shared" si="97"/>
        <v>0</v>
      </c>
      <c r="U751" s="204">
        <f>'Final Building Profile'!Q47</f>
        <v>0</v>
      </c>
      <c r="V751" s="65">
        <f>IF('Final Building Profile'!P47&lt;&gt;"", U751, 0) * T751</f>
        <v>0</v>
      </c>
      <c r="W751" s="266">
        <f t="shared" si="98"/>
        <v>0</v>
      </c>
      <c r="X751" s="266">
        <f t="shared" si="86"/>
        <v>0</v>
      </c>
      <c r="Y751" s="266" t="e">
        <f t="shared" si="99"/>
        <v>#DIV/0!</v>
      </c>
      <c r="Z751" s="266" t="e">
        <f t="shared" si="100"/>
        <v>#DIV/0!</v>
      </c>
      <c r="AA751" s="266" t="e">
        <f t="shared" si="101"/>
        <v>#DIV/0!</v>
      </c>
      <c r="AB751" s="65" t="e">
        <f t="shared" si="102"/>
        <v>#N/A</v>
      </c>
      <c r="AC751" s="65" t="e">
        <f t="shared" si="103"/>
        <v>#N/A</v>
      </c>
      <c r="AD751" s="65" t="e">
        <f t="shared" si="104"/>
        <v>#N/A</v>
      </c>
      <c r="AE751" s="65" t="e">
        <f t="shared" si="105"/>
        <v>#N/A</v>
      </c>
    </row>
    <row r="752" spans="1:31" ht="15" customHeight="1">
      <c r="A752">
        <f>'Final Building Profile'!A48</f>
        <v>45</v>
      </c>
      <c r="B752">
        <f>'Final Building Profile'!D48</f>
        <v>0</v>
      </c>
      <c r="C752">
        <f>'Final Building Profile'!E48</f>
        <v>0</v>
      </c>
      <c r="D752">
        <f>'Final Building Profile'!F48</f>
        <v>0</v>
      </c>
      <c r="E752" s="265">
        <f>'Final Building Profile'!G48</f>
        <v>0</v>
      </c>
      <c r="F752" s="265">
        <f>'Final Building Profile'!H48</f>
        <v>0</v>
      </c>
      <c r="G752" s="265">
        <f>'Final Building Profile'!I48</f>
        <v>0</v>
      </c>
      <c r="H752" s="197">
        <f t="shared" si="91"/>
        <v>0</v>
      </c>
      <c r="I752" s="197">
        <f t="shared" si="92"/>
        <v>0</v>
      </c>
      <c r="J752" s="137">
        <f t="shared" si="93"/>
        <v>0</v>
      </c>
      <c r="K752" s="66">
        <f>'Final Building Profile'!L48</f>
        <v>0</v>
      </c>
      <c r="L752" s="66">
        <f t="shared" si="84"/>
        <v>0</v>
      </c>
      <c r="M752">
        <f>'Final Building Profile'!M48</f>
        <v>0</v>
      </c>
      <c r="N752" s="66">
        <f t="shared" si="94"/>
        <v>0</v>
      </c>
      <c r="O752" s="66">
        <f t="shared" si="95"/>
        <v>0</v>
      </c>
      <c r="P752" s="66">
        <f t="shared" si="96"/>
        <v>0</v>
      </c>
      <c r="Q752" s="204">
        <f>'Final Building Profile'!K48</f>
        <v>0</v>
      </c>
      <c r="R752" s="66">
        <f t="shared" si="85"/>
        <v>0</v>
      </c>
      <c r="S752" s="65">
        <f>'Final Building Profile'!N48-'Final Building Profile'!O48</f>
        <v>0</v>
      </c>
      <c r="T752" s="65">
        <f t="shared" si="97"/>
        <v>0</v>
      </c>
      <c r="U752" s="204">
        <f>'Final Building Profile'!Q48</f>
        <v>0</v>
      </c>
      <c r="V752" s="65">
        <f>IF('Final Building Profile'!P48&lt;&gt;"", U752, 0) * T752</f>
        <v>0</v>
      </c>
      <c r="W752" s="266">
        <f t="shared" si="98"/>
        <v>0</v>
      </c>
      <c r="X752" s="266">
        <f t="shared" si="86"/>
        <v>0</v>
      </c>
      <c r="Y752" s="266" t="e">
        <f t="shared" si="99"/>
        <v>#DIV/0!</v>
      </c>
      <c r="Z752" s="266" t="e">
        <f t="shared" si="100"/>
        <v>#DIV/0!</v>
      </c>
      <c r="AA752" s="266" t="e">
        <f t="shared" si="101"/>
        <v>#DIV/0!</v>
      </c>
      <c r="AB752" s="65" t="e">
        <f t="shared" si="102"/>
        <v>#N/A</v>
      </c>
      <c r="AC752" s="65" t="e">
        <f t="shared" si="103"/>
        <v>#N/A</v>
      </c>
      <c r="AD752" s="65" t="e">
        <f t="shared" si="104"/>
        <v>#N/A</v>
      </c>
      <c r="AE752" s="65" t="e">
        <f t="shared" si="105"/>
        <v>#N/A</v>
      </c>
    </row>
    <row r="753" spans="1:31" ht="15" customHeight="1">
      <c r="A753">
        <f>'Final Building Profile'!A49</f>
        <v>46</v>
      </c>
      <c r="B753">
        <f>'Final Building Profile'!D49</f>
        <v>0</v>
      </c>
      <c r="C753">
        <f>'Final Building Profile'!E49</f>
        <v>0</v>
      </c>
      <c r="D753">
        <f>'Final Building Profile'!F49</f>
        <v>0</v>
      </c>
      <c r="E753" s="265">
        <f>'Final Building Profile'!G49</f>
        <v>0</v>
      </c>
      <c r="F753" s="265">
        <f>'Final Building Profile'!H49</f>
        <v>0</v>
      </c>
      <c r="G753" s="265">
        <f>'Final Building Profile'!I49</f>
        <v>0</v>
      </c>
      <c r="H753" s="197">
        <f t="shared" si="91"/>
        <v>0</v>
      </c>
      <c r="I753" s="197">
        <f t="shared" si="92"/>
        <v>0</v>
      </c>
      <c r="J753" s="137">
        <f t="shared" si="93"/>
        <v>0</v>
      </c>
      <c r="K753" s="66">
        <f>'Final Building Profile'!L49</f>
        <v>0</v>
      </c>
      <c r="L753" s="66">
        <f t="shared" si="84"/>
        <v>0</v>
      </c>
      <c r="M753">
        <f>'Final Building Profile'!M49</f>
        <v>0</v>
      </c>
      <c r="N753" s="66">
        <f t="shared" si="94"/>
        <v>0</v>
      </c>
      <c r="O753" s="66">
        <f t="shared" si="95"/>
        <v>0</v>
      </c>
      <c r="P753" s="66">
        <f t="shared" si="96"/>
        <v>0</v>
      </c>
      <c r="Q753" s="204">
        <f>'Final Building Profile'!K49</f>
        <v>0</v>
      </c>
      <c r="R753" s="66">
        <f t="shared" si="85"/>
        <v>0</v>
      </c>
      <c r="S753" s="65">
        <f>'Final Building Profile'!N49-'Final Building Profile'!O49</f>
        <v>0</v>
      </c>
      <c r="T753" s="65">
        <f t="shared" si="97"/>
        <v>0</v>
      </c>
      <c r="U753" s="204">
        <f>'Final Building Profile'!Q49</f>
        <v>0</v>
      </c>
      <c r="V753" s="65">
        <f>IF('Final Building Profile'!P49&lt;&gt;"", U753, 0) * T753</f>
        <v>0</v>
      </c>
      <c r="W753" s="266">
        <f t="shared" si="98"/>
        <v>0</v>
      </c>
      <c r="X753" s="266">
        <f t="shared" si="86"/>
        <v>0</v>
      </c>
      <c r="Y753" s="266" t="e">
        <f t="shared" si="99"/>
        <v>#DIV/0!</v>
      </c>
      <c r="Z753" s="266" t="e">
        <f t="shared" si="100"/>
        <v>#DIV/0!</v>
      </c>
      <c r="AA753" s="266" t="e">
        <f t="shared" si="101"/>
        <v>#DIV/0!</v>
      </c>
      <c r="AB753" s="65" t="e">
        <f t="shared" si="102"/>
        <v>#N/A</v>
      </c>
      <c r="AC753" s="65" t="e">
        <f t="shared" si="103"/>
        <v>#N/A</v>
      </c>
      <c r="AD753" s="65" t="e">
        <f t="shared" si="104"/>
        <v>#N/A</v>
      </c>
      <c r="AE753" s="65" t="e">
        <f t="shared" si="105"/>
        <v>#N/A</v>
      </c>
    </row>
    <row r="754" spans="1:31" ht="15" customHeight="1">
      <c r="A754">
        <f>'Final Building Profile'!A50</f>
        <v>47</v>
      </c>
      <c r="B754">
        <f>'Final Building Profile'!D50</f>
        <v>0</v>
      </c>
      <c r="C754">
        <f>'Final Building Profile'!E50</f>
        <v>0</v>
      </c>
      <c r="D754">
        <f>'Final Building Profile'!F50</f>
        <v>0</v>
      </c>
      <c r="E754" s="265">
        <f>'Final Building Profile'!G50</f>
        <v>0</v>
      </c>
      <c r="F754" s="265">
        <f>'Final Building Profile'!H50</f>
        <v>0</v>
      </c>
      <c r="G754" s="265">
        <f>'Final Building Profile'!I50</f>
        <v>0</v>
      </c>
      <c r="H754" s="197">
        <f t="shared" si="91"/>
        <v>0</v>
      </c>
      <c r="I754" s="197">
        <f t="shared" si="92"/>
        <v>0</v>
      </c>
      <c r="J754" s="137">
        <f t="shared" si="93"/>
        <v>0</v>
      </c>
      <c r="K754" s="66">
        <f>'Final Building Profile'!L50</f>
        <v>0</v>
      </c>
      <c r="L754" s="66">
        <f t="shared" si="84"/>
        <v>0</v>
      </c>
      <c r="M754">
        <f>'Final Building Profile'!M50</f>
        <v>0</v>
      </c>
      <c r="N754" s="66">
        <f t="shared" si="94"/>
        <v>0</v>
      </c>
      <c r="O754" s="66">
        <f t="shared" si="95"/>
        <v>0</v>
      </c>
      <c r="P754" s="66">
        <f t="shared" si="96"/>
        <v>0</v>
      </c>
      <c r="Q754" s="204">
        <f>'Final Building Profile'!K50</f>
        <v>0</v>
      </c>
      <c r="R754" s="66">
        <f t="shared" si="85"/>
        <v>0</v>
      </c>
      <c r="S754" s="65">
        <f>'Final Building Profile'!N50-'Final Building Profile'!O50</f>
        <v>0</v>
      </c>
      <c r="T754" s="65">
        <f t="shared" si="97"/>
        <v>0</v>
      </c>
      <c r="U754" s="204">
        <f>'Final Building Profile'!Q50</f>
        <v>0</v>
      </c>
      <c r="V754" s="65">
        <f>IF('Final Building Profile'!P50&lt;&gt;"", U754, 0) * T754</f>
        <v>0</v>
      </c>
      <c r="W754" s="266">
        <f t="shared" si="98"/>
        <v>0</v>
      </c>
      <c r="X754" s="266">
        <f t="shared" si="86"/>
        <v>0</v>
      </c>
      <c r="Y754" s="266" t="e">
        <f t="shared" si="99"/>
        <v>#DIV/0!</v>
      </c>
      <c r="Z754" s="266" t="e">
        <f t="shared" si="100"/>
        <v>#DIV/0!</v>
      </c>
      <c r="AA754" s="266" t="e">
        <f t="shared" si="101"/>
        <v>#DIV/0!</v>
      </c>
      <c r="AB754" s="65" t="e">
        <f t="shared" si="102"/>
        <v>#N/A</v>
      </c>
      <c r="AC754" s="65" t="e">
        <f t="shared" si="103"/>
        <v>#N/A</v>
      </c>
      <c r="AD754" s="65" t="e">
        <f t="shared" si="104"/>
        <v>#N/A</v>
      </c>
      <c r="AE754" s="65" t="e">
        <f t="shared" si="105"/>
        <v>#N/A</v>
      </c>
    </row>
    <row r="755" spans="1:31" ht="15" customHeight="1">
      <c r="A755">
        <f>'Final Building Profile'!A51</f>
        <v>48</v>
      </c>
      <c r="B755">
        <f>'Final Building Profile'!D51</f>
        <v>0</v>
      </c>
      <c r="C755">
        <f>'Final Building Profile'!E51</f>
        <v>0</v>
      </c>
      <c r="D755">
        <f>'Final Building Profile'!F51</f>
        <v>0</v>
      </c>
      <c r="E755" s="265">
        <f>'Final Building Profile'!G51</f>
        <v>0</v>
      </c>
      <c r="F755" s="265">
        <f>'Final Building Profile'!H51</f>
        <v>0</v>
      </c>
      <c r="G755" s="265">
        <f>'Final Building Profile'!I51</f>
        <v>0</v>
      </c>
      <c r="H755" s="197">
        <f t="shared" si="91"/>
        <v>0</v>
      </c>
      <c r="I755" s="197">
        <f t="shared" si="92"/>
        <v>0</v>
      </c>
      <c r="J755" s="137">
        <f t="shared" si="93"/>
        <v>0</v>
      </c>
      <c r="K755" s="66">
        <f>'Final Building Profile'!L51</f>
        <v>0</v>
      </c>
      <c r="L755" s="66">
        <f t="shared" si="84"/>
        <v>0</v>
      </c>
      <c r="M755">
        <f>'Final Building Profile'!M51</f>
        <v>0</v>
      </c>
      <c r="N755" s="66">
        <f t="shared" si="94"/>
        <v>0</v>
      </c>
      <c r="O755" s="66">
        <f t="shared" si="95"/>
        <v>0</v>
      </c>
      <c r="P755" s="66">
        <f t="shared" si="96"/>
        <v>0</v>
      </c>
      <c r="Q755" s="204">
        <f>'Final Building Profile'!K51</f>
        <v>0</v>
      </c>
      <c r="R755" s="66">
        <f t="shared" si="85"/>
        <v>0</v>
      </c>
      <c r="S755" s="65">
        <f>'Final Building Profile'!N51-'Final Building Profile'!O51</f>
        <v>0</v>
      </c>
      <c r="T755" s="65">
        <f t="shared" si="97"/>
        <v>0</v>
      </c>
      <c r="U755" s="204">
        <f>'Final Building Profile'!Q51</f>
        <v>0</v>
      </c>
      <c r="V755" s="65">
        <f>IF('Final Building Profile'!P51&lt;&gt;"", U755, 0) * T755</f>
        <v>0</v>
      </c>
      <c r="W755" s="266">
        <f t="shared" si="98"/>
        <v>0</v>
      </c>
      <c r="X755" s="266">
        <f t="shared" si="86"/>
        <v>0</v>
      </c>
      <c r="Y755" s="266" t="e">
        <f t="shared" si="99"/>
        <v>#DIV/0!</v>
      </c>
      <c r="Z755" s="266" t="e">
        <f t="shared" si="100"/>
        <v>#DIV/0!</v>
      </c>
      <c r="AA755" s="266" t="e">
        <f t="shared" si="101"/>
        <v>#DIV/0!</v>
      </c>
      <c r="AB755" s="65" t="e">
        <f t="shared" si="102"/>
        <v>#N/A</v>
      </c>
      <c r="AC755" s="65" t="e">
        <f t="shared" si="103"/>
        <v>#N/A</v>
      </c>
      <c r="AD755" s="65" t="e">
        <f t="shared" si="104"/>
        <v>#N/A</v>
      </c>
      <c r="AE755" s="65" t="e">
        <f t="shared" si="105"/>
        <v>#N/A</v>
      </c>
    </row>
    <row r="756" spans="1:31" ht="15" customHeight="1">
      <c r="A756">
        <f>'Final Building Profile'!A52</f>
        <v>49</v>
      </c>
      <c r="B756">
        <f>'Final Building Profile'!D52</f>
        <v>0</v>
      </c>
      <c r="C756">
        <f>'Final Building Profile'!E52</f>
        <v>0</v>
      </c>
      <c r="D756">
        <f>'Final Building Profile'!F52</f>
        <v>0</v>
      </c>
      <c r="E756" s="265">
        <f>'Final Building Profile'!G52</f>
        <v>0</v>
      </c>
      <c r="F756" s="265">
        <f>'Final Building Profile'!H52</f>
        <v>0</v>
      </c>
      <c r="G756" s="265">
        <f>'Final Building Profile'!I52</f>
        <v>0</v>
      </c>
      <c r="H756" s="197">
        <f t="shared" si="91"/>
        <v>0</v>
      </c>
      <c r="I756" s="197">
        <f t="shared" si="92"/>
        <v>0</v>
      </c>
      <c r="J756" s="137">
        <f t="shared" si="93"/>
        <v>0</v>
      </c>
      <c r="K756" s="66">
        <f>'Final Building Profile'!L52</f>
        <v>0</v>
      </c>
      <c r="L756" s="66">
        <f t="shared" si="84"/>
        <v>0</v>
      </c>
      <c r="M756">
        <f>'Final Building Profile'!M52</f>
        <v>0</v>
      </c>
      <c r="N756" s="66">
        <f t="shared" si="94"/>
        <v>0</v>
      </c>
      <c r="O756" s="66">
        <f t="shared" si="95"/>
        <v>0</v>
      </c>
      <c r="P756" s="66">
        <f t="shared" si="96"/>
        <v>0</v>
      </c>
      <c r="Q756" s="204">
        <f>'Final Building Profile'!K52</f>
        <v>0</v>
      </c>
      <c r="R756" s="66">
        <f t="shared" si="85"/>
        <v>0</v>
      </c>
      <c r="S756" s="65">
        <f>'Final Building Profile'!N52-'Final Building Profile'!O52</f>
        <v>0</v>
      </c>
      <c r="T756" s="65">
        <f t="shared" si="97"/>
        <v>0</v>
      </c>
      <c r="U756" s="204">
        <f>'Final Building Profile'!Q52</f>
        <v>0</v>
      </c>
      <c r="V756" s="65">
        <f>IF('Final Building Profile'!P52&lt;&gt;"", U756, 0) * T756</f>
        <v>0</v>
      </c>
      <c r="W756" s="266">
        <f t="shared" si="98"/>
        <v>0</v>
      </c>
      <c r="X756" s="266">
        <f t="shared" si="86"/>
        <v>0</v>
      </c>
      <c r="Y756" s="266" t="e">
        <f t="shared" si="99"/>
        <v>#DIV/0!</v>
      </c>
      <c r="Z756" s="266" t="e">
        <f t="shared" si="100"/>
        <v>#DIV/0!</v>
      </c>
      <c r="AA756" s="266" t="e">
        <f t="shared" si="101"/>
        <v>#DIV/0!</v>
      </c>
      <c r="AB756" s="65" t="e">
        <f t="shared" si="102"/>
        <v>#N/A</v>
      </c>
      <c r="AC756" s="65" t="e">
        <f t="shared" si="103"/>
        <v>#N/A</v>
      </c>
      <c r="AD756" s="65" t="e">
        <f t="shared" si="104"/>
        <v>#N/A</v>
      </c>
      <c r="AE756" s="65" t="e">
        <f t="shared" si="105"/>
        <v>#N/A</v>
      </c>
    </row>
    <row r="757" spans="1:31" ht="15" customHeight="1">
      <c r="A757">
        <f>'Final Building Profile'!A53</f>
        <v>50</v>
      </c>
      <c r="B757">
        <f>'Final Building Profile'!D53</f>
        <v>0</v>
      </c>
      <c r="C757">
        <f>'Final Building Profile'!E53</f>
        <v>0</v>
      </c>
      <c r="D757">
        <f>'Final Building Profile'!F53</f>
        <v>0</v>
      </c>
      <c r="E757" s="265">
        <f>'Final Building Profile'!G53</f>
        <v>0</v>
      </c>
      <c r="F757" s="265">
        <f>'Final Building Profile'!H53</f>
        <v>0</v>
      </c>
      <c r="G757" s="265">
        <f>'Final Building Profile'!I53</f>
        <v>0</v>
      </c>
      <c r="H757" s="197">
        <f t="shared" si="91"/>
        <v>0</v>
      </c>
      <c r="I757" s="197">
        <f t="shared" si="92"/>
        <v>0</v>
      </c>
      <c r="J757" s="137">
        <f t="shared" si="93"/>
        <v>0</v>
      </c>
      <c r="K757" s="66">
        <f>'Final Building Profile'!L53</f>
        <v>0</v>
      </c>
      <c r="L757" s="66">
        <f t="shared" si="84"/>
        <v>0</v>
      </c>
      <c r="M757">
        <f>'Final Building Profile'!M53</f>
        <v>0</v>
      </c>
      <c r="N757" s="66">
        <f t="shared" si="94"/>
        <v>0</v>
      </c>
      <c r="O757" s="66">
        <f t="shared" si="95"/>
        <v>0</v>
      </c>
      <c r="P757" s="66">
        <f t="shared" si="96"/>
        <v>0</v>
      </c>
      <c r="Q757" s="204">
        <f>'Final Building Profile'!K53</f>
        <v>0</v>
      </c>
      <c r="R757" s="66">
        <f t="shared" si="85"/>
        <v>0</v>
      </c>
      <c r="S757" s="65">
        <f>'Final Building Profile'!N53-'Final Building Profile'!O53</f>
        <v>0</v>
      </c>
      <c r="T757" s="65">
        <f t="shared" si="97"/>
        <v>0</v>
      </c>
      <c r="U757" s="204">
        <f>'Final Building Profile'!Q53</f>
        <v>0</v>
      </c>
      <c r="V757" s="65">
        <f>IF('Final Building Profile'!P53&lt;&gt;"", U757, 0) * T757</f>
        <v>0</v>
      </c>
      <c r="W757" s="266">
        <f t="shared" si="98"/>
        <v>0</v>
      </c>
      <c r="X757" s="266">
        <f t="shared" si="86"/>
        <v>0</v>
      </c>
      <c r="Y757" s="266" t="e">
        <f t="shared" si="99"/>
        <v>#DIV/0!</v>
      </c>
      <c r="Z757" s="266" t="e">
        <f t="shared" si="100"/>
        <v>#DIV/0!</v>
      </c>
      <c r="AA757" s="266" t="e">
        <f t="shared" si="101"/>
        <v>#DIV/0!</v>
      </c>
      <c r="AB757" s="65" t="e">
        <f t="shared" si="102"/>
        <v>#N/A</v>
      </c>
      <c r="AC757" s="65" t="e">
        <f t="shared" si="103"/>
        <v>#N/A</v>
      </c>
      <c r="AD757" s="65" t="e">
        <f t="shared" si="104"/>
        <v>#N/A</v>
      </c>
      <c r="AE757" s="65" t="e">
        <f t="shared" si="105"/>
        <v>#N/A</v>
      </c>
    </row>
    <row r="758" spans="1:31" ht="15" customHeight="1">
      <c r="A758">
        <f>'Final Building Profile'!A54</f>
        <v>51</v>
      </c>
      <c r="B758">
        <f>'Final Building Profile'!D54</f>
        <v>0</v>
      </c>
      <c r="C758">
        <f>'Final Building Profile'!E54</f>
        <v>0</v>
      </c>
      <c r="D758">
        <f>'Final Building Profile'!F54</f>
        <v>0</v>
      </c>
      <c r="E758" s="265">
        <f>'Final Building Profile'!G54</f>
        <v>0</v>
      </c>
      <c r="F758" s="265">
        <f>'Final Building Profile'!H54</f>
        <v>0</v>
      </c>
      <c r="G758" s="265">
        <f>'Final Building Profile'!I54</f>
        <v>0</v>
      </c>
      <c r="H758" s="197">
        <f t="shared" si="91"/>
        <v>0</v>
      </c>
      <c r="I758" s="197">
        <f t="shared" si="92"/>
        <v>0</v>
      </c>
      <c r="J758" s="137">
        <f t="shared" si="93"/>
        <v>0</v>
      </c>
      <c r="K758" s="66">
        <f>'Final Building Profile'!L54</f>
        <v>0</v>
      </c>
      <c r="L758" s="66">
        <f t="shared" si="84"/>
        <v>0</v>
      </c>
      <c r="M758">
        <f>'Final Building Profile'!M54</f>
        <v>0</v>
      </c>
      <c r="N758" s="66">
        <f t="shared" si="94"/>
        <v>0</v>
      </c>
      <c r="O758" s="66">
        <f t="shared" si="95"/>
        <v>0</v>
      </c>
      <c r="P758" s="66">
        <f t="shared" si="96"/>
        <v>0</v>
      </c>
      <c r="Q758" s="204">
        <f>'Final Building Profile'!K54</f>
        <v>0</v>
      </c>
      <c r="R758" s="66">
        <f t="shared" si="85"/>
        <v>0</v>
      </c>
      <c r="S758" s="65">
        <f>'Final Building Profile'!N54-'Final Building Profile'!O54</f>
        <v>0</v>
      </c>
      <c r="T758" s="65">
        <f t="shared" si="97"/>
        <v>0</v>
      </c>
      <c r="U758" s="204">
        <f>'Final Building Profile'!Q54</f>
        <v>0</v>
      </c>
      <c r="V758" s="65">
        <f>IF('Final Building Profile'!P54&lt;&gt;"", U758, 0) * T758</f>
        <v>0</v>
      </c>
      <c r="W758" s="266">
        <f t="shared" si="98"/>
        <v>0</v>
      </c>
      <c r="X758" s="266">
        <f t="shared" si="86"/>
        <v>0</v>
      </c>
      <c r="Y758" s="266" t="e">
        <f t="shared" si="99"/>
        <v>#DIV/0!</v>
      </c>
      <c r="Z758" s="266" t="e">
        <f t="shared" si="100"/>
        <v>#DIV/0!</v>
      </c>
      <c r="AA758" s="266" t="e">
        <f t="shared" si="101"/>
        <v>#DIV/0!</v>
      </c>
      <c r="AB758" s="65" t="e">
        <f t="shared" si="102"/>
        <v>#N/A</v>
      </c>
      <c r="AC758" s="65" t="e">
        <f t="shared" si="103"/>
        <v>#N/A</v>
      </c>
      <c r="AD758" s="65" t="e">
        <f t="shared" si="104"/>
        <v>#N/A</v>
      </c>
      <c r="AE758" s="65" t="e">
        <f t="shared" si="105"/>
        <v>#N/A</v>
      </c>
    </row>
    <row r="759" spans="1:31" ht="15" customHeight="1">
      <c r="A759">
        <f>'Final Building Profile'!A55</f>
        <v>52</v>
      </c>
      <c r="B759">
        <f>'Final Building Profile'!D55</f>
        <v>0</v>
      </c>
      <c r="C759">
        <f>'Final Building Profile'!E55</f>
        <v>0</v>
      </c>
      <c r="D759">
        <f>'Final Building Profile'!F55</f>
        <v>0</v>
      </c>
      <c r="E759" s="265">
        <f>'Final Building Profile'!G55</f>
        <v>0</v>
      </c>
      <c r="F759" s="265">
        <f>'Final Building Profile'!H55</f>
        <v>0</v>
      </c>
      <c r="G759" s="265">
        <f>'Final Building Profile'!I55</f>
        <v>0</v>
      </c>
      <c r="H759" s="197">
        <f t="shared" si="91"/>
        <v>0</v>
      </c>
      <c r="I759" s="197">
        <f t="shared" si="92"/>
        <v>0</v>
      </c>
      <c r="J759" s="137">
        <f t="shared" si="93"/>
        <v>0</v>
      </c>
      <c r="K759" s="66">
        <f>'Final Building Profile'!L55</f>
        <v>0</v>
      </c>
      <c r="L759" s="66">
        <f t="shared" si="84"/>
        <v>0</v>
      </c>
      <c r="M759">
        <f>'Final Building Profile'!M55</f>
        <v>0</v>
      </c>
      <c r="N759" s="66">
        <f t="shared" si="94"/>
        <v>0</v>
      </c>
      <c r="O759" s="66">
        <f t="shared" si="95"/>
        <v>0</v>
      </c>
      <c r="P759" s="66">
        <f t="shared" si="96"/>
        <v>0</v>
      </c>
      <c r="Q759" s="204">
        <f>'Final Building Profile'!K55</f>
        <v>0</v>
      </c>
      <c r="R759" s="66">
        <f t="shared" si="85"/>
        <v>0</v>
      </c>
      <c r="S759" s="65">
        <f>'Final Building Profile'!N55-'Final Building Profile'!O55</f>
        <v>0</v>
      </c>
      <c r="T759" s="65">
        <f t="shared" si="97"/>
        <v>0</v>
      </c>
      <c r="U759" s="204">
        <f>'Final Building Profile'!Q55</f>
        <v>0</v>
      </c>
      <c r="V759" s="65">
        <f>IF('Final Building Profile'!P55&lt;&gt;"", U759, 0) * T759</f>
        <v>0</v>
      </c>
      <c r="W759" s="266">
        <f t="shared" si="98"/>
        <v>0</v>
      </c>
      <c r="X759" s="266">
        <f t="shared" si="86"/>
        <v>0</v>
      </c>
      <c r="Y759" s="266" t="e">
        <f t="shared" si="99"/>
        <v>#DIV/0!</v>
      </c>
      <c r="Z759" s="266" t="e">
        <f t="shared" si="100"/>
        <v>#DIV/0!</v>
      </c>
      <c r="AA759" s="266" t="e">
        <f t="shared" si="101"/>
        <v>#DIV/0!</v>
      </c>
      <c r="AB759" s="65" t="e">
        <f t="shared" si="102"/>
        <v>#N/A</v>
      </c>
      <c r="AC759" s="65" t="e">
        <f t="shared" si="103"/>
        <v>#N/A</v>
      </c>
      <c r="AD759" s="65" t="e">
        <f t="shared" si="104"/>
        <v>#N/A</v>
      </c>
      <c r="AE759" s="65" t="e">
        <f t="shared" si="105"/>
        <v>#N/A</v>
      </c>
    </row>
    <row r="760" spans="1:31" ht="15" customHeight="1">
      <c r="A760">
        <f>'Final Building Profile'!A56</f>
        <v>53</v>
      </c>
      <c r="B760">
        <f>'Final Building Profile'!D56</f>
        <v>0</v>
      </c>
      <c r="C760">
        <f>'Final Building Profile'!E56</f>
        <v>0</v>
      </c>
      <c r="D760">
        <f>'Final Building Profile'!F56</f>
        <v>0</v>
      </c>
      <c r="E760" s="265">
        <f>'Final Building Profile'!G56</f>
        <v>0</v>
      </c>
      <c r="F760" s="265">
        <f>'Final Building Profile'!H56</f>
        <v>0</v>
      </c>
      <c r="G760" s="265">
        <f>'Final Building Profile'!I56</f>
        <v>0</v>
      </c>
      <c r="H760" s="197">
        <f t="shared" si="91"/>
        <v>0</v>
      </c>
      <c r="I760" s="197">
        <f t="shared" si="92"/>
        <v>0</v>
      </c>
      <c r="J760" s="137">
        <f t="shared" si="93"/>
        <v>0</v>
      </c>
      <c r="K760" s="66">
        <f>'Final Building Profile'!L56</f>
        <v>0</v>
      </c>
      <c r="L760" s="66">
        <f t="shared" si="84"/>
        <v>0</v>
      </c>
      <c r="M760">
        <f>'Final Building Profile'!M56</f>
        <v>0</v>
      </c>
      <c r="N760" s="66">
        <f t="shared" si="94"/>
        <v>0</v>
      </c>
      <c r="O760" s="66">
        <f t="shared" si="95"/>
        <v>0</v>
      </c>
      <c r="P760" s="66">
        <f t="shared" si="96"/>
        <v>0</v>
      </c>
      <c r="Q760" s="204">
        <f>'Final Building Profile'!K56</f>
        <v>0</v>
      </c>
      <c r="R760" s="66">
        <f t="shared" si="85"/>
        <v>0</v>
      </c>
      <c r="S760" s="65">
        <f>'Final Building Profile'!N56-'Final Building Profile'!O56</f>
        <v>0</v>
      </c>
      <c r="T760" s="65">
        <f t="shared" si="97"/>
        <v>0</v>
      </c>
      <c r="U760" s="204">
        <f>'Final Building Profile'!Q56</f>
        <v>0</v>
      </c>
      <c r="V760" s="65">
        <f>IF('Final Building Profile'!P56&lt;&gt;"", U760, 0) * T760</f>
        <v>0</v>
      </c>
      <c r="W760" s="266">
        <f t="shared" si="98"/>
        <v>0</v>
      </c>
      <c r="X760" s="266">
        <f t="shared" si="86"/>
        <v>0</v>
      </c>
      <c r="Y760" s="266" t="e">
        <f t="shared" si="99"/>
        <v>#DIV/0!</v>
      </c>
      <c r="Z760" s="266" t="e">
        <f t="shared" si="100"/>
        <v>#DIV/0!</v>
      </c>
      <c r="AA760" s="266" t="e">
        <f t="shared" si="101"/>
        <v>#DIV/0!</v>
      </c>
      <c r="AB760" s="65" t="e">
        <f t="shared" si="102"/>
        <v>#N/A</v>
      </c>
      <c r="AC760" s="65" t="e">
        <f t="shared" si="103"/>
        <v>#N/A</v>
      </c>
      <c r="AD760" s="65" t="e">
        <f t="shared" si="104"/>
        <v>#N/A</v>
      </c>
      <c r="AE760" s="65" t="e">
        <f t="shared" si="105"/>
        <v>#N/A</v>
      </c>
    </row>
    <row r="761" spans="1:31" ht="15" customHeight="1">
      <c r="A761">
        <f>'Final Building Profile'!A57</f>
        <v>54</v>
      </c>
      <c r="B761">
        <f>'Final Building Profile'!D57</f>
        <v>0</v>
      </c>
      <c r="C761">
        <f>'Final Building Profile'!E57</f>
        <v>0</v>
      </c>
      <c r="D761">
        <f>'Final Building Profile'!F57</f>
        <v>0</v>
      </c>
      <c r="E761" s="265">
        <f>'Final Building Profile'!G57</f>
        <v>0</v>
      </c>
      <c r="F761" s="265">
        <f>'Final Building Profile'!H57</f>
        <v>0</v>
      </c>
      <c r="G761" s="265">
        <f>'Final Building Profile'!I57</f>
        <v>0</v>
      </c>
      <c r="H761" s="197">
        <f t="shared" si="91"/>
        <v>0</v>
      </c>
      <c r="I761" s="197">
        <f t="shared" si="92"/>
        <v>0</v>
      </c>
      <c r="J761" s="137">
        <f t="shared" si="93"/>
        <v>0</v>
      </c>
      <c r="K761" s="66">
        <f>'Final Building Profile'!L57</f>
        <v>0</v>
      </c>
      <c r="L761" s="66">
        <f t="shared" si="84"/>
        <v>0</v>
      </c>
      <c r="M761">
        <f>'Final Building Profile'!M57</f>
        <v>0</v>
      </c>
      <c r="N761" s="66">
        <f t="shared" si="94"/>
        <v>0</v>
      </c>
      <c r="O761" s="66">
        <f t="shared" si="95"/>
        <v>0</v>
      </c>
      <c r="P761" s="66">
        <f t="shared" si="96"/>
        <v>0</v>
      </c>
      <c r="Q761" s="204">
        <f>'Final Building Profile'!K57</f>
        <v>0</v>
      </c>
      <c r="R761" s="66">
        <f t="shared" si="85"/>
        <v>0</v>
      </c>
      <c r="S761" s="65">
        <f>'Final Building Profile'!N57-'Final Building Profile'!O57</f>
        <v>0</v>
      </c>
      <c r="T761" s="65">
        <f t="shared" si="97"/>
        <v>0</v>
      </c>
      <c r="U761" s="204">
        <f>'Final Building Profile'!Q57</f>
        <v>0</v>
      </c>
      <c r="V761" s="65">
        <f>IF('Final Building Profile'!P57&lt;&gt;"", U761, 0) * T761</f>
        <v>0</v>
      </c>
      <c r="W761" s="266">
        <f t="shared" si="98"/>
        <v>0</v>
      </c>
      <c r="X761" s="266">
        <f t="shared" si="86"/>
        <v>0</v>
      </c>
      <c r="Y761" s="266" t="e">
        <f t="shared" si="99"/>
        <v>#DIV/0!</v>
      </c>
      <c r="Z761" s="266" t="e">
        <f t="shared" si="100"/>
        <v>#DIV/0!</v>
      </c>
      <c r="AA761" s="266" t="e">
        <f t="shared" si="101"/>
        <v>#DIV/0!</v>
      </c>
      <c r="AB761" s="65" t="e">
        <f t="shared" si="102"/>
        <v>#N/A</v>
      </c>
      <c r="AC761" s="65" t="e">
        <f t="shared" si="103"/>
        <v>#N/A</v>
      </c>
      <c r="AD761" s="65" t="e">
        <f t="shared" si="104"/>
        <v>#N/A</v>
      </c>
      <c r="AE761" s="65" t="e">
        <f t="shared" si="105"/>
        <v>#N/A</v>
      </c>
    </row>
    <row r="762" spans="1:31" ht="15" customHeight="1">
      <c r="A762">
        <f>'Final Building Profile'!A58</f>
        <v>55</v>
      </c>
      <c r="B762">
        <f>'Final Building Profile'!D58</f>
        <v>0</v>
      </c>
      <c r="C762">
        <f>'Final Building Profile'!E58</f>
        <v>0</v>
      </c>
      <c r="D762">
        <f>'Final Building Profile'!F58</f>
        <v>0</v>
      </c>
      <c r="E762" s="265">
        <f>'Final Building Profile'!G58</f>
        <v>0</v>
      </c>
      <c r="F762" s="265">
        <f>'Final Building Profile'!H58</f>
        <v>0</v>
      </c>
      <c r="G762" s="265">
        <f>'Final Building Profile'!I58</f>
        <v>0</v>
      </c>
      <c r="H762" s="197">
        <f t="shared" si="91"/>
        <v>0</v>
      </c>
      <c r="I762" s="197">
        <f t="shared" si="92"/>
        <v>0</v>
      </c>
      <c r="J762" s="137">
        <f t="shared" si="93"/>
        <v>0</v>
      </c>
      <c r="K762" s="66">
        <f>'Final Building Profile'!L58</f>
        <v>0</v>
      </c>
      <c r="L762" s="66">
        <f t="shared" si="84"/>
        <v>0</v>
      </c>
      <c r="M762">
        <f>'Final Building Profile'!M58</f>
        <v>0</v>
      </c>
      <c r="N762" s="66">
        <f t="shared" si="94"/>
        <v>0</v>
      </c>
      <c r="O762" s="66">
        <f t="shared" si="95"/>
        <v>0</v>
      </c>
      <c r="P762" s="66">
        <f t="shared" si="96"/>
        <v>0</v>
      </c>
      <c r="Q762" s="204">
        <f>'Final Building Profile'!K58</f>
        <v>0</v>
      </c>
      <c r="R762" s="66">
        <f t="shared" si="85"/>
        <v>0</v>
      </c>
      <c r="S762" s="65">
        <f>'Final Building Profile'!N58-'Final Building Profile'!O58</f>
        <v>0</v>
      </c>
      <c r="T762" s="65">
        <f t="shared" si="97"/>
        <v>0</v>
      </c>
      <c r="U762" s="204">
        <f>'Final Building Profile'!Q58</f>
        <v>0</v>
      </c>
      <c r="V762" s="65">
        <f>IF('Final Building Profile'!P58&lt;&gt;"", U762, 0) * T762</f>
        <v>0</v>
      </c>
      <c r="W762" s="266">
        <f t="shared" si="98"/>
        <v>0</v>
      </c>
      <c r="X762" s="266">
        <f t="shared" si="86"/>
        <v>0</v>
      </c>
      <c r="Y762" s="266" t="e">
        <f t="shared" si="99"/>
        <v>#DIV/0!</v>
      </c>
      <c r="Z762" s="266" t="e">
        <f t="shared" si="100"/>
        <v>#DIV/0!</v>
      </c>
      <c r="AA762" s="266" t="e">
        <f t="shared" si="101"/>
        <v>#DIV/0!</v>
      </c>
      <c r="AB762" s="65" t="e">
        <f t="shared" si="102"/>
        <v>#N/A</v>
      </c>
      <c r="AC762" s="65" t="e">
        <f t="shared" si="103"/>
        <v>#N/A</v>
      </c>
      <c r="AD762" s="65" t="e">
        <f t="shared" si="104"/>
        <v>#N/A</v>
      </c>
      <c r="AE762" s="65" t="e">
        <f t="shared" si="105"/>
        <v>#N/A</v>
      </c>
    </row>
    <row r="763" spans="1:31" ht="15" customHeight="1">
      <c r="A763">
        <f>'Final Building Profile'!A59</f>
        <v>56</v>
      </c>
      <c r="B763">
        <f>'Final Building Profile'!D59</f>
        <v>0</v>
      </c>
      <c r="C763">
        <f>'Final Building Profile'!E59</f>
        <v>0</v>
      </c>
      <c r="D763">
        <f>'Final Building Profile'!F59</f>
        <v>0</v>
      </c>
      <c r="E763" s="265">
        <f>'Final Building Profile'!G59</f>
        <v>0</v>
      </c>
      <c r="F763" s="265">
        <f>'Final Building Profile'!H59</f>
        <v>0</v>
      </c>
      <c r="G763" s="265">
        <f>'Final Building Profile'!I59</f>
        <v>0</v>
      </c>
      <c r="H763" s="197">
        <f t="shared" si="91"/>
        <v>0</v>
      </c>
      <c r="I763" s="197">
        <f t="shared" si="92"/>
        <v>0</v>
      </c>
      <c r="J763" s="137">
        <f t="shared" si="93"/>
        <v>0</v>
      </c>
      <c r="K763" s="66">
        <f>'Final Building Profile'!L59</f>
        <v>0</v>
      </c>
      <c r="L763" s="66">
        <f t="shared" si="84"/>
        <v>0</v>
      </c>
      <c r="M763">
        <f>'Final Building Profile'!M59</f>
        <v>0</v>
      </c>
      <c r="N763" s="66">
        <f t="shared" si="94"/>
        <v>0</v>
      </c>
      <c r="O763" s="66">
        <f t="shared" si="95"/>
        <v>0</v>
      </c>
      <c r="P763" s="66">
        <f t="shared" si="96"/>
        <v>0</v>
      </c>
      <c r="Q763" s="204">
        <f>'Final Building Profile'!K59</f>
        <v>0</v>
      </c>
      <c r="R763" s="66">
        <f t="shared" si="85"/>
        <v>0</v>
      </c>
      <c r="S763" s="65">
        <f>'Final Building Profile'!N59-'Final Building Profile'!O59</f>
        <v>0</v>
      </c>
      <c r="T763" s="65">
        <f t="shared" si="97"/>
        <v>0</v>
      </c>
      <c r="U763" s="204">
        <f>'Final Building Profile'!Q59</f>
        <v>0</v>
      </c>
      <c r="V763" s="65">
        <f>IF('Final Building Profile'!P59&lt;&gt;"", U763, 0) * T763</f>
        <v>0</v>
      </c>
      <c r="W763" s="266">
        <f t="shared" si="98"/>
        <v>0</v>
      </c>
      <c r="X763" s="266">
        <f t="shared" si="86"/>
        <v>0</v>
      </c>
      <c r="Y763" s="266" t="e">
        <f t="shared" si="99"/>
        <v>#DIV/0!</v>
      </c>
      <c r="Z763" s="266" t="e">
        <f t="shared" si="100"/>
        <v>#DIV/0!</v>
      </c>
      <c r="AA763" s="266" t="e">
        <f t="shared" si="101"/>
        <v>#DIV/0!</v>
      </c>
      <c r="AB763" s="65" t="e">
        <f t="shared" si="102"/>
        <v>#N/A</v>
      </c>
      <c r="AC763" s="65" t="e">
        <f t="shared" si="103"/>
        <v>#N/A</v>
      </c>
      <c r="AD763" s="65" t="e">
        <f t="shared" si="104"/>
        <v>#N/A</v>
      </c>
      <c r="AE763" s="65" t="e">
        <f t="shared" si="105"/>
        <v>#N/A</v>
      </c>
    </row>
    <row r="764" spans="1:31" ht="15" customHeight="1">
      <c r="A764">
        <f>'Final Building Profile'!A60</f>
        <v>57</v>
      </c>
      <c r="B764">
        <f>'Final Building Profile'!D60</f>
        <v>0</v>
      </c>
      <c r="C764">
        <f>'Final Building Profile'!E60</f>
        <v>0</v>
      </c>
      <c r="D764">
        <f>'Final Building Profile'!F60</f>
        <v>0</v>
      </c>
      <c r="E764" s="265">
        <f>'Final Building Profile'!G60</f>
        <v>0</v>
      </c>
      <c r="F764" s="265">
        <f>'Final Building Profile'!H60</f>
        <v>0</v>
      </c>
      <c r="G764" s="265">
        <f>'Final Building Profile'!I60</f>
        <v>0</v>
      </c>
      <c r="H764" s="197">
        <f t="shared" si="91"/>
        <v>0</v>
      </c>
      <c r="I764" s="197">
        <f t="shared" si="92"/>
        <v>0</v>
      </c>
      <c r="J764" s="137">
        <f t="shared" si="93"/>
        <v>0</v>
      </c>
      <c r="K764" s="66">
        <f>'Final Building Profile'!L60</f>
        <v>0</v>
      </c>
      <c r="L764" s="66">
        <f t="shared" si="84"/>
        <v>0</v>
      </c>
      <c r="M764">
        <f>'Final Building Profile'!M60</f>
        <v>0</v>
      </c>
      <c r="N764" s="66">
        <f t="shared" si="94"/>
        <v>0</v>
      </c>
      <c r="O764" s="66">
        <f t="shared" si="95"/>
        <v>0</v>
      </c>
      <c r="P764" s="66">
        <f t="shared" si="96"/>
        <v>0</v>
      </c>
      <c r="Q764" s="204">
        <f>'Final Building Profile'!K60</f>
        <v>0</v>
      </c>
      <c r="R764" s="66">
        <f t="shared" si="85"/>
        <v>0</v>
      </c>
      <c r="S764" s="65">
        <f>'Final Building Profile'!N60-'Final Building Profile'!O60</f>
        <v>0</v>
      </c>
      <c r="T764" s="65">
        <f t="shared" si="97"/>
        <v>0</v>
      </c>
      <c r="U764" s="204">
        <f>'Final Building Profile'!Q60</f>
        <v>0</v>
      </c>
      <c r="V764" s="65">
        <f>IF('Final Building Profile'!P60&lt;&gt;"", U764, 0) * T764</f>
        <v>0</v>
      </c>
      <c r="W764" s="266">
        <f t="shared" si="98"/>
        <v>0</v>
      </c>
      <c r="X764" s="266">
        <f t="shared" si="86"/>
        <v>0</v>
      </c>
      <c r="Y764" s="266" t="e">
        <f t="shared" si="99"/>
        <v>#DIV/0!</v>
      </c>
      <c r="Z764" s="266" t="e">
        <f t="shared" si="100"/>
        <v>#DIV/0!</v>
      </c>
      <c r="AA764" s="266" t="e">
        <f t="shared" si="101"/>
        <v>#DIV/0!</v>
      </c>
      <c r="AB764" s="65" t="e">
        <f t="shared" si="102"/>
        <v>#N/A</v>
      </c>
      <c r="AC764" s="65" t="e">
        <f t="shared" si="103"/>
        <v>#N/A</v>
      </c>
      <c r="AD764" s="65" t="e">
        <f t="shared" si="104"/>
        <v>#N/A</v>
      </c>
      <c r="AE764" s="65" t="e">
        <f t="shared" si="105"/>
        <v>#N/A</v>
      </c>
    </row>
    <row r="765" spans="1:31" ht="15" customHeight="1">
      <c r="A765">
        <f>'Final Building Profile'!A61</f>
        <v>58</v>
      </c>
      <c r="B765">
        <f>'Final Building Profile'!D61</f>
        <v>0</v>
      </c>
      <c r="C765">
        <f>'Final Building Profile'!E61</f>
        <v>0</v>
      </c>
      <c r="D765">
        <f>'Final Building Profile'!F61</f>
        <v>0</v>
      </c>
      <c r="E765" s="265">
        <f>'Final Building Profile'!G61</f>
        <v>0</v>
      </c>
      <c r="F765" s="265">
        <f>'Final Building Profile'!H61</f>
        <v>0</v>
      </c>
      <c r="G765" s="265">
        <f>'Final Building Profile'!I61</f>
        <v>0</v>
      </c>
      <c r="H765" s="197">
        <f t="shared" si="91"/>
        <v>0</v>
      </c>
      <c r="I765" s="197">
        <f t="shared" si="92"/>
        <v>0</v>
      </c>
      <c r="J765" s="137">
        <f t="shared" si="93"/>
        <v>0</v>
      </c>
      <c r="K765" s="66">
        <f>'Final Building Profile'!L61</f>
        <v>0</v>
      </c>
      <c r="L765" s="66">
        <f t="shared" si="84"/>
        <v>0</v>
      </c>
      <c r="M765">
        <f>'Final Building Profile'!M61</f>
        <v>0</v>
      </c>
      <c r="N765" s="66">
        <f t="shared" si="94"/>
        <v>0</v>
      </c>
      <c r="O765" s="66">
        <f t="shared" si="95"/>
        <v>0</v>
      </c>
      <c r="P765" s="66">
        <f t="shared" si="96"/>
        <v>0</v>
      </c>
      <c r="Q765" s="204">
        <f>'Final Building Profile'!K61</f>
        <v>0</v>
      </c>
      <c r="R765" s="66">
        <f t="shared" si="85"/>
        <v>0</v>
      </c>
      <c r="S765" s="65">
        <f>'Final Building Profile'!N61-'Final Building Profile'!O61</f>
        <v>0</v>
      </c>
      <c r="T765" s="65">
        <f t="shared" si="97"/>
        <v>0</v>
      </c>
      <c r="U765" s="204">
        <f>'Final Building Profile'!Q61</f>
        <v>0</v>
      </c>
      <c r="V765" s="65">
        <f>IF('Final Building Profile'!P61&lt;&gt;"", U765, 0) * T765</f>
        <v>0</v>
      </c>
      <c r="W765" s="266">
        <f t="shared" si="98"/>
        <v>0</v>
      </c>
      <c r="X765" s="266">
        <f t="shared" si="86"/>
        <v>0</v>
      </c>
      <c r="Y765" s="266" t="e">
        <f t="shared" si="99"/>
        <v>#DIV/0!</v>
      </c>
      <c r="Z765" s="266" t="e">
        <f t="shared" si="100"/>
        <v>#DIV/0!</v>
      </c>
      <c r="AA765" s="266" t="e">
        <f t="shared" si="101"/>
        <v>#DIV/0!</v>
      </c>
      <c r="AB765" s="65" t="e">
        <f t="shared" si="102"/>
        <v>#N/A</v>
      </c>
      <c r="AC765" s="65" t="e">
        <f t="shared" si="103"/>
        <v>#N/A</v>
      </c>
      <c r="AD765" s="65" t="e">
        <f t="shared" si="104"/>
        <v>#N/A</v>
      </c>
      <c r="AE765" s="65" t="e">
        <f t="shared" si="105"/>
        <v>#N/A</v>
      </c>
    </row>
    <row r="766" spans="1:31" ht="15" customHeight="1">
      <c r="A766">
        <f>'Final Building Profile'!A62</f>
        <v>59</v>
      </c>
      <c r="B766">
        <f>'Final Building Profile'!D62</f>
        <v>0</v>
      </c>
      <c r="C766">
        <f>'Final Building Profile'!E62</f>
        <v>0</v>
      </c>
      <c r="D766">
        <f>'Final Building Profile'!F62</f>
        <v>0</v>
      </c>
      <c r="E766" s="265">
        <f>'Final Building Profile'!G62</f>
        <v>0</v>
      </c>
      <c r="F766" s="265">
        <f>'Final Building Profile'!H62</f>
        <v>0</v>
      </c>
      <c r="G766" s="265">
        <f>'Final Building Profile'!I62</f>
        <v>0</v>
      </c>
      <c r="H766" s="197">
        <f t="shared" si="91"/>
        <v>0</v>
      </c>
      <c r="I766" s="197">
        <f t="shared" si="92"/>
        <v>0</v>
      </c>
      <c r="J766" s="137">
        <f t="shared" si="93"/>
        <v>0</v>
      </c>
      <c r="K766" s="66">
        <f>'Final Building Profile'!L62</f>
        <v>0</v>
      </c>
      <c r="L766" s="66">
        <f t="shared" si="84"/>
        <v>0</v>
      </c>
      <c r="M766">
        <f>'Final Building Profile'!M62</f>
        <v>0</v>
      </c>
      <c r="N766" s="66">
        <f t="shared" si="94"/>
        <v>0</v>
      </c>
      <c r="O766" s="66">
        <f t="shared" si="95"/>
        <v>0</v>
      </c>
      <c r="P766" s="66">
        <f t="shared" si="96"/>
        <v>0</v>
      </c>
      <c r="Q766" s="204">
        <f>'Final Building Profile'!K62</f>
        <v>0</v>
      </c>
      <c r="R766" s="66">
        <f t="shared" si="85"/>
        <v>0</v>
      </c>
      <c r="S766" s="65">
        <f>'Final Building Profile'!N62-'Final Building Profile'!O62</f>
        <v>0</v>
      </c>
      <c r="T766" s="65">
        <f t="shared" si="97"/>
        <v>0</v>
      </c>
      <c r="U766" s="204">
        <f>'Final Building Profile'!Q62</f>
        <v>0</v>
      </c>
      <c r="V766" s="65">
        <f>IF('Final Building Profile'!P62&lt;&gt;"", U766, 0) * T766</f>
        <v>0</v>
      </c>
      <c r="W766" s="266">
        <f t="shared" si="98"/>
        <v>0</v>
      </c>
      <c r="X766" s="266">
        <f t="shared" si="86"/>
        <v>0</v>
      </c>
      <c r="Y766" s="266" t="e">
        <f t="shared" si="99"/>
        <v>#DIV/0!</v>
      </c>
      <c r="Z766" s="266" t="e">
        <f t="shared" si="100"/>
        <v>#DIV/0!</v>
      </c>
      <c r="AA766" s="266" t="e">
        <f t="shared" si="101"/>
        <v>#DIV/0!</v>
      </c>
      <c r="AB766" s="65" t="e">
        <f t="shared" si="102"/>
        <v>#N/A</v>
      </c>
      <c r="AC766" s="65" t="e">
        <f t="shared" si="103"/>
        <v>#N/A</v>
      </c>
      <c r="AD766" s="65" t="e">
        <f t="shared" si="104"/>
        <v>#N/A</v>
      </c>
      <c r="AE766" s="65" t="e">
        <f t="shared" si="105"/>
        <v>#N/A</v>
      </c>
    </row>
    <row r="767" spans="1:31" ht="15" customHeight="1">
      <c r="A767">
        <f>'Final Building Profile'!A63</f>
        <v>60</v>
      </c>
      <c r="B767">
        <f>'Final Building Profile'!D63</f>
        <v>0</v>
      </c>
      <c r="C767">
        <f>'Final Building Profile'!E63</f>
        <v>0</v>
      </c>
      <c r="D767">
        <f>'Final Building Profile'!F63</f>
        <v>0</v>
      </c>
      <c r="E767" s="265">
        <f>'Final Building Profile'!G63</f>
        <v>0</v>
      </c>
      <c r="F767" s="265">
        <f>'Final Building Profile'!H63</f>
        <v>0</v>
      </c>
      <c r="G767" s="265">
        <f>'Final Building Profile'!I63</f>
        <v>0</v>
      </c>
      <c r="H767" s="197">
        <f t="shared" si="91"/>
        <v>0</v>
      </c>
      <c r="I767" s="197">
        <f t="shared" si="92"/>
        <v>0</v>
      </c>
      <c r="J767" s="137">
        <f t="shared" si="93"/>
        <v>0</v>
      </c>
      <c r="K767" s="66">
        <f>'Final Building Profile'!L63</f>
        <v>0</v>
      </c>
      <c r="L767" s="66">
        <f t="shared" si="84"/>
        <v>0</v>
      </c>
      <c r="M767">
        <f>'Final Building Profile'!M63</f>
        <v>0</v>
      </c>
      <c r="N767" s="66">
        <f t="shared" si="94"/>
        <v>0</v>
      </c>
      <c r="O767" s="66">
        <f t="shared" si="95"/>
        <v>0</v>
      </c>
      <c r="P767" s="66">
        <f t="shared" si="96"/>
        <v>0</v>
      </c>
      <c r="Q767" s="204">
        <f>'Final Building Profile'!K63</f>
        <v>0</v>
      </c>
      <c r="R767" s="66">
        <f t="shared" si="85"/>
        <v>0</v>
      </c>
      <c r="S767" s="65">
        <f>'Final Building Profile'!N63-'Final Building Profile'!O63</f>
        <v>0</v>
      </c>
      <c r="T767" s="65">
        <f t="shared" si="97"/>
        <v>0</v>
      </c>
      <c r="U767" s="204">
        <f>'Final Building Profile'!Q63</f>
        <v>0</v>
      </c>
      <c r="V767" s="65">
        <f>IF('Final Building Profile'!P63&lt;&gt;"", U767, 0) * T767</f>
        <v>0</v>
      </c>
      <c r="W767" s="266">
        <f t="shared" si="98"/>
        <v>0</v>
      </c>
      <c r="X767" s="266">
        <f t="shared" si="86"/>
        <v>0</v>
      </c>
      <c r="Y767" s="266" t="e">
        <f t="shared" si="99"/>
        <v>#DIV/0!</v>
      </c>
      <c r="Z767" s="266" t="e">
        <f t="shared" si="100"/>
        <v>#DIV/0!</v>
      </c>
      <c r="AA767" s="266" t="e">
        <f t="shared" si="101"/>
        <v>#DIV/0!</v>
      </c>
      <c r="AB767" s="65" t="e">
        <f t="shared" si="102"/>
        <v>#N/A</v>
      </c>
      <c r="AC767" s="65" t="e">
        <f t="shared" si="103"/>
        <v>#N/A</v>
      </c>
      <c r="AD767" s="65" t="e">
        <f t="shared" si="104"/>
        <v>#N/A</v>
      </c>
      <c r="AE767" s="65" t="e">
        <f t="shared" si="105"/>
        <v>#N/A</v>
      </c>
    </row>
    <row r="768" spans="1:31" ht="15" customHeight="1">
      <c r="A768">
        <f>'Final Building Profile'!A64</f>
        <v>61</v>
      </c>
      <c r="B768">
        <f>'Final Building Profile'!D64</f>
        <v>0</v>
      </c>
      <c r="C768">
        <f>'Final Building Profile'!E64</f>
        <v>0</v>
      </c>
      <c r="D768">
        <f>'Final Building Profile'!F64</f>
        <v>0</v>
      </c>
      <c r="E768" s="265">
        <f>'Final Building Profile'!G64</f>
        <v>0</v>
      </c>
      <c r="F768" s="265">
        <f>'Final Building Profile'!H64</f>
        <v>0</v>
      </c>
      <c r="G768" s="265">
        <f>'Final Building Profile'!I64</f>
        <v>0</v>
      </c>
      <c r="H768" s="197">
        <f t="shared" si="91"/>
        <v>0</v>
      </c>
      <c r="I768" s="197">
        <f t="shared" si="92"/>
        <v>0</v>
      </c>
      <c r="J768" s="137">
        <f t="shared" si="93"/>
        <v>0</v>
      </c>
      <c r="K768" s="66">
        <f>'Final Building Profile'!L64</f>
        <v>0</v>
      </c>
      <c r="L768" s="66">
        <f t="shared" si="84"/>
        <v>0</v>
      </c>
      <c r="M768">
        <f>'Final Building Profile'!M64</f>
        <v>0</v>
      </c>
      <c r="N768" s="66">
        <f t="shared" si="94"/>
        <v>0</v>
      </c>
      <c r="O768" s="66">
        <f t="shared" si="95"/>
        <v>0</v>
      </c>
      <c r="P768" s="66">
        <f t="shared" si="96"/>
        <v>0</v>
      </c>
      <c r="Q768" s="204">
        <f>'Final Building Profile'!K64</f>
        <v>0</v>
      </c>
      <c r="R768" s="66">
        <f t="shared" si="85"/>
        <v>0</v>
      </c>
      <c r="S768" s="65">
        <f>'Final Building Profile'!N64-'Final Building Profile'!O64</f>
        <v>0</v>
      </c>
      <c r="T768" s="65">
        <f t="shared" si="97"/>
        <v>0</v>
      </c>
      <c r="U768" s="204">
        <f>'Final Building Profile'!Q64</f>
        <v>0</v>
      </c>
      <c r="V768" s="65">
        <f>IF('Final Building Profile'!P64&lt;&gt;"", U768, 0) * T768</f>
        <v>0</v>
      </c>
      <c r="W768" s="266">
        <f t="shared" si="98"/>
        <v>0</v>
      </c>
      <c r="X768" s="266">
        <f t="shared" si="86"/>
        <v>0</v>
      </c>
      <c r="Y768" s="266" t="e">
        <f t="shared" si="99"/>
        <v>#DIV/0!</v>
      </c>
      <c r="Z768" s="266" t="e">
        <f t="shared" si="100"/>
        <v>#DIV/0!</v>
      </c>
      <c r="AA768" s="266" t="e">
        <f t="shared" si="101"/>
        <v>#DIV/0!</v>
      </c>
      <c r="AB768" s="65" t="e">
        <f t="shared" si="102"/>
        <v>#N/A</v>
      </c>
      <c r="AC768" s="65" t="e">
        <f t="shared" si="103"/>
        <v>#N/A</v>
      </c>
      <c r="AD768" s="65" t="e">
        <f t="shared" si="104"/>
        <v>#N/A</v>
      </c>
      <c r="AE768" s="65" t="e">
        <f t="shared" si="105"/>
        <v>#N/A</v>
      </c>
    </row>
    <row r="769" spans="1:31" ht="15" customHeight="1">
      <c r="A769">
        <f>'Final Building Profile'!A65</f>
        <v>62</v>
      </c>
      <c r="B769">
        <f>'Final Building Profile'!D65</f>
        <v>0</v>
      </c>
      <c r="C769">
        <f>'Final Building Profile'!E65</f>
        <v>0</v>
      </c>
      <c r="D769">
        <f>'Final Building Profile'!F65</f>
        <v>0</v>
      </c>
      <c r="E769" s="265">
        <f>'Final Building Profile'!G65</f>
        <v>0</v>
      </c>
      <c r="F769" s="265">
        <f>'Final Building Profile'!H65</f>
        <v>0</v>
      </c>
      <c r="G769" s="265">
        <f>'Final Building Profile'!I65</f>
        <v>0</v>
      </c>
      <c r="H769" s="197">
        <f t="shared" si="91"/>
        <v>0</v>
      </c>
      <c r="I769" s="197">
        <f t="shared" si="92"/>
        <v>0</v>
      </c>
      <c r="J769" s="137">
        <f t="shared" si="93"/>
        <v>0</v>
      </c>
      <c r="K769" s="66">
        <f>'Final Building Profile'!L65</f>
        <v>0</v>
      </c>
      <c r="L769" s="66">
        <f t="shared" si="84"/>
        <v>0</v>
      </c>
      <c r="M769">
        <f>'Final Building Profile'!M65</f>
        <v>0</v>
      </c>
      <c r="N769" s="66">
        <f t="shared" si="94"/>
        <v>0</v>
      </c>
      <c r="O769" s="66">
        <f t="shared" si="95"/>
        <v>0</v>
      </c>
      <c r="P769" s="66">
        <f t="shared" si="96"/>
        <v>0</v>
      </c>
      <c r="Q769" s="204">
        <f>'Final Building Profile'!K65</f>
        <v>0</v>
      </c>
      <c r="R769" s="66">
        <f t="shared" si="85"/>
        <v>0</v>
      </c>
      <c r="S769" s="65">
        <f>'Final Building Profile'!N65-'Final Building Profile'!O65</f>
        <v>0</v>
      </c>
      <c r="T769" s="65">
        <f t="shared" si="97"/>
        <v>0</v>
      </c>
      <c r="U769" s="204">
        <f>'Final Building Profile'!Q65</f>
        <v>0</v>
      </c>
      <c r="V769" s="65">
        <f>IF('Final Building Profile'!P65&lt;&gt;"", U769, 0) * T769</f>
        <v>0</v>
      </c>
      <c r="W769" s="266">
        <f t="shared" si="98"/>
        <v>0</v>
      </c>
      <c r="X769" s="266">
        <f t="shared" si="86"/>
        <v>0</v>
      </c>
      <c r="Y769" s="266" t="e">
        <f t="shared" si="99"/>
        <v>#DIV/0!</v>
      </c>
      <c r="Z769" s="266" t="e">
        <f t="shared" si="100"/>
        <v>#DIV/0!</v>
      </c>
      <c r="AA769" s="266" t="e">
        <f t="shared" si="101"/>
        <v>#DIV/0!</v>
      </c>
      <c r="AB769" s="65" t="e">
        <f t="shared" si="102"/>
        <v>#N/A</v>
      </c>
      <c r="AC769" s="65" t="e">
        <f t="shared" si="103"/>
        <v>#N/A</v>
      </c>
      <c r="AD769" s="65" t="e">
        <f t="shared" si="104"/>
        <v>#N/A</v>
      </c>
      <c r="AE769" s="65" t="e">
        <f t="shared" si="105"/>
        <v>#N/A</v>
      </c>
    </row>
    <row r="770" spans="1:31" ht="15" customHeight="1">
      <c r="A770">
        <f>'Final Building Profile'!A66</f>
        <v>63</v>
      </c>
      <c r="B770">
        <f>'Final Building Profile'!D66</f>
        <v>0</v>
      </c>
      <c r="C770">
        <f>'Final Building Profile'!E66</f>
        <v>0</v>
      </c>
      <c r="D770">
        <f>'Final Building Profile'!F66</f>
        <v>0</v>
      </c>
      <c r="E770" s="265">
        <f>'Final Building Profile'!G66</f>
        <v>0</v>
      </c>
      <c r="F770" s="265">
        <f>'Final Building Profile'!H66</f>
        <v>0</v>
      </c>
      <c r="G770" s="265">
        <f>'Final Building Profile'!I66</f>
        <v>0</v>
      </c>
      <c r="H770" s="197">
        <f t="shared" si="91"/>
        <v>0</v>
      </c>
      <c r="I770" s="197">
        <f t="shared" si="92"/>
        <v>0</v>
      </c>
      <c r="J770" s="137">
        <f t="shared" si="93"/>
        <v>0</v>
      </c>
      <c r="K770" s="66">
        <f>'Final Building Profile'!L66</f>
        <v>0</v>
      </c>
      <c r="L770" s="66">
        <f t="shared" si="84"/>
        <v>0</v>
      </c>
      <c r="M770">
        <f>'Final Building Profile'!M66</f>
        <v>0</v>
      </c>
      <c r="N770" s="66">
        <f t="shared" si="94"/>
        <v>0</v>
      </c>
      <c r="O770" s="66">
        <f t="shared" si="95"/>
        <v>0</v>
      </c>
      <c r="P770" s="66">
        <f t="shared" si="96"/>
        <v>0</v>
      </c>
      <c r="Q770" s="204">
        <f>'Final Building Profile'!K66</f>
        <v>0</v>
      </c>
      <c r="R770" s="66">
        <f t="shared" si="85"/>
        <v>0</v>
      </c>
      <c r="S770" s="65">
        <f>'Final Building Profile'!N66-'Final Building Profile'!O66</f>
        <v>0</v>
      </c>
      <c r="T770" s="65">
        <f t="shared" si="97"/>
        <v>0</v>
      </c>
      <c r="U770" s="204">
        <f>'Final Building Profile'!Q66</f>
        <v>0</v>
      </c>
      <c r="V770" s="65">
        <f>IF('Final Building Profile'!P66&lt;&gt;"", U770, 0) * T770</f>
        <v>0</v>
      </c>
      <c r="W770" s="266">
        <f t="shared" si="98"/>
        <v>0</v>
      </c>
      <c r="X770" s="266">
        <f t="shared" si="86"/>
        <v>0</v>
      </c>
      <c r="Y770" s="266" t="e">
        <f t="shared" si="99"/>
        <v>#DIV/0!</v>
      </c>
      <c r="Z770" s="266" t="e">
        <f t="shared" si="100"/>
        <v>#DIV/0!</v>
      </c>
      <c r="AA770" s="266" t="e">
        <f t="shared" si="101"/>
        <v>#DIV/0!</v>
      </c>
      <c r="AB770" s="65" t="e">
        <f t="shared" si="102"/>
        <v>#N/A</v>
      </c>
      <c r="AC770" s="65" t="e">
        <f t="shared" si="103"/>
        <v>#N/A</v>
      </c>
      <c r="AD770" s="65" t="e">
        <f t="shared" si="104"/>
        <v>#N/A</v>
      </c>
      <c r="AE770" s="65" t="e">
        <f t="shared" si="105"/>
        <v>#N/A</v>
      </c>
    </row>
    <row r="771" spans="1:31" ht="15" customHeight="1">
      <c r="A771">
        <f>'Final Building Profile'!A67</f>
        <v>64</v>
      </c>
      <c r="B771">
        <f>'Final Building Profile'!D67</f>
        <v>0</v>
      </c>
      <c r="C771">
        <f>'Final Building Profile'!E67</f>
        <v>0</v>
      </c>
      <c r="D771">
        <f>'Final Building Profile'!F67</f>
        <v>0</v>
      </c>
      <c r="E771" s="265">
        <f>'Final Building Profile'!G67</f>
        <v>0</v>
      </c>
      <c r="F771" s="265">
        <f>'Final Building Profile'!H67</f>
        <v>0</v>
      </c>
      <c r="G771" s="265">
        <f>'Final Building Profile'!I67</f>
        <v>0</v>
      </c>
      <c r="H771" s="197">
        <f t="shared" si="91"/>
        <v>0</v>
      </c>
      <c r="I771" s="197">
        <f t="shared" si="92"/>
        <v>0</v>
      </c>
      <c r="J771" s="137">
        <f t="shared" si="93"/>
        <v>0</v>
      </c>
      <c r="K771" s="66">
        <f>'Final Building Profile'!L67</f>
        <v>0</v>
      </c>
      <c r="L771" s="66">
        <f t="shared" si="84"/>
        <v>0</v>
      </c>
      <c r="M771">
        <f>'Final Building Profile'!M67</f>
        <v>0</v>
      </c>
      <c r="N771" s="66">
        <f t="shared" si="94"/>
        <v>0</v>
      </c>
      <c r="O771" s="66">
        <f t="shared" si="95"/>
        <v>0</v>
      </c>
      <c r="P771" s="66">
        <f t="shared" si="96"/>
        <v>0</v>
      </c>
      <c r="Q771" s="204">
        <f>'Final Building Profile'!K67</f>
        <v>0</v>
      </c>
      <c r="R771" s="66">
        <f t="shared" si="85"/>
        <v>0</v>
      </c>
      <c r="S771" s="65">
        <f>'Final Building Profile'!N67-'Final Building Profile'!O67</f>
        <v>0</v>
      </c>
      <c r="T771" s="65">
        <f t="shared" si="97"/>
        <v>0</v>
      </c>
      <c r="U771" s="204">
        <f>'Final Building Profile'!Q67</f>
        <v>0</v>
      </c>
      <c r="V771" s="65">
        <f>IF('Final Building Profile'!P67&lt;&gt;"", U771, 0) * T771</f>
        <v>0</v>
      </c>
      <c r="W771" s="266">
        <f t="shared" si="98"/>
        <v>0</v>
      </c>
      <c r="X771" s="266">
        <f t="shared" si="86"/>
        <v>0</v>
      </c>
      <c r="Y771" s="266" t="e">
        <f t="shared" si="99"/>
        <v>#DIV/0!</v>
      </c>
      <c r="Z771" s="266" t="e">
        <f t="shared" si="100"/>
        <v>#DIV/0!</v>
      </c>
      <c r="AA771" s="266" t="e">
        <f t="shared" si="101"/>
        <v>#DIV/0!</v>
      </c>
      <c r="AB771" s="65" t="e">
        <f t="shared" si="102"/>
        <v>#N/A</v>
      </c>
      <c r="AC771" s="65" t="e">
        <f t="shared" si="103"/>
        <v>#N/A</v>
      </c>
      <c r="AD771" s="65" t="e">
        <f t="shared" si="104"/>
        <v>#N/A</v>
      </c>
      <c r="AE771" s="65" t="e">
        <f t="shared" si="105"/>
        <v>#N/A</v>
      </c>
    </row>
    <row r="772" spans="1:31" ht="15" customHeight="1">
      <c r="A772">
        <f>'Final Building Profile'!A68</f>
        <v>65</v>
      </c>
      <c r="B772">
        <f>'Final Building Profile'!D68</f>
        <v>0</v>
      </c>
      <c r="C772">
        <f>'Final Building Profile'!E68</f>
        <v>0</v>
      </c>
      <c r="D772">
        <f>'Final Building Profile'!F68</f>
        <v>0</v>
      </c>
      <c r="E772" s="265">
        <f>'Final Building Profile'!G68</f>
        <v>0</v>
      </c>
      <c r="F772" s="265">
        <f>'Final Building Profile'!H68</f>
        <v>0</v>
      </c>
      <c r="G772" s="265">
        <f>'Final Building Profile'!I68</f>
        <v>0</v>
      </c>
      <c r="H772" s="197">
        <f t="shared" ref="H772:H806" si="106">IF((B772-C772) &lt;&gt; 0, ROUND(D772/(B772-C772), 4), 0)</f>
        <v>0</v>
      </c>
      <c r="I772" s="197">
        <f t="shared" ref="I772:I806" si="107">IF((E772-F772) = 0, 0, ROUND(G772/(E772-F772), 4))</f>
        <v>0</v>
      </c>
      <c r="J772" s="137">
        <f t="shared" ref="J772:J803" si="108">MIN(H772, I772)</f>
        <v>0</v>
      </c>
      <c r="K772" s="66">
        <f>'Final Building Profile'!L68</f>
        <v>0</v>
      </c>
      <c r="L772" s="66">
        <f t="shared" si="84"/>
        <v>0</v>
      </c>
      <c r="M772">
        <f>'Final Building Profile'!M68</f>
        <v>0</v>
      </c>
      <c r="N772" s="66">
        <f t="shared" ref="N772:N803" si="109">M772*$B$699</f>
        <v>0</v>
      </c>
      <c r="O772" s="66">
        <f t="shared" ref="O772:O803" si="110">L772+N772</f>
        <v>0</v>
      </c>
      <c r="P772" s="66">
        <f t="shared" ref="P772:P803" si="111">O772*J772</f>
        <v>0</v>
      </c>
      <c r="Q772" s="204">
        <f>'Final Building Profile'!K68</f>
        <v>0</v>
      </c>
      <c r="R772" s="66">
        <f t="shared" si="85"/>
        <v>0</v>
      </c>
      <c r="S772" s="65">
        <f>'Final Building Profile'!N68-'Final Building Profile'!O68</f>
        <v>0</v>
      </c>
      <c r="T772" s="65">
        <f t="shared" ref="T772:T803" si="112">S772*J772</f>
        <v>0</v>
      </c>
      <c r="U772" s="204">
        <f>'Final Building Profile'!Q68</f>
        <v>0</v>
      </c>
      <c r="V772" s="65">
        <f>IF('Final Building Profile'!P68&lt;&gt;"", U772, 0) * T772</f>
        <v>0</v>
      </c>
      <c r="W772" s="266">
        <f t="shared" ref="W772:W806" si="113">IF($P$807 = 0, 0, (P772/$P$807) * Q772)</f>
        <v>0</v>
      </c>
      <c r="X772" s="266">
        <f t="shared" si="86"/>
        <v>0</v>
      </c>
      <c r="Y772" s="266" t="e">
        <f t="shared" ref="Y772:Y806" si="114">J772*(G772/$B$700)</f>
        <v>#DIV/0!</v>
      </c>
      <c r="Z772" s="266" t="e">
        <f t="shared" ref="Z772:Z806" si="115">J772*(D772/$B$701)</f>
        <v>#DIV/0!</v>
      </c>
      <c r="AA772" s="266" t="e">
        <f t="shared" ref="AA772:AA803" si="116">IF(I772=J772, Y772, Z772)</f>
        <v>#DIV/0!</v>
      </c>
      <c r="AB772" s="65" t="e">
        <f t="shared" ref="AB772:AB806" si="117">IF($B$702&lt;$V$809, ROUND($B$702/$V$809*P772, 0), P772)</f>
        <v>#N/A</v>
      </c>
      <c r="AC772" s="65" t="e">
        <f t="shared" ref="AC772:AC806" si="118">IF($B$702&lt;$V$809, ROUNDDOWN($B$702/$V$809*R772, 0), R772)</f>
        <v>#N/A</v>
      </c>
      <c r="AD772" s="65" t="e">
        <f t="shared" ref="AD772:AD806" si="119">IF($B$702&lt;$V$809, ROUND($B$702/$V$809*T772, 0), T772)</f>
        <v>#N/A</v>
      </c>
      <c r="AE772" s="65" t="e">
        <f t="shared" ref="AE772:AE806" si="120">IF($B$702&lt;$V$809, ROUND($B$702/$V$809*V772, 0), V772)</f>
        <v>#N/A</v>
      </c>
    </row>
    <row r="773" spans="1:31" ht="15" customHeight="1">
      <c r="A773">
        <f>'Final Building Profile'!A69</f>
        <v>66</v>
      </c>
      <c r="B773">
        <f>'Final Building Profile'!D69</f>
        <v>0</v>
      </c>
      <c r="C773">
        <f>'Final Building Profile'!E69</f>
        <v>0</v>
      </c>
      <c r="D773">
        <f>'Final Building Profile'!F69</f>
        <v>0</v>
      </c>
      <c r="E773" s="265">
        <f>'Final Building Profile'!G69</f>
        <v>0</v>
      </c>
      <c r="F773" s="265">
        <f>'Final Building Profile'!H69</f>
        <v>0</v>
      </c>
      <c r="G773" s="265">
        <f>'Final Building Profile'!I69</f>
        <v>0</v>
      </c>
      <c r="H773" s="197">
        <f t="shared" si="106"/>
        <v>0</v>
      </c>
      <c r="I773" s="197">
        <f t="shared" si="107"/>
        <v>0</v>
      </c>
      <c r="J773" s="137">
        <f t="shared" si="108"/>
        <v>0</v>
      </c>
      <c r="K773" s="66">
        <f>'Final Building Profile'!L69</f>
        <v>0</v>
      </c>
      <c r="L773" s="66">
        <f t="shared" ref="L773:L806" si="121">K773*$B$699</f>
        <v>0</v>
      </c>
      <c r="M773">
        <f>'Final Building Profile'!M69</f>
        <v>0</v>
      </c>
      <c r="N773" s="66">
        <f t="shared" si="109"/>
        <v>0</v>
      </c>
      <c r="O773" s="66">
        <f t="shared" si="110"/>
        <v>0</v>
      </c>
      <c r="P773" s="66">
        <f t="shared" si="111"/>
        <v>0</v>
      </c>
      <c r="Q773" s="204">
        <f>'Final Building Profile'!K69</f>
        <v>0</v>
      </c>
      <c r="R773" s="66">
        <f t="shared" ref="R773:R806" si="122">P773*Q773</f>
        <v>0</v>
      </c>
      <c r="S773" s="65">
        <f>'Final Building Profile'!N69-'Final Building Profile'!O69</f>
        <v>0</v>
      </c>
      <c r="T773" s="65">
        <f t="shared" si="112"/>
        <v>0</v>
      </c>
      <c r="U773" s="204">
        <f>'Final Building Profile'!Q69</f>
        <v>0</v>
      </c>
      <c r="V773" s="65">
        <f>IF('Final Building Profile'!P69&lt;&gt;"", U773, 0) * T773</f>
        <v>0</v>
      </c>
      <c r="W773" s="266">
        <f t="shared" si="113"/>
        <v>0</v>
      </c>
      <c r="X773" s="266">
        <f t="shared" ref="X773:X806" si="123">IF($T$807 = 0, 0, (T773/$T$807) * U773)</f>
        <v>0</v>
      </c>
      <c r="Y773" s="266" t="e">
        <f t="shared" si="114"/>
        <v>#DIV/0!</v>
      </c>
      <c r="Z773" s="266" t="e">
        <f t="shared" si="115"/>
        <v>#DIV/0!</v>
      </c>
      <c r="AA773" s="266" t="e">
        <f t="shared" si="116"/>
        <v>#DIV/0!</v>
      </c>
      <c r="AB773" s="65" t="e">
        <f t="shared" si="117"/>
        <v>#N/A</v>
      </c>
      <c r="AC773" s="65" t="e">
        <f t="shared" si="118"/>
        <v>#N/A</v>
      </c>
      <c r="AD773" s="65" t="e">
        <f t="shared" si="119"/>
        <v>#N/A</v>
      </c>
      <c r="AE773" s="65" t="e">
        <f t="shared" si="120"/>
        <v>#N/A</v>
      </c>
    </row>
    <row r="774" spans="1:31" ht="15" customHeight="1">
      <c r="A774">
        <f>'Final Building Profile'!A70</f>
        <v>67</v>
      </c>
      <c r="B774">
        <f>'Final Building Profile'!D70</f>
        <v>0</v>
      </c>
      <c r="C774">
        <f>'Final Building Profile'!E70</f>
        <v>0</v>
      </c>
      <c r="D774">
        <f>'Final Building Profile'!F70</f>
        <v>0</v>
      </c>
      <c r="E774" s="265">
        <f>'Final Building Profile'!G70</f>
        <v>0</v>
      </c>
      <c r="F774" s="265">
        <f>'Final Building Profile'!H70</f>
        <v>0</v>
      </c>
      <c r="G774" s="265">
        <f>'Final Building Profile'!I70</f>
        <v>0</v>
      </c>
      <c r="H774" s="197">
        <f t="shared" si="106"/>
        <v>0</v>
      </c>
      <c r="I774" s="197">
        <f t="shared" si="107"/>
        <v>0</v>
      </c>
      <c r="J774" s="137">
        <f t="shared" si="108"/>
        <v>0</v>
      </c>
      <c r="K774" s="66">
        <f>'Final Building Profile'!L70</f>
        <v>0</v>
      </c>
      <c r="L774" s="66">
        <f t="shared" si="121"/>
        <v>0</v>
      </c>
      <c r="M774">
        <f>'Final Building Profile'!M70</f>
        <v>0</v>
      </c>
      <c r="N774" s="66">
        <f t="shared" si="109"/>
        <v>0</v>
      </c>
      <c r="O774" s="66">
        <f t="shared" si="110"/>
        <v>0</v>
      </c>
      <c r="P774" s="66">
        <f t="shared" si="111"/>
        <v>0</v>
      </c>
      <c r="Q774" s="204">
        <f>'Final Building Profile'!K70</f>
        <v>0</v>
      </c>
      <c r="R774" s="66">
        <f t="shared" si="122"/>
        <v>0</v>
      </c>
      <c r="S774" s="65">
        <f>'Final Building Profile'!N70-'Final Building Profile'!O70</f>
        <v>0</v>
      </c>
      <c r="T774" s="65">
        <f t="shared" si="112"/>
        <v>0</v>
      </c>
      <c r="U774" s="204">
        <f>'Final Building Profile'!Q70</f>
        <v>0</v>
      </c>
      <c r="V774" s="65">
        <f>IF('Final Building Profile'!P70&lt;&gt;"", U774, 0) * T774</f>
        <v>0</v>
      </c>
      <c r="W774" s="266">
        <f t="shared" si="113"/>
        <v>0</v>
      </c>
      <c r="X774" s="266">
        <f t="shared" si="123"/>
        <v>0</v>
      </c>
      <c r="Y774" s="266" t="e">
        <f t="shared" si="114"/>
        <v>#DIV/0!</v>
      </c>
      <c r="Z774" s="266" t="e">
        <f t="shared" si="115"/>
        <v>#DIV/0!</v>
      </c>
      <c r="AA774" s="266" t="e">
        <f t="shared" si="116"/>
        <v>#DIV/0!</v>
      </c>
      <c r="AB774" s="65" t="e">
        <f t="shared" si="117"/>
        <v>#N/A</v>
      </c>
      <c r="AC774" s="65" t="e">
        <f t="shared" si="118"/>
        <v>#N/A</v>
      </c>
      <c r="AD774" s="65" t="e">
        <f t="shared" si="119"/>
        <v>#N/A</v>
      </c>
      <c r="AE774" s="65" t="e">
        <f t="shared" si="120"/>
        <v>#N/A</v>
      </c>
    </row>
    <row r="775" spans="1:31" ht="15" customHeight="1">
      <c r="A775">
        <f>'Final Building Profile'!A71</f>
        <v>68</v>
      </c>
      <c r="B775">
        <f>'Final Building Profile'!D71</f>
        <v>0</v>
      </c>
      <c r="C775">
        <f>'Final Building Profile'!E71</f>
        <v>0</v>
      </c>
      <c r="D775">
        <f>'Final Building Profile'!F71</f>
        <v>0</v>
      </c>
      <c r="E775" s="265">
        <f>'Final Building Profile'!G71</f>
        <v>0</v>
      </c>
      <c r="F775" s="265">
        <f>'Final Building Profile'!H71</f>
        <v>0</v>
      </c>
      <c r="G775" s="265">
        <f>'Final Building Profile'!I71</f>
        <v>0</v>
      </c>
      <c r="H775" s="197">
        <f t="shared" si="106"/>
        <v>0</v>
      </c>
      <c r="I775" s="197">
        <f t="shared" si="107"/>
        <v>0</v>
      </c>
      <c r="J775" s="137">
        <f t="shared" si="108"/>
        <v>0</v>
      </c>
      <c r="K775" s="66">
        <f>'Final Building Profile'!L71</f>
        <v>0</v>
      </c>
      <c r="L775" s="66">
        <f t="shared" si="121"/>
        <v>0</v>
      </c>
      <c r="M775">
        <f>'Final Building Profile'!M71</f>
        <v>0</v>
      </c>
      <c r="N775" s="66">
        <f t="shared" si="109"/>
        <v>0</v>
      </c>
      <c r="O775" s="66">
        <f t="shared" si="110"/>
        <v>0</v>
      </c>
      <c r="P775" s="66">
        <f t="shared" si="111"/>
        <v>0</v>
      </c>
      <c r="Q775" s="204">
        <f>'Final Building Profile'!K71</f>
        <v>0</v>
      </c>
      <c r="R775" s="66">
        <f t="shared" si="122"/>
        <v>0</v>
      </c>
      <c r="S775" s="65">
        <f>'Final Building Profile'!N71-'Final Building Profile'!O71</f>
        <v>0</v>
      </c>
      <c r="T775" s="65">
        <f t="shared" si="112"/>
        <v>0</v>
      </c>
      <c r="U775" s="204">
        <f>'Final Building Profile'!Q71</f>
        <v>0</v>
      </c>
      <c r="V775" s="65">
        <f>IF('Final Building Profile'!P71&lt;&gt;"", U775, 0) * T775</f>
        <v>0</v>
      </c>
      <c r="W775" s="266">
        <f t="shared" si="113"/>
        <v>0</v>
      </c>
      <c r="X775" s="266">
        <f t="shared" si="123"/>
        <v>0</v>
      </c>
      <c r="Y775" s="266" t="e">
        <f t="shared" si="114"/>
        <v>#DIV/0!</v>
      </c>
      <c r="Z775" s="266" t="e">
        <f t="shared" si="115"/>
        <v>#DIV/0!</v>
      </c>
      <c r="AA775" s="266" t="e">
        <f t="shared" si="116"/>
        <v>#DIV/0!</v>
      </c>
      <c r="AB775" s="65" t="e">
        <f t="shared" si="117"/>
        <v>#N/A</v>
      </c>
      <c r="AC775" s="65" t="e">
        <f t="shared" si="118"/>
        <v>#N/A</v>
      </c>
      <c r="AD775" s="65" t="e">
        <f t="shared" si="119"/>
        <v>#N/A</v>
      </c>
      <c r="AE775" s="65" t="e">
        <f t="shared" si="120"/>
        <v>#N/A</v>
      </c>
    </row>
    <row r="776" spans="1:31" ht="15" customHeight="1">
      <c r="A776">
        <f>'Final Building Profile'!A72</f>
        <v>69</v>
      </c>
      <c r="B776">
        <f>'Final Building Profile'!D72</f>
        <v>0</v>
      </c>
      <c r="C776">
        <f>'Final Building Profile'!E72</f>
        <v>0</v>
      </c>
      <c r="D776">
        <f>'Final Building Profile'!F72</f>
        <v>0</v>
      </c>
      <c r="E776" s="265">
        <f>'Final Building Profile'!G72</f>
        <v>0</v>
      </c>
      <c r="F776" s="265">
        <f>'Final Building Profile'!H72</f>
        <v>0</v>
      </c>
      <c r="G776" s="265">
        <f>'Final Building Profile'!I72</f>
        <v>0</v>
      </c>
      <c r="H776" s="197">
        <f t="shared" si="106"/>
        <v>0</v>
      </c>
      <c r="I776" s="197">
        <f t="shared" si="107"/>
        <v>0</v>
      </c>
      <c r="J776" s="137">
        <f t="shared" si="108"/>
        <v>0</v>
      </c>
      <c r="K776" s="66">
        <f>'Final Building Profile'!L72</f>
        <v>0</v>
      </c>
      <c r="L776" s="66">
        <f t="shared" si="121"/>
        <v>0</v>
      </c>
      <c r="M776">
        <f>'Final Building Profile'!M72</f>
        <v>0</v>
      </c>
      <c r="N776" s="66">
        <f t="shared" si="109"/>
        <v>0</v>
      </c>
      <c r="O776" s="66">
        <f t="shared" si="110"/>
        <v>0</v>
      </c>
      <c r="P776" s="66">
        <f t="shared" si="111"/>
        <v>0</v>
      </c>
      <c r="Q776" s="204">
        <f>'Final Building Profile'!K72</f>
        <v>0</v>
      </c>
      <c r="R776" s="66">
        <f t="shared" si="122"/>
        <v>0</v>
      </c>
      <c r="S776" s="65">
        <f>'Final Building Profile'!N72-'Final Building Profile'!O72</f>
        <v>0</v>
      </c>
      <c r="T776" s="65">
        <f t="shared" si="112"/>
        <v>0</v>
      </c>
      <c r="U776" s="204">
        <f>'Final Building Profile'!Q72</f>
        <v>0</v>
      </c>
      <c r="V776" s="65">
        <f>IF('Final Building Profile'!P72&lt;&gt;"", U776, 0) * T776</f>
        <v>0</v>
      </c>
      <c r="W776" s="266">
        <f t="shared" si="113"/>
        <v>0</v>
      </c>
      <c r="X776" s="266">
        <f t="shared" si="123"/>
        <v>0</v>
      </c>
      <c r="Y776" s="266" t="e">
        <f t="shared" si="114"/>
        <v>#DIV/0!</v>
      </c>
      <c r="Z776" s="266" t="e">
        <f t="shared" si="115"/>
        <v>#DIV/0!</v>
      </c>
      <c r="AA776" s="266" t="e">
        <f t="shared" si="116"/>
        <v>#DIV/0!</v>
      </c>
      <c r="AB776" s="65" t="e">
        <f t="shared" si="117"/>
        <v>#N/A</v>
      </c>
      <c r="AC776" s="65" t="e">
        <f t="shared" si="118"/>
        <v>#N/A</v>
      </c>
      <c r="AD776" s="65" t="e">
        <f t="shared" si="119"/>
        <v>#N/A</v>
      </c>
      <c r="AE776" s="65" t="e">
        <f t="shared" si="120"/>
        <v>#N/A</v>
      </c>
    </row>
    <row r="777" spans="1:31" ht="15" customHeight="1">
      <c r="A777">
        <f>'Final Building Profile'!A73</f>
        <v>70</v>
      </c>
      <c r="B777">
        <f>'Final Building Profile'!D73</f>
        <v>0</v>
      </c>
      <c r="C777">
        <f>'Final Building Profile'!E73</f>
        <v>0</v>
      </c>
      <c r="D777">
        <f>'Final Building Profile'!F73</f>
        <v>0</v>
      </c>
      <c r="E777" s="265">
        <f>'Final Building Profile'!G73</f>
        <v>0</v>
      </c>
      <c r="F777" s="265">
        <f>'Final Building Profile'!H73</f>
        <v>0</v>
      </c>
      <c r="G777" s="265">
        <f>'Final Building Profile'!I73</f>
        <v>0</v>
      </c>
      <c r="H777" s="197">
        <f t="shared" si="106"/>
        <v>0</v>
      </c>
      <c r="I777" s="197">
        <f t="shared" si="107"/>
        <v>0</v>
      </c>
      <c r="J777" s="137">
        <f t="shared" si="108"/>
        <v>0</v>
      </c>
      <c r="K777" s="66">
        <f>'Final Building Profile'!L73</f>
        <v>0</v>
      </c>
      <c r="L777" s="66">
        <f t="shared" si="121"/>
        <v>0</v>
      </c>
      <c r="M777">
        <f>'Final Building Profile'!M73</f>
        <v>0</v>
      </c>
      <c r="N777" s="66">
        <f t="shared" si="109"/>
        <v>0</v>
      </c>
      <c r="O777" s="66">
        <f t="shared" si="110"/>
        <v>0</v>
      </c>
      <c r="P777" s="66">
        <f t="shared" si="111"/>
        <v>0</v>
      </c>
      <c r="Q777" s="204">
        <f>'Final Building Profile'!K73</f>
        <v>0</v>
      </c>
      <c r="R777" s="66">
        <f t="shared" si="122"/>
        <v>0</v>
      </c>
      <c r="S777" s="65">
        <f>'Final Building Profile'!N73-'Final Building Profile'!O73</f>
        <v>0</v>
      </c>
      <c r="T777" s="65">
        <f t="shared" si="112"/>
        <v>0</v>
      </c>
      <c r="U777" s="204">
        <f>'Final Building Profile'!Q73</f>
        <v>0</v>
      </c>
      <c r="V777" s="65">
        <f>IF('Final Building Profile'!P73&lt;&gt;"", U777, 0) * T777</f>
        <v>0</v>
      </c>
      <c r="W777" s="266">
        <f t="shared" si="113"/>
        <v>0</v>
      </c>
      <c r="X777" s="266">
        <f t="shared" si="123"/>
        <v>0</v>
      </c>
      <c r="Y777" s="266" t="e">
        <f t="shared" si="114"/>
        <v>#DIV/0!</v>
      </c>
      <c r="Z777" s="266" t="e">
        <f t="shared" si="115"/>
        <v>#DIV/0!</v>
      </c>
      <c r="AA777" s="266" t="e">
        <f t="shared" si="116"/>
        <v>#DIV/0!</v>
      </c>
      <c r="AB777" s="65" t="e">
        <f t="shared" si="117"/>
        <v>#N/A</v>
      </c>
      <c r="AC777" s="65" t="e">
        <f t="shared" si="118"/>
        <v>#N/A</v>
      </c>
      <c r="AD777" s="65" t="e">
        <f t="shared" si="119"/>
        <v>#N/A</v>
      </c>
      <c r="AE777" s="65" t="e">
        <f t="shared" si="120"/>
        <v>#N/A</v>
      </c>
    </row>
    <row r="778" spans="1:31" ht="15" customHeight="1">
      <c r="A778">
        <f>'Final Building Profile'!A74</f>
        <v>71</v>
      </c>
      <c r="B778">
        <f>'Final Building Profile'!D74</f>
        <v>0</v>
      </c>
      <c r="C778">
        <f>'Final Building Profile'!E74</f>
        <v>0</v>
      </c>
      <c r="D778">
        <f>'Final Building Profile'!F74</f>
        <v>0</v>
      </c>
      <c r="E778" s="265">
        <f>'Final Building Profile'!G74</f>
        <v>0</v>
      </c>
      <c r="F778" s="265">
        <f>'Final Building Profile'!H74</f>
        <v>0</v>
      </c>
      <c r="G778" s="265">
        <f>'Final Building Profile'!I74</f>
        <v>0</v>
      </c>
      <c r="H778" s="197">
        <f t="shared" si="106"/>
        <v>0</v>
      </c>
      <c r="I778" s="197">
        <f t="shared" si="107"/>
        <v>0</v>
      </c>
      <c r="J778" s="137">
        <f t="shared" si="108"/>
        <v>0</v>
      </c>
      <c r="K778" s="66">
        <f>'Final Building Profile'!L74</f>
        <v>0</v>
      </c>
      <c r="L778" s="66">
        <f t="shared" si="121"/>
        <v>0</v>
      </c>
      <c r="M778">
        <f>'Final Building Profile'!M74</f>
        <v>0</v>
      </c>
      <c r="N778" s="66">
        <f t="shared" si="109"/>
        <v>0</v>
      </c>
      <c r="O778" s="66">
        <f t="shared" si="110"/>
        <v>0</v>
      </c>
      <c r="P778" s="66">
        <f t="shared" si="111"/>
        <v>0</v>
      </c>
      <c r="Q778" s="204">
        <f>'Final Building Profile'!K74</f>
        <v>0</v>
      </c>
      <c r="R778" s="66">
        <f t="shared" si="122"/>
        <v>0</v>
      </c>
      <c r="S778" s="65">
        <f>'Final Building Profile'!N74-'Final Building Profile'!O74</f>
        <v>0</v>
      </c>
      <c r="T778" s="65">
        <f t="shared" si="112"/>
        <v>0</v>
      </c>
      <c r="U778" s="204">
        <f>'Final Building Profile'!Q74</f>
        <v>0</v>
      </c>
      <c r="V778" s="65">
        <f>IF('Final Building Profile'!P74&lt;&gt;"", U778, 0) * T778</f>
        <v>0</v>
      </c>
      <c r="W778" s="266">
        <f t="shared" si="113"/>
        <v>0</v>
      </c>
      <c r="X778" s="266">
        <f t="shared" si="123"/>
        <v>0</v>
      </c>
      <c r="Y778" s="266" t="e">
        <f t="shared" si="114"/>
        <v>#DIV/0!</v>
      </c>
      <c r="Z778" s="266" t="e">
        <f t="shared" si="115"/>
        <v>#DIV/0!</v>
      </c>
      <c r="AA778" s="266" t="e">
        <f t="shared" si="116"/>
        <v>#DIV/0!</v>
      </c>
      <c r="AB778" s="65" t="e">
        <f t="shared" si="117"/>
        <v>#N/A</v>
      </c>
      <c r="AC778" s="65" t="e">
        <f t="shared" si="118"/>
        <v>#N/A</v>
      </c>
      <c r="AD778" s="65" t="e">
        <f t="shared" si="119"/>
        <v>#N/A</v>
      </c>
      <c r="AE778" s="65" t="e">
        <f t="shared" si="120"/>
        <v>#N/A</v>
      </c>
    </row>
    <row r="779" spans="1:31" ht="15" customHeight="1">
      <c r="A779">
        <f>'Final Building Profile'!A75</f>
        <v>72</v>
      </c>
      <c r="B779">
        <f>'Final Building Profile'!D75</f>
        <v>0</v>
      </c>
      <c r="C779">
        <f>'Final Building Profile'!E75</f>
        <v>0</v>
      </c>
      <c r="D779">
        <f>'Final Building Profile'!F75</f>
        <v>0</v>
      </c>
      <c r="E779" s="265">
        <f>'Final Building Profile'!G75</f>
        <v>0</v>
      </c>
      <c r="F779" s="265">
        <f>'Final Building Profile'!H75</f>
        <v>0</v>
      </c>
      <c r="G779" s="265">
        <f>'Final Building Profile'!I75</f>
        <v>0</v>
      </c>
      <c r="H779" s="197">
        <f t="shared" si="106"/>
        <v>0</v>
      </c>
      <c r="I779" s="197">
        <f t="shared" si="107"/>
        <v>0</v>
      </c>
      <c r="J779" s="137">
        <f t="shared" si="108"/>
        <v>0</v>
      </c>
      <c r="K779" s="66">
        <f>'Final Building Profile'!L75</f>
        <v>0</v>
      </c>
      <c r="L779" s="66">
        <f t="shared" si="121"/>
        <v>0</v>
      </c>
      <c r="M779">
        <f>'Final Building Profile'!M75</f>
        <v>0</v>
      </c>
      <c r="N779" s="66">
        <f t="shared" si="109"/>
        <v>0</v>
      </c>
      <c r="O779" s="66">
        <f t="shared" si="110"/>
        <v>0</v>
      </c>
      <c r="P779" s="66">
        <f t="shared" si="111"/>
        <v>0</v>
      </c>
      <c r="Q779" s="204">
        <f>'Final Building Profile'!K75</f>
        <v>0</v>
      </c>
      <c r="R779" s="66">
        <f t="shared" si="122"/>
        <v>0</v>
      </c>
      <c r="S779" s="65">
        <f>'Final Building Profile'!N75-'Final Building Profile'!O75</f>
        <v>0</v>
      </c>
      <c r="T779" s="65">
        <f t="shared" si="112"/>
        <v>0</v>
      </c>
      <c r="U779" s="204">
        <f>'Final Building Profile'!Q75</f>
        <v>0</v>
      </c>
      <c r="V779" s="65">
        <f>IF('Final Building Profile'!P75&lt;&gt;"", U779, 0) * T779</f>
        <v>0</v>
      </c>
      <c r="W779" s="266">
        <f t="shared" si="113"/>
        <v>0</v>
      </c>
      <c r="X779" s="266">
        <f t="shared" si="123"/>
        <v>0</v>
      </c>
      <c r="Y779" s="266" t="e">
        <f t="shared" si="114"/>
        <v>#DIV/0!</v>
      </c>
      <c r="Z779" s="266" t="e">
        <f t="shared" si="115"/>
        <v>#DIV/0!</v>
      </c>
      <c r="AA779" s="266" t="e">
        <f t="shared" si="116"/>
        <v>#DIV/0!</v>
      </c>
      <c r="AB779" s="65" t="e">
        <f t="shared" si="117"/>
        <v>#N/A</v>
      </c>
      <c r="AC779" s="65" t="e">
        <f t="shared" si="118"/>
        <v>#N/A</v>
      </c>
      <c r="AD779" s="65" t="e">
        <f t="shared" si="119"/>
        <v>#N/A</v>
      </c>
      <c r="AE779" s="65" t="e">
        <f t="shared" si="120"/>
        <v>#N/A</v>
      </c>
    </row>
    <row r="780" spans="1:31" ht="15" customHeight="1">
      <c r="A780">
        <f>'Final Building Profile'!A76</f>
        <v>73</v>
      </c>
      <c r="B780">
        <f>'Final Building Profile'!D76</f>
        <v>0</v>
      </c>
      <c r="C780">
        <f>'Final Building Profile'!E76</f>
        <v>0</v>
      </c>
      <c r="D780">
        <f>'Final Building Profile'!F76</f>
        <v>0</v>
      </c>
      <c r="E780" s="265">
        <f>'Final Building Profile'!G76</f>
        <v>0</v>
      </c>
      <c r="F780" s="265">
        <f>'Final Building Profile'!H76</f>
        <v>0</v>
      </c>
      <c r="G780" s="265">
        <f>'Final Building Profile'!I76</f>
        <v>0</v>
      </c>
      <c r="H780" s="197">
        <f t="shared" si="106"/>
        <v>0</v>
      </c>
      <c r="I780" s="197">
        <f t="shared" si="107"/>
        <v>0</v>
      </c>
      <c r="J780" s="137">
        <f t="shared" si="108"/>
        <v>0</v>
      </c>
      <c r="K780" s="66">
        <f>'Final Building Profile'!L76</f>
        <v>0</v>
      </c>
      <c r="L780" s="66">
        <f t="shared" si="121"/>
        <v>0</v>
      </c>
      <c r="M780">
        <f>'Final Building Profile'!M76</f>
        <v>0</v>
      </c>
      <c r="N780" s="66">
        <f t="shared" si="109"/>
        <v>0</v>
      </c>
      <c r="O780" s="66">
        <f t="shared" si="110"/>
        <v>0</v>
      </c>
      <c r="P780" s="66">
        <f t="shared" si="111"/>
        <v>0</v>
      </c>
      <c r="Q780" s="204">
        <f>'Final Building Profile'!K76</f>
        <v>0</v>
      </c>
      <c r="R780" s="66">
        <f t="shared" si="122"/>
        <v>0</v>
      </c>
      <c r="S780" s="65">
        <f>'Final Building Profile'!N76-'Final Building Profile'!O76</f>
        <v>0</v>
      </c>
      <c r="T780" s="65">
        <f t="shared" si="112"/>
        <v>0</v>
      </c>
      <c r="U780" s="204">
        <f>'Final Building Profile'!Q76</f>
        <v>0</v>
      </c>
      <c r="V780" s="65">
        <f>IF('Final Building Profile'!P76&lt;&gt;"", U780, 0) * T780</f>
        <v>0</v>
      </c>
      <c r="W780" s="266">
        <f t="shared" si="113"/>
        <v>0</v>
      </c>
      <c r="X780" s="266">
        <f t="shared" si="123"/>
        <v>0</v>
      </c>
      <c r="Y780" s="266" t="e">
        <f t="shared" si="114"/>
        <v>#DIV/0!</v>
      </c>
      <c r="Z780" s="266" t="e">
        <f t="shared" si="115"/>
        <v>#DIV/0!</v>
      </c>
      <c r="AA780" s="266" t="e">
        <f t="shared" si="116"/>
        <v>#DIV/0!</v>
      </c>
      <c r="AB780" s="65" t="e">
        <f t="shared" si="117"/>
        <v>#N/A</v>
      </c>
      <c r="AC780" s="65" t="e">
        <f t="shared" si="118"/>
        <v>#N/A</v>
      </c>
      <c r="AD780" s="65" t="e">
        <f t="shared" si="119"/>
        <v>#N/A</v>
      </c>
      <c r="AE780" s="65" t="e">
        <f t="shared" si="120"/>
        <v>#N/A</v>
      </c>
    </row>
    <row r="781" spans="1:31" ht="15" customHeight="1">
      <c r="A781">
        <f>'Final Building Profile'!A77</f>
        <v>74</v>
      </c>
      <c r="B781">
        <f>'Final Building Profile'!D77</f>
        <v>0</v>
      </c>
      <c r="C781">
        <f>'Final Building Profile'!E77</f>
        <v>0</v>
      </c>
      <c r="D781">
        <f>'Final Building Profile'!F77</f>
        <v>0</v>
      </c>
      <c r="E781" s="265">
        <f>'Final Building Profile'!G77</f>
        <v>0</v>
      </c>
      <c r="F781" s="265">
        <f>'Final Building Profile'!H77</f>
        <v>0</v>
      </c>
      <c r="G781" s="265">
        <f>'Final Building Profile'!I77</f>
        <v>0</v>
      </c>
      <c r="H781" s="197">
        <f t="shared" si="106"/>
        <v>0</v>
      </c>
      <c r="I781" s="197">
        <f t="shared" si="107"/>
        <v>0</v>
      </c>
      <c r="J781" s="137">
        <f t="shared" si="108"/>
        <v>0</v>
      </c>
      <c r="K781" s="66">
        <f>'Final Building Profile'!L77</f>
        <v>0</v>
      </c>
      <c r="L781" s="66">
        <f t="shared" si="121"/>
        <v>0</v>
      </c>
      <c r="M781">
        <f>'Final Building Profile'!M77</f>
        <v>0</v>
      </c>
      <c r="N781" s="66">
        <f t="shared" si="109"/>
        <v>0</v>
      </c>
      <c r="O781" s="66">
        <f t="shared" si="110"/>
        <v>0</v>
      </c>
      <c r="P781" s="66">
        <f t="shared" si="111"/>
        <v>0</v>
      </c>
      <c r="Q781" s="204">
        <f>'Final Building Profile'!K77</f>
        <v>0</v>
      </c>
      <c r="R781" s="66">
        <f t="shared" si="122"/>
        <v>0</v>
      </c>
      <c r="S781" s="65">
        <f>'Final Building Profile'!N77-'Final Building Profile'!O77</f>
        <v>0</v>
      </c>
      <c r="T781" s="65">
        <f t="shared" si="112"/>
        <v>0</v>
      </c>
      <c r="U781" s="204">
        <f>'Final Building Profile'!Q77</f>
        <v>0</v>
      </c>
      <c r="V781" s="65">
        <f>IF('Final Building Profile'!P77&lt;&gt;"", U781, 0) * T781</f>
        <v>0</v>
      </c>
      <c r="W781" s="266">
        <f t="shared" si="113"/>
        <v>0</v>
      </c>
      <c r="X781" s="266">
        <f t="shared" si="123"/>
        <v>0</v>
      </c>
      <c r="Y781" s="266" t="e">
        <f t="shared" si="114"/>
        <v>#DIV/0!</v>
      </c>
      <c r="Z781" s="266" t="e">
        <f t="shared" si="115"/>
        <v>#DIV/0!</v>
      </c>
      <c r="AA781" s="266" t="e">
        <f t="shared" si="116"/>
        <v>#DIV/0!</v>
      </c>
      <c r="AB781" s="65" t="e">
        <f t="shared" si="117"/>
        <v>#N/A</v>
      </c>
      <c r="AC781" s="65" t="e">
        <f t="shared" si="118"/>
        <v>#N/A</v>
      </c>
      <c r="AD781" s="65" t="e">
        <f t="shared" si="119"/>
        <v>#N/A</v>
      </c>
      <c r="AE781" s="65" t="e">
        <f t="shared" si="120"/>
        <v>#N/A</v>
      </c>
    </row>
    <row r="782" spans="1:31" ht="15" customHeight="1">
      <c r="A782">
        <f>'Final Building Profile'!A78</f>
        <v>75</v>
      </c>
      <c r="B782">
        <f>'Final Building Profile'!D78</f>
        <v>0</v>
      </c>
      <c r="C782">
        <f>'Final Building Profile'!E78</f>
        <v>0</v>
      </c>
      <c r="D782">
        <f>'Final Building Profile'!F78</f>
        <v>0</v>
      </c>
      <c r="E782" s="265">
        <f>'Final Building Profile'!G78</f>
        <v>0</v>
      </c>
      <c r="F782" s="265">
        <f>'Final Building Profile'!H78</f>
        <v>0</v>
      </c>
      <c r="G782" s="265">
        <f>'Final Building Profile'!I78</f>
        <v>0</v>
      </c>
      <c r="H782" s="197">
        <f t="shared" si="106"/>
        <v>0</v>
      </c>
      <c r="I782" s="197">
        <f t="shared" si="107"/>
        <v>0</v>
      </c>
      <c r="J782" s="137">
        <f t="shared" si="108"/>
        <v>0</v>
      </c>
      <c r="K782" s="66">
        <f>'Final Building Profile'!L78</f>
        <v>0</v>
      </c>
      <c r="L782" s="66">
        <f t="shared" si="121"/>
        <v>0</v>
      </c>
      <c r="M782">
        <f>'Final Building Profile'!M78</f>
        <v>0</v>
      </c>
      <c r="N782" s="66">
        <f t="shared" si="109"/>
        <v>0</v>
      </c>
      <c r="O782" s="66">
        <f t="shared" si="110"/>
        <v>0</v>
      </c>
      <c r="P782" s="66">
        <f t="shared" si="111"/>
        <v>0</v>
      </c>
      <c r="Q782" s="204">
        <f>'Final Building Profile'!K78</f>
        <v>0</v>
      </c>
      <c r="R782" s="66">
        <f t="shared" si="122"/>
        <v>0</v>
      </c>
      <c r="S782" s="65">
        <f>'Final Building Profile'!N78-'Final Building Profile'!O78</f>
        <v>0</v>
      </c>
      <c r="T782" s="65">
        <f t="shared" si="112"/>
        <v>0</v>
      </c>
      <c r="U782" s="204">
        <f>'Final Building Profile'!Q78</f>
        <v>0</v>
      </c>
      <c r="V782" s="65">
        <f>IF('Final Building Profile'!P78&lt;&gt;"", U782, 0) * T782</f>
        <v>0</v>
      </c>
      <c r="W782" s="266">
        <f t="shared" si="113"/>
        <v>0</v>
      </c>
      <c r="X782" s="266">
        <f t="shared" si="123"/>
        <v>0</v>
      </c>
      <c r="Y782" s="266" t="e">
        <f t="shared" si="114"/>
        <v>#DIV/0!</v>
      </c>
      <c r="Z782" s="266" t="e">
        <f t="shared" si="115"/>
        <v>#DIV/0!</v>
      </c>
      <c r="AA782" s="266" t="e">
        <f t="shared" si="116"/>
        <v>#DIV/0!</v>
      </c>
      <c r="AB782" s="65" t="e">
        <f t="shared" si="117"/>
        <v>#N/A</v>
      </c>
      <c r="AC782" s="65" t="e">
        <f t="shared" si="118"/>
        <v>#N/A</v>
      </c>
      <c r="AD782" s="65" t="e">
        <f t="shared" si="119"/>
        <v>#N/A</v>
      </c>
      <c r="AE782" s="65" t="e">
        <f t="shared" si="120"/>
        <v>#N/A</v>
      </c>
    </row>
    <row r="783" spans="1:31" ht="15" customHeight="1">
      <c r="A783">
        <f>'Final Building Profile'!A79</f>
        <v>76</v>
      </c>
      <c r="B783">
        <f>'Final Building Profile'!D79</f>
        <v>0</v>
      </c>
      <c r="C783">
        <f>'Final Building Profile'!E79</f>
        <v>0</v>
      </c>
      <c r="D783">
        <f>'Final Building Profile'!F79</f>
        <v>0</v>
      </c>
      <c r="E783" s="265">
        <f>'Final Building Profile'!G79</f>
        <v>0</v>
      </c>
      <c r="F783" s="265">
        <f>'Final Building Profile'!H79</f>
        <v>0</v>
      </c>
      <c r="G783" s="265">
        <f>'Final Building Profile'!I79</f>
        <v>0</v>
      </c>
      <c r="H783" s="197">
        <f t="shared" si="106"/>
        <v>0</v>
      </c>
      <c r="I783" s="197">
        <f t="shared" si="107"/>
        <v>0</v>
      </c>
      <c r="J783" s="137">
        <f t="shared" si="108"/>
        <v>0</v>
      </c>
      <c r="K783" s="66">
        <f>'Final Building Profile'!L79</f>
        <v>0</v>
      </c>
      <c r="L783" s="66">
        <f t="shared" si="121"/>
        <v>0</v>
      </c>
      <c r="M783">
        <f>'Final Building Profile'!M79</f>
        <v>0</v>
      </c>
      <c r="N783" s="66">
        <f t="shared" si="109"/>
        <v>0</v>
      </c>
      <c r="O783" s="66">
        <f t="shared" si="110"/>
        <v>0</v>
      </c>
      <c r="P783" s="66">
        <f t="shared" si="111"/>
        <v>0</v>
      </c>
      <c r="Q783" s="204">
        <f>'Final Building Profile'!K79</f>
        <v>0</v>
      </c>
      <c r="R783" s="66">
        <f t="shared" si="122"/>
        <v>0</v>
      </c>
      <c r="S783" s="65">
        <f>'Final Building Profile'!N79-'Final Building Profile'!O79</f>
        <v>0</v>
      </c>
      <c r="T783" s="65">
        <f t="shared" si="112"/>
        <v>0</v>
      </c>
      <c r="U783" s="204">
        <f>'Final Building Profile'!Q79</f>
        <v>0</v>
      </c>
      <c r="V783" s="65">
        <f>IF('Final Building Profile'!P79&lt;&gt;"", U783, 0) * T783</f>
        <v>0</v>
      </c>
      <c r="W783" s="266">
        <f t="shared" si="113"/>
        <v>0</v>
      </c>
      <c r="X783" s="266">
        <f t="shared" si="123"/>
        <v>0</v>
      </c>
      <c r="Y783" s="266" t="e">
        <f t="shared" si="114"/>
        <v>#DIV/0!</v>
      </c>
      <c r="Z783" s="266" t="e">
        <f t="shared" si="115"/>
        <v>#DIV/0!</v>
      </c>
      <c r="AA783" s="266" t="e">
        <f t="shared" si="116"/>
        <v>#DIV/0!</v>
      </c>
      <c r="AB783" s="65" t="e">
        <f t="shared" si="117"/>
        <v>#N/A</v>
      </c>
      <c r="AC783" s="65" t="e">
        <f t="shared" si="118"/>
        <v>#N/A</v>
      </c>
      <c r="AD783" s="65" t="e">
        <f t="shared" si="119"/>
        <v>#N/A</v>
      </c>
      <c r="AE783" s="65" t="e">
        <f t="shared" si="120"/>
        <v>#N/A</v>
      </c>
    </row>
    <row r="784" spans="1:31" ht="15" customHeight="1">
      <c r="A784">
        <f>'Final Building Profile'!A80</f>
        <v>77</v>
      </c>
      <c r="B784">
        <f>'Final Building Profile'!D80</f>
        <v>0</v>
      </c>
      <c r="C784">
        <f>'Final Building Profile'!E80</f>
        <v>0</v>
      </c>
      <c r="D784">
        <f>'Final Building Profile'!F80</f>
        <v>0</v>
      </c>
      <c r="E784" s="265">
        <f>'Final Building Profile'!G80</f>
        <v>0</v>
      </c>
      <c r="F784" s="265">
        <f>'Final Building Profile'!H80</f>
        <v>0</v>
      </c>
      <c r="G784" s="265">
        <f>'Final Building Profile'!I80</f>
        <v>0</v>
      </c>
      <c r="H784" s="197">
        <f t="shared" si="106"/>
        <v>0</v>
      </c>
      <c r="I784" s="197">
        <f t="shared" si="107"/>
        <v>0</v>
      </c>
      <c r="J784" s="137">
        <f t="shared" si="108"/>
        <v>0</v>
      </c>
      <c r="K784" s="66">
        <f>'Final Building Profile'!L80</f>
        <v>0</v>
      </c>
      <c r="L784" s="66">
        <f t="shared" si="121"/>
        <v>0</v>
      </c>
      <c r="M784">
        <f>'Final Building Profile'!M80</f>
        <v>0</v>
      </c>
      <c r="N784" s="66">
        <f t="shared" si="109"/>
        <v>0</v>
      </c>
      <c r="O784" s="66">
        <f t="shared" si="110"/>
        <v>0</v>
      </c>
      <c r="P784" s="66">
        <f t="shared" si="111"/>
        <v>0</v>
      </c>
      <c r="Q784" s="204">
        <f>'Final Building Profile'!K80</f>
        <v>0</v>
      </c>
      <c r="R784" s="66">
        <f t="shared" si="122"/>
        <v>0</v>
      </c>
      <c r="S784" s="65">
        <f>'Final Building Profile'!N80-'Final Building Profile'!O80</f>
        <v>0</v>
      </c>
      <c r="T784" s="65">
        <f t="shared" si="112"/>
        <v>0</v>
      </c>
      <c r="U784" s="204">
        <f>'Final Building Profile'!Q80</f>
        <v>0</v>
      </c>
      <c r="V784" s="65">
        <f>IF('Final Building Profile'!P80&lt;&gt;"", U784, 0) * T784</f>
        <v>0</v>
      </c>
      <c r="W784" s="266">
        <f t="shared" si="113"/>
        <v>0</v>
      </c>
      <c r="X784" s="266">
        <f t="shared" si="123"/>
        <v>0</v>
      </c>
      <c r="Y784" s="266" t="e">
        <f t="shared" si="114"/>
        <v>#DIV/0!</v>
      </c>
      <c r="Z784" s="266" t="e">
        <f t="shared" si="115"/>
        <v>#DIV/0!</v>
      </c>
      <c r="AA784" s="266" t="e">
        <f t="shared" si="116"/>
        <v>#DIV/0!</v>
      </c>
      <c r="AB784" s="65" t="e">
        <f t="shared" si="117"/>
        <v>#N/A</v>
      </c>
      <c r="AC784" s="65" t="e">
        <f t="shared" si="118"/>
        <v>#N/A</v>
      </c>
      <c r="AD784" s="65" t="e">
        <f t="shared" si="119"/>
        <v>#N/A</v>
      </c>
      <c r="AE784" s="65" t="e">
        <f t="shared" si="120"/>
        <v>#N/A</v>
      </c>
    </row>
    <row r="785" spans="1:31" ht="15" customHeight="1">
      <c r="A785">
        <f>'Final Building Profile'!A81</f>
        <v>78</v>
      </c>
      <c r="B785">
        <f>'Final Building Profile'!D81</f>
        <v>0</v>
      </c>
      <c r="C785">
        <f>'Final Building Profile'!E81</f>
        <v>0</v>
      </c>
      <c r="D785">
        <f>'Final Building Profile'!F81</f>
        <v>0</v>
      </c>
      <c r="E785" s="265">
        <f>'Final Building Profile'!G81</f>
        <v>0</v>
      </c>
      <c r="F785" s="265">
        <f>'Final Building Profile'!H81</f>
        <v>0</v>
      </c>
      <c r="G785" s="265">
        <f>'Final Building Profile'!I81</f>
        <v>0</v>
      </c>
      <c r="H785" s="197">
        <f t="shared" si="106"/>
        <v>0</v>
      </c>
      <c r="I785" s="197">
        <f t="shared" si="107"/>
        <v>0</v>
      </c>
      <c r="J785" s="137">
        <f t="shared" si="108"/>
        <v>0</v>
      </c>
      <c r="K785" s="66">
        <f>'Final Building Profile'!L81</f>
        <v>0</v>
      </c>
      <c r="L785" s="66">
        <f t="shared" si="121"/>
        <v>0</v>
      </c>
      <c r="M785">
        <f>'Final Building Profile'!M81</f>
        <v>0</v>
      </c>
      <c r="N785" s="66">
        <f t="shared" si="109"/>
        <v>0</v>
      </c>
      <c r="O785" s="66">
        <f t="shared" si="110"/>
        <v>0</v>
      </c>
      <c r="P785" s="66">
        <f t="shared" si="111"/>
        <v>0</v>
      </c>
      <c r="Q785" s="204">
        <f>'Final Building Profile'!K81</f>
        <v>0</v>
      </c>
      <c r="R785" s="66">
        <f t="shared" si="122"/>
        <v>0</v>
      </c>
      <c r="S785" s="65">
        <f>'Final Building Profile'!N81-'Final Building Profile'!O81</f>
        <v>0</v>
      </c>
      <c r="T785" s="65">
        <f t="shared" si="112"/>
        <v>0</v>
      </c>
      <c r="U785" s="204">
        <f>'Final Building Profile'!Q81</f>
        <v>0</v>
      </c>
      <c r="V785" s="65">
        <f>IF('Final Building Profile'!P81&lt;&gt;"", U785, 0) * T785</f>
        <v>0</v>
      </c>
      <c r="W785" s="266">
        <f t="shared" si="113"/>
        <v>0</v>
      </c>
      <c r="X785" s="266">
        <f t="shared" si="123"/>
        <v>0</v>
      </c>
      <c r="Y785" s="266" t="e">
        <f t="shared" si="114"/>
        <v>#DIV/0!</v>
      </c>
      <c r="Z785" s="266" t="e">
        <f t="shared" si="115"/>
        <v>#DIV/0!</v>
      </c>
      <c r="AA785" s="266" t="e">
        <f t="shared" si="116"/>
        <v>#DIV/0!</v>
      </c>
      <c r="AB785" s="65" t="e">
        <f t="shared" si="117"/>
        <v>#N/A</v>
      </c>
      <c r="AC785" s="65" t="e">
        <f t="shared" si="118"/>
        <v>#N/A</v>
      </c>
      <c r="AD785" s="65" t="e">
        <f t="shared" si="119"/>
        <v>#N/A</v>
      </c>
      <c r="AE785" s="65" t="e">
        <f t="shared" si="120"/>
        <v>#N/A</v>
      </c>
    </row>
    <row r="786" spans="1:31" ht="15" customHeight="1">
      <c r="A786">
        <f>'Final Building Profile'!A82</f>
        <v>79</v>
      </c>
      <c r="B786">
        <f>'Final Building Profile'!D82</f>
        <v>0</v>
      </c>
      <c r="C786">
        <f>'Final Building Profile'!E82</f>
        <v>0</v>
      </c>
      <c r="D786">
        <f>'Final Building Profile'!F82</f>
        <v>0</v>
      </c>
      <c r="E786" s="265">
        <f>'Final Building Profile'!G82</f>
        <v>0</v>
      </c>
      <c r="F786" s="265">
        <f>'Final Building Profile'!H82</f>
        <v>0</v>
      </c>
      <c r="G786" s="265">
        <f>'Final Building Profile'!I82</f>
        <v>0</v>
      </c>
      <c r="H786" s="197">
        <f t="shared" si="106"/>
        <v>0</v>
      </c>
      <c r="I786" s="197">
        <f t="shared" si="107"/>
        <v>0</v>
      </c>
      <c r="J786" s="137">
        <f t="shared" si="108"/>
        <v>0</v>
      </c>
      <c r="K786" s="66">
        <f>'Final Building Profile'!L82</f>
        <v>0</v>
      </c>
      <c r="L786" s="66">
        <f t="shared" si="121"/>
        <v>0</v>
      </c>
      <c r="M786">
        <f>'Final Building Profile'!M82</f>
        <v>0</v>
      </c>
      <c r="N786" s="66">
        <f t="shared" si="109"/>
        <v>0</v>
      </c>
      <c r="O786" s="66">
        <f t="shared" si="110"/>
        <v>0</v>
      </c>
      <c r="P786" s="66">
        <f t="shared" si="111"/>
        <v>0</v>
      </c>
      <c r="Q786" s="204">
        <f>'Final Building Profile'!K82</f>
        <v>0</v>
      </c>
      <c r="R786" s="66">
        <f t="shared" si="122"/>
        <v>0</v>
      </c>
      <c r="S786" s="65">
        <f>'Final Building Profile'!N82-'Final Building Profile'!O82</f>
        <v>0</v>
      </c>
      <c r="T786" s="65">
        <f t="shared" si="112"/>
        <v>0</v>
      </c>
      <c r="U786" s="204">
        <f>'Final Building Profile'!Q82</f>
        <v>0</v>
      </c>
      <c r="V786" s="65">
        <f>IF('Final Building Profile'!P82&lt;&gt;"", U786, 0) * T786</f>
        <v>0</v>
      </c>
      <c r="W786" s="266">
        <f t="shared" si="113"/>
        <v>0</v>
      </c>
      <c r="X786" s="266">
        <f t="shared" si="123"/>
        <v>0</v>
      </c>
      <c r="Y786" s="266" t="e">
        <f t="shared" si="114"/>
        <v>#DIV/0!</v>
      </c>
      <c r="Z786" s="266" t="e">
        <f t="shared" si="115"/>
        <v>#DIV/0!</v>
      </c>
      <c r="AA786" s="266" t="e">
        <f t="shared" si="116"/>
        <v>#DIV/0!</v>
      </c>
      <c r="AB786" s="65" t="e">
        <f t="shared" si="117"/>
        <v>#N/A</v>
      </c>
      <c r="AC786" s="65" t="e">
        <f t="shared" si="118"/>
        <v>#N/A</v>
      </c>
      <c r="AD786" s="65" t="e">
        <f t="shared" si="119"/>
        <v>#N/A</v>
      </c>
      <c r="AE786" s="65" t="e">
        <f t="shared" si="120"/>
        <v>#N/A</v>
      </c>
    </row>
    <row r="787" spans="1:31" ht="15" customHeight="1">
      <c r="A787">
        <f>'Final Building Profile'!A83</f>
        <v>80</v>
      </c>
      <c r="B787">
        <f>'Final Building Profile'!D83</f>
        <v>0</v>
      </c>
      <c r="C787">
        <f>'Final Building Profile'!E83</f>
        <v>0</v>
      </c>
      <c r="D787">
        <f>'Final Building Profile'!F83</f>
        <v>0</v>
      </c>
      <c r="E787" s="265">
        <f>'Final Building Profile'!G83</f>
        <v>0</v>
      </c>
      <c r="F787" s="265">
        <f>'Final Building Profile'!H83</f>
        <v>0</v>
      </c>
      <c r="G787" s="265">
        <f>'Final Building Profile'!I83</f>
        <v>0</v>
      </c>
      <c r="H787" s="197">
        <f t="shared" si="106"/>
        <v>0</v>
      </c>
      <c r="I787" s="197">
        <f t="shared" si="107"/>
        <v>0</v>
      </c>
      <c r="J787" s="137">
        <f t="shared" si="108"/>
        <v>0</v>
      </c>
      <c r="K787" s="66">
        <f>'Final Building Profile'!L83</f>
        <v>0</v>
      </c>
      <c r="L787" s="66">
        <f t="shared" si="121"/>
        <v>0</v>
      </c>
      <c r="M787">
        <f>'Final Building Profile'!M83</f>
        <v>0</v>
      </c>
      <c r="N787" s="66">
        <f t="shared" si="109"/>
        <v>0</v>
      </c>
      <c r="O787" s="66">
        <f t="shared" si="110"/>
        <v>0</v>
      </c>
      <c r="P787" s="66">
        <f t="shared" si="111"/>
        <v>0</v>
      </c>
      <c r="Q787" s="204">
        <f>'Final Building Profile'!K83</f>
        <v>0</v>
      </c>
      <c r="R787" s="66">
        <f t="shared" si="122"/>
        <v>0</v>
      </c>
      <c r="S787" s="65">
        <f>'Final Building Profile'!N83-'Final Building Profile'!O83</f>
        <v>0</v>
      </c>
      <c r="T787" s="65">
        <f t="shared" si="112"/>
        <v>0</v>
      </c>
      <c r="U787" s="204">
        <f>'Final Building Profile'!Q83</f>
        <v>0</v>
      </c>
      <c r="V787" s="65">
        <f>IF('Final Building Profile'!P83&lt;&gt;"", U787, 0) * T787</f>
        <v>0</v>
      </c>
      <c r="W787" s="266">
        <f t="shared" si="113"/>
        <v>0</v>
      </c>
      <c r="X787" s="266">
        <f t="shared" si="123"/>
        <v>0</v>
      </c>
      <c r="Y787" s="266" t="e">
        <f t="shared" si="114"/>
        <v>#DIV/0!</v>
      </c>
      <c r="Z787" s="266" t="e">
        <f t="shared" si="115"/>
        <v>#DIV/0!</v>
      </c>
      <c r="AA787" s="266" t="e">
        <f t="shared" si="116"/>
        <v>#DIV/0!</v>
      </c>
      <c r="AB787" s="65" t="e">
        <f t="shared" si="117"/>
        <v>#N/A</v>
      </c>
      <c r="AC787" s="65" t="e">
        <f t="shared" si="118"/>
        <v>#N/A</v>
      </c>
      <c r="AD787" s="65" t="e">
        <f t="shared" si="119"/>
        <v>#N/A</v>
      </c>
      <c r="AE787" s="65" t="e">
        <f t="shared" si="120"/>
        <v>#N/A</v>
      </c>
    </row>
    <row r="788" spans="1:31" ht="15" customHeight="1">
      <c r="A788">
        <f>'Final Building Profile'!A84</f>
        <v>81</v>
      </c>
      <c r="B788">
        <f>'Final Building Profile'!D84</f>
        <v>0</v>
      </c>
      <c r="C788">
        <f>'Final Building Profile'!E84</f>
        <v>0</v>
      </c>
      <c r="D788">
        <f>'Final Building Profile'!F84</f>
        <v>0</v>
      </c>
      <c r="E788" s="265">
        <f>'Final Building Profile'!G84</f>
        <v>0</v>
      </c>
      <c r="F788" s="265">
        <f>'Final Building Profile'!H84</f>
        <v>0</v>
      </c>
      <c r="G788" s="265">
        <f>'Final Building Profile'!I84</f>
        <v>0</v>
      </c>
      <c r="H788" s="197">
        <f t="shared" si="106"/>
        <v>0</v>
      </c>
      <c r="I788" s="197">
        <f t="shared" si="107"/>
        <v>0</v>
      </c>
      <c r="J788" s="137">
        <f t="shared" si="108"/>
        <v>0</v>
      </c>
      <c r="K788" s="66">
        <f>'Final Building Profile'!L84</f>
        <v>0</v>
      </c>
      <c r="L788" s="66">
        <f t="shared" si="121"/>
        <v>0</v>
      </c>
      <c r="M788">
        <f>'Final Building Profile'!M84</f>
        <v>0</v>
      </c>
      <c r="N788" s="66">
        <f t="shared" si="109"/>
        <v>0</v>
      </c>
      <c r="O788" s="66">
        <f t="shared" si="110"/>
        <v>0</v>
      </c>
      <c r="P788" s="66">
        <f t="shared" si="111"/>
        <v>0</v>
      </c>
      <c r="Q788" s="204">
        <f>'Final Building Profile'!K84</f>
        <v>0</v>
      </c>
      <c r="R788" s="66">
        <f t="shared" si="122"/>
        <v>0</v>
      </c>
      <c r="S788" s="65">
        <f>'Final Building Profile'!N84-'Final Building Profile'!O84</f>
        <v>0</v>
      </c>
      <c r="T788" s="65">
        <f t="shared" si="112"/>
        <v>0</v>
      </c>
      <c r="U788" s="204">
        <f>'Final Building Profile'!Q84</f>
        <v>0</v>
      </c>
      <c r="V788" s="65">
        <f>IF('Final Building Profile'!P84&lt;&gt;"", U788, 0) * T788</f>
        <v>0</v>
      </c>
      <c r="W788" s="266">
        <f t="shared" si="113"/>
        <v>0</v>
      </c>
      <c r="X788" s="266">
        <f t="shared" si="123"/>
        <v>0</v>
      </c>
      <c r="Y788" s="266" t="e">
        <f t="shared" si="114"/>
        <v>#DIV/0!</v>
      </c>
      <c r="Z788" s="266" t="e">
        <f t="shared" si="115"/>
        <v>#DIV/0!</v>
      </c>
      <c r="AA788" s="266" t="e">
        <f t="shared" si="116"/>
        <v>#DIV/0!</v>
      </c>
      <c r="AB788" s="65" t="e">
        <f t="shared" si="117"/>
        <v>#N/A</v>
      </c>
      <c r="AC788" s="65" t="e">
        <f t="shared" si="118"/>
        <v>#N/A</v>
      </c>
      <c r="AD788" s="65" t="e">
        <f t="shared" si="119"/>
        <v>#N/A</v>
      </c>
      <c r="AE788" s="65" t="e">
        <f t="shared" si="120"/>
        <v>#N/A</v>
      </c>
    </row>
    <row r="789" spans="1:31" ht="15" customHeight="1">
      <c r="A789">
        <f>'Final Building Profile'!A85</f>
        <v>82</v>
      </c>
      <c r="B789">
        <f>'Final Building Profile'!D85</f>
        <v>0</v>
      </c>
      <c r="C789">
        <f>'Final Building Profile'!E85</f>
        <v>0</v>
      </c>
      <c r="D789">
        <f>'Final Building Profile'!F85</f>
        <v>0</v>
      </c>
      <c r="E789" s="265">
        <f>'Final Building Profile'!G85</f>
        <v>0</v>
      </c>
      <c r="F789" s="265">
        <f>'Final Building Profile'!H85</f>
        <v>0</v>
      </c>
      <c r="G789" s="265">
        <f>'Final Building Profile'!I85</f>
        <v>0</v>
      </c>
      <c r="H789" s="197">
        <f t="shared" si="106"/>
        <v>0</v>
      </c>
      <c r="I789" s="197">
        <f t="shared" si="107"/>
        <v>0</v>
      </c>
      <c r="J789" s="137">
        <f t="shared" si="108"/>
        <v>0</v>
      </c>
      <c r="K789" s="66">
        <f>'Final Building Profile'!L85</f>
        <v>0</v>
      </c>
      <c r="L789" s="66">
        <f t="shared" si="121"/>
        <v>0</v>
      </c>
      <c r="M789">
        <f>'Final Building Profile'!M85</f>
        <v>0</v>
      </c>
      <c r="N789" s="66">
        <f t="shared" si="109"/>
        <v>0</v>
      </c>
      <c r="O789" s="66">
        <f t="shared" si="110"/>
        <v>0</v>
      </c>
      <c r="P789" s="66">
        <f t="shared" si="111"/>
        <v>0</v>
      </c>
      <c r="Q789" s="204">
        <f>'Final Building Profile'!K85</f>
        <v>0</v>
      </c>
      <c r="R789" s="66">
        <f t="shared" si="122"/>
        <v>0</v>
      </c>
      <c r="S789" s="65">
        <f>'Final Building Profile'!N85-'Final Building Profile'!O85</f>
        <v>0</v>
      </c>
      <c r="T789" s="65">
        <f t="shared" si="112"/>
        <v>0</v>
      </c>
      <c r="U789" s="204">
        <f>'Final Building Profile'!Q85</f>
        <v>0</v>
      </c>
      <c r="V789" s="65">
        <f>IF('Final Building Profile'!P85&lt;&gt;"", U789, 0) * T789</f>
        <v>0</v>
      </c>
      <c r="W789" s="266">
        <f t="shared" si="113"/>
        <v>0</v>
      </c>
      <c r="X789" s="266">
        <f t="shared" si="123"/>
        <v>0</v>
      </c>
      <c r="Y789" s="266" t="e">
        <f t="shared" si="114"/>
        <v>#DIV/0!</v>
      </c>
      <c r="Z789" s="266" t="e">
        <f t="shared" si="115"/>
        <v>#DIV/0!</v>
      </c>
      <c r="AA789" s="266" t="e">
        <f t="shared" si="116"/>
        <v>#DIV/0!</v>
      </c>
      <c r="AB789" s="65" t="e">
        <f t="shared" si="117"/>
        <v>#N/A</v>
      </c>
      <c r="AC789" s="65" t="e">
        <f t="shared" si="118"/>
        <v>#N/A</v>
      </c>
      <c r="AD789" s="65" t="e">
        <f t="shared" si="119"/>
        <v>#N/A</v>
      </c>
      <c r="AE789" s="65" t="e">
        <f t="shared" si="120"/>
        <v>#N/A</v>
      </c>
    </row>
    <row r="790" spans="1:31" ht="15" customHeight="1">
      <c r="A790">
        <f>'Final Building Profile'!A86</f>
        <v>83</v>
      </c>
      <c r="B790">
        <f>'Final Building Profile'!D86</f>
        <v>0</v>
      </c>
      <c r="C790">
        <f>'Final Building Profile'!E86</f>
        <v>0</v>
      </c>
      <c r="D790">
        <f>'Final Building Profile'!F86</f>
        <v>0</v>
      </c>
      <c r="E790" s="265">
        <f>'Final Building Profile'!G86</f>
        <v>0</v>
      </c>
      <c r="F790" s="265">
        <f>'Final Building Profile'!H86</f>
        <v>0</v>
      </c>
      <c r="G790" s="265">
        <f>'Final Building Profile'!I86</f>
        <v>0</v>
      </c>
      <c r="H790" s="197">
        <f t="shared" si="106"/>
        <v>0</v>
      </c>
      <c r="I790" s="197">
        <f t="shared" si="107"/>
        <v>0</v>
      </c>
      <c r="J790" s="137">
        <f t="shared" si="108"/>
        <v>0</v>
      </c>
      <c r="K790" s="66">
        <f>'Final Building Profile'!L86</f>
        <v>0</v>
      </c>
      <c r="L790" s="66">
        <f t="shared" si="121"/>
        <v>0</v>
      </c>
      <c r="M790">
        <f>'Final Building Profile'!M86</f>
        <v>0</v>
      </c>
      <c r="N790" s="66">
        <f t="shared" si="109"/>
        <v>0</v>
      </c>
      <c r="O790" s="66">
        <f t="shared" si="110"/>
        <v>0</v>
      </c>
      <c r="P790" s="66">
        <f t="shared" si="111"/>
        <v>0</v>
      </c>
      <c r="Q790" s="204">
        <f>'Final Building Profile'!K86</f>
        <v>0</v>
      </c>
      <c r="R790" s="66">
        <f t="shared" si="122"/>
        <v>0</v>
      </c>
      <c r="S790" s="65">
        <f>'Final Building Profile'!N86-'Final Building Profile'!O86</f>
        <v>0</v>
      </c>
      <c r="T790" s="65">
        <f t="shared" si="112"/>
        <v>0</v>
      </c>
      <c r="U790" s="204">
        <f>'Final Building Profile'!Q86</f>
        <v>0</v>
      </c>
      <c r="V790" s="65">
        <f>IF('Final Building Profile'!P86&lt;&gt;"", U790, 0) * T790</f>
        <v>0</v>
      </c>
      <c r="W790" s="266">
        <f t="shared" si="113"/>
        <v>0</v>
      </c>
      <c r="X790" s="266">
        <f t="shared" si="123"/>
        <v>0</v>
      </c>
      <c r="Y790" s="266" t="e">
        <f t="shared" si="114"/>
        <v>#DIV/0!</v>
      </c>
      <c r="Z790" s="266" t="e">
        <f t="shared" si="115"/>
        <v>#DIV/0!</v>
      </c>
      <c r="AA790" s="266" t="e">
        <f t="shared" si="116"/>
        <v>#DIV/0!</v>
      </c>
      <c r="AB790" s="65" t="e">
        <f t="shared" si="117"/>
        <v>#N/A</v>
      </c>
      <c r="AC790" s="65" t="e">
        <f t="shared" si="118"/>
        <v>#N/A</v>
      </c>
      <c r="AD790" s="65" t="e">
        <f t="shared" si="119"/>
        <v>#N/A</v>
      </c>
      <c r="AE790" s="65" t="e">
        <f t="shared" si="120"/>
        <v>#N/A</v>
      </c>
    </row>
    <row r="791" spans="1:31" ht="15" customHeight="1">
      <c r="A791">
        <f>'Final Building Profile'!A87</f>
        <v>84</v>
      </c>
      <c r="B791">
        <f>'Final Building Profile'!D87</f>
        <v>0</v>
      </c>
      <c r="C791">
        <f>'Final Building Profile'!E87</f>
        <v>0</v>
      </c>
      <c r="D791">
        <f>'Final Building Profile'!F87</f>
        <v>0</v>
      </c>
      <c r="E791" s="265">
        <f>'Final Building Profile'!G87</f>
        <v>0</v>
      </c>
      <c r="F791" s="265">
        <f>'Final Building Profile'!H87</f>
        <v>0</v>
      </c>
      <c r="G791" s="265">
        <f>'Final Building Profile'!I87</f>
        <v>0</v>
      </c>
      <c r="H791" s="197">
        <f t="shared" si="106"/>
        <v>0</v>
      </c>
      <c r="I791" s="197">
        <f t="shared" si="107"/>
        <v>0</v>
      </c>
      <c r="J791" s="137">
        <f t="shared" si="108"/>
        <v>0</v>
      </c>
      <c r="K791" s="66">
        <f>'Final Building Profile'!L87</f>
        <v>0</v>
      </c>
      <c r="L791" s="66">
        <f t="shared" si="121"/>
        <v>0</v>
      </c>
      <c r="M791">
        <f>'Final Building Profile'!M87</f>
        <v>0</v>
      </c>
      <c r="N791" s="66">
        <f t="shared" si="109"/>
        <v>0</v>
      </c>
      <c r="O791" s="66">
        <f t="shared" si="110"/>
        <v>0</v>
      </c>
      <c r="P791" s="66">
        <f t="shared" si="111"/>
        <v>0</v>
      </c>
      <c r="Q791" s="204">
        <f>'Final Building Profile'!K87</f>
        <v>0</v>
      </c>
      <c r="R791" s="66">
        <f t="shared" si="122"/>
        <v>0</v>
      </c>
      <c r="S791" s="65">
        <f>'Final Building Profile'!N87-'Final Building Profile'!O87</f>
        <v>0</v>
      </c>
      <c r="T791" s="65">
        <f t="shared" si="112"/>
        <v>0</v>
      </c>
      <c r="U791" s="204">
        <f>'Final Building Profile'!Q87</f>
        <v>0</v>
      </c>
      <c r="V791" s="65">
        <f>IF('Final Building Profile'!P87&lt;&gt;"", U791, 0) * T791</f>
        <v>0</v>
      </c>
      <c r="W791" s="266">
        <f t="shared" si="113"/>
        <v>0</v>
      </c>
      <c r="X791" s="266">
        <f t="shared" si="123"/>
        <v>0</v>
      </c>
      <c r="Y791" s="266" t="e">
        <f t="shared" si="114"/>
        <v>#DIV/0!</v>
      </c>
      <c r="Z791" s="266" t="e">
        <f t="shared" si="115"/>
        <v>#DIV/0!</v>
      </c>
      <c r="AA791" s="266" t="e">
        <f t="shared" si="116"/>
        <v>#DIV/0!</v>
      </c>
      <c r="AB791" s="65" t="e">
        <f t="shared" si="117"/>
        <v>#N/A</v>
      </c>
      <c r="AC791" s="65" t="e">
        <f t="shared" si="118"/>
        <v>#N/A</v>
      </c>
      <c r="AD791" s="65" t="e">
        <f t="shared" si="119"/>
        <v>#N/A</v>
      </c>
      <c r="AE791" s="65" t="e">
        <f t="shared" si="120"/>
        <v>#N/A</v>
      </c>
    </row>
    <row r="792" spans="1:31" ht="15" customHeight="1">
      <c r="A792">
        <f>'Final Building Profile'!A88</f>
        <v>85</v>
      </c>
      <c r="B792">
        <f>'Final Building Profile'!D88</f>
        <v>0</v>
      </c>
      <c r="C792">
        <f>'Final Building Profile'!E88</f>
        <v>0</v>
      </c>
      <c r="D792">
        <f>'Final Building Profile'!F88</f>
        <v>0</v>
      </c>
      <c r="E792" s="265">
        <f>'Final Building Profile'!G88</f>
        <v>0</v>
      </c>
      <c r="F792" s="265">
        <f>'Final Building Profile'!H88</f>
        <v>0</v>
      </c>
      <c r="G792" s="265">
        <f>'Final Building Profile'!I88</f>
        <v>0</v>
      </c>
      <c r="H792" s="197">
        <f t="shared" si="106"/>
        <v>0</v>
      </c>
      <c r="I792" s="197">
        <f t="shared" si="107"/>
        <v>0</v>
      </c>
      <c r="J792" s="137">
        <f t="shared" si="108"/>
        <v>0</v>
      </c>
      <c r="K792" s="66">
        <f>'Final Building Profile'!L88</f>
        <v>0</v>
      </c>
      <c r="L792" s="66">
        <f t="shared" si="121"/>
        <v>0</v>
      </c>
      <c r="M792">
        <f>'Final Building Profile'!M88</f>
        <v>0</v>
      </c>
      <c r="N792" s="66">
        <f t="shared" si="109"/>
        <v>0</v>
      </c>
      <c r="O792" s="66">
        <f t="shared" si="110"/>
        <v>0</v>
      </c>
      <c r="P792" s="66">
        <f t="shared" si="111"/>
        <v>0</v>
      </c>
      <c r="Q792" s="204">
        <f>'Final Building Profile'!K88</f>
        <v>0</v>
      </c>
      <c r="R792" s="66">
        <f t="shared" si="122"/>
        <v>0</v>
      </c>
      <c r="S792" s="65">
        <f>'Final Building Profile'!N88-'Final Building Profile'!O88</f>
        <v>0</v>
      </c>
      <c r="T792" s="65">
        <f t="shared" si="112"/>
        <v>0</v>
      </c>
      <c r="U792" s="204">
        <f>'Final Building Profile'!Q88</f>
        <v>0</v>
      </c>
      <c r="V792" s="65">
        <f>IF('Final Building Profile'!P88&lt;&gt;"", U792, 0) * T792</f>
        <v>0</v>
      </c>
      <c r="W792" s="266">
        <f t="shared" si="113"/>
        <v>0</v>
      </c>
      <c r="X792" s="266">
        <f t="shared" si="123"/>
        <v>0</v>
      </c>
      <c r="Y792" s="266" t="e">
        <f t="shared" si="114"/>
        <v>#DIV/0!</v>
      </c>
      <c r="Z792" s="266" t="e">
        <f t="shared" si="115"/>
        <v>#DIV/0!</v>
      </c>
      <c r="AA792" s="266" t="e">
        <f t="shared" si="116"/>
        <v>#DIV/0!</v>
      </c>
      <c r="AB792" s="65" t="e">
        <f t="shared" si="117"/>
        <v>#N/A</v>
      </c>
      <c r="AC792" s="65" t="e">
        <f t="shared" si="118"/>
        <v>#N/A</v>
      </c>
      <c r="AD792" s="65" t="e">
        <f t="shared" si="119"/>
        <v>#N/A</v>
      </c>
      <c r="AE792" s="65" t="e">
        <f t="shared" si="120"/>
        <v>#N/A</v>
      </c>
    </row>
    <row r="793" spans="1:31" ht="15" customHeight="1">
      <c r="A793">
        <f>'Final Building Profile'!A89</f>
        <v>86</v>
      </c>
      <c r="B793">
        <f>'Final Building Profile'!D89</f>
        <v>0</v>
      </c>
      <c r="C793">
        <f>'Final Building Profile'!E89</f>
        <v>0</v>
      </c>
      <c r="D793">
        <f>'Final Building Profile'!F89</f>
        <v>0</v>
      </c>
      <c r="E793" s="265">
        <f>'Final Building Profile'!G89</f>
        <v>0</v>
      </c>
      <c r="F793" s="265">
        <f>'Final Building Profile'!H89</f>
        <v>0</v>
      </c>
      <c r="G793" s="265">
        <f>'Final Building Profile'!I89</f>
        <v>0</v>
      </c>
      <c r="H793" s="197">
        <f t="shared" si="106"/>
        <v>0</v>
      </c>
      <c r="I793" s="197">
        <f t="shared" si="107"/>
        <v>0</v>
      </c>
      <c r="J793" s="137">
        <f t="shared" si="108"/>
        <v>0</v>
      </c>
      <c r="K793" s="66">
        <f>'Final Building Profile'!L89</f>
        <v>0</v>
      </c>
      <c r="L793" s="66">
        <f t="shared" si="121"/>
        <v>0</v>
      </c>
      <c r="M793">
        <f>'Final Building Profile'!M89</f>
        <v>0</v>
      </c>
      <c r="N793" s="66">
        <f t="shared" si="109"/>
        <v>0</v>
      </c>
      <c r="O793" s="66">
        <f t="shared" si="110"/>
        <v>0</v>
      </c>
      <c r="P793" s="66">
        <f t="shared" si="111"/>
        <v>0</v>
      </c>
      <c r="Q793" s="204">
        <f>'Final Building Profile'!K89</f>
        <v>0</v>
      </c>
      <c r="R793" s="66">
        <f t="shared" si="122"/>
        <v>0</v>
      </c>
      <c r="S793" s="65">
        <f>'Final Building Profile'!N89-'Final Building Profile'!O89</f>
        <v>0</v>
      </c>
      <c r="T793" s="65">
        <f t="shared" si="112"/>
        <v>0</v>
      </c>
      <c r="U793" s="204">
        <f>'Final Building Profile'!Q89</f>
        <v>0</v>
      </c>
      <c r="V793" s="65">
        <f>IF('Final Building Profile'!P89&lt;&gt;"", U793, 0) * T793</f>
        <v>0</v>
      </c>
      <c r="W793" s="266">
        <f t="shared" si="113"/>
        <v>0</v>
      </c>
      <c r="X793" s="266">
        <f t="shared" si="123"/>
        <v>0</v>
      </c>
      <c r="Y793" s="266" t="e">
        <f t="shared" si="114"/>
        <v>#DIV/0!</v>
      </c>
      <c r="Z793" s="266" t="e">
        <f t="shared" si="115"/>
        <v>#DIV/0!</v>
      </c>
      <c r="AA793" s="266" t="e">
        <f t="shared" si="116"/>
        <v>#DIV/0!</v>
      </c>
      <c r="AB793" s="65" t="e">
        <f t="shared" si="117"/>
        <v>#N/A</v>
      </c>
      <c r="AC793" s="65" t="e">
        <f t="shared" si="118"/>
        <v>#N/A</v>
      </c>
      <c r="AD793" s="65" t="e">
        <f t="shared" si="119"/>
        <v>#N/A</v>
      </c>
      <c r="AE793" s="65" t="e">
        <f t="shared" si="120"/>
        <v>#N/A</v>
      </c>
    </row>
    <row r="794" spans="1:31" ht="15" customHeight="1">
      <c r="A794">
        <f>'Final Building Profile'!A90</f>
        <v>87</v>
      </c>
      <c r="B794">
        <f>'Final Building Profile'!D90</f>
        <v>0</v>
      </c>
      <c r="C794">
        <f>'Final Building Profile'!E90</f>
        <v>0</v>
      </c>
      <c r="D794">
        <f>'Final Building Profile'!F90</f>
        <v>0</v>
      </c>
      <c r="E794" s="265">
        <f>'Final Building Profile'!G90</f>
        <v>0</v>
      </c>
      <c r="F794" s="265">
        <f>'Final Building Profile'!H90</f>
        <v>0</v>
      </c>
      <c r="G794" s="265">
        <f>'Final Building Profile'!I90</f>
        <v>0</v>
      </c>
      <c r="H794" s="197">
        <f t="shared" si="106"/>
        <v>0</v>
      </c>
      <c r="I794" s="197">
        <f t="shared" si="107"/>
        <v>0</v>
      </c>
      <c r="J794" s="137">
        <f t="shared" si="108"/>
        <v>0</v>
      </c>
      <c r="K794" s="66">
        <f>'Final Building Profile'!L90</f>
        <v>0</v>
      </c>
      <c r="L794" s="66">
        <f t="shared" si="121"/>
        <v>0</v>
      </c>
      <c r="M794">
        <f>'Final Building Profile'!M90</f>
        <v>0</v>
      </c>
      <c r="N794" s="66">
        <f t="shared" si="109"/>
        <v>0</v>
      </c>
      <c r="O794" s="66">
        <f t="shared" si="110"/>
        <v>0</v>
      </c>
      <c r="P794" s="66">
        <f t="shared" si="111"/>
        <v>0</v>
      </c>
      <c r="Q794" s="204">
        <f>'Final Building Profile'!K90</f>
        <v>0</v>
      </c>
      <c r="R794" s="66">
        <f t="shared" si="122"/>
        <v>0</v>
      </c>
      <c r="S794" s="65">
        <f>'Final Building Profile'!N90-'Final Building Profile'!O90</f>
        <v>0</v>
      </c>
      <c r="T794" s="65">
        <f t="shared" si="112"/>
        <v>0</v>
      </c>
      <c r="U794" s="204">
        <f>'Final Building Profile'!Q90</f>
        <v>0</v>
      </c>
      <c r="V794" s="65">
        <f>IF('Final Building Profile'!P90&lt;&gt;"", U794, 0) * T794</f>
        <v>0</v>
      </c>
      <c r="W794" s="266">
        <f t="shared" si="113"/>
        <v>0</v>
      </c>
      <c r="X794" s="266">
        <f t="shared" si="123"/>
        <v>0</v>
      </c>
      <c r="Y794" s="266" t="e">
        <f t="shared" si="114"/>
        <v>#DIV/0!</v>
      </c>
      <c r="Z794" s="266" t="e">
        <f t="shared" si="115"/>
        <v>#DIV/0!</v>
      </c>
      <c r="AA794" s="266" t="e">
        <f t="shared" si="116"/>
        <v>#DIV/0!</v>
      </c>
      <c r="AB794" s="65" t="e">
        <f t="shared" si="117"/>
        <v>#N/A</v>
      </c>
      <c r="AC794" s="65" t="e">
        <f t="shared" si="118"/>
        <v>#N/A</v>
      </c>
      <c r="AD794" s="65" t="e">
        <f t="shared" si="119"/>
        <v>#N/A</v>
      </c>
      <c r="AE794" s="65" t="e">
        <f t="shared" si="120"/>
        <v>#N/A</v>
      </c>
    </row>
    <row r="795" spans="1:31" ht="15" customHeight="1">
      <c r="A795">
        <f>'Final Building Profile'!A91</f>
        <v>88</v>
      </c>
      <c r="B795">
        <f>'Final Building Profile'!D91</f>
        <v>0</v>
      </c>
      <c r="C795">
        <f>'Final Building Profile'!E91</f>
        <v>0</v>
      </c>
      <c r="D795">
        <f>'Final Building Profile'!F91</f>
        <v>0</v>
      </c>
      <c r="E795" s="265">
        <f>'Final Building Profile'!G91</f>
        <v>0</v>
      </c>
      <c r="F795" s="265">
        <f>'Final Building Profile'!H91</f>
        <v>0</v>
      </c>
      <c r="G795" s="265">
        <f>'Final Building Profile'!I91</f>
        <v>0</v>
      </c>
      <c r="H795" s="197">
        <f t="shared" si="106"/>
        <v>0</v>
      </c>
      <c r="I795" s="197">
        <f t="shared" si="107"/>
        <v>0</v>
      </c>
      <c r="J795" s="137">
        <f t="shared" si="108"/>
        <v>0</v>
      </c>
      <c r="K795" s="66">
        <f>'Final Building Profile'!L91</f>
        <v>0</v>
      </c>
      <c r="L795" s="66">
        <f t="shared" si="121"/>
        <v>0</v>
      </c>
      <c r="M795">
        <f>'Final Building Profile'!M91</f>
        <v>0</v>
      </c>
      <c r="N795" s="66">
        <f t="shared" si="109"/>
        <v>0</v>
      </c>
      <c r="O795" s="66">
        <f t="shared" si="110"/>
        <v>0</v>
      </c>
      <c r="P795" s="66">
        <f t="shared" si="111"/>
        <v>0</v>
      </c>
      <c r="Q795" s="204">
        <f>'Final Building Profile'!K91</f>
        <v>0</v>
      </c>
      <c r="R795" s="66">
        <f t="shared" si="122"/>
        <v>0</v>
      </c>
      <c r="S795" s="65">
        <f>'Final Building Profile'!N91-'Final Building Profile'!O91</f>
        <v>0</v>
      </c>
      <c r="T795" s="65">
        <f t="shared" si="112"/>
        <v>0</v>
      </c>
      <c r="U795" s="204">
        <f>'Final Building Profile'!Q91</f>
        <v>0</v>
      </c>
      <c r="V795" s="65">
        <f>IF('Final Building Profile'!P91&lt;&gt;"", U795, 0) * T795</f>
        <v>0</v>
      </c>
      <c r="W795" s="266">
        <f t="shared" si="113"/>
        <v>0</v>
      </c>
      <c r="X795" s="266">
        <f t="shared" si="123"/>
        <v>0</v>
      </c>
      <c r="Y795" s="266" t="e">
        <f t="shared" si="114"/>
        <v>#DIV/0!</v>
      </c>
      <c r="Z795" s="266" t="e">
        <f t="shared" si="115"/>
        <v>#DIV/0!</v>
      </c>
      <c r="AA795" s="266" t="e">
        <f t="shared" si="116"/>
        <v>#DIV/0!</v>
      </c>
      <c r="AB795" s="65" t="e">
        <f t="shared" si="117"/>
        <v>#N/A</v>
      </c>
      <c r="AC795" s="65" t="e">
        <f t="shared" si="118"/>
        <v>#N/A</v>
      </c>
      <c r="AD795" s="65" t="e">
        <f t="shared" si="119"/>
        <v>#N/A</v>
      </c>
      <c r="AE795" s="65" t="e">
        <f t="shared" si="120"/>
        <v>#N/A</v>
      </c>
    </row>
    <row r="796" spans="1:31" ht="15" customHeight="1">
      <c r="A796">
        <f>'Final Building Profile'!A92</f>
        <v>89</v>
      </c>
      <c r="B796">
        <f>'Final Building Profile'!D92</f>
        <v>0</v>
      </c>
      <c r="C796">
        <f>'Final Building Profile'!E92</f>
        <v>0</v>
      </c>
      <c r="D796">
        <f>'Final Building Profile'!F92</f>
        <v>0</v>
      </c>
      <c r="E796" s="265">
        <f>'Final Building Profile'!G92</f>
        <v>0</v>
      </c>
      <c r="F796" s="265">
        <f>'Final Building Profile'!H92</f>
        <v>0</v>
      </c>
      <c r="G796" s="265">
        <f>'Final Building Profile'!I92</f>
        <v>0</v>
      </c>
      <c r="H796" s="197">
        <f t="shared" si="106"/>
        <v>0</v>
      </c>
      <c r="I796" s="197">
        <f t="shared" si="107"/>
        <v>0</v>
      </c>
      <c r="J796" s="137">
        <f t="shared" si="108"/>
        <v>0</v>
      </c>
      <c r="K796" s="66">
        <f>'Final Building Profile'!L92</f>
        <v>0</v>
      </c>
      <c r="L796" s="66">
        <f t="shared" si="121"/>
        <v>0</v>
      </c>
      <c r="M796">
        <f>'Final Building Profile'!M92</f>
        <v>0</v>
      </c>
      <c r="N796" s="66">
        <f t="shared" si="109"/>
        <v>0</v>
      </c>
      <c r="O796" s="66">
        <f t="shared" si="110"/>
        <v>0</v>
      </c>
      <c r="P796" s="66">
        <f t="shared" si="111"/>
        <v>0</v>
      </c>
      <c r="Q796" s="204">
        <f>'Final Building Profile'!K92</f>
        <v>0</v>
      </c>
      <c r="R796" s="66">
        <f t="shared" si="122"/>
        <v>0</v>
      </c>
      <c r="S796" s="65">
        <f>'Final Building Profile'!N92-'Final Building Profile'!O92</f>
        <v>0</v>
      </c>
      <c r="T796" s="65">
        <f t="shared" si="112"/>
        <v>0</v>
      </c>
      <c r="U796" s="204">
        <f>'Final Building Profile'!Q92</f>
        <v>0</v>
      </c>
      <c r="V796" s="65">
        <f>IF('Final Building Profile'!P92&lt;&gt;"", U796, 0) * T796</f>
        <v>0</v>
      </c>
      <c r="W796" s="266">
        <f t="shared" si="113"/>
        <v>0</v>
      </c>
      <c r="X796" s="266">
        <f t="shared" si="123"/>
        <v>0</v>
      </c>
      <c r="Y796" s="266" t="e">
        <f t="shared" si="114"/>
        <v>#DIV/0!</v>
      </c>
      <c r="Z796" s="266" t="e">
        <f t="shared" si="115"/>
        <v>#DIV/0!</v>
      </c>
      <c r="AA796" s="266" t="e">
        <f t="shared" si="116"/>
        <v>#DIV/0!</v>
      </c>
      <c r="AB796" s="65" t="e">
        <f t="shared" si="117"/>
        <v>#N/A</v>
      </c>
      <c r="AC796" s="65" t="e">
        <f t="shared" si="118"/>
        <v>#N/A</v>
      </c>
      <c r="AD796" s="65" t="e">
        <f t="shared" si="119"/>
        <v>#N/A</v>
      </c>
      <c r="AE796" s="65" t="e">
        <f t="shared" si="120"/>
        <v>#N/A</v>
      </c>
    </row>
    <row r="797" spans="1:31" ht="15" customHeight="1">
      <c r="A797">
        <f>'Final Building Profile'!A93</f>
        <v>90</v>
      </c>
      <c r="B797">
        <f>'Final Building Profile'!D93</f>
        <v>0</v>
      </c>
      <c r="C797">
        <f>'Final Building Profile'!E93</f>
        <v>0</v>
      </c>
      <c r="D797">
        <f>'Final Building Profile'!F93</f>
        <v>0</v>
      </c>
      <c r="E797" s="265">
        <f>'Final Building Profile'!G93</f>
        <v>0</v>
      </c>
      <c r="F797" s="265">
        <f>'Final Building Profile'!H93</f>
        <v>0</v>
      </c>
      <c r="G797" s="265">
        <f>'Final Building Profile'!I93</f>
        <v>0</v>
      </c>
      <c r="H797" s="197">
        <f t="shared" si="106"/>
        <v>0</v>
      </c>
      <c r="I797" s="197">
        <f t="shared" si="107"/>
        <v>0</v>
      </c>
      <c r="J797" s="137">
        <f t="shared" si="108"/>
        <v>0</v>
      </c>
      <c r="K797" s="66">
        <f>'Final Building Profile'!L93</f>
        <v>0</v>
      </c>
      <c r="L797" s="66">
        <f t="shared" si="121"/>
        <v>0</v>
      </c>
      <c r="M797">
        <f>'Final Building Profile'!M93</f>
        <v>0</v>
      </c>
      <c r="N797" s="66">
        <f t="shared" si="109"/>
        <v>0</v>
      </c>
      <c r="O797" s="66">
        <f t="shared" si="110"/>
        <v>0</v>
      </c>
      <c r="P797" s="66">
        <f t="shared" si="111"/>
        <v>0</v>
      </c>
      <c r="Q797" s="204">
        <f>'Final Building Profile'!K93</f>
        <v>0</v>
      </c>
      <c r="R797" s="66">
        <f t="shared" si="122"/>
        <v>0</v>
      </c>
      <c r="S797" s="65">
        <f>'Final Building Profile'!N93-'Final Building Profile'!O93</f>
        <v>0</v>
      </c>
      <c r="T797" s="65">
        <f t="shared" si="112"/>
        <v>0</v>
      </c>
      <c r="U797" s="204">
        <f>'Final Building Profile'!Q93</f>
        <v>0</v>
      </c>
      <c r="V797" s="65">
        <f>IF('Final Building Profile'!P93&lt;&gt;"", U797, 0) * T797</f>
        <v>0</v>
      </c>
      <c r="W797" s="266">
        <f t="shared" si="113"/>
        <v>0</v>
      </c>
      <c r="X797" s="266">
        <f t="shared" si="123"/>
        <v>0</v>
      </c>
      <c r="Y797" s="266" t="e">
        <f t="shared" si="114"/>
        <v>#DIV/0!</v>
      </c>
      <c r="Z797" s="266" t="e">
        <f t="shared" si="115"/>
        <v>#DIV/0!</v>
      </c>
      <c r="AA797" s="266" t="e">
        <f t="shared" si="116"/>
        <v>#DIV/0!</v>
      </c>
      <c r="AB797" s="65" t="e">
        <f t="shared" si="117"/>
        <v>#N/A</v>
      </c>
      <c r="AC797" s="65" t="e">
        <f t="shared" si="118"/>
        <v>#N/A</v>
      </c>
      <c r="AD797" s="65" t="e">
        <f t="shared" si="119"/>
        <v>#N/A</v>
      </c>
      <c r="AE797" s="65" t="e">
        <f t="shared" si="120"/>
        <v>#N/A</v>
      </c>
    </row>
    <row r="798" spans="1:31" ht="15" customHeight="1">
      <c r="A798">
        <f>'Final Building Profile'!A94</f>
        <v>91</v>
      </c>
      <c r="B798">
        <f>'Final Building Profile'!D94</f>
        <v>0</v>
      </c>
      <c r="C798">
        <f>'Final Building Profile'!E94</f>
        <v>0</v>
      </c>
      <c r="D798">
        <f>'Final Building Profile'!F94</f>
        <v>0</v>
      </c>
      <c r="E798" s="265">
        <f>'Final Building Profile'!G94</f>
        <v>0</v>
      </c>
      <c r="F798" s="265">
        <f>'Final Building Profile'!H94</f>
        <v>0</v>
      </c>
      <c r="G798" s="265">
        <f>'Final Building Profile'!I94</f>
        <v>0</v>
      </c>
      <c r="H798" s="197">
        <f t="shared" si="106"/>
        <v>0</v>
      </c>
      <c r="I798" s="197">
        <f t="shared" si="107"/>
        <v>0</v>
      </c>
      <c r="J798" s="137">
        <f t="shared" si="108"/>
        <v>0</v>
      </c>
      <c r="K798" s="66">
        <f>'Final Building Profile'!L94</f>
        <v>0</v>
      </c>
      <c r="L798" s="66">
        <f t="shared" si="121"/>
        <v>0</v>
      </c>
      <c r="M798">
        <f>'Final Building Profile'!M94</f>
        <v>0</v>
      </c>
      <c r="N798" s="66">
        <f t="shared" si="109"/>
        <v>0</v>
      </c>
      <c r="O798" s="66">
        <f t="shared" si="110"/>
        <v>0</v>
      </c>
      <c r="P798" s="66">
        <f t="shared" si="111"/>
        <v>0</v>
      </c>
      <c r="Q798" s="204">
        <f>'Final Building Profile'!K94</f>
        <v>0</v>
      </c>
      <c r="R798" s="66">
        <f t="shared" si="122"/>
        <v>0</v>
      </c>
      <c r="S798" s="65">
        <f>'Final Building Profile'!N94-'Final Building Profile'!O94</f>
        <v>0</v>
      </c>
      <c r="T798" s="65">
        <f t="shared" si="112"/>
        <v>0</v>
      </c>
      <c r="U798" s="204">
        <f>'Final Building Profile'!Q94</f>
        <v>0</v>
      </c>
      <c r="V798" s="65">
        <f>IF('Final Building Profile'!P94&lt;&gt;"", U798, 0) * T798</f>
        <v>0</v>
      </c>
      <c r="W798" s="266">
        <f t="shared" si="113"/>
        <v>0</v>
      </c>
      <c r="X798" s="266">
        <f t="shared" si="123"/>
        <v>0</v>
      </c>
      <c r="Y798" s="266" t="e">
        <f t="shared" si="114"/>
        <v>#DIV/0!</v>
      </c>
      <c r="Z798" s="266" t="e">
        <f t="shared" si="115"/>
        <v>#DIV/0!</v>
      </c>
      <c r="AA798" s="266" t="e">
        <f t="shared" si="116"/>
        <v>#DIV/0!</v>
      </c>
      <c r="AB798" s="65" t="e">
        <f t="shared" si="117"/>
        <v>#N/A</v>
      </c>
      <c r="AC798" s="65" t="e">
        <f t="shared" si="118"/>
        <v>#N/A</v>
      </c>
      <c r="AD798" s="65" t="e">
        <f t="shared" si="119"/>
        <v>#N/A</v>
      </c>
      <c r="AE798" s="65" t="e">
        <f t="shared" si="120"/>
        <v>#N/A</v>
      </c>
    </row>
    <row r="799" spans="1:31" ht="15" customHeight="1">
      <c r="A799">
        <f>'Final Building Profile'!A95</f>
        <v>92</v>
      </c>
      <c r="B799">
        <f>'Final Building Profile'!D95</f>
        <v>0</v>
      </c>
      <c r="C799">
        <f>'Final Building Profile'!E95</f>
        <v>0</v>
      </c>
      <c r="D799">
        <f>'Final Building Profile'!F95</f>
        <v>0</v>
      </c>
      <c r="E799" s="265">
        <f>'Final Building Profile'!G95</f>
        <v>0</v>
      </c>
      <c r="F799" s="265">
        <f>'Final Building Profile'!H95</f>
        <v>0</v>
      </c>
      <c r="G799" s="265">
        <f>'Final Building Profile'!I95</f>
        <v>0</v>
      </c>
      <c r="H799" s="197">
        <f t="shared" si="106"/>
        <v>0</v>
      </c>
      <c r="I799" s="197">
        <f t="shared" si="107"/>
        <v>0</v>
      </c>
      <c r="J799" s="137">
        <f t="shared" si="108"/>
        <v>0</v>
      </c>
      <c r="K799" s="66">
        <f>'Final Building Profile'!L95</f>
        <v>0</v>
      </c>
      <c r="L799" s="66">
        <f t="shared" si="121"/>
        <v>0</v>
      </c>
      <c r="M799">
        <f>'Final Building Profile'!M95</f>
        <v>0</v>
      </c>
      <c r="N799" s="66">
        <f t="shared" si="109"/>
        <v>0</v>
      </c>
      <c r="O799" s="66">
        <f t="shared" si="110"/>
        <v>0</v>
      </c>
      <c r="P799" s="66">
        <f t="shared" si="111"/>
        <v>0</v>
      </c>
      <c r="Q799" s="204">
        <f>'Final Building Profile'!K95</f>
        <v>0</v>
      </c>
      <c r="R799" s="66">
        <f t="shared" si="122"/>
        <v>0</v>
      </c>
      <c r="S799" s="65">
        <f>'Final Building Profile'!N95-'Final Building Profile'!O95</f>
        <v>0</v>
      </c>
      <c r="T799" s="65">
        <f t="shared" si="112"/>
        <v>0</v>
      </c>
      <c r="U799" s="204">
        <f>'Final Building Profile'!Q95</f>
        <v>0</v>
      </c>
      <c r="V799" s="65">
        <f>IF('Final Building Profile'!P95&lt;&gt;"", U799, 0) * T799</f>
        <v>0</v>
      </c>
      <c r="W799" s="266">
        <f t="shared" si="113"/>
        <v>0</v>
      </c>
      <c r="X799" s="266">
        <f t="shared" si="123"/>
        <v>0</v>
      </c>
      <c r="Y799" s="266" t="e">
        <f t="shared" si="114"/>
        <v>#DIV/0!</v>
      </c>
      <c r="Z799" s="266" t="e">
        <f t="shared" si="115"/>
        <v>#DIV/0!</v>
      </c>
      <c r="AA799" s="266" t="e">
        <f t="shared" si="116"/>
        <v>#DIV/0!</v>
      </c>
      <c r="AB799" s="65" t="e">
        <f t="shared" si="117"/>
        <v>#N/A</v>
      </c>
      <c r="AC799" s="65" t="e">
        <f t="shared" si="118"/>
        <v>#N/A</v>
      </c>
      <c r="AD799" s="65" t="e">
        <f t="shared" si="119"/>
        <v>#N/A</v>
      </c>
      <c r="AE799" s="65" t="e">
        <f t="shared" si="120"/>
        <v>#N/A</v>
      </c>
    </row>
    <row r="800" spans="1:31" ht="15" customHeight="1">
      <c r="A800">
        <f>'Final Building Profile'!A96</f>
        <v>93</v>
      </c>
      <c r="B800">
        <f>'Final Building Profile'!D96</f>
        <v>0</v>
      </c>
      <c r="C800">
        <f>'Final Building Profile'!E96</f>
        <v>0</v>
      </c>
      <c r="D800">
        <f>'Final Building Profile'!F96</f>
        <v>0</v>
      </c>
      <c r="E800" s="265">
        <f>'Final Building Profile'!G96</f>
        <v>0</v>
      </c>
      <c r="F800" s="265">
        <f>'Final Building Profile'!H96</f>
        <v>0</v>
      </c>
      <c r="G800" s="265">
        <f>'Final Building Profile'!I96</f>
        <v>0</v>
      </c>
      <c r="H800" s="197">
        <f t="shared" si="106"/>
        <v>0</v>
      </c>
      <c r="I800" s="197">
        <f t="shared" si="107"/>
        <v>0</v>
      </c>
      <c r="J800" s="137">
        <f t="shared" si="108"/>
        <v>0</v>
      </c>
      <c r="K800" s="66">
        <f>'Final Building Profile'!L96</f>
        <v>0</v>
      </c>
      <c r="L800" s="66">
        <f t="shared" si="121"/>
        <v>0</v>
      </c>
      <c r="M800">
        <f>'Final Building Profile'!M96</f>
        <v>0</v>
      </c>
      <c r="N800" s="66">
        <f t="shared" si="109"/>
        <v>0</v>
      </c>
      <c r="O800" s="66">
        <f t="shared" si="110"/>
        <v>0</v>
      </c>
      <c r="P800" s="66">
        <f t="shared" si="111"/>
        <v>0</v>
      </c>
      <c r="Q800" s="204">
        <f>'Final Building Profile'!K96</f>
        <v>0</v>
      </c>
      <c r="R800" s="66">
        <f t="shared" si="122"/>
        <v>0</v>
      </c>
      <c r="S800" s="65">
        <f>'Final Building Profile'!N96-'Final Building Profile'!O96</f>
        <v>0</v>
      </c>
      <c r="T800" s="65">
        <f t="shared" si="112"/>
        <v>0</v>
      </c>
      <c r="U800" s="204">
        <f>'Final Building Profile'!Q96</f>
        <v>0</v>
      </c>
      <c r="V800" s="65">
        <f>IF('Final Building Profile'!P96&lt;&gt;"", U800, 0) * T800</f>
        <v>0</v>
      </c>
      <c r="W800" s="266">
        <f t="shared" si="113"/>
        <v>0</v>
      </c>
      <c r="X800" s="266">
        <f t="shared" si="123"/>
        <v>0</v>
      </c>
      <c r="Y800" s="266" t="e">
        <f t="shared" si="114"/>
        <v>#DIV/0!</v>
      </c>
      <c r="Z800" s="266" t="e">
        <f t="shared" si="115"/>
        <v>#DIV/0!</v>
      </c>
      <c r="AA800" s="266" t="e">
        <f t="shared" si="116"/>
        <v>#DIV/0!</v>
      </c>
      <c r="AB800" s="65" t="e">
        <f t="shared" si="117"/>
        <v>#N/A</v>
      </c>
      <c r="AC800" s="65" t="e">
        <f t="shared" si="118"/>
        <v>#N/A</v>
      </c>
      <c r="AD800" s="65" t="e">
        <f t="shared" si="119"/>
        <v>#N/A</v>
      </c>
      <c r="AE800" s="65" t="e">
        <f t="shared" si="120"/>
        <v>#N/A</v>
      </c>
    </row>
    <row r="801" spans="1:31" ht="15" customHeight="1">
      <c r="A801">
        <f>'Final Building Profile'!A97</f>
        <v>94</v>
      </c>
      <c r="B801">
        <f>'Final Building Profile'!D97</f>
        <v>0</v>
      </c>
      <c r="C801">
        <f>'Final Building Profile'!E97</f>
        <v>0</v>
      </c>
      <c r="D801">
        <f>'Final Building Profile'!F97</f>
        <v>0</v>
      </c>
      <c r="E801" s="265">
        <f>'Final Building Profile'!G97</f>
        <v>0</v>
      </c>
      <c r="F801" s="265">
        <f>'Final Building Profile'!H97</f>
        <v>0</v>
      </c>
      <c r="G801" s="265">
        <f>'Final Building Profile'!I97</f>
        <v>0</v>
      </c>
      <c r="H801" s="197">
        <f t="shared" si="106"/>
        <v>0</v>
      </c>
      <c r="I801" s="197">
        <f t="shared" si="107"/>
        <v>0</v>
      </c>
      <c r="J801" s="137">
        <f t="shared" si="108"/>
        <v>0</v>
      </c>
      <c r="K801" s="66">
        <f>'Final Building Profile'!L97</f>
        <v>0</v>
      </c>
      <c r="L801" s="66">
        <f t="shared" si="121"/>
        <v>0</v>
      </c>
      <c r="M801">
        <f>'Final Building Profile'!M97</f>
        <v>0</v>
      </c>
      <c r="N801" s="66">
        <f t="shared" si="109"/>
        <v>0</v>
      </c>
      <c r="O801" s="66">
        <f t="shared" si="110"/>
        <v>0</v>
      </c>
      <c r="P801" s="66">
        <f t="shared" si="111"/>
        <v>0</v>
      </c>
      <c r="Q801" s="204">
        <f>'Final Building Profile'!K97</f>
        <v>0</v>
      </c>
      <c r="R801" s="66">
        <f t="shared" si="122"/>
        <v>0</v>
      </c>
      <c r="S801" s="65">
        <f>'Final Building Profile'!N97-'Final Building Profile'!O97</f>
        <v>0</v>
      </c>
      <c r="T801" s="65">
        <f t="shared" si="112"/>
        <v>0</v>
      </c>
      <c r="U801" s="204">
        <f>'Final Building Profile'!Q97</f>
        <v>0</v>
      </c>
      <c r="V801" s="65">
        <f>IF('Final Building Profile'!P97&lt;&gt;"", U801, 0) * T801</f>
        <v>0</v>
      </c>
      <c r="W801" s="266">
        <f t="shared" si="113"/>
        <v>0</v>
      </c>
      <c r="X801" s="266">
        <f t="shared" si="123"/>
        <v>0</v>
      </c>
      <c r="Y801" s="266" t="e">
        <f t="shared" si="114"/>
        <v>#DIV/0!</v>
      </c>
      <c r="Z801" s="266" t="e">
        <f t="shared" si="115"/>
        <v>#DIV/0!</v>
      </c>
      <c r="AA801" s="266" t="e">
        <f t="shared" si="116"/>
        <v>#DIV/0!</v>
      </c>
      <c r="AB801" s="65" t="e">
        <f t="shared" si="117"/>
        <v>#N/A</v>
      </c>
      <c r="AC801" s="65" t="e">
        <f t="shared" si="118"/>
        <v>#N/A</v>
      </c>
      <c r="AD801" s="65" t="e">
        <f t="shared" si="119"/>
        <v>#N/A</v>
      </c>
      <c r="AE801" s="65" t="e">
        <f t="shared" si="120"/>
        <v>#N/A</v>
      </c>
    </row>
    <row r="802" spans="1:31" ht="15" customHeight="1">
      <c r="A802">
        <f>'Final Building Profile'!A98</f>
        <v>95</v>
      </c>
      <c r="B802">
        <f>'Final Building Profile'!D98</f>
        <v>0</v>
      </c>
      <c r="C802">
        <f>'Final Building Profile'!E98</f>
        <v>0</v>
      </c>
      <c r="D802">
        <f>'Final Building Profile'!F98</f>
        <v>0</v>
      </c>
      <c r="E802" s="265">
        <f>'Final Building Profile'!G98</f>
        <v>0</v>
      </c>
      <c r="F802" s="265">
        <f>'Final Building Profile'!H98</f>
        <v>0</v>
      </c>
      <c r="G802" s="265">
        <f>'Final Building Profile'!I98</f>
        <v>0</v>
      </c>
      <c r="H802" s="197">
        <f t="shared" si="106"/>
        <v>0</v>
      </c>
      <c r="I802" s="197">
        <f t="shared" si="107"/>
        <v>0</v>
      </c>
      <c r="J802" s="137">
        <f t="shared" si="108"/>
        <v>0</v>
      </c>
      <c r="K802" s="66">
        <f>'Final Building Profile'!L98</f>
        <v>0</v>
      </c>
      <c r="L802" s="66">
        <f t="shared" si="121"/>
        <v>0</v>
      </c>
      <c r="M802">
        <f>'Final Building Profile'!M98</f>
        <v>0</v>
      </c>
      <c r="N802" s="66">
        <f t="shared" si="109"/>
        <v>0</v>
      </c>
      <c r="O802" s="66">
        <f t="shared" si="110"/>
        <v>0</v>
      </c>
      <c r="P802" s="66">
        <f t="shared" si="111"/>
        <v>0</v>
      </c>
      <c r="Q802" s="204">
        <f>'Final Building Profile'!K98</f>
        <v>0</v>
      </c>
      <c r="R802" s="66">
        <f t="shared" si="122"/>
        <v>0</v>
      </c>
      <c r="S802" s="65">
        <f>'Final Building Profile'!N98-'Final Building Profile'!O98</f>
        <v>0</v>
      </c>
      <c r="T802" s="65">
        <f t="shared" si="112"/>
        <v>0</v>
      </c>
      <c r="U802" s="204">
        <f>'Final Building Profile'!Q98</f>
        <v>0</v>
      </c>
      <c r="V802" s="65">
        <f>IF('Final Building Profile'!P98&lt;&gt;"", U802, 0) * T802</f>
        <v>0</v>
      </c>
      <c r="W802" s="266">
        <f t="shared" si="113"/>
        <v>0</v>
      </c>
      <c r="X802" s="266">
        <f t="shared" si="123"/>
        <v>0</v>
      </c>
      <c r="Y802" s="266" t="e">
        <f t="shared" si="114"/>
        <v>#DIV/0!</v>
      </c>
      <c r="Z802" s="266" t="e">
        <f t="shared" si="115"/>
        <v>#DIV/0!</v>
      </c>
      <c r="AA802" s="266" t="e">
        <f t="shared" si="116"/>
        <v>#DIV/0!</v>
      </c>
      <c r="AB802" s="65" t="e">
        <f t="shared" si="117"/>
        <v>#N/A</v>
      </c>
      <c r="AC802" s="65" t="e">
        <f t="shared" si="118"/>
        <v>#N/A</v>
      </c>
      <c r="AD802" s="65" t="e">
        <f t="shared" si="119"/>
        <v>#N/A</v>
      </c>
      <c r="AE802" s="65" t="e">
        <f t="shared" si="120"/>
        <v>#N/A</v>
      </c>
    </row>
    <row r="803" spans="1:31" ht="15" customHeight="1">
      <c r="A803">
        <f>'Final Building Profile'!A99</f>
        <v>96</v>
      </c>
      <c r="B803">
        <f>'Final Building Profile'!D99</f>
        <v>0</v>
      </c>
      <c r="C803">
        <f>'Final Building Profile'!E99</f>
        <v>0</v>
      </c>
      <c r="D803">
        <f>'Final Building Profile'!F99</f>
        <v>0</v>
      </c>
      <c r="E803" s="265">
        <f>'Final Building Profile'!G99</f>
        <v>0</v>
      </c>
      <c r="F803" s="265">
        <f>'Final Building Profile'!H99</f>
        <v>0</v>
      </c>
      <c r="G803" s="265">
        <f>'Final Building Profile'!I99</f>
        <v>0</v>
      </c>
      <c r="H803" s="197">
        <f t="shared" si="106"/>
        <v>0</v>
      </c>
      <c r="I803" s="197">
        <f t="shared" si="107"/>
        <v>0</v>
      </c>
      <c r="J803" s="137">
        <f t="shared" si="108"/>
        <v>0</v>
      </c>
      <c r="K803" s="66">
        <f>'Final Building Profile'!L99</f>
        <v>0</v>
      </c>
      <c r="L803" s="66">
        <f t="shared" si="121"/>
        <v>0</v>
      </c>
      <c r="M803">
        <f>'Final Building Profile'!M99</f>
        <v>0</v>
      </c>
      <c r="N803" s="66">
        <f t="shared" si="109"/>
        <v>0</v>
      </c>
      <c r="O803" s="66">
        <f t="shared" si="110"/>
        <v>0</v>
      </c>
      <c r="P803" s="66">
        <f t="shared" si="111"/>
        <v>0</v>
      </c>
      <c r="Q803" s="204">
        <f>'Final Building Profile'!K99</f>
        <v>0</v>
      </c>
      <c r="R803" s="66">
        <f t="shared" si="122"/>
        <v>0</v>
      </c>
      <c r="S803" s="65">
        <f>'Final Building Profile'!N99-'Final Building Profile'!O99</f>
        <v>0</v>
      </c>
      <c r="T803" s="65">
        <f t="shared" si="112"/>
        <v>0</v>
      </c>
      <c r="U803" s="204">
        <f>'Final Building Profile'!Q99</f>
        <v>0</v>
      </c>
      <c r="V803" s="65">
        <f>IF('Final Building Profile'!P99&lt;&gt;"", U803, 0) * T803</f>
        <v>0</v>
      </c>
      <c r="W803" s="266">
        <f t="shared" si="113"/>
        <v>0</v>
      </c>
      <c r="X803" s="266">
        <f t="shared" si="123"/>
        <v>0</v>
      </c>
      <c r="Y803" s="266" t="e">
        <f t="shared" si="114"/>
        <v>#DIV/0!</v>
      </c>
      <c r="Z803" s="266" t="e">
        <f t="shared" si="115"/>
        <v>#DIV/0!</v>
      </c>
      <c r="AA803" s="266" t="e">
        <f t="shared" si="116"/>
        <v>#DIV/0!</v>
      </c>
      <c r="AB803" s="65" t="e">
        <f t="shared" si="117"/>
        <v>#N/A</v>
      </c>
      <c r="AC803" s="65" t="e">
        <f t="shared" si="118"/>
        <v>#N/A</v>
      </c>
      <c r="AD803" s="65" t="e">
        <f t="shared" si="119"/>
        <v>#N/A</v>
      </c>
      <c r="AE803" s="65" t="e">
        <f t="shared" si="120"/>
        <v>#N/A</v>
      </c>
    </row>
    <row r="804" spans="1:31" ht="15" customHeight="1">
      <c r="A804">
        <f>'Final Building Profile'!A100</f>
        <v>97</v>
      </c>
      <c r="B804">
        <f>'Final Building Profile'!D100</f>
        <v>0</v>
      </c>
      <c r="C804">
        <f>'Final Building Profile'!E100</f>
        <v>0</v>
      </c>
      <c r="D804">
        <f>'Final Building Profile'!F100</f>
        <v>0</v>
      </c>
      <c r="E804" s="265">
        <f>'Final Building Profile'!G100</f>
        <v>0</v>
      </c>
      <c r="F804" s="265">
        <f>'Final Building Profile'!H100</f>
        <v>0</v>
      </c>
      <c r="G804" s="265">
        <f>'Final Building Profile'!I100</f>
        <v>0</v>
      </c>
      <c r="H804" s="197">
        <f t="shared" si="106"/>
        <v>0</v>
      </c>
      <c r="I804" s="197">
        <f t="shared" si="107"/>
        <v>0</v>
      </c>
      <c r="J804" s="137">
        <f t="shared" ref="J804:J806" si="124">MIN(H804, I804)</f>
        <v>0</v>
      </c>
      <c r="K804" s="66">
        <f>'Final Building Profile'!L100</f>
        <v>0</v>
      </c>
      <c r="L804" s="66">
        <f t="shared" si="121"/>
        <v>0</v>
      </c>
      <c r="M804">
        <f>'Final Building Profile'!M100</f>
        <v>0</v>
      </c>
      <c r="N804" s="66">
        <f t="shared" ref="N804:N806" si="125">M804*$B$699</f>
        <v>0</v>
      </c>
      <c r="O804" s="66">
        <f t="shared" ref="O804:O806" si="126">L804+N804</f>
        <v>0</v>
      </c>
      <c r="P804" s="66">
        <f t="shared" ref="P804:P806" si="127">O804*J804</f>
        <v>0</v>
      </c>
      <c r="Q804" s="204">
        <f>'Final Building Profile'!K100</f>
        <v>0</v>
      </c>
      <c r="R804" s="66">
        <f t="shared" si="122"/>
        <v>0</v>
      </c>
      <c r="S804" s="65">
        <f>'Final Building Profile'!N100-'Final Building Profile'!O100</f>
        <v>0</v>
      </c>
      <c r="T804" s="65">
        <f t="shared" ref="T804:T806" si="128">S804*J804</f>
        <v>0</v>
      </c>
      <c r="U804" s="204">
        <f>'Final Building Profile'!Q100</f>
        <v>0</v>
      </c>
      <c r="V804" s="65">
        <f>IF('Final Building Profile'!P100&lt;&gt;"", U804, 0) * T804</f>
        <v>0</v>
      </c>
      <c r="W804" s="266">
        <f t="shared" si="113"/>
        <v>0</v>
      </c>
      <c r="X804" s="266">
        <f t="shared" si="123"/>
        <v>0</v>
      </c>
      <c r="Y804" s="266" t="e">
        <f t="shared" si="114"/>
        <v>#DIV/0!</v>
      </c>
      <c r="Z804" s="266" t="e">
        <f t="shared" si="115"/>
        <v>#DIV/0!</v>
      </c>
      <c r="AA804" s="266" t="e">
        <f t="shared" ref="AA804:AA806" si="129">IF(I804=J804, Y804, Z804)</f>
        <v>#DIV/0!</v>
      </c>
      <c r="AB804" s="65" t="e">
        <f t="shared" si="117"/>
        <v>#N/A</v>
      </c>
      <c r="AC804" s="65" t="e">
        <f t="shared" si="118"/>
        <v>#N/A</v>
      </c>
      <c r="AD804" s="65" t="e">
        <f t="shared" si="119"/>
        <v>#N/A</v>
      </c>
      <c r="AE804" s="65" t="e">
        <f t="shared" si="120"/>
        <v>#N/A</v>
      </c>
    </row>
    <row r="805" spans="1:31" ht="15" customHeight="1">
      <c r="A805">
        <f>'Final Building Profile'!A101</f>
        <v>98</v>
      </c>
      <c r="B805">
        <f>'Final Building Profile'!D101</f>
        <v>0</v>
      </c>
      <c r="C805">
        <f>'Final Building Profile'!E101</f>
        <v>0</v>
      </c>
      <c r="D805">
        <f>'Final Building Profile'!F101</f>
        <v>0</v>
      </c>
      <c r="E805" s="265">
        <f>'Final Building Profile'!G101</f>
        <v>0</v>
      </c>
      <c r="F805" s="265">
        <f>'Final Building Profile'!H101</f>
        <v>0</v>
      </c>
      <c r="G805" s="265">
        <f>'Final Building Profile'!I101</f>
        <v>0</v>
      </c>
      <c r="H805" s="197">
        <f t="shared" si="106"/>
        <v>0</v>
      </c>
      <c r="I805" s="197">
        <f t="shared" si="107"/>
        <v>0</v>
      </c>
      <c r="J805" s="137">
        <f t="shared" si="124"/>
        <v>0</v>
      </c>
      <c r="K805" s="66">
        <f>'Final Building Profile'!L101</f>
        <v>0</v>
      </c>
      <c r="L805" s="66">
        <f t="shared" si="121"/>
        <v>0</v>
      </c>
      <c r="M805">
        <f>'Final Building Profile'!M101</f>
        <v>0</v>
      </c>
      <c r="N805" s="66">
        <f t="shared" si="125"/>
        <v>0</v>
      </c>
      <c r="O805" s="66">
        <f t="shared" si="126"/>
        <v>0</v>
      </c>
      <c r="P805" s="66">
        <f t="shared" si="127"/>
        <v>0</v>
      </c>
      <c r="Q805" s="204">
        <f>'Final Building Profile'!K101</f>
        <v>0</v>
      </c>
      <c r="R805" s="66">
        <f t="shared" si="122"/>
        <v>0</v>
      </c>
      <c r="S805" s="65">
        <f>'Final Building Profile'!N101-'Final Building Profile'!O101</f>
        <v>0</v>
      </c>
      <c r="T805" s="65">
        <f t="shared" si="128"/>
        <v>0</v>
      </c>
      <c r="U805" s="204">
        <f>'Final Building Profile'!Q101</f>
        <v>0</v>
      </c>
      <c r="V805" s="65">
        <f>IF('Final Building Profile'!P101&lt;&gt;"", U805, 0) * T805</f>
        <v>0</v>
      </c>
      <c r="W805" s="266">
        <f t="shared" si="113"/>
        <v>0</v>
      </c>
      <c r="X805" s="266">
        <f t="shared" si="123"/>
        <v>0</v>
      </c>
      <c r="Y805" s="266" t="e">
        <f t="shared" si="114"/>
        <v>#DIV/0!</v>
      </c>
      <c r="Z805" s="266" t="e">
        <f t="shared" si="115"/>
        <v>#DIV/0!</v>
      </c>
      <c r="AA805" s="266" t="e">
        <f t="shared" si="129"/>
        <v>#DIV/0!</v>
      </c>
      <c r="AB805" s="65" t="e">
        <f t="shared" si="117"/>
        <v>#N/A</v>
      </c>
      <c r="AC805" s="65" t="e">
        <f t="shared" si="118"/>
        <v>#N/A</v>
      </c>
      <c r="AD805" s="65" t="e">
        <f t="shared" si="119"/>
        <v>#N/A</v>
      </c>
      <c r="AE805" s="65" t="e">
        <f t="shared" si="120"/>
        <v>#N/A</v>
      </c>
    </row>
    <row r="806" spans="1:31" ht="15" customHeight="1" thickBot="1">
      <c r="A806">
        <f>'Final Building Profile'!A102</f>
        <v>99</v>
      </c>
      <c r="B806">
        <f>'Final Building Profile'!D102</f>
        <v>0</v>
      </c>
      <c r="C806">
        <f>'Final Building Profile'!E102</f>
        <v>0</v>
      </c>
      <c r="D806">
        <f>'Final Building Profile'!F102</f>
        <v>0</v>
      </c>
      <c r="E806" s="265">
        <f>'Final Building Profile'!G102</f>
        <v>0</v>
      </c>
      <c r="F806" s="265">
        <f>'Final Building Profile'!H102</f>
        <v>0</v>
      </c>
      <c r="G806" s="265">
        <f>'Final Building Profile'!I102</f>
        <v>0</v>
      </c>
      <c r="H806" s="197">
        <f t="shared" si="106"/>
        <v>0</v>
      </c>
      <c r="I806" s="197">
        <f t="shared" si="107"/>
        <v>0</v>
      </c>
      <c r="J806" s="137">
        <f t="shared" si="124"/>
        <v>0</v>
      </c>
      <c r="K806" s="66">
        <f>'Final Building Profile'!L102</f>
        <v>0</v>
      </c>
      <c r="L806" s="66">
        <f t="shared" si="121"/>
        <v>0</v>
      </c>
      <c r="M806">
        <f>'Final Building Profile'!M102</f>
        <v>0</v>
      </c>
      <c r="N806" s="66">
        <f t="shared" si="125"/>
        <v>0</v>
      </c>
      <c r="O806" s="66">
        <f t="shared" si="126"/>
        <v>0</v>
      </c>
      <c r="P806" s="66">
        <f t="shared" si="127"/>
        <v>0</v>
      </c>
      <c r="Q806" s="204">
        <f>'Final Building Profile'!K102</f>
        <v>0</v>
      </c>
      <c r="R806" s="66">
        <f t="shared" si="122"/>
        <v>0</v>
      </c>
      <c r="S806" s="65">
        <f>'Final Building Profile'!N102-'Final Building Profile'!O102</f>
        <v>0</v>
      </c>
      <c r="T806" s="65">
        <f t="shared" si="128"/>
        <v>0</v>
      </c>
      <c r="U806" s="204">
        <f>'Final Building Profile'!Q102</f>
        <v>0</v>
      </c>
      <c r="V806" s="65">
        <f>IF('Final Building Profile'!P102&lt;&gt;"", U806, 0) * T806</f>
        <v>0</v>
      </c>
      <c r="W806" s="266">
        <f t="shared" si="113"/>
        <v>0</v>
      </c>
      <c r="X806" s="266">
        <f t="shared" si="123"/>
        <v>0</v>
      </c>
      <c r="Y806" s="266" t="e">
        <f t="shared" si="114"/>
        <v>#DIV/0!</v>
      </c>
      <c r="Z806" s="266" t="e">
        <f t="shared" si="115"/>
        <v>#DIV/0!</v>
      </c>
      <c r="AA806" s="266" t="e">
        <f t="shared" si="129"/>
        <v>#DIV/0!</v>
      </c>
      <c r="AB806" s="65" t="e">
        <f t="shared" si="117"/>
        <v>#N/A</v>
      </c>
      <c r="AC806" s="65" t="e">
        <f t="shared" si="118"/>
        <v>#N/A</v>
      </c>
      <c r="AD806" s="65" t="e">
        <f t="shared" si="119"/>
        <v>#N/A</v>
      </c>
      <c r="AE806" s="65" t="e">
        <f t="shared" si="120"/>
        <v>#N/A</v>
      </c>
    </row>
    <row r="807" spans="1:31" ht="15.75" thickTop="1">
      <c r="A807" s="68" t="s">
        <v>377</v>
      </c>
      <c r="B807" s="71">
        <f>SUM(B708:B806)</f>
        <v>0</v>
      </c>
      <c r="C807" s="71">
        <f t="shared" ref="C807:M807" si="130">SUM(C708:C806)</f>
        <v>0</v>
      </c>
      <c r="D807" s="71">
        <f t="shared" si="130"/>
        <v>0</v>
      </c>
      <c r="E807" s="71">
        <f t="shared" si="130"/>
        <v>0</v>
      </c>
      <c r="F807" s="71">
        <f t="shared" si="130"/>
        <v>0</v>
      </c>
      <c r="G807" s="71">
        <f t="shared" si="130"/>
        <v>0</v>
      </c>
      <c r="H807" s="71">
        <f t="shared" si="130"/>
        <v>0</v>
      </c>
      <c r="I807" s="71">
        <f t="shared" si="130"/>
        <v>0</v>
      </c>
      <c r="J807" s="71">
        <f t="shared" si="130"/>
        <v>0</v>
      </c>
      <c r="K807" s="71">
        <f t="shared" si="130"/>
        <v>0</v>
      </c>
      <c r="L807" s="322">
        <f>ROUND(SUM(L708:L806), 0)</f>
        <v>0</v>
      </c>
      <c r="M807" s="71">
        <f t="shared" si="130"/>
        <v>0</v>
      </c>
      <c r="N807" s="322">
        <f>ROUND(SUM(N708:N806), 0)</f>
        <v>0</v>
      </c>
      <c r="O807" s="322">
        <f>ROUND(SUM(O708:O806), 0)</f>
        <v>0</v>
      </c>
      <c r="P807" s="323">
        <f>ROUND(SUM(P708:P806), 0)</f>
        <v>0</v>
      </c>
      <c r="Q807" s="66"/>
      <c r="R807" s="323">
        <f>ROUND(SUM(R708:R806), 0)</f>
        <v>0</v>
      </c>
      <c r="S807" s="448">
        <f t="shared" ref="S807" si="131">SUM(S708:S806)</f>
        <v>0</v>
      </c>
      <c r="T807" s="323">
        <f>ROUND(SUM(T708:T806), 0)</f>
        <v>0</v>
      </c>
      <c r="U807" s="66"/>
      <c r="V807" s="323">
        <f>ROUND(SUM(V708:V806), 0)</f>
        <v>0</v>
      </c>
      <c r="W807" s="400">
        <f>ROUND(SUM(W708:W806), 0)</f>
        <v>0</v>
      </c>
      <c r="X807" s="400">
        <f t="shared" ref="X807:AA807" si="132">ROUND(SUM(X708:X806), 0)</f>
        <v>0</v>
      </c>
      <c r="Y807" s="400" t="e">
        <f t="shared" si="132"/>
        <v>#DIV/0!</v>
      </c>
      <c r="Z807" s="400" t="e">
        <f t="shared" si="132"/>
        <v>#DIV/0!</v>
      </c>
      <c r="AA807" s="400" t="e">
        <f t="shared" si="132"/>
        <v>#DIV/0!</v>
      </c>
      <c r="AB807" s="323" t="e">
        <f>SUM(AB708:AB806)</f>
        <v>#N/A</v>
      </c>
      <c r="AC807" s="323" t="e">
        <f t="shared" ref="AC807:AE807" si="133">SUM(AC708:AC806)</f>
        <v>#N/A</v>
      </c>
      <c r="AD807" s="323" t="e">
        <f t="shared" si="133"/>
        <v>#N/A</v>
      </c>
      <c r="AE807" s="323" t="e">
        <f t="shared" si="133"/>
        <v>#N/A</v>
      </c>
    </row>
    <row r="808" spans="1:31">
      <c r="A808" s="1"/>
      <c r="B808" s="1"/>
      <c r="E808" s="22" t="s">
        <v>2948</v>
      </c>
      <c r="F808" s="92"/>
      <c r="G808" s="22" t="s">
        <v>2949</v>
      </c>
    </row>
    <row r="809" spans="1:31">
      <c r="B809" s="67" t="s">
        <v>2950</v>
      </c>
      <c r="C809" s="66">
        <f>O807</f>
        <v>0</v>
      </c>
      <c r="E809" t="str">
        <f>A456</f>
        <v>Eligible Basis</v>
      </c>
      <c r="F809" s="322" t="e">
        <f>B460</f>
        <v>#N/A</v>
      </c>
      <c r="G809" t="str">
        <f t="shared" ref="G809:G814" si="134">IF(B$4,IF(C809=F809,"","Mismatch between property-based values and building-based values"),"")</f>
        <v/>
      </c>
      <c r="H809" t="s">
        <v>2951</v>
      </c>
      <c r="I809" t="s">
        <v>2952</v>
      </c>
      <c r="R809" t="s">
        <v>2953</v>
      </c>
      <c r="V809" s="66">
        <f>R807+V807</f>
        <v>0</v>
      </c>
    </row>
    <row r="810" spans="1:31">
      <c r="B810" s="67" t="s">
        <v>2954</v>
      </c>
      <c r="C810" s="66">
        <f>P807</f>
        <v>0</v>
      </c>
      <c r="E810" t="str">
        <f>A462</f>
        <v>Qualified Basis</v>
      </c>
      <c r="F810" s="66" t="e">
        <f>B462</f>
        <v>#N/A</v>
      </c>
      <c r="G810" t="str">
        <f t="shared" si="134"/>
        <v/>
      </c>
    </row>
    <row r="811" spans="1:31">
      <c r="B811" s="67" t="s">
        <v>2955</v>
      </c>
      <c r="C811" s="66">
        <f>R807</f>
        <v>0</v>
      </c>
      <c r="E811" t="str">
        <f>A464</f>
        <v>Annual Credit</v>
      </c>
      <c r="F811" s="66" t="e">
        <f>B464</f>
        <v>#N/A</v>
      </c>
      <c r="G811" t="str">
        <f t="shared" si="134"/>
        <v/>
      </c>
    </row>
    <row r="812" spans="1:31">
      <c r="B812" s="67" t="s">
        <v>2935</v>
      </c>
      <c r="C812" s="66">
        <f>S807</f>
        <v>0</v>
      </c>
      <c r="E812" t="str">
        <f>A467</f>
        <v>Eligible Basis</v>
      </c>
      <c r="F812" s="66">
        <f>B467</f>
        <v>0</v>
      </c>
      <c r="G812" t="str">
        <f t="shared" si="134"/>
        <v/>
      </c>
    </row>
    <row r="813" spans="1:31">
      <c r="B813" s="67" t="s">
        <v>2956</v>
      </c>
      <c r="C813" s="66">
        <f>T807</f>
        <v>0</v>
      </c>
      <c r="E813" t="str">
        <f>A469</f>
        <v>Qualified Basis</v>
      </c>
      <c r="F813" s="66">
        <f>B469</f>
        <v>0</v>
      </c>
      <c r="G813" t="str">
        <f t="shared" si="134"/>
        <v/>
      </c>
    </row>
    <row r="814" spans="1:31">
      <c r="B814" s="67" t="s">
        <v>2957</v>
      </c>
      <c r="C814" s="66">
        <f>V807</f>
        <v>0</v>
      </c>
      <c r="E814" t="str">
        <f>A471</f>
        <v>Acquisition Credit</v>
      </c>
      <c r="F814" s="66">
        <f>B471</f>
        <v>0</v>
      </c>
      <c r="G814" t="str">
        <f t="shared" si="134"/>
        <v/>
      </c>
    </row>
    <row r="815" spans="1:31">
      <c r="B815" s="67" t="s">
        <v>2958</v>
      </c>
      <c r="C815" s="66" t="e">
        <f>B702</f>
        <v>#N/A</v>
      </c>
      <c r="F815" s="66"/>
    </row>
    <row r="816" spans="1:31">
      <c r="B816" s="67" t="s">
        <v>2959</v>
      </c>
      <c r="C816" s="66">
        <v>0</v>
      </c>
      <c r="F816" s="66"/>
    </row>
    <row r="817" spans="1:13">
      <c r="B817" s="67" t="s">
        <v>2960</v>
      </c>
      <c r="C817" s="66">
        <v>0</v>
      </c>
      <c r="F817" s="66"/>
    </row>
    <row r="818" spans="1:13">
      <c r="B818" s="67" t="s">
        <v>2961</v>
      </c>
      <c r="C818" s="66">
        <v>0</v>
      </c>
      <c r="F818" s="66"/>
    </row>
    <row r="819" spans="1:13">
      <c r="A819" s="1"/>
      <c r="B819" s="1"/>
      <c r="F819" s="92"/>
    </row>
    <row r="820" spans="1:13">
      <c r="A820" s="1"/>
      <c r="B820" s="1"/>
      <c r="F820" s="92"/>
    </row>
    <row r="822" spans="1:13">
      <c r="A822" t="s">
        <v>797</v>
      </c>
      <c r="B822" s="322" t="e">
        <f>B456</f>
        <v>#N/A</v>
      </c>
    </row>
    <row r="823" spans="1:13">
      <c r="A823" t="s">
        <v>2962</v>
      </c>
      <c r="B823" s="322">
        <f>B467</f>
        <v>0</v>
      </c>
    </row>
    <row r="826" spans="1:13">
      <c r="A826" s="99" t="s">
        <v>2474</v>
      </c>
      <c r="B826" s="99"/>
      <c r="C826" s="99"/>
      <c r="D826" s="99"/>
      <c r="E826" s="99"/>
      <c r="F826" s="99"/>
      <c r="G826" s="99"/>
      <c r="H826" s="71"/>
      <c r="I826" s="71"/>
      <c r="J826" s="71"/>
      <c r="K826" s="71"/>
      <c r="L826" s="71"/>
      <c r="M826" s="71"/>
    </row>
    <row r="828" spans="1:13">
      <c r="A828" t="s">
        <v>2841</v>
      </c>
      <c r="B828" s="66" t="e">
        <f>IF($B$4,$C$815,$B$510)</f>
        <v>#N/A</v>
      </c>
      <c r="C828" s="66"/>
    </row>
    <row r="829" spans="1:13">
      <c r="A829" t="s">
        <v>2871</v>
      </c>
      <c r="B829" s="66">
        <f>$B$560</f>
        <v>0</v>
      </c>
      <c r="C829" s="66"/>
    </row>
    <row r="830" spans="1:13">
      <c r="A830" t="s">
        <v>2963</v>
      </c>
      <c r="B830" s="92">
        <f>$H$41+$H$43</f>
        <v>0</v>
      </c>
      <c r="C830" s="66"/>
    </row>
    <row r="832" spans="1:13">
      <c r="A832" s="22" t="s">
        <v>2964</v>
      </c>
    </row>
    <row r="833" spans="1:8">
      <c r="A833" t="s">
        <v>2477</v>
      </c>
    </row>
    <row r="834" spans="1:8">
      <c r="A834" t="s">
        <v>2965</v>
      </c>
      <c r="B834" s="66">
        <f>Admin!B100</f>
        <v>15000</v>
      </c>
    </row>
    <row r="836" spans="1:8">
      <c r="A836" t="s">
        <v>2479</v>
      </c>
    </row>
    <row r="837" spans="1:8">
      <c r="A837" t="s">
        <v>2966</v>
      </c>
      <c r="B837" s="66" t="e">
        <f>($B$828*Admin!B101) + ($B$829*Admin!B102)</f>
        <v>#N/A</v>
      </c>
    </row>
    <row r="839" spans="1:8">
      <c r="A839" t="s">
        <v>2481</v>
      </c>
      <c r="F839" s="1" t="s">
        <v>901</v>
      </c>
      <c r="G839" s="1" t="s">
        <v>397</v>
      </c>
      <c r="H839" s="1" t="s">
        <v>2967</v>
      </c>
    </row>
    <row r="840" spans="1:8">
      <c r="A840" t="s">
        <v>2968</v>
      </c>
      <c r="B840" s="66" t="e">
        <f>($B$828*Admin!B103) + ($B$829*Admin!B104)</f>
        <v>#N/A</v>
      </c>
      <c r="E840" s="1" t="s">
        <v>2969</v>
      </c>
      <c r="F840" t="str">
        <f>IF($B$6,A833,A845)</f>
        <v>4%  Non Competitive Application Fee</v>
      </c>
      <c r="G840" s="149">
        <f>IF($B$6,B834,B848)</f>
        <v>15000</v>
      </c>
      <c r="H840" t="str">
        <f>IF($B$6,A834,A848)</f>
        <v>For Federal &amp; State Annual Credit (if applicable)</v>
      </c>
    </row>
    <row r="841" spans="1:8">
      <c r="E841" s="1" t="s">
        <v>2970</v>
      </c>
      <c r="F841" t="str">
        <f>IF($B$6,A836,A850)</f>
        <v>4%  Non Competitive Initial Determination Fee</v>
      </c>
      <c r="G841" s="149" t="e">
        <f>IF($B$6,B837,B851)</f>
        <v>#N/A</v>
      </c>
      <c r="H841" t="str">
        <f>IF($B$6,A837,A851)</f>
        <v>For Federal and State (if applicable)</v>
      </c>
    </row>
    <row r="842" spans="1:8">
      <c r="E842" s="1" t="s">
        <v>2971</v>
      </c>
      <c r="F842" t="str">
        <f>IF($B$6,A839,A853)</f>
        <v>4%  Non Competitive Final Application Fee</v>
      </c>
      <c r="G842" s="149" t="e">
        <f>IF($B$6,B840,B853)</f>
        <v>#N/A</v>
      </c>
      <c r="H842" t="str">
        <f>IF($B$6,A840,A854)</f>
        <v>(Not applicable to developments that received a Carryover Allocation and paid a Carryover Application Fee)</v>
      </c>
    </row>
    <row r="843" spans="1:8">
      <c r="E843" s="1" t="s">
        <v>2972</v>
      </c>
      <c r="F843" t="str">
        <f>A852</f>
        <v>State Milestone Fee</v>
      </c>
      <c r="G843" s="148" t="str">
        <f>IF(B852=0,"#N/A",B852)</f>
        <v>#N/A</v>
      </c>
    </row>
    <row r="844" spans="1:8">
      <c r="A844" s="22" t="s">
        <v>2973</v>
      </c>
      <c r="E844" s="1" t="s">
        <v>2974</v>
      </c>
      <c r="G844" s="149">
        <f>B858</f>
        <v>0</v>
      </c>
    </row>
    <row r="845" spans="1:8">
      <c r="A845" t="s">
        <v>2975</v>
      </c>
      <c r="E845" s="1" t="s">
        <v>2976</v>
      </c>
      <c r="G845" s="66" t="e">
        <f>SUM(G840:G844)</f>
        <v>#N/A</v>
      </c>
    </row>
    <row r="846" spans="1:8">
      <c r="A846" s="164" t="s">
        <v>2977</v>
      </c>
      <c r="B846" s="66">
        <f>Admin!B105</f>
        <v>15000</v>
      </c>
      <c r="E846" s="1"/>
      <c r="G846" s="66"/>
    </row>
    <row r="847" spans="1:8">
      <c r="A847" s="164" t="s">
        <v>2978</v>
      </c>
      <c r="B847" s="66">
        <f>IF($B$10, Admin!B106, 0)</f>
        <v>0</v>
      </c>
      <c r="E847" s="1"/>
      <c r="G847" s="66"/>
    </row>
    <row r="848" spans="1:8">
      <c r="A848" t="s">
        <v>2979</v>
      </c>
      <c r="B848" s="66">
        <f>SUM(B846:B847)</f>
        <v>15000</v>
      </c>
    </row>
    <row r="850" spans="1:13">
      <c r="A850" t="s">
        <v>2980</v>
      </c>
    </row>
    <row r="851" spans="1:13">
      <c r="A851" t="s">
        <v>2981</v>
      </c>
      <c r="B851" s="66" t="e">
        <f>($B$828*Admin!B107) + IF($B$10,MAX(($B$829*Admin!B108), Admin!B109),0)</f>
        <v>#N/A</v>
      </c>
    </row>
    <row r="852" spans="1:13">
      <c r="A852" t="s">
        <v>2484</v>
      </c>
      <c r="B852" s="149">
        <f>IF($B$10,Admin!B115,0)</f>
        <v>0</v>
      </c>
    </row>
    <row r="853" spans="1:13">
      <c r="A853" t="s">
        <v>2982</v>
      </c>
      <c r="B853" s="66" t="e">
        <f>($B$828*Admin!B110) + IF($B$10,MAX(($B$829*Admin!B111), Admin!B112),0)</f>
        <v>#N/A</v>
      </c>
    </row>
    <row r="854" spans="1:13">
      <c r="A854" t="s">
        <v>2983</v>
      </c>
    </row>
    <row r="857" spans="1:13">
      <c r="A857" s="22" t="s">
        <v>2984</v>
      </c>
    </row>
    <row r="858" spans="1:13">
      <c r="A858" t="s">
        <v>2483</v>
      </c>
      <c r="B858" s="66">
        <f>B830*IF(Application!B5 &lt; 2016, Admin!B113, Admin!B114)</f>
        <v>0</v>
      </c>
    </row>
    <row r="859" spans="1:13">
      <c r="A859" t="s">
        <v>2985</v>
      </c>
    </row>
    <row r="860" spans="1:13">
      <c r="A860" s="1"/>
      <c r="B860" s="1"/>
    </row>
    <row r="861" spans="1:13">
      <c r="A861" s="22" t="s">
        <v>4215</v>
      </c>
      <c r="B861" s="1"/>
    </row>
    <row r="862" spans="1:13">
      <c r="A862" t="s">
        <v>4216</v>
      </c>
      <c r="B862" s="892">
        <f>IF(Application!B12 = "Yes", Admin!B116, 0)</f>
        <v>0</v>
      </c>
    </row>
    <row r="863" spans="1:13">
      <c r="A863" s="99" t="s">
        <v>73</v>
      </c>
      <c r="B863" s="99"/>
      <c r="C863" s="99"/>
      <c r="D863" s="99"/>
      <c r="E863" s="99"/>
      <c r="F863" s="99"/>
      <c r="G863" s="99"/>
      <c r="H863" s="71"/>
      <c r="I863" s="71"/>
      <c r="J863" s="71"/>
      <c r="K863" s="71"/>
      <c r="L863" s="71"/>
      <c r="M863" s="71"/>
    </row>
    <row r="864" spans="1:13">
      <c r="A864" s="1"/>
      <c r="B864" s="1"/>
    </row>
    <row r="865" spans="1:13">
      <c r="A865" t="s">
        <v>2986</v>
      </c>
      <c r="B865">
        <f>_xlfn.IFNA(INDEX(Building_Construction_Table[],MATCH(Application!B61,Building_Construction_List,0),2),0)</f>
        <v>0</v>
      </c>
    </row>
    <row r="866" spans="1:13">
      <c r="A866" t="s">
        <v>2987</v>
      </c>
      <c r="B866">
        <f>_xlfn.IFNA(INDEX(Building_Construction_Table[],MATCH(Application!B61,Building_Construction_List,0),3),0)</f>
        <v>0</v>
      </c>
    </row>
    <row r="867" spans="1:13">
      <c r="A867" t="s">
        <v>892</v>
      </c>
      <c r="B867" t="str">
        <f>IF(SUM(L62:L68)=0,"",INDEX(K62:K68,MATCH(MAX(L62:L68),L62:L68,0)))</f>
        <v/>
      </c>
    </row>
    <row r="868" spans="1:13">
      <c r="A868" t="s">
        <v>2745</v>
      </c>
      <c r="B868" s="279">
        <f>Application!B139</f>
        <v>0</v>
      </c>
    </row>
    <row r="869" spans="1:13">
      <c r="A869" t="s">
        <v>2988</v>
      </c>
      <c r="B869" s="273">
        <f>IF(B868=0,0,'Cost Summary'!C8/B868)</f>
        <v>0</v>
      </c>
    </row>
    <row r="870" spans="1:13">
      <c r="B870" s="273"/>
    </row>
    <row r="871" spans="1:13">
      <c r="A871" s="99" t="s">
        <v>2989</v>
      </c>
      <c r="B871" s="99"/>
      <c r="C871" s="99"/>
      <c r="D871" s="99"/>
      <c r="E871" s="99"/>
      <c r="F871" s="99"/>
      <c r="G871" s="99"/>
      <c r="H871" s="71"/>
      <c r="I871" s="71"/>
      <c r="J871" s="71"/>
      <c r="K871" s="71"/>
      <c r="L871" s="71"/>
      <c r="M871" s="71"/>
    </row>
    <row r="872" spans="1:13">
      <c r="B872" s="273"/>
    </row>
    <row r="873" spans="1:13">
      <c r="A873" t="s">
        <v>2990</v>
      </c>
      <c r="B873" s="273" t="b">
        <f>Application!B75="CHFA"</f>
        <v>0</v>
      </c>
      <c r="K873" t="s">
        <v>2991</v>
      </c>
    </row>
    <row r="874" spans="1:13">
      <c r="A874" t="s">
        <v>1979</v>
      </c>
      <c r="B874" s="273">
        <f>SUM(Application!B76:B78)</f>
        <v>0</v>
      </c>
      <c r="C874" s="67" t="s">
        <v>922</v>
      </c>
    </row>
    <row r="875" spans="1:13">
      <c r="A875" t="s">
        <v>2992</v>
      </c>
      <c r="B875" s="273">
        <f>C292+B172</f>
        <v>0</v>
      </c>
      <c r="C875" s="394">
        <f>B875*0.55</f>
        <v>0</v>
      </c>
      <c r="E875" s="1" t="s">
        <v>898</v>
      </c>
      <c r="F875" s="1" t="s">
        <v>2993</v>
      </c>
      <c r="G875" s="1" t="s">
        <v>2994</v>
      </c>
      <c r="J875" s="395" t="s">
        <v>2746</v>
      </c>
    </row>
    <row r="876" spans="1:13">
      <c r="A876" t="s">
        <v>2995</v>
      </c>
      <c r="B876" s="396">
        <f>IF(B875=0,0,B874/B875)</f>
        <v>0</v>
      </c>
      <c r="E876">
        <f>H45</f>
        <v>0</v>
      </c>
      <c r="F876">
        <f>SUM(B45)+(C45*1)+(D45*2)+(E45*3)+(F45*4)+(G45*5)</f>
        <v>0</v>
      </c>
      <c r="G876" s="303">
        <f>SUM(M56-M54)</f>
        <v>0</v>
      </c>
      <c r="I876" t="b">
        <f>IF(AND(B876&gt;=0.5,B876&lt;=0.55),TRUE,FALSE)</f>
        <v>0</v>
      </c>
      <c r="J876" t="str">
        <f>IF(OR(NOT(B873),B874=0),"",INDEX(Comments_PAB_Requirements_table[],MATCH(I876,Comments_PAB_Requirements_table[PAB Requirements],0),2))</f>
        <v/>
      </c>
    </row>
    <row r="877" spans="1:13">
      <c r="B877" s="396"/>
      <c r="E877" t="s">
        <v>915</v>
      </c>
      <c r="F877" t="s">
        <v>916</v>
      </c>
      <c r="G877" t="s">
        <v>914</v>
      </c>
    </row>
    <row r="878" spans="1:13">
      <c r="A878" t="s">
        <v>913</v>
      </c>
      <c r="B878" s="397">
        <f>B292</f>
        <v>0</v>
      </c>
      <c r="D878" t="str">
        <f>A878</f>
        <v>Total Development Costs</v>
      </c>
      <c r="E878" s="66">
        <f>IF($E$876=0,0,$B878/$E$876)</f>
        <v>0</v>
      </c>
      <c r="F878" s="66">
        <f>IF($F$876=0,0,$B878/$F$876)</f>
        <v>0</v>
      </c>
      <c r="G878" s="66">
        <f>IF($G$876=0,0,$B878/$G$876)</f>
        <v>0</v>
      </c>
    </row>
    <row r="879" spans="1:13">
      <c r="A879" t="s">
        <v>2996</v>
      </c>
      <c r="B879" s="397">
        <f>B179+B195</f>
        <v>0</v>
      </c>
      <c r="D879" t="str">
        <f>A879</f>
        <v>Total Hard Costs</v>
      </c>
      <c r="E879" s="66">
        <f>IF($E$876=0,0,$B879/$E$876)</f>
        <v>0</v>
      </c>
      <c r="F879" s="66">
        <f>IF($F$876=0,0,$B879/$F$876)</f>
        <v>0</v>
      </c>
      <c r="G879" s="66">
        <f>IF($G$876=0,0,$B879/$G$876)</f>
        <v>0</v>
      </c>
    </row>
    <row r="880" spans="1:13">
      <c r="A880" t="s">
        <v>918</v>
      </c>
      <c r="B880" s="397">
        <f>B878-B879</f>
        <v>0</v>
      </c>
      <c r="D880" t="s">
        <v>918</v>
      </c>
      <c r="E880" s="66">
        <f>E878-E879</f>
        <v>0</v>
      </c>
      <c r="F880" s="66">
        <f t="shared" ref="F880:G880" si="135">F878-F879</f>
        <v>0</v>
      </c>
      <c r="G880" s="66">
        <f t="shared" si="135"/>
        <v>0</v>
      </c>
    </row>
    <row r="881" spans="1:16">
      <c r="A881" t="s">
        <v>480</v>
      </c>
      <c r="B881" s="397">
        <f>SUM(B276:B282)</f>
        <v>0</v>
      </c>
      <c r="D881" t="str">
        <f>A881</f>
        <v>Developer Fee</v>
      </c>
      <c r="E881" s="66">
        <f>IF($E$876=0,0,$B881/$E$876)</f>
        <v>0</v>
      </c>
      <c r="F881" s="66">
        <f>IF($F$876=0,0,$B881/$F$876)</f>
        <v>0</v>
      </c>
      <c r="G881" s="66">
        <f>IF($G$876=0,0,$B881/$G$876)</f>
        <v>0</v>
      </c>
    </row>
    <row r="882" spans="1:16">
      <c r="A882" t="s">
        <v>2997</v>
      </c>
      <c r="B882" s="397">
        <f>B291</f>
        <v>0</v>
      </c>
      <c r="D882" t="str">
        <f>A882</f>
        <v>Total Reserves</v>
      </c>
      <c r="E882" s="66">
        <f>IF($E$876=0,0,$B882/$E$876)</f>
        <v>0</v>
      </c>
      <c r="F882" s="66">
        <f>IF($F$876=0,0,$B882/$F$876)</f>
        <v>0</v>
      </c>
      <c r="G882" s="66">
        <f>IF($G$876=0,0,$B882/$G$876)</f>
        <v>0</v>
      </c>
    </row>
    <row r="883" spans="1:16">
      <c r="B883" s="396"/>
      <c r="D883" t="s">
        <v>917</v>
      </c>
      <c r="E883" s="66" t="e">
        <f>B172/E876</f>
        <v>#DIV/0!</v>
      </c>
      <c r="F883" s="66" t="e">
        <f>B172/F876</f>
        <v>#DIV/0!</v>
      </c>
      <c r="G883" s="66" t="e">
        <f>B172/G876</f>
        <v>#DIV/0!</v>
      </c>
    </row>
    <row r="884" spans="1:16">
      <c r="A884" t="s">
        <v>1315</v>
      </c>
      <c r="B884" s="396">
        <f>IF(B881=0,0,B140/B881)</f>
        <v>0</v>
      </c>
    </row>
    <row r="885" spans="1:16">
      <c r="B885" s="1"/>
    </row>
    <row r="886" spans="1:16">
      <c r="A886" s="99" t="s">
        <v>2998</v>
      </c>
      <c r="B886" s="99"/>
      <c r="C886" s="99"/>
      <c r="D886" s="99"/>
      <c r="E886" s="99"/>
      <c r="F886" s="99"/>
      <c r="G886" s="99"/>
      <c r="H886" s="71"/>
      <c r="I886" s="71"/>
      <c r="J886" s="71"/>
      <c r="K886" s="71"/>
      <c r="L886" s="71"/>
      <c r="M886" s="71"/>
    </row>
    <row r="887" spans="1:16" ht="30">
      <c r="A887" s="98" t="s">
        <v>110</v>
      </c>
      <c r="B887" s="98" t="s">
        <v>111</v>
      </c>
      <c r="C887" s="98" t="s">
        <v>112</v>
      </c>
      <c r="D887" s="98" t="s">
        <v>113</v>
      </c>
      <c r="E887" s="388" t="s">
        <v>114</v>
      </c>
      <c r="F887" s="388" t="s">
        <v>1026</v>
      </c>
      <c r="G887" s="388" t="s">
        <v>2999</v>
      </c>
      <c r="H887" s="388"/>
    </row>
    <row r="888" spans="1:16">
      <c r="A888" s="358">
        <f>'Unit Mix &amp; Rents'!A17</f>
        <v>0</v>
      </c>
      <c r="B888" s="359">
        <f>'Unit Mix &amp; Rents'!B17</f>
        <v>0</v>
      </c>
      <c r="C888" s="360">
        <f>'Unit Mix &amp; Rents'!C17</f>
        <v>0</v>
      </c>
      <c r="D888" s="360">
        <f>'Unit Mix &amp; Rents'!D17</f>
        <v>0</v>
      </c>
      <c r="E888" s="361">
        <f>'Unit Mix &amp; Rents'!E17</f>
        <v>0</v>
      </c>
      <c r="F888" s="361">
        <f>_xlfn.IFNA(INDEX($K$889:$P$895,MATCH(A888,$J$889:$J$895,0),MATCH(LEFT(B888,5),$K$888:$P$888,0)),0)</f>
        <v>0</v>
      </c>
      <c r="G888" s="361">
        <f>D888*E888*12</f>
        <v>0</v>
      </c>
      <c r="H888" s="123" t="str">
        <f>IF(E888&gt;F888,IF(F888&gt;0,"Adjusted rent exceeds allowable rent limit",""),"")</f>
        <v/>
      </c>
      <c r="J888" s="1" t="s">
        <v>2727</v>
      </c>
      <c r="K888" s="1" t="s">
        <v>2706</v>
      </c>
      <c r="L888" s="1" t="s">
        <v>2707</v>
      </c>
      <c r="M888" s="1" t="s">
        <v>2708</v>
      </c>
      <c r="N888" s="1" t="s">
        <v>2709</v>
      </c>
      <c r="O888" s="1" t="s">
        <v>2710</v>
      </c>
      <c r="P888" s="1" t="s">
        <v>2711</v>
      </c>
    </row>
    <row r="889" spans="1:16">
      <c r="A889" s="358">
        <f>'Unit Mix &amp; Rents'!A18</f>
        <v>0</v>
      </c>
      <c r="B889" s="359">
        <f>'Unit Mix &amp; Rents'!B18</f>
        <v>0</v>
      </c>
      <c r="C889" s="360">
        <f>'Unit Mix &amp; Rents'!C18</f>
        <v>0</v>
      </c>
      <c r="D889" s="360">
        <f>'Unit Mix &amp; Rents'!D18</f>
        <v>0</v>
      </c>
      <c r="E889" s="361">
        <f>'Unit Mix &amp; Rents'!E18</f>
        <v>0</v>
      </c>
      <c r="F889" s="361">
        <f t="shared" ref="F889:F947" si="136">_xlfn.IFNA(INDEX($K$889:$P$895,MATCH(A889,$J$889:$J$895,0),MATCH(LEFT(B889,5),$K$888:$P$888,0)),0)</f>
        <v>0</v>
      </c>
      <c r="G889" s="361">
        <f t="shared" ref="G889:G894" si="137">D889*E889*12</f>
        <v>0</v>
      </c>
      <c r="H889" t="str">
        <f t="shared" ref="H889:H947" si="138">IF(E889&gt;F889,IF(F889&gt;0,"Adjusted rent exceeds allowable rent limit",""),"")</f>
        <v/>
      </c>
      <c r="J889" s="370">
        <v>0.2</v>
      </c>
      <c r="K889" s="66">
        <f t="shared" ref="K889:P895" ca="1" si="139">B90</f>
        <v>330</v>
      </c>
      <c r="L889" s="66">
        <f t="shared" ca="1" si="139"/>
        <v>353</v>
      </c>
      <c r="M889" s="66">
        <f t="shared" ca="1" si="139"/>
        <v>424</v>
      </c>
      <c r="N889" s="66">
        <f t="shared" ca="1" si="139"/>
        <v>490</v>
      </c>
      <c r="O889" s="66">
        <f t="shared" ca="1" si="139"/>
        <v>546</v>
      </c>
      <c r="P889" s="66">
        <f t="shared" ca="1" si="139"/>
        <v>603</v>
      </c>
    </row>
    <row r="890" spans="1:16">
      <c r="A890" s="358">
        <f>'Unit Mix &amp; Rents'!A19</f>
        <v>0</v>
      </c>
      <c r="B890" s="359">
        <f>'Unit Mix &amp; Rents'!B19</f>
        <v>0</v>
      </c>
      <c r="C890" s="360">
        <f>'Unit Mix &amp; Rents'!C19</f>
        <v>0</v>
      </c>
      <c r="D890" s="360">
        <f>'Unit Mix &amp; Rents'!D19</f>
        <v>0</v>
      </c>
      <c r="E890" s="361">
        <f>'Unit Mix &amp; Rents'!E19</f>
        <v>0</v>
      </c>
      <c r="F890" s="361">
        <f t="shared" si="136"/>
        <v>0</v>
      </c>
      <c r="G890" s="361">
        <f t="shared" si="137"/>
        <v>0</v>
      </c>
      <c r="H890" t="str">
        <f t="shared" si="138"/>
        <v/>
      </c>
      <c r="J890" s="370">
        <v>0.3</v>
      </c>
      <c r="K890" s="66">
        <f t="shared" ca="1" si="139"/>
        <v>495</v>
      </c>
      <c r="L890" s="66">
        <f t="shared" ca="1" si="139"/>
        <v>530</v>
      </c>
      <c r="M890" s="66">
        <f t="shared" ca="1" si="139"/>
        <v>636</v>
      </c>
      <c r="N890" s="66">
        <f t="shared" ca="1" si="139"/>
        <v>735</v>
      </c>
      <c r="O890" s="66">
        <f t="shared" ca="1" si="139"/>
        <v>819</v>
      </c>
      <c r="P890" s="66">
        <f t="shared" ca="1" si="139"/>
        <v>905</v>
      </c>
    </row>
    <row r="891" spans="1:16">
      <c r="A891" s="358">
        <f>'Unit Mix &amp; Rents'!A20</f>
        <v>0</v>
      </c>
      <c r="B891" s="359">
        <f>'Unit Mix &amp; Rents'!B20</f>
        <v>0</v>
      </c>
      <c r="C891" s="360">
        <f>'Unit Mix &amp; Rents'!C20</f>
        <v>0</v>
      </c>
      <c r="D891" s="360">
        <f>'Unit Mix &amp; Rents'!D20</f>
        <v>0</v>
      </c>
      <c r="E891" s="361">
        <f>'Unit Mix &amp; Rents'!E20</f>
        <v>0</v>
      </c>
      <c r="F891" s="361">
        <f t="shared" si="136"/>
        <v>0</v>
      </c>
      <c r="G891" s="361">
        <f t="shared" si="137"/>
        <v>0</v>
      </c>
      <c r="H891" t="str">
        <f>IF(E891&gt;F891,IF(F891&gt;0,"Adjusted rent exceeds allowable rent limit",""),"")</f>
        <v/>
      </c>
      <c r="J891" s="370">
        <v>0.4</v>
      </c>
      <c r="K891" s="66">
        <f t="shared" ca="1" si="139"/>
        <v>660</v>
      </c>
      <c r="L891" s="66">
        <f t="shared" ca="1" si="139"/>
        <v>707</v>
      </c>
      <c r="M891" s="66">
        <f t="shared" ca="1" si="139"/>
        <v>848</v>
      </c>
      <c r="N891" s="66">
        <f t="shared" ca="1" si="139"/>
        <v>980</v>
      </c>
      <c r="O891" s="66">
        <f t="shared" ca="1" si="139"/>
        <v>1093</v>
      </c>
      <c r="P891" s="66">
        <f t="shared" ca="1" si="139"/>
        <v>1207</v>
      </c>
    </row>
    <row r="892" spans="1:16">
      <c r="A892" s="358">
        <f>'Unit Mix &amp; Rents'!A21</f>
        <v>0</v>
      </c>
      <c r="B892" s="359">
        <f>'Unit Mix &amp; Rents'!B21</f>
        <v>0</v>
      </c>
      <c r="C892" s="360">
        <f>'Unit Mix &amp; Rents'!C21</f>
        <v>0</v>
      </c>
      <c r="D892" s="360">
        <f>'Unit Mix &amp; Rents'!D21</f>
        <v>0</v>
      </c>
      <c r="E892" s="361">
        <f>'Unit Mix &amp; Rents'!E21</f>
        <v>0</v>
      </c>
      <c r="F892" s="361">
        <f t="shared" si="136"/>
        <v>0</v>
      </c>
      <c r="G892" s="361">
        <f t="shared" si="137"/>
        <v>0</v>
      </c>
      <c r="H892" t="str">
        <f t="shared" si="138"/>
        <v/>
      </c>
      <c r="J892" s="370">
        <v>0.5</v>
      </c>
      <c r="K892" s="66">
        <f t="shared" ca="1" si="139"/>
        <v>825</v>
      </c>
      <c r="L892" s="66">
        <f t="shared" ca="1" si="139"/>
        <v>883</v>
      </c>
      <c r="M892" s="66">
        <f t="shared" ca="1" si="139"/>
        <v>1060</v>
      </c>
      <c r="N892" s="66">
        <f t="shared" ca="1" si="139"/>
        <v>1225</v>
      </c>
      <c r="O892" s="66">
        <f t="shared" ca="1" si="139"/>
        <v>1366</v>
      </c>
      <c r="P892" s="66">
        <f t="shared" ca="1" si="139"/>
        <v>1508</v>
      </c>
    </row>
    <row r="893" spans="1:16">
      <c r="A893" s="358">
        <f>'Unit Mix &amp; Rents'!A22</f>
        <v>0</v>
      </c>
      <c r="B893" s="359">
        <f>'Unit Mix &amp; Rents'!B22</f>
        <v>0</v>
      </c>
      <c r="C893" s="360">
        <f>'Unit Mix &amp; Rents'!C22</f>
        <v>0</v>
      </c>
      <c r="D893" s="360">
        <f>'Unit Mix &amp; Rents'!D22</f>
        <v>0</v>
      </c>
      <c r="E893" s="361">
        <f>'Unit Mix &amp; Rents'!E22</f>
        <v>0</v>
      </c>
      <c r="F893" s="361">
        <f t="shared" si="136"/>
        <v>0</v>
      </c>
      <c r="G893" s="361">
        <f t="shared" si="137"/>
        <v>0</v>
      </c>
      <c r="H893" t="str">
        <f t="shared" si="138"/>
        <v/>
      </c>
      <c r="J893" s="370">
        <v>0.6</v>
      </c>
      <c r="K893" s="66">
        <f t="shared" ca="1" si="139"/>
        <v>990</v>
      </c>
      <c r="L893" s="66">
        <f t="shared" ca="1" si="139"/>
        <v>1060</v>
      </c>
      <c r="M893" s="66">
        <f t="shared" ca="1" si="139"/>
        <v>1272</v>
      </c>
      <c r="N893" s="66">
        <f t="shared" ca="1" si="139"/>
        <v>1470</v>
      </c>
      <c r="O893" s="66">
        <f t="shared" ca="1" si="139"/>
        <v>1639</v>
      </c>
      <c r="P893" s="66">
        <f t="shared" ca="1" si="139"/>
        <v>1810</v>
      </c>
    </row>
    <row r="894" spans="1:16">
      <c r="A894" s="358">
        <f>'Unit Mix &amp; Rents'!A23</f>
        <v>0</v>
      </c>
      <c r="B894" s="359">
        <f>'Unit Mix &amp; Rents'!B23</f>
        <v>0</v>
      </c>
      <c r="C894" s="360">
        <f>'Unit Mix &amp; Rents'!C23</f>
        <v>0</v>
      </c>
      <c r="D894" s="360">
        <f>'Unit Mix &amp; Rents'!D23</f>
        <v>0</v>
      </c>
      <c r="E894" s="361">
        <f>'Unit Mix &amp; Rents'!E23</f>
        <v>0</v>
      </c>
      <c r="F894" s="361">
        <f t="shared" si="136"/>
        <v>0</v>
      </c>
      <c r="G894" s="361">
        <f t="shared" si="137"/>
        <v>0</v>
      </c>
      <c r="H894" t="str">
        <f t="shared" si="138"/>
        <v/>
      </c>
      <c r="J894" s="370">
        <v>0.7</v>
      </c>
      <c r="K894" s="66">
        <f t="shared" ca="1" si="139"/>
        <v>1155</v>
      </c>
      <c r="L894" s="66">
        <f t="shared" ca="1" si="139"/>
        <v>1237</v>
      </c>
      <c r="M894" s="66">
        <f t="shared" ca="1" si="139"/>
        <v>1484</v>
      </c>
      <c r="N894" s="66">
        <f t="shared" ca="1" si="139"/>
        <v>1715</v>
      </c>
      <c r="O894" s="66">
        <f t="shared" ca="1" si="139"/>
        <v>1912</v>
      </c>
      <c r="P894" s="66">
        <f t="shared" ca="1" si="139"/>
        <v>2111</v>
      </c>
    </row>
    <row r="895" spans="1:16">
      <c r="A895" s="358">
        <f>'Unit Mix &amp; Rents'!A24</f>
        <v>0</v>
      </c>
      <c r="B895" s="359">
        <f>'Unit Mix &amp; Rents'!B24</f>
        <v>0</v>
      </c>
      <c r="C895" s="360">
        <f>'Unit Mix &amp; Rents'!C24</f>
        <v>0</v>
      </c>
      <c r="D895" s="360">
        <f>'Unit Mix &amp; Rents'!D24</f>
        <v>0</v>
      </c>
      <c r="E895" s="361">
        <f>'Unit Mix &amp; Rents'!E24</f>
        <v>0</v>
      </c>
      <c r="F895" s="361">
        <f t="shared" si="136"/>
        <v>0</v>
      </c>
      <c r="G895" s="361">
        <f t="shared" ref="G895:G898" si="140">D895*E895*12</f>
        <v>0</v>
      </c>
      <c r="H895" t="str">
        <f t="shared" si="138"/>
        <v/>
      </c>
      <c r="J895" s="370">
        <v>0.8</v>
      </c>
      <c r="K895" s="66">
        <f t="shared" ca="1" si="139"/>
        <v>1320</v>
      </c>
      <c r="L895" s="66">
        <f t="shared" ca="1" si="139"/>
        <v>1414</v>
      </c>
      <c r="M895" s="66">
        <f t="shared" ca="1" si="139"/>
        <v>1696</v>
      </c>
      <c r="N895" s="66">
        <f t="shared" ca="1" si="139"/>
        <v>1960</v>
      </c>
      <c r="O895" s="66">
        <f t="shared" ca="1" si="139"/>
        <v>2186</v>
      </c>
      <c r="P895" s="66">
        <f t="shared" ca="1" si="139"/>
        <v>2413</v>
      </c>
    </row>
    <row r="896" spans="1:16">
      <c r="A896" s="358">
        <f>'Unit Mix &amp; Rents'!A25</f>
        <v>0</v>
      </c>
      <c r="B896" s="359">
        <f>'Unit Mix &amp; Rents'!B25</f>
        <v>0</v>
      </c>
      <c r="C896" s="360">
        <f>'Unit Mix &amp; Rents'!C25</f>
        <v>0</v>
      </c>
      <c r="D896" s="360">
        <f>'Unit Mix &amp; Rents'!D25</f>
        <v>0</v>
      </c>
      <c r="E896" s="361">
        <f>'Unit Mix &amp; Rents'!E25</f>
        <v>0</v>
      </c>
      <c r="F896" s="361">
        <f t="shared" si="136"/>
        <v>0</v>
      </c>
      <c r="G896" s="361">
        <f t="shared" si="140"/>
        <v>0</v>
      </c>
      <c r="H896" t="str">
        <f t="shared" si="138"/>
        <v/>
      </c>
    </row>
    <row r="897" spans="1:8">
      <c r="A897" s="358">
        <f>'Unit Mix &amp; Rents'!A26</f>
        <v>0</v>
      </c>
      <c r="B897" s="359">
        <f>'Unit Mix &amp; Rents'!B26</f>
        <v>0</v>
      </c>
      <c r="C897" s="360">
        <f>'Unit Mix &amp; Rents'!C26</f>
        <v>0</v>
      </c>
      <c r="D897" s="360">
        <f>'Unit Mix &amp; Rents'!D26</f>
        <v>0</v>
      </c>
      <c r="E897" s="361">
        <f>'Unit Mix &amp; Rents'!E26</f>
        <v>0</v>
      </c>
      <c r="F897" s="361">
        <f t="shared" si="136"/>
        <v>0</v>
      </c>
      <c r="G897" s="361">
        <f t="shared" si="140"/>
        <v>0</v>
      </c>
      <c r="H897" t="str">
        <f t="shared" si="138"/>
        <v/>
      </c>
    </row>
    <row r="898" spans="1:8">
      <c r="A898" s="358">
        <f>'Unit Mix &amp; Rents'!A27</f>
        <v>0</v>
      </c>
      <c r="B898" s="359">
        <f>'Unit Mix &amp; Rents'!B27</f>
        <v>0</v>
      </c>
      <c r="C898" s="360">
        <f>'Unit Mix &amp; Rents'!C27</f>
        <v>0</v>
      </c>
      <c r="D898" s="360">
        <f>'Unit Mix &amp; Rents'!D27</f>
        <v>0</v>
      </c>
      <c r="E898" s="361">
        <f>'Unit Mix &amp; Rents'!E27</f>
        <v>0</v>
      </c>
      <c r="F898" s="361">
        <f t="shared" si="136"/>
        <v>0</v>
      </c>
      <c r="G898" s="361">
        <f t="shared" si="140"/>
        <v>0</v>
      </c>
      <c r="H898" t="str">
        <f t="shared" si="138"/>
        <v/>
      </c>
    </row>
    <row r="899" spans="1:8">
      <c r="A899" s="358">
        <f>'Unit Mix &amp; Rents'!A28</f>
        <v>0</v>
      </c>
      <c r="B899" s="359">
        <f>'Unit Mix &amp; Rents'!B28</f>
        <v>0</v>
      </c>
      <c r="C899" s="360">
        <f>'Unit Mix &amp; Rents'!C28</f>
        <v>0</v>
      </c>
      <c r="D899" s="360">
        <f>'Unit Mix &amp; Rents'!D28</f>
        <v>0</v>
      </c>
      <c r="E899" s="361">
        <f>'Unit Mix &amp; Rents'!E28</f>
        <v>0</v>
      </c>
      <c r="F899" s="361">
        <f t="shared" si="136"/>
        <v>0</v>
      </c>
      <c r="G899" s="361">
        <f t="shared" ref="G899:G947" si="141">D899*E899*12</f>
        <v>0</v>
      </c>
      <c r="H899" t="str">
        <f t="shared" si="138"/>
        <v/>
      </c>
    </row>
    <row r="900" spans="1:8">
      <c r="A900" s="358">
        <f>'Unit Mix &amp; Rents'!A29</f>
        <v>0</v>
      </c>
      <c r="B900" s="359">
        <f>'Unit Mix &amp; Rents'!B29</f>
        <v>0</v>
      </c>
      <c r="C900" s="360">
        <f>'Unit Mix &amp; Rents'!C29</f>
        <v>0</v>
      </c>
      <c r="D900" s="360">
        <f>'Unit Mix &amp; Rents'!D29</f>
        <v>0</v>
      </c>
      <c r="E900" s="361">
        <f>'Unit Mix &amp; Rents'!E29</f>
        <v>0</v>
      </c>
      <c r="F900" s="361">
        <f t="shared" si="136"/>
        <v>0</v>
      </c>
      <c r="G900" s="361">
        <f t="shared" si="141"/>
        <v>0</v>
      </c>
      <c r="H900" t="str">
        <f t="shared" si="138"/>
        <v/>
      </c>
    </row>
    <row r="901" spans="1:8">
      <c r="A901" s="358">
        <f>'Unit Mix &amp; Rents'!A30</f>
        <v>0</v>
      </c>
      <c r="B901" s="359">
        <f>'Unit Mix &amp; Rents'!B30</f>
        <v>0</v>
      </c>
      <c r="C901" s="360">
        <f>'Unit Mix &amp; Rents'!C30</f>
        <v>0</v>
      </c>
      <c r="D901" s="360">
        <f>'Unit Mix &amp; Rents'!D30</f>
        <v>0</v>
      </c>
      <c r="E901" s="361">
        <f>'Unit Mix &amp; Rents'!E30</f>
        <v>0</v>
      </c>
      <c r="F901" s="361">
        <f t="shared" si="136"/>
        <v>0</v>
      </c>
      <c r="G901" s="361">
        <f t="shared" si="141"/>
        <v>0</v>
      </c>
      <c r="H901" t="str">
        <f t="shared" si="138"/>
        <v/>
      </c>
    </row>
    <row r="902" spans="1:8">
      <c r="A902" s="358">
        <f>'Unit Mix &amp; Rents'!A31</f>
        <v>0</v>
      </c>
      <c r="B902" s="359">
        <f>'Unit Mix &amp; Rents'!B31</f>
        <v>0</v>
      </c>
      <c r="C902" s="360">
        <f>'Unit Mix &amp; Rents'!C31</f>
        <v>0</v>
      </c>
      <c r="D902" s="360">
        <f>'Unit Mix &amp; Rents'!D31</f>
        <v>0</v>
      </c>
      <c r="E902" s="361">
        <f>'Unit Mix &amp; Rents'!E31</f>
        <v>0</v>
      </c>
      <c r="F902" s="361">
        <f t="shared" si="136"/>
        <v>0</v>
      </c>
      <c r="G902" s="361">
        <f t="shared" si="141"/>
        <v>0</v>
      </c>
      <c r="H902" t="str">
        <f t="shared" si="138"/>
        <v/>
      </c>
    </row>
    <row r="903" spans="1:8">
      <c r="A903" s="358">
        <f>'Unit Mix &amp; Rents'!A32</f>
        <v>0</v>
      </c>
      <c r="B903" s="359">
        <f>'Unit Mix &amp; Rents'!B32</f>
        <v>0</v>
      </c>
      <c r="C903" s="360">
        <f>'Unit Mix &amp; Rents'!C32</f>
        <v>0</v>
      </c>
      <c r="D903" s="360">
        <f>'Unit Mix &amp; Rents'!D32</f>
        <v>0</v>
      </c>
      <c r="E903" s="361">
        <f>'Unit Mix &amp; Rents'!E32</f>
        <v>0</v>
      </c>
      <c r="F903" s="361">
        <f t="shared" si="136"/>
        <v>0</v>
      </c>
      <c r="G903" s="361">
        <f t="shared" si="141"/>
        <v>0</v>
      </c>
      <c r="H903" t="str">
        <f t="shared" si="138"/>
        <v/>
      </c>
    </row>
    <row r="904" spans="1:8">
      <c r="A904" s="358">
        <f>'Unit Mix &amp; Rents'!A33</f>
        <v>0</v>
      </c>
      <c r="B904" s="359">
        <f>'Unit Mix &amp; Rents'!B33</f>
        <v>0</v>
      </c>
      <c r="C904" s="360">
        <f>'Unit Mix &amp; Rents'!C33</f>
        <v>0</v>
      </c>
      <c r="D904" s="360">
        <f>'Unit Mix &amp; Rents'!D33</f>
        <v>0</v>
      </c>
      <c r="E904" s="361">
        <f>'Unit Mix &amp; Rents'!E33</f>
        <v>0</v>
      </c>
      <c r="F904" s="361">
        <f t="shared" si="136"/>
        <v>0</v>
      </c>
      <c r="G904" s="361">
        <f t="shared" si="141"/>
        <v>0</v>
      </c>
      <c r="H904" t="str">
        <f t="shared" si="138"/>
        <v/>
      </c>
    </row>
    <row r="905" spans="1:8">
      <c r="A905" s="358">
        <f>'Unit Mix &amp; Rents'!A34</f>
        <v>0</v>
      </c>
      <c r="B905" s="359">
        <f>'Unit Mix &amp; Rents'!B34</f>
        <v>0</v>
      </c>
      <c r="C905" s="360">
        <f>'Unit Mix &amp; Rents'!C34</f>
        <v>0</v>
      </c>
      <c r="D905" s="360">
        <f>'Unit Mix &amp; Rents'!D34</f>
        <v>0</v>
      </c>
      <c r="E905" s="361">
        <f>'Unit Mix &amp; Rents'!E34</f>
        <v>0</v>
      </c>
      <c r="F905" s="361">
        <f t="shared" si="136"/>
        <v>0</v>
      </c>
      <c r="G905" s="361">
        <f t="shared" si="141"/>
        <v>0</v>
      </c>
      <c r="H905" t="str">
        <f t="shared" si="138"/>
        <v/>
      </c>
    </row>
    <row r="906" spans="1:8">
      <c r="A906" s="358">
        <f>'Unit Mix &amp; Rents'!A35</f>
        <v>0</v>
      </c>
      <c r="B906" s="359">
        <f>'Unit Mix &amp; Rents'!B35</f>
        <v>0</v>
      </c>
      <c r="C906" s="360">
        <f>'Unit Mix &amp; Rents'!C35</f>
        <v>0</v>
      </c>
      <c r="D906" s="360">
        <f>'Unit Mix &amp; Rents'!D35</f>
        <v>0</v>
      </c>
      <c r="E906" s="361">
        <f>'Unit Mix &amp; Rents'!E35</f>
        <v>0</v>
      </c>
      <c r="F906" s="361">
        <f t="shared" si="136"/>
        <v>0</v>
      </c>
      <c r="G906" s="361">
        <f t="shared" si="141"/>
        <v>0</v>
      </c>
      <c r="H906" t="str">
        <f t="shared" si="138"/>
        <v/>
      </c>
    </row>
    <row r="907" spans="1:8">
      <c r="A907" s="358">
        <f>'Unit Mix &amp; Rents'!A36</f>
        <v>0</v>
      </c>
      <c r="B907" s="359">
        <f>'Unit Mix &amp; Rents'!B36</f>
        <v>0</v>
      </c>
      <c r="C907" s="360">
        <f>'Unit Mix &amp; Rents'!C36</f>
        <v>0</v>
      </c>
      <c r="D907" s="360">
        <f>'Unit Mix &amp; Rents'!D36</f>
        <v>0</v>
      </c>
      <c r="E907" s="361">
        <f>'Unit Mix &amp; Rents'!E36</f>
        <v>0</v>
      </c>
      <c r="F907" s="361">
        <f t="shared" si="136"/>
        <v>0</v>
      </c>
      <c r="G907" s="361">
        <f t="shared" si="141"/>
        <v>0</v>
      </c>
      <c r="H907" t="str">
        <f t="shared" si="138"/>
        <v/>
      </c>
    </row>
    <row r="908" spans="1:8">
      <c r="A908" s="358">
        <f>'Unit Mix &amp; Rents'!A37</f>
        <v>0</v>
      </c>
      <c r="B908" s="359">
        <f>'Unit Mix &amp; Rents'!B37</f>
        <v>0</v>
      </c>
      <c r="C908" s="360">
        <f>'Unit Mix &amp; Rents'!C37</f>
        <v>0</v>
      </c>
      <c r="D908" s="360">
        <f>'Unit Mix &amp; Rents'!D37</f>
        <v>0</v>
      </c>
      <c r="E908" s="361">
        <f>'Unit Mix &amp; Rents'!E37</f>
        <v>0</v>
      </c>
      <c r="F908" s="361">
        <f t="shared" si="136"/>
        <v>0</v>
      </c>
      <c r="G908" s="361">
        <f t="shared" si="141"/>
        <v>0</v>
      </c>
      <c r="H908" t="str">
        <f t="shared" si="138"/>
        <v/>
      </c>
    </row>
    <row r="909" spans="1:8">
      <c r="A909" s="358">
        <f>'Unit Mix &amp; Rents'!A38</f>
        <v>0</v>
      </c>
      <c r="B909" s="359">
        <f>'Unit Mix &amp; Rents'!B38</f>
        <v>0</v>
      </c>
      <c r="C909" s="360">
        <f>'Unit Mix &amp; Rents'!C38</f>
        <v>0</v>
      </c>
      <c r="D909" s="360">
        <f>'Unit Mix &amp; Rents'!D38</f>
        <v>0</v>
      </c>
      <c r="E909" s="361">
        <f>'Unit Mix &amp; Rents'!E38</f>
        <v>0</v>
      </c>
      <c r="F909" s="361">
        <f t="shared" si="136"/>
        <v>0</v>
      </c>
      <c r="G909" s="361">
        <f t="shared" si="141"/>
        <v>0</v>
      </c>
      <c r="H909" t="str">
        <f t="shared" si="138"/>
        <v/>
      </c>
    </row>
    <row r="910" spans="1:8">
      <c r="A910" s="358">
        <f>'Unit Mix &amp; Rents'!A39</f>
        <v>0</v>
      </c>
      <c r="B910" s="359">
        <f>'Unit Mix &amp; Rents'!B39</f>
        <v>0</v>
      </c>
      <c r="C910" s="360">
        <f>'Unit Mix &amp; Rents'!C39</f>
        <v>0</v>
      </c>
      <c r="D910" s="360">
        <f>'Unit Mix &amp; Rents'!D39</f>
        <v>0</v>
      </c>
      <c r="E910" s="361">
        <f>'Unit Mix &amp; Rents'!E39</f>
        <v>0</v>
      </c>
      <c r="F910" s="361">
        <f t="shared" si="136"/>
        <v>0</v>
      </c>
      <c r="G910" s="361">
        <f t="shared" si="141"/>
        <v>0</v>
      </c>
      <c r="H910" t="str">
        <f t="shared" si="138"/>
        <v/>
      </c>
    </row>
    <row r="911" spans="1:8">
      <c r="A911" s="358">
        <f>'Unit Mix &amp; Rents'!A40</f>
        <v>0</v>
      </c>
      <c r="B911" s="359">
        <f>'Unit Mix &amp; Rents'!B40</f>
        <v>0</v>
      </c>
      <c r="C911" s="360">
        <f>'Unit Mix &amp; Rents'!C40</f>
        <v>0</v>
      </c>
      <c r="D911" s="360">
        <f>'Unit Mix &amp; Rents'!D40</f>
        <v>0</v>
      </c>
      <c r="E911" s="361">
        <f>'Unit Mix &amp; Rents'!E40</f>
        <v>0</v>
      </c>
      <c r="F911" s="361">
        <f t="shared" si="136"/>
        <v>0</v>
      </c>
      <c r="G911" s="361">
        <f t="shared" si="141"/>
        <v>0</v>
      </c>
      <c r="H911" t="str">
        <f t="shared" si="138"/>
        <v/>
      </c>
    </row>
    <row r="912" spans="1:8">
      <c r="A912" s="358">
        <f>'Unit Mix &amp; Rents'!A41</f>
        <v>0</v>
      </c>
      <c r="B912" s="359">
        <f>'Unit Mix &amp; Rents'!B41</f>
        <v>0</v>
      </c>
      <c r="C912" s="360">
        <f>'Unit Mix &amp; Rents'!C41</f>
        <v>0</v>
      </c>
      <c r="D912" s="360">
        <f>'Unit Mix &amp; Rents'!D41</f>
        <v>0</v>
      </c>
      <c r="E912" s="361">
        <f>'Unit Mix &amp; Rents'!E41</f>
        <v>0</v>
      </c>
      <c r="F912" s="361">
        <f t="shared" si="136"/>
        <v>0</v>
      </c>
      <c r="G912" s="361">
        <f t="shared" si="141"/>
        <v>0</v>
      </c>
      <c r="H912" t="str">
        <f t="shared" si="138"/>
        <v/>
      </c>
    </row>
    <row r="913" spans="1:8">
      <c r="A913" s="358">
        <f>'Unit Mix &amp; Rents'!A42</f>
        <v>0</v>
      </c>
      <c r="B913" s="359">
        <f>'Unit Mix &amp; Rents'!B42</f>
        <v>0</v>
      </c>
      <c r="C913" s="360">
        <f>'Unit Mix &amp; Rents'!C42</f>
        <v>0</v>
      </c>
      <c r="D913" s="360">
        <f>'Unit Mix &amp; Rents'!D42</f>
        <v>0</v>
      </c>
      <c r="E913" s="361">
        <f>'Unit Mix &amp; Rents'!E42</f>
        <v>0</v>
      </c>
      <c r="F913" s="361">
        <f t="shared" si="136"/>
        <v>0</v>
      </c>
      <c r="G913" s="361">
        <f t="shared" si="141"/>
        <v>0</v>
      </c>
      <c r="H913" t="str">
        <f t="shared" si="138"/>
        <v/>
      </c>
    </row>
    <row r="914" spans="1:8">
      <c r="A914" s="358">
        <f>'Unit Mix &amp; Rents'!A43</f>
        <v>0</v>
      </c>
      <c r="B914" s="359">
        <f>'Unit Mix &amp; Rents'!B43</f>
        <v>0</v>
      </c>
      <c r="C914" s="360">
        <f>'Unit Mix &amp; Rents'!C43</f>
        <v>0</v>
      </c>
      <c r="D914" s="360">
        <f>'Unit Mix &amp; Rents'!D43</f>
        <v>0</v>
      </c>
      <c r="E914" s="361">
        <f>'Unit Mix &amp; Rents'!E43</f>
        <v>0</v>
      </c>
      <c r="F914" s="361">
        <f t="shared" si="136"/>
        <v>0</v>
      </c>
      <c r="G914" s="361">
        <f t="shared" si="141"/>
        <v>0</v>
      </c>
      <c r="H914" t="str">
        <f t="shared" si="138"/>
        <v/>
      </c>
    </row>
    <row r="915" spans="1:8">
      <c r="A915" s="358">
        <f>'Unit Mix &amp; Rents'!A44</f>
        <v>0</v>
      </c>
      <c r="B915" s="359">
        <f>'Unit Mix &amp; Rents'!B44</f>
        <v>0</v>
      </c>
      <c r="C915" s="360">
        <f>'Unit Mix &amp; Rents'!C44</f>
        <v>0</v>
      </c>
      <c r="D915" s="360">
        <f>'Unit Mix &amp; Rents'!D44</f>
        <v>0</v>
      </c>
      <c r="E915" s="361">
        <f>'Unit Mix &amp; Rents'!E44</f>
        <v>0</v>
      </c>
      <c r="F915" s="361">
        <f t="shared" si="136"/>
        <v>0</v>
      </c>
      <c r="G915" s="361">
        <f t="shared" si="141"/>
        <v>0</v>
      </c>
      <c r="H915" t="str">
        <f t="shared" si="138"/>
        <v/>
      </c>
    </row>
    <row r="916" spans="1:8">
      <c r="A916" s="358">
        <f>'Unit Mix &amp; Rents'!A45</f>
        <v>0</v>
      </c>
      <c r="B916" s="359">
        <f>'Unit Mix &amp; Rents'!B45</f>
        <v>0</v>
      </c>
      <c r="C916" s="360">
        <f>'Unit Mix &amp; Rents'!C45</f>
        <v>0</v>
      </c>
      <c r="D916" s="360">
        <f>'Unit Mix &amp; Rents'!D45</f>
        <v>0</v>
      </c>
      <c r="E916" s="361">
        <f>'Unit Mix &amp; Rents'!E45</f>
        <v>0</v>
      </c>
      <c r="F916" s="361">
        <f t="shared" si="136"/>
        <v>0</v>
      </c>
      <c r="G916" s="361">
        <f t="shared" si="141"/>
        <v>0</v>
      </c>
      <c r="H916" t="str">
        <f t="shared" si="138"/>
        <v/>
      </c>
    </row>
    <row r="917" spans="1:8">
      <c r="A917" s="358">
        <f>'Unit Mix &amp; Rents'!A46</f>
        <v>0</v>
      </c>
      <c r="B917" s="359">
        <f>'Unit Mix &amp; Rents'!B46</f>
        <v>0</v>
      </c>
      <c r="C917" s="360">
        <f>'Unit Mix &amp; Rents'!C46</f>
        <v>0</v>
      </c>
      <c r="D917" s="360">
        <f>'Unit Mix &amp; Rents'!D46</f>
        <v>0</v>
      </c>
      <c r="E917" s="361">
        <f>'Unit Mix &amp; Rents'!E46</f>
        <v>0</v>
      </c>
      <c r="F917" s="361">
        <f t="shared" si="136"/>
        <v>0</v>
      </c>
      <c r="G917" s="361">
        <f t="shared" si="141"/>
        <v>0</v>
      </c>
      <c r="H917" t="str">
        <f t="shared" si="138"/>
        <v/>
      </c>
    </row>
    <row r="918" spans="1:8">
      <c r="A918" s="358">
        <f>'Unit Mix &amp; Rents'!A47</f>
        <v>0</v>
      </c>
      <c r="B918" s="359">
        <f>'Unit Mix &amp; Rents'!B47</f>
        <v>0</v>
      </c>
      <c r="C918" s="360">
        <f>'Unit Mix &amp; Rents'!C47</f>
        <v>0</v>
      </c>
      <c r="D918" s="360">
        <f>'Unit Mix &amp; Rents'!D47</f>
        <v>0</v>
      </c>
      <c r="E918" s="361">
        <f>'Unit Mix &amp; Rents'!E47</f>
        <v>0</v>
      </c>
      <c r="F918" s="361">
        <f t="shared" si="136"/>
        <v>0</v>
      </c>
      <c r="G918" s="361">
        <f t="shared" si="141"/>
        <v>0</v>
      </c>
      <c r="H918" t="str">
        <f t="shared" si="138"/>
        <v/>
      </c>
    </row>
    <row r="919" spans="1:8">
      <c r="A919" s="358">
        <f>'Unit Mix &amp; Rents'!A48</f>
        <v>0</v>
      </c>
      <c r="B919" s="359">
        <f>'Unit Mix &amp; Rents'!B48</f>
        <v>0</v>
      </c>
      <c r="C919" s="360">
        <f>'Unit Mix &amp; Rents'!C48</f>
        <v>0</v>
      </c>
      <c r="D919" s="360">
        <f>'Unit Mix &amp; Rents'!D48</f>
        <v>0</v>
      </c>
      <c r="E919" s="361">
        <f>'Unit Mix &amp; Rents'!E48</f>
        <v>0</v>
      </c>
      <c r="F919" s="361">
        <f t="shared" si="136"/>
        <v>0</v>
      </c>
      <c r="G919" s="361">
        <f t="shared" si="141"/>
        <v>0</v>
      </c>
      <c r="H919" t="str">
        <f t="shared" si="138"/>
        <v/>
      </c>
    </row>
    <row r="920" spans="1:8">
      <c r="A920" s="358">
        <f>'Unit Mix &amp; Rents'!A49</f>
        <v>0</v>
      </c>
      <c r="B920" s="359">
        <f>'Unit Mix &amp; Rents'!B49</f>
        <v>0</v>
      </c>
      <c r="C920" s="360">
        <f>'Unit Mix &amp; Rents'!C49</f>
        <v>0</v>
      </c>
      <c r="D920" s="360">
        <f>'Unit Mix &amp; Rents'!D49</f>
        <v>0</v>
      </c>
      <c r="E920" s="361">
        <f>'Unit Mix &amp; Rents'!E49</f>
        <v>0</v>
      </c>
      <c r="F920" s="361">
        <f t="shared" si="136"/>
        <v>0</v>
      </c>
      <c r="G920" s="361">
        <f t="shared" si="141"/>
        <v>0</v>
      </c>
      <c r="H920" t="str">
        <f t="shared" si="138"/>
        <v/>
      </c>
    </row>
    <row r="921" spans="1:8">
      <c r="A921" s="358">
        <f>'Unit Mix &amp; Rents'!A50</f>
        <v>0</v>
      </c>
      <c r="B921" s="359">
        <f>'Unit Mix &amp; Rents'!B50</f>
        <v>0</v>
      </c>
      <c r="C921" s="360">
        <f>'Unit Mix &amp; Rents'!C50</f>
        <v>0</v>
      </c>
      <c r="D921" s="360">
        <f>'Unit Mix &amp; Rents'!D50</f>
        <v>0</v>
      </c>
      <c r="E921" s="361">
        <f>'Unit Mix &amp; Rents'!E50</f>
        <v>0</v>
      </c>
      <c r="F921" s="361">
        <f t="shared" si="136"/>
        <v>0</v>
      </c>
      <c r="G921" s="361">
        <f t="shared" si="141"/>
        <v>0</v>
      </c>
      <c r="H921" t="str">
        <f t="shared" si="138"/>
        <v/>
      </c>
    </row>
    <row r="922" spans="1:8">
      <c r="A922" s="358">
        <f>'Unit Mix &amp; Rents'!A51</f>
        <v>0</v>
      </c>
      <c r="B922" s="359">
        <f>'Unit Mix &amp; Rents'!B51</f>
        <v>0</v>
      </c>
      <c r="C922" s="360">
        <f>'Unit Mix &amp; Rents'!C51</f>
        <v>0</v>
      </c>
      <c r="D922" s="360">
        <f>'Unit Mix &amp; Rents'!D51</f>
        <v>0</v>
      </c>
      <c r="E922" s="361">
        <f>'Unit Mix &amp; Rents'!E51</f>
        <v>0</v>
      </c>
      <c r="F922" s="361">
        <f t="shared" si="136"/>
        <v>0</v>
      </c>
      <c r="G922" s="361">
        <f t="shared" si="141"/>
        <v>0</v>
      </c>
      <c r="H922" t="str">
        <f t="shared" si="138"/>
        <v/>
      </c>
    </row>
    <row r="923" spans="1:8">
      <c r="A923" s="358">
        <f>'Unit Mix &amp; Rents'!A52</f>
        <v>0</v>
      </c>
      <c r="B923" s="359">
        <f>'Unit Mix &amp; Rents'!B52</f>
        <v>0</v>
      </c>
      <c r="C923" s="360">
        <f>'Unit Mix &amp; Rents'!C52</f>
        <v>0</v>
      </c>
      <c r="D923" s="360">
        <f>'Unit Mix &amp; Rents'!D52</f>
        <v>0</v>
      </c>
      <c r="E923" s="361">
        <f>'Unit Mix &amp; Rents'!E52</f>
        <v>0</v>
      </c>
      <c r="F923" s="361">
        <f t="shared" si="136"/>
        <v>0</v>
      </c>
      <c r="G923" s="361">
        <f t="shared" si="141"/>
        <v>0</v>
      </c>
      <c r="H923" t="str">
        <f t="shared" si="138"/>
        <v/>
      </c>
    </row>
    <row r="924" spans="1:8">
      <c r="A924" s="358">
        <f>'Unit Mix &amp; Rents'!A53</f>
        <v>0</v>
      </c>
      <c r="B924" s="359">
        <f>'Unit Mix &amp; Rents'!B53</f>
        <v>0</v>
      </c>
      <c r="C924" s="360">
        <f>'Unit Mix &amp; Rents'!C53</f>
        <v>0</v>
      </c>
      <c r="D924" s="360">
        <f>'Unit Mix &amp; Rents'!D53</f>
        <v>0</v>
      </c>
      <c r="E924" s="361">
        <f>'Unit Mix &amp; Rents'!E53</f>
        <v>0</v>
      </c>
      <c r="F924" s="361">
        <f t="shared" si="136"/>
        <v>0</v>
      </c>
      <c r="G924" s="361">
        <f t="shared" si="141"/>
        <v>0</v>
      </c>
      <c r="H924" t="str">
        <f t="shared" si="138"/>
        <v/>
      </c>
    </row>
    <row r="925" spans="1:8">
      <c r="A925" s="358">
        <f>'Unit Mix &amp; Rents'!A54</f>
        <v>0</v>
      </c>
      <c r="B925" s="359">
        <f>'Unit Mix &amp; Rents'!B54</f>
        <v>0</v>
      </c>
      <c r="C925" s="360">
        <f>'Unit Mix &amp; Rents'!C54</f>
        <v>0</v>
      </c>
      <c r="D925" s="360">
        <f>'Unit Mix &amp; Rents'!D54</f>
        <v>0</v>
      </c>
      <c r="E925" s="361">
        <f>'Unit Mix &amp; Rents'!E54</f>
        <v>0</v>
      </c>
      <c r="F925" s="361">
        <f t="shared" si="136"/>
        <v>0</v>
      </c>
      <c r="G925" s="361">
        <f t="shared" si="141"/>
        <v>0</v>
      </c>
      <c r="H925" t="str">
        <f t="shared" si="138"/>
        <v/>
      </c>
    </row>
    <row r="926" spans="1:8">
      <c r="A926" s="358">
        <f>'Unit Mix &amp; Rents'!A55</f>
        <v>0</v>
      </c>
      <c r="B926" s="359">
        <f>'Unit Mix &amp; Rents'!B55</f>
        <v>0</v>
      </c>
      <c r="C926" s="360">
        <f>'Unit Mix &amp; Rents'!C55</f>
        <v>0</v>
      </c>
      <c r="D926" s="360">
        <f>'Unit Mix &amp; Rents'!D55</f>
        <v>0</v>
      </c>
      <c r="E926" s="361">
        <f>'Unit Mix &amp; Rents'!E55</f>
        <v>0</v>
      </c>
      <c r="F926" s="361">
        <f t="shared" si="136"/>
        <v>0</v>
      </c>
      <c r="G926" s="361">
        <f t="shared" si="141"/>
        <v>0</v>
      </c>
      <c r="H926" t="str">
        <f t="shared" si="138"/>
        <v/>
      </c>
    </row>
    <row r="927" spans="1:8">
      <c r="A927" s="358">
        <f>'Unit Mix &amp; Rents'!A56</f>
        <v>0</v>
      </c>
      <c r="B927" s="359">
        <f>'Unit Mix &amp; Rents'!B56</f>
        <v>0</v>
      </c>
      <c r="C927" s="360">
        <f>'Unit Mix &amp; Rents'!C56</f>
        <v>0</v>
      </c>
      <c r="D927" s="360">
        <f>'Unit Mix &amp; Rents'!D56</f>
        <v>0</v>
      </c>
      <c r="E927" s="361">
        <f>'Unit Mix &amp; Rents'!E56</f>
        <v>0</v>
      </c>
      <c r="F927" s="361">
        <f t="shared" si="136"/>
        <v>0</v>
      </c>
      <c r="G927" s="361">
        <f t="shared" si="141"/>
        <v>0</v>
      </c>
      <c r="H927" t="str">
        <f t="shared" si="138"/>
        <v/>
      </c>
    </row>
    <row r="928" spans="1:8">
      <c r="A928" s="358">
        <f>'Unit Mix &amp; Rents'!A57</f>
        <v>0</v>
      </c>
      <c r="B928" s="359">
        <f>'Unit Mix &amp; Rents'!B57</f>
        <v>0</v>
      </c>
      <c r="C928" s="360">
        <f>'Unit Mix &amp; Rents'!C57</f>
        <v>0</v>
      </c>
      <c r="D928" s="360">
        <f>'Unit Mix &amp; Rents'!D57</f>
        <v>0</v>
      </c>
      <c r="E928" s="361">
        <f>'Unit Mix &amp; Rents'!E57</f>
        <v>0</v>
      </c>
      <c r="F928" s="361">
        <f t="shared" si="136"/>
        <v>0</v>
      </c>
      <c r="G928" s="361">
        <f t="shared" si="141"/>
        <v>0</v>
      </c>
      <c r="H928" t="str">
        <f t="shared" si="138"/>
        <v/>
      </c>
    </row>
    <row r="929" spans="1:8">
      <c r="A929" s="358">
        <f>'Unit Mix &amp; Rents'!A58</f>
        <v>0</v>
      </c>
      <c r="B929" s="359">
        <f>'Unit Mix &amp; Rents'!B58</f>
        <v>0</v>
      </c>
      <c r="C929" s="360">
        <f>'Unit Mix &amp; Rents'!C58</f>
        <v>0</v>
      </c>
      <c r="D929" s="360">
        <f>'Unit Mix &amp; Rents'!D58</f>
        <v>0</v>
      </c>
      <c r="E929" s="361">
        <f>'Unit Mix &amp; Rents'!E58</f>
        <v>0</v>
      </c>
      <c r="F929" s="361">
        <f t="shared" si="136"/>
        <v>0</v>
      </c>
      <c r="G929" s="361">
        <f t="shared" si="141"/>
        <v>0</v>
      </c>
      <c r="H929" t="str">
        <f t="shared" si="138"/>
        <v/>
      </c>
    </row>
    <row r="930" spans="1:8">
      <c r="A930" s="358">
        <f>'Unit Mix &amp; Rents'!A59</f>
        <v>0</v>
      </c>
      <c r="B930" s="359">
        <f>'Unit Mix &amp; Rents'!B59</f>
        <v>0</v>
      </c>
      <c r="C930" s="360">
        <f>'Unit Mix &amp; Rents'!C59</f>
        <v>0</v>
      </c>
      <c r="D930" s="360">
        <f>'Unit Mix &amp; Rents'!D59</f>
        <v>0</v>
      </c>
      <c r="E930" s="361">
        <f>'Unit Mix &amp; Rents'!E59</f>
        <v>0</v>
      </c>
      <c r="F930" s="361">
        <f t="shared" si="136"/>
        <v>0</v>
      </c>
      <c r="G930" s="361">
        <f t="shared" si="141"/>
        <v>0</v>
      </c>
      <c r="H930" t="str">
        <f t="shared" si="138"/>
        <v/>
      </c>
    </row>
    <row r="931" spans="1:8">
      <c r="A931" s="358">
        <f>'Unit Mix &amp; Rents'!A60</f>
        <v>0</v>
      </c>
      <c r="B931" s="359">
        <f>'Unit Mix &amp; Rents'!B60</f>
        <v>0</v>
      </c>
      <c r="C931" s="360">
        <f>'Unit Mix &amp; Rents'!C60</f>
        <v>0</v>
      </c>
      <c r="D931" s="360">
        <f>'Unit Mix &amp; Rents'!D60</f>
        <v>0</v>
      </c>
      <c r="E931" s="361">
        <f>'Unit Mix &amp; Rents'!E60</f>
        <v>0</v>
      </c>
      <c r="F931" s="361">
        <f t="shared" si="136"/>
        <v>0</v>
      </c>
      <c r="G931" s="361">
        <f t="shared" si="141"/>
        <v>0</v>
      </c>
      <c r="H931" t="str">
        <f t="shared" si="138"/>
        <v/>
      </c>
    </row>
    <row r="932" spans="1:8">
      <c r="A932" s="358">
        <f>'Unit Mix &amp; Rents'!A61</f>
        <v>0</v>
      </c>
      <c r="B932" s="359">
        <f>'Unit Mix &amp; Rents'!B61</f>
        <v>0</v>
      </c>
      <c r="C932" s="360">
        <f>'Unit Mix &amp; Rents'!C61</f>
        <v>0</v>
      </c>
      <c r="D932" s="360">
        <f>'Unit Mix &amp; Rents'!D61</f>
        <v>0</v>
      </c>
      <c r="E932" s="361">
        <f>'Unit Mix &amp; Rents'!E61</f>
        <v>0</v>
      </c>
      <c r="F932" s="361">
        <f t="shared" si="136"/>
        <v>0</v>
      </c>
      <c r="G932" s="361">
        <f t="shared" si="141"/>
        <v>0</v>
      </c>
      <c r="H932" t="str">
        <f t="shared" si="138"/>
        <v/>
      </c>
    </row>
    <row r="933" spans="1:8">
      <c r="A933" s="358">
        <f>'Unit Mix &amp; Rents'!A62</f>
        <v>0</v>
      </c>
      <c r="B933" s="359">
        <f>'Unit Mix &amp; Rents'!B62</f>
        <v>0</v>
      </c>
      <c r="C933" s="360">
        <f>'Unit Mix &amp; Rents'!C62</f>
        <v>0</v>
      </c>
      <c r="D933" s="360">
        <f>'Unit Mix &amp; Rents'!D62</f>
        <v>0</v>
      </c>
      <c r="E933" s="361">
        <f>'Unit Mix &amp; Rents'!E62</f>
        <v>0</v>
      </c>
      <c r="F933" s="361">
        <f t="shared" si="136"/>
        <v>0</v>
      </c>
      <c r="G933" s="361">
        <f t="shared" si="141"/>
        <v>0</v>
      </c>
      <c r="H933" t="str">
        <f t="shared" si="138"/>
        <v/>
      </c>
    </row>
    <row r="934" spans="1:8">
      <c r="A934" s="358">
        <f>'Unit Mix &amp; Rents'!A63</f>
        <v>0</v>
      </c>
      <c r="B934" s="359">
        <f>'Unit Mix &amp; Rents'!B63</f>
        <v>0</v>
      </c>
      <c r="C934" s="360">
        <f>'Unit Mix &amp; Rents'!C63</f>
        <v>0</v>
      </c>
      <c r="D934" s="360">
        <f>'Unit Mix &amp; Rents'!D63</f>
        <v>0</v>
      </c>
      <c r="E934" s="361">
        <f>'Unit Mix &amp; Rents'!E63</f>
        <v>0</v>
      </c>
      <c r="F934" s="361">
        <f t="shared" si="136"/>
        <v>0</v>
      </c>
      <c r="G934" s="361">
        <f t="shared" si="141"/>
        <v>0</v>
      </c>
      <c r="H934" t="str">
        <f t="shared" si="138"/>
        <v/>
      </c>
    </row>
    <row r="935" spans="1:8">
      <c r="A935" s="358">
        <f>'Unit Mix &amp; Rents'!A64</f>
        <v>0</v>
      </c>
      <c r="B935" s="359">
        <f>'Unit Mix &amp; Rents'!B64</f>
        <v>0</v>
      </c>
      <c r="C935" s="360">
        <f>'Unit Mix &amp; Rents'!C64</f>
        <v>0</v>
      </c>
      <c r="D935" s="360">
        <f>'Unit Mix &amp; Rents'!D64</f>
        <v>0</v>
      </c>
      <c r="E935" s="361">
        <f>'Unit Mix &amp; Rents'!E64</f>
        <v>0</v>
      </c>
      <c r="F935" s="361">
        <f t="shared" si="136"/>
        <v>0</v>
      </c>
      <c r="G935" s="361">
        <f t="shared" si="141"/>
        <v>0</v>
      </c>
      <c r="H935" t="str">
        <f t="shared" si="138"/>
        <v/>
      </c>
    </row>
    <row r="936" spans="1:8">
      <c r="A936" s="358">
        <f>'Unit Mix &amp; Rents'!A65</f>
        <v>0</v>
      </c>
      <c r="B936" s="359">
        <f>'Unit Mix &amp; Rents'!B65</f>
        <v>0</v>
      </c>
      <c r="C936" s="360">
        <f>'Unit Mix &amp; Rents'!C65</f>
        <v>0</v>
      </c>
      <c r="D936" s="360">
        <f>'Unit Mix &amp; Rents'!D65</f>
        <v>0</v>
      </c>
      <c r="E936" s="361">
        <f>'Unit Mix &amp; Rents'!E65</f>
        <v>0</v>
      </c>
      <c r="F936" s="361">
        <f t="shared" si="136"/>
        <v>0</v>
      </c>
      <c r="G936" s="361">
        <f t="shared" si="141"/>
        <v>0</v>
      </c>
      <c r="H936" t="str">
        <f t="shared" si="138"/>
        <v/>
      </c>
    </row>
    <row r="937" spans="1:8">
      <c r="A937" s="358">
        <f>'Unit Mix &amp; Rents'!A66</f>
        <v>0</v>
      </c>
      <c r="B937" s="359">
        <f>'Unit Mix &amp; Rents'!B66</f>
        <v>0</v>
      </c>
      <c r="C937" s="360">
        <f>'Unit Mix &amp; Rents'!C66</f>
        <v>0</v>
      </c>
      <c r="D937" s="360">
        <f>'Unit Mix &amp; Rents'!D66</f>
        <v>0</v>
      </c>
      <c r="E937" s="361">
        <f>'Unit Mix &amp; Rents'!E66</f>
        <v>0</v>
      </c>
      <c r="F937" s="361">
        <f t="shared" si="136"/>
        <v>0</v>
      </c>
      <c r="G937" s="361">
        <f t="shared" si="141"/>
        <v>0</v>
      </c>
      <c r="H937" t="str">
        <f t="shared" si="138"/>
        <v/>
      </c>
    </row>
    <row r="938" spans="1:8">
      <c r="A938" s="358">
        <f>'Unit Mix &amp; Rents'!A67</f>
        <v>0</v>
      </c>
      <c r="B938" s="359">
        <f>'Unit Mix &amp; Rents'!B67</f>
        <v>0</v>
      </c>
      <c r="C938" s="360">
        <f>'Unit Mix &amp; Rents'!C67</f>
        <v>0</v>
      </c>
      <c r="D938" s="360">
        <f>'Unit Mix &amp; Rents'!D67</f>
        <v>0</v>
      </c>
      <c r="E938" s="361">
        <f>'Unit Mix &amp; Rents'!E67</f>
        <v>0</v>
      </c>
      <c r="F938" s="361">
        <f t="shared" si="136"/>
        <v>0</v>
      </c>
      <c r="G938" s="361">
        <f t="shared" si="141"/>
        <v>0</v>
      </c>
      <c r="H938" t="str">
        <f t="shared" si="138"/>
        <v/>
      </c>
    </row>
    <row r="939" spans="1:8">
      <c r="A939" s="358">
        <f>'Unit Mix &amp; Rents'!A68</f>
        <v>0</v>
      </c>
      <c r="B939" s="359">
        <f>'Unit Mix &amp; Rents'!B68</f>
        <v>0</v>
      </c>
      <c r="C939" s="360">
        <f>'Unit Mix &amp; Rents'!C68</f>
        <v>0</v>
      </c>
      <c r="D939" s="360">
        <f>'Unit Mix &amp; Rents'!D68</f>
        <v>0</v>
      </c>
      <c r="E939" s="361">
        <f>'Unit Mix &amp; Rents'!E68</f>
        <v>0</v>
      </c>
      <c r="F939" s="361">
        <f t="shared" si="136"/>
        <v>0</v>
      </c>
      <c r="G939" s="361">
        <f t="shared" si="141"/>
        <v>0</v>
      </c>
      <c r="H939" t="str">
        <f t="shared" si="138"/>
        <v/>
      </c>
    </row>
    <row r="940" spans="1:8">
      <c r="A940" s="358">
        <f>'Unit Mix &amp; Rents'!A69</f>
        <v>0</v>
      </c>
      <c r="B940" s="359">
        <f>'Unit Mix &amp; Rents'!B69</f>
        <v>0</v>
      </c>
      <c r="C940" s="360">
        <f>'Unit Mix &amp; Rents'!C69</f>
        <v>0</v>
      </c>
      <c r="D940" s="360">
        <f>'Unit Mix &amp; Rents'!D69</f>
        <v>0</v>
      </c>
      <c r="E940" s="361">
        <f>'Unit Mix &amp; Rents'!E69</f>
        <v>0</v>
      </c>
      <c r="F940" s="361">
        <f t="shared" si="136"/>
        <v>0</v>
      </c>
      <c r="G940" s="361">
        <f t="shared" si="141"/>
        <v>0</v>
      </c>
      <c r="H940" t="str">
        <f t="shared" si="138"/>
        <v/>
      </c>
    </row>
    <row r="941" spans="1:8">
      <c r="A941" s="358">
        <f>'Unit Mix &amp; Rents'!A70</f>
        <v>0</v>
      </c>
      <c r="B941" s="359">
        <f>'Unit Mix &amp; Rents'!B70</f>
        <v>0</v>
      </c>
      <c r="C941" s="360">
        <f>'Unit Mix &amp; Rents'!C70</f>
        <v>0</v>
      </c>
      <c r="D941" s="360">
        <f>'Unit Mix &amp; Rents'!D70</f>
        <v>0</v>
      </c>
      <c r="E941" s="361">
        <f>'Unit Mix &amp; Rents'!E70</f>
        <v>0</v>
      </c>
      <c r="F941" s="361">
        <f t="shared" si="136"/>
        <v>0</v>
      </c>
      <c r="G941" s="361">
        <f t="shared" si="141"/>
        <v>0</v>
      </c>
      <c r="H941" t="str">
        <f t="shared" si="138"/>
        <v/>
      </c>
    </row>
    <row r="942" spans="1:8">
      <c r="A942" s="358">
        <f>'Unit Mix &amp; Rents'!A71</f>
        <v>0</v>
      </c>
      <c r="B942" s="359">
        <f>'Unit Mix &amp; Rents'!B71</f>
        <v>0</v>
      </c>
      <c r="C942" s="360">
        <f>'Unit Mix &amp; Rents'!C71</f>
        <v>0</v>
      </c>
      <c r="D942" s="360">
        <f>'Unit Mix &amp; Rents'!D71</f>
        <v>0</v>
      </c>
      <c r="E942" s="361">
        <f>'Unit Mix &amp; Rents'!E71</f>
        <v>0</v>
      </c>
      <c r="F942" s="361">
        <f t="shared" si="136"/>
        <v>0</v>
      </c>
      <c r="G942" s="361">
        <f t="shared" si="141"/>
        <v>0</v>
      </c>
      <c r="H942" t="str">
        <f t="shared" si="138"/>
        <v/>
      </c>
    </row>
    <row r="943" spans="1:8">
      <c r="A943" s="358">
        <f>'Unit Mix &amp; Rents'!A72</f>
        <v>0</v>
      </c>
      <c r="B943" s="359">
        <f>'Unit Mix &amp; Rents'!B72</f>
        <v>0</v>
      </c>
      <c r="C943" s="360">
        <f>'Unit Mix &amp; Rents'!C72</f>
        <v>0</v>
      </c>
      <c r="D943" s="360">
        <f>'Unit Mix &amp; Rents'!D72</f>
        <v>0</v>
      </c>
      <c r="E943" s="361">
        <f>'Unit Mix &amp; Rents'!E72</f>
        <v>0</v>
      </c>
      <c r="F943" s="361">
        <f t="shared" si="136"/>
        <v>0</v>
      </c>
      <c r="G943" s="361">
        <f t="shared" si="141"/>
        <v>0</v>
      </c>
      <c r="H943" t="str">
        <f t="shared" si="138"/>
        <v/>
      </c>
    </row>
    <row r="944" spans="1:8">
      <c r="A944" s="358">
        <f>'Unit Mix &amp; Rents'!A73</f>
        <v>0</v>
      </c>
      <c r="B944" s="359">
        <f>'Unit Mix &amp; Rents'!B73</f>
        <v>0</v>
      </c>
      <c r="C944" s="360">
        <f>'Unit Mix &amp; Rents'!C73</f>
        <v>0</v>
      </c>
      <c r="D944" s="360">
        <f>'Unit Mix &amp; Rents'!D73</f>
        <v>0</v>
      </c>
      <c r="E944" s="361">
        <f>'Unit Mix &amp; Rents'!E73</f>
        <v>0</v>
      </c>
      <c r="F944" s="361">
        <f t="shared" si="136"/>
        <v>0</v>
      </c>
      <c r="G944" s="361">
        <f t="shared" si="141"/>
        <v>0</v>
      </c>
      <c r="H944" t="str">
        <f t="shared" si="138"/>
        <v/>
      </c>
    </row>
    <row r="945" spans="1:8">
      <c r="A945" s="358">
        <f>'Unit Mix &amp; Rents'!A74</f>
        <v>0</v>
      </c>
      <c r="B945" s="359">
        <f>'Unit Mix &amp; Rents'!B74</f>
        <v>0</v>
      </c>
      <c r="C945" s="360">
        <f>'Unit Mix &amp; Rents'!C74</f>
        <v>0</v>
      </c>
      <c r="D945" s="360">
        <f>'Unit Mix &amp; Rents'!D74</f>
        <v>0</v>
      </c>
      <c r="E945" s="361">
        <f>'Unit Mix &amp; Rents'!E74</f>
        <v>0</v>
      </c>
      <c r="F945" s="361">
        <f t="shared" si="136"/>
        <v>0</v>
      </c>
      <c r="G945" s="361">
        <f t="shared" si="141"/>
        <v>0</v>
      </c>
      <c r="H945" t="str">
        <f t="shared" si="138"/>
        <v/>
      </c>
    </row>
    <row r="946" spans="1:8">
      <c r="A946" s="358">
        <f>'Unit Mix &amp; Rents'!A75</f>
        <v>0</v>
      </c>
      <c r="B946" s="359">
        <f>'Unit Mix &amp; Rents'!B75</f>
        <v>0</v>
      </c>
      <c r="C946" s="360">
        <f>'Unit Mix &amp; Rents'!C75</f>
        <v>0</v>
      </c>
      <c r="D946" s="360">
        <f>'Unit Mix &amp; Rents'!D75</f>
        <v>0</v>
      </c>
      <c r="E946" s="361">
        <f>'Unit Mix &amp; Rents'!E75</f>
        <v>0</v>
      </c>
      <c r="F946" s="361">
        <f t="shared" si="136"/>
        <v>0</v>
      </c>
      <c r="G946" s="361">
        <f t="shared" si="141"/>
        <v>0</v>
      </c>
      <c r="H946" t="str">
        <f t="shared" si="138"/>
        <v/>
      </c>
    </row>
    <row r="947" spans="1:8">
      <c r="A947" s="358">
        <f>'Unit Mix &amp; Rents'!A76</f>
        <v>0</v>
      </c>
      <c r="B947" s="359">
        <f>'Unit Mix &amp; Rents'!B76</f>
        <v>0</v>
      </c>
      <c r="C947" s="360">
        <f>'Unit Mix &amp; Rents'!C76</f>
        <v>0</v>
      </c>
      <c r="D947" s="360">
        <f>'Unit Mix &amp; Rents'!D76</f>
        <v>0</v>
      </c>
      <c r="E947" s="361">
        <f>'Unit Mix &amp; Rents'!E76</f>
        <v>0</v>
      </c>
      <c r="F947" s="361">
        <f t="shared" si="136"/>
        <v>0</v>
      </c>
      <c r="G947" s="361">
        <f t="shared" si="141"/>
        <v>0</v>
      </c>
      <c r="H947" t="str">
        <f t="shared" si="138"/>
        <v/>
      </c>
    </row>
    <row r="949" spans="1:8">
      <c r="B949" s="134"/>
      <c r="C949" s="134"/>
      <c r="D949" s="134"/>
      <c r="E949" s="134"/>
    </row>
    <row r="951" spans="1:8" ht="15" customHeight="1"/>
    <row r="952" spans="1:8" ht="15" customHeight="1"/>
    <row r="953" spans="1:8" ht="15" customHeight="1"/>
    <row r="954" spans="1:8" ht="15" customHeight="1"/>
    <row r="955" spans="1:8" ht="15" customHeight="1"/>
    <row r="956" spans="1:8" ht="15" customHeight="1"/>
    <row r="957" spans="1:8" ht="15" customHeight="1"/>
    <row r="958" spans="1:8" ht="15" customHeight="1"/>
    <row r="959" spans="1:8" ht="15" customHeight="1"/>
    <row r="960" spans="1:8"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7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400" spans="6:10">
      <c r="F4400" s="20"/>
      <c r="G4400" s="20"/>
      <c r="H4400" s="20"/>
      <c r="I4400" s="20"/>
      <c r="J4400" s="20"/>
    </row>
    <row r="4401" spans="6:10">
      <c r="F4401" s="20"/>
      <c r="G4401" s="20"/>
      <c r="H4401" s="20"/>
      <c r="I4401" s="20"/>
      <c r="J4401" s="20"/>
    </row>
    <row r="4402" spans="6:10">
      <c r="F4402" s="20"/>
      <c r="G4402" s="20"/>
      <c r="H4402" s="20"/>
      <c r="I4402" s="20"/>
      <c r="J4402" s="20"/>
    </row>
    <row r="4403" spans="6:10">
      <c r="F4403" s="20"/>
      <c r="G4403" s="20"/>
      <c r="H4403" s="20"/>
      <c r="I4403" s="20"/>
      <c r="J4403" s="20"/>
    </row>
    <row r="4404" spans="6:10">
      <c r="F4404" s="20"/>
      <c r="G4404" s="20"/>
      <c r="H4404" s="20"/>
      <c r="I4404" s="20"/>
      <c r="J4404" s="20"/>
    </row>
    <row r="4405" spans="6:10">
      <c r="F4405" s="20"/>
      <c r="G4405" s="20"/>
      <c r="H4405" s="20"/>
      <c r="I4405" s="20"/>
      <c r="J4405" s="20"/>
    </row>
    <row r="4406" spans="6:10">
      <c r="F4406" s="20"/>
      <c r="G4406" s="20"/>
      <c r="H4406" s="20"/>
      <c r="I4406" s="20"/>
      <c r="J4406" s="20"/>
    </row>
    <row r="4407" spans="6:10">
      <c r="F4407" s="20"/>
      <c r="G4407" s="20"/>
      <c r="H4407" s="20"/>
      <c r="I4407" s="20"/>
      <c r="J4407" s="20"/>
    </row>
    <row r="4408" spans="6:10">
      <c r="F4408" s="20"/>
      <c r="G4408" s="20"/>
      <c r="H4408" s="20"/>
      <c r="I4408" s="20"/>
      <c r="J4408" s="20"/>
    </row>
    <row r="4409" spans="6:10">
      <c r="F4409" s="20"/>
      <c r="G4409" s="20"/>
      <c r="H4409" s="20"/>
      <c r="I4409" s="20"/>
      <c r="J4409" s="20"/>
    </row>
    <row r="4410" spans="6:10">
      <c r="F4410" s="20"/>
      <c r="G4410" s="20"/>
      <c r="H4410" s="20"/>
      <c r="I4410" s="20"/>
      <c r="J4410" s="20"/>
    </row>
    <row r="4411" spans="6:10">
      <c r="F4411" s="20"/>
      <c r="G4411" s="20"/>
      <c r="H4411" s="20"/>
      <c r="I4411" s="20"/>
      <c r="J4411" s="20"/>
    </row>
    <row r="4412" spans="6:10">
      <c r="F4412" s="20"/>
      <c r="G4412" s="20"/>
      <c r="H4412" s="20"/>
      <c r="I4412" s="20"/>
      <c r="J4412" s="20"/>
    </row>
    <row r="4413" spans="6:10">
      <c r="F4413" s="20"/>
      <c r="G4413" s="20"/>
      <c r="H4413" s="20"/>
      <c r="I4413" s="20"/>
      <c r="J4413" s="20"/>
    </row>
    <row r="4414" spans="6:10">
      <c r="F4414" s="20"/>
      <c r="G4414" s="20"/>
      <c r="H4414" s="20"/>
      <c r="I4414" s="20"/>
      <c r="J4414" s="20"/>
    </row>
    <row r="4415" spans="6:10">
      <c r="F4415" s="20"/>
      <c r="G4415" s="20"/>
      <c r="H4415" s="20"/>
      <c r="I4415" s="20"/>
      <c r="J4415" s="20"/>
    </row>
    <row r="4416" spans="6:10">
      <c r="F4416" s="20"/>
      <c r="G4416" s="20"/>
      <c r="H4416" s="20"/>
      <c r="I4416" s="20"/>
      <c r="J4416" s="20"/>
    </row>
    <row r="4417" spans="6:10">
      <c r="F4417" s="20"/>
      <c r="G4417" s="20"/>
      <c r="H4417" s="20"/>
      <c r="I4417" s="20"/>
      <c r="J4417" s="20"/>
    </row>
    <row r="4418" spans="6:10">
      <c r="F4418" s="20"/>
      <c r="G4418" s="20"/>
      <c r="H4418" s="20"/>
      <c r="I4418" s="20"/>
      <c r="J4418" s="20"/>
    </row>
    <row r="4419" spans="6:10">
      <c r="F4419" s="20"/>
      <c r="G4419" s="20"/>
      <c r="H4419" s="20"/>
      <c r="I4419" s="20"/>
      <c r="J4419" s="20"/>
    </row>
    <row r="4420" spans="6:10">
      <c r="F4420" s="20"/>
      <c r="G4420" s="20"/>
      <c r="H4420" s="20"/>
      <c r="I4420" s="20"/>
      <c r="J4420" s="20"/>
    </row>
    <row r="4421" spans="6:10">
      <c r="F4421" s="20"/>
      <c r="G4421" s="20"/>
      <c r="H4421" s="20"/>
      <c r="I4421" s="20"/>
      <c r="J4421" s="20"/>
    </row>
    <row r="4422" spans="6:10">
      <c r="F4422" s="20"/>
      <c r="G4422" s="20"/>
      <c r="H4422" s="20"/>
      <c r="I4422" s="20"/>
      <c r="J4422" s="20"/>
    </row>
    <row r="4423" spans="6:10">
      <c r="F4423" s="20"/>
      <c r="G4423" s="20"/>
      <c r="H4423" s="20"/>
      <c r="I4423" s="20"/>
      <c r="J4423" s="20"/>
    </row>
    <row r="4424" spans="6:10">
      <c r="F4424" s="20"/>
      <c r="G4424" s="20"/>
      <c r="H4424" s="20"/>
      <c r="I4424" s="20"/>
      <c r="J4424" s="20"/>
    </row>
    <row r="4425" spans="6:10">
      <c r="F4425" s="20"/>
      <c r="G4425" s="20"/>
      <c r="H4425" s="20"/>
      <c r="I4425" s="20"/>
      <c r="J4425" s="20"/>
    </row>
    <row r="4426" spans="6:10">
      <c r="F4426" s="20"/>
      <c r="G4426" s="20"/>
      <c r="H4426" s="20"/>
      <c r="I4426" s="20"/>
      <c r="J4426" s="20"/>
    </row>
    <row r="4427" spans="6:10">
      <c r="F4427" s="20"/>
      <c r="G4427" s="20"/>
      <c r="H4427" s="20"/>
      <c r="I4427" s="20"/>
      <c r="J4427" s="20"/>
    </row>
    <row r="4428" spans="6:10">
      <c r="F4428" s="20"/>
      <c r="G4428" s="20"/>
      <c r="H4428" s="20"/>
      <c r="I4428" s="20"/>
      <c r="J4428" s="20"/>
    </row>
    <row r="4429" spans="6:10">
      <c r="F4429" s="20"/>
      <c r="G4429" s="20"/>
      <c r="H4429" s="20"/>
      <c r="I4429" s="20"/>
      <c r="J4429" s="20"/>
    </row>
    <row r="4430" spans="6:10">
      <c r="F4430" s="20"/>
      <c r="G4430" s="20"/>
      <c r="H4430" s="20"/>
      <c r="I4430" s="20"/>
      <c r="J4430" s="20"/>
    </row>
    <row r="4431" spans="6:10">
      <c r="F4431" s="20"/>
      <c r="G4431" s="20"/>
      <c r="H4431" s="20"/>
      <c r="I4431" s="20"/>
      <c r="J4431" s="20"/>
    </row>
    <row r="4432" spans="6:10">
      <c r="F4432" s="20"/>
      <c r="G4432" s="20"/>
      <c r="H4432" s="20"/>
      <c r="I4432" s="20"/>
      <c r="J4432" s="20"/>
    </row>
    <row r="4433" spans="6:10">
      <c r="F4433" s="20"/>
      <c r="G4433" s="20"/>
      <c r="H4433" s="20"/>
      <c r="I4433" s="20"/>
      <c r="J4433" s="20"/>
    </row>
    <row r="4434" spans="6:10">
      <c r="F4434" s="20"/>
      <c r="G4434" s="20"/>
      <c r="H4434" s="20"/>
      <c r="I4434" s="20"/>
      <c r="J4434" s="20"/>
    </row>
    <row r="4435" spans="6:10">
      <c r="F4435" s="20"/>
      <c r="G4435" s="20"/>
      <c r="H4435" s="20"/>
      <c r="I4435" s="20"/>
      <c r="J4435" s="20"/>
    </row>
    <row r="4436" spans="6:10">
      <c r="F4436" s="20"/>
      <c r="G4436" s="20"/>
      <c r="H4436" s="20"/>
      <c r="I4436" s="20"/>
      <c r="J4436" s="20"/>
    </row>
    <row r="4437" spans="6:10">
      <c r="F4437" s="20"/>
      <c r="G4437" s="20"/>
      <c r="H4437" s="20"/>
      <c r="I4437" s="20"/>
      <c r="J4437" s="20"/>
    </row>
    <row r="4438" spans="6:10">
      <c r="F4438" s="20"/>
      <c r="G4438" s="20"/>
      <c r="H4438" s="20"/>
      <c r="I4438" s="20"/>
      <c r="J4438" s="20"/>
    </row>
    <row r="4439" spans="6:10">
      <c r="F4439" s="20"/>
      <c r="G4439" s="20"/>
      <c r="H4439" s="20"/>
      <c r="I4439" s="20"/>
      <c r="J4439" s="20"/>
    </row>
    <row r="4440" spans="6:10">
      <c r="F4440" s="20"/>
      <c r="G4440" s="20"/>
      <c r="H4440" s="20"/>
      <c r="I4440" s="20"/>
      <c r="J4440" s="20"/>
    </row>
    <row r="4441" spans="6:10">
      <c r="F4441" s="20"/>
      <c r="G4441" s="20"/>
      <c r="H4441" s="20"/>
      <c r="I4441" s="20"/>
      <c r="J4441" s="20"/>
    </row>
    <row r="4442" spans="6:10">
      <c r="F4442" s="20"/>
      <c r="G4442" s="20"/>
      <c r="H4442" s="20"/>
      <c r="I4442" s="20"/>
      <c r="J4442" s="20"/>
    </row>
    <row r="4443" spans="6:10">
      <c r="F4443" s="20"/>
      <c r="G4443" s="20"/>
      <c r="H4443" s="20"/>
      <c r="I4443" s="20"/>
      <c r="J4443" s="20"/>
    </row>
    <row r="4444" spans="6:10">
      <c r="F4444" s="20"/>
      <c r="G4444" s="20"/>
      <c r="H4444" s="20"/>
      <c r="I4444" s="20"/>
      <c r="J4444" s="20"/>
    </row>
    <row r="4445" spans="6:10">
      <c r="F4445" s="20"/>
      <c r="G4445" s="20"/>
      <c r="H4445" s="20"/>
      <c r="I4445" s="20"/>
      <c r="J4445" s="20"/>
    </row>
    <row r="4446" spans="6:10">
      <c r="F4446" s="20"/>
      <c r="G4446" s="20"/>
      <c r="H4446" s="20"/>
      <c r="I4446" s="20"/>
      <c r="J4446" s="20"/>
    </row>
    <row r="4447" spans="6:10">
      <c r="F4447" s="20"/>
      <c r="G4447" s="20"/>
      <c r="H4447" s="20"/>
      <c r="I4447" s="20"/>
      <c r="J4447" s="20"/>
    </row>
    <row r="4448" spans="6:10">
      <c r="F4448" s="20"/>
      <c r="G4448" s="20"/>
      <c r="H4448" s="20"/>
      <c r="I4448" s="20"/>
      <c r="J4448" s="20"/>
    </row>
    <row r="4449" spans="1:10">
      <c r="F4449" s="20"/>
      <c r="G4449" s="20"/>
      <c r="H4449" s="20"/>
      <c r="I4449" s="20"/>
      <c r="J4449" s="20"/>
    </row>
    <row r="4450" spans="1:10">
      <c r="F4450" s="20"/>
      <c r="G4450" s="20"/>
      <c r="H4450" s="20"/>
      <c r="I4450" s="20"/>
      <c r="J4450" s="20"/>
    </row>
    <row r="4451" spans="1:10">
      <c r="F4451" s="20"/>
      <c r="G4451" s="20"/>
      <c r="H4451" s="20"/>
      <c r="I4451" s="20"/>
      <c r="J4451" s="20"/>
    </row>
    <row r="4452" spans="1:10">
      <c r="F4452" s="20"/>
      <c r="G4452" s="20"/>
      <c r="H4452" s="20"/>
      <c r="I4452" s="20"/>
      <c r="J4452" s="20"/>
    </row>
    <row r="4453" spans="1:10">
      <c r="F4453" s="20"/>
      <c r="G4453" s="20"/>
      <c r="H4453" s="20"/>
      <c r="I4453" s="20"/>
      <c r="J4453" s="20"/>
    </row>
    <row r="4454" spans="1:10">
      <c r="F4454" s="20"/>
      <c r="G4454" s="20"/>
      <c r="H4454" s="20"/>
      <c r="I4454" s="20"/>
      <c r="J4454" s="20"/>
    </row>
    <row r="4455" spans="1:10">
      <c r="F4455" s="20"/>
      <c r="G4455" s="20"/>
      <c r="H4455" s="20"/>
      <c r="I4455" s="20"/>
      <c r="J4455" s="20"/>
    </row>
    <row r="4456" spans="1:10">
      <c r="F4456" s="20"/>
      <c r="G4456" s="20"/>
      <c r="H4456" s="20"/>
      <c r="I4456" s="20"/>
      <c r="J4456" s="20"/>
    </row>
    <row r="4457" spans="1:10">
      <c r="F4457" s="20"/>
      <c r="G4457" s="20"/>
      <c r="H4457" s="20"/>
      <c r="I4457" s="20"/>
      <c r="J4457" s="20"/>
    </row>
    <row r="4458" spans="1:10">
      <c r="F4458" s="20"/>
      <c r="G4458" s="20"/>
      <c r="H4458" s="20"/>
      <c r="I4458" s="20"/>
      <c r="J4458" s="20"/>
    </row>
    <row r="4459" spans="1:10">
      <c r="F4459" s="20"/>
      <c r="G4459" s="20"/>
      <c r="H4459" s="20"/>
      <c r="I4459" s="20"/>
      <c r="J4459" s="20"/>
    </row>
    <row r="4460" spans="1:10">
      <c r="F4460" s="20"/>
      <c r="G4460" s="20"/>
      <c r="H4460" s="20"/>
      <c r="I4460" s="20"/>
      <c r="J4460" s="20"/>
    </row>
    <row r="4461" spans="1:10">
      <c r="A4461" s="20"/>
      <c r="B4461" s="20"/>
      <c r="C4461" s="20"/>
      <c r="D4461" s="20"/>
      <c r="E4461" s="20"/>
      <c r="F4461" s="20"/>
      <c r="G4461" s="20"/>
      <c r="H4461" s="20"/>
      <c r="I4461" s="20"/>
      <c r="J4461" s="20"/>
    </row>
    <row r="4462" spans="1:10">
      <c r="A4462" s="20"/>
      <c r="B4462" s="20"/>
      <c r="C4462" s="20"/>
      <c r="D4462" s="20"/>
      <c r="E4462" s="20"/>
      <c r="F4462" s="20"/>
      <c r="G4462" s="20"/>
      <c r="H4462" s="20"/>
      <c r="I4462" s="20"/>
      <c r="J4462" s="20"/>
    </row>
    <row r="4463" spans="1:10">
      <c r="A4463" s="20"/>
      <c r="B4463" s="20"/>
      <c r="C4463" s="20"/>
      <c r="D4463" s="20"/>
      <c r="E4463" s="20"/>
      <c r="F4463" s="20"/>
      <c r="G4463" s="20"/>
      <c r="H4463" s="20"/>
      <c r="I4463" s="20"/>
      <c r="J4463" s="20"/>
    </row>
    <row r="4464" spans="1:10">
      <c r="A4464" s="20"/>
      <c r="B4464" s="20"/>
      <c r="C4464" s="20"/>
      <c r="D4464" s="20"/>
      <c r="E4464" s="20"/>
      <c r="F4464" s="20"/>
      <c r="G4464" s="20"/>
      <c r="H4464" s="20"/>
      <c r="I4464" s="20"/>
      <c r="J4464" s="20"/>
    </row>
    <row r="4465" spans="1:10">
      <c r="A4465" s="20"/>
      <c r="B4465" s="20"/>
      <c r="C4465" s="20"/>
      <c r="D4465" s="20"/>
      <c r="E4465" s="20"/>
      <c r="F4465" s="20"/>
      <c r="G4465" s="20"/>
      <c r="H4465" s="20"/>
      <c r="I4465" s="20"/>
      <c r="J4465" s="20"/>
    </row>
    <row r="4466" spans="1:10">
      <c r="A4466" s="20"/>
      <c r="B4466" s="20"/>
      <c r="C4466" s="20"/>
      <c r="D4466" s="20"/>
      <c r="E4466" s="20"/>
      <c r="F4466" s="20"/>
      <c r="G4466" s="20"/>
      <c r="H4466" s="20"/>
      <c r="I4466" s="20"/>
      <c r="J4466" s="20"/>
    </row>
    <row r="4467" spans="1:10">
      <c r="A4467" s="20"/>
      <c r="B4467" s="20"/>
      <c r="C4467" s="20"/>
      <c r="D4467" s="20"/>
      <c r="E4467" s="20"/>
      <c r="F4467" s="20"/>
      <c r="G4467" s="20"/>
      <c r="H4467" s="20"/>
      <c r="I4467" s="20"/>
      <c r="J4467" s="20"/>
    </row>
    <row r="4468" spans="1:10">
      <c r="A4468" s="20"/>
      <c r="B4468" s="20"/>
      <c r="C4468" s="20"/>
      <c r="D4468" s="20"/>
      <c r="E4468" s="20"/>
      <c r="F4468" s="20"/>
      <c r="G4468" s="20"/>
      <c r="H4468" s="20"/>
      <c r="I4468" s="20"/>
      <c r="J4468" s="20"/>
    </row>
    <row r="4469" spans="1:10">
      <c r="A4469" s="20"/>
      <c r="B4469" s="20"/>
      <c r="C4469" s="20"/>
      <c r="D4469" s="20"/>
      <c r="E4469" s="20"/>
      <c r="F4469" s="20"/>
      <c r="G4469" s="20"/>
      <c r="H4469" s="20"/>
      <c r="I4469" s="20"/>
      <c r="J4469" s="20"/>
    </row>
    <row r="4470" spans="1:10">
      <c r="A4470" s="20"/>
      <c r="B4470" s="20"/>
      <c r="C4470" s="20"/>
      <c r="D4470" s="20"/>
      <c r="E4470" s="20"/>
      <c r="F4470" s="20"/>
      <c r="G4470" s="20"/>
      <c r="H4470" s="20"/>
      <c r="I4470" s="20"/>
      <c r="J4470" s="20"/>
    </row>
    <row r="4471" spans="1:10">
      <c r="A4471" s="20"/>
      <c r="B4471" s="20"/>
      <c r="C4471" s="20"/>
      <c r="D4471" s="20"/>
      <c r="E4471" s="20"/>
      <c r="F4471" s="20"/>
      <c r="G4471" s="20"/>
      <c r="H4471" s="20"/>
      <c r="I4471" s="20"/>
      <c r="J4471" s="20"/>
    </row>
    <row r="4472" spans="1:10">
      <c r="A4472" s="20"/>
      <c r="B4472" s="20"/>
      <c r="C4472" s="20"/>
      <c r="D4472" s="20"/>
      <c r="E4472" s="20"/>
      <c r="F4472" s="20"/>
      <c r="G4472" s="20"/>
      <c r="H4472" s="20"/>
      <c r="I4472" s="20"/>
      <c r="J4472" s="20"/>
    </row>
    <row r="4473" spans="1:10">
      <c r="A4473" s="20"/>
      <c r="B4473" s="20"/>
      <c r="C4473" s="20"/>
      <c r="D4473" s="20"/>
      <c r="E4473" s="20"/>
      <c r="F4473" s="20"/>
      <c r="G4473" s="20"/>
      <c r="H4473" s="20"/>
      <c r="I4473" s="20"/>
      <c r="J4473" s="20"/>
    </row>
    <row r="4474" spans="1:10">
      <c r="A4474" s="20"/>
      <c r="B4474" s="20"/>
      <c r="C4474" s="20"/>
      <c r="D4474" s="20"/>
      <c r="E4474" s="20"/>
      <c r="F4474" s="20"/>
      <c r="G4474" s="20"/>
      <c r="H4474" s="20"/>
      <c r="I4474" s="20"/>
      <c r="J4474" s="20"/>
    </row>
    <row r="4475" spans="1:10">
      <c r="A4475" s="20"/>
      <c r="B4475" s="20"/>
      <c r="C4475" s="20"/>
      <c r="D4475" s="20"/>
      <c r="E4475" s="20"/>
      <c r="F4475" s="20"/>
      <c r="G4475" s="20"/>
      <c r="H4475" s="20"/>
      <c r="I4475" s="20"/>
      <c r="J4475" s="20"/>
    </row>
    <row r="4476" spans="1:10">
      <c r="A4476" s="20"/>
      <c r="B4476" s="20"/>
      <c r="C4476" s="20"/>
      <c r="D4476" s="20"/>
      <c r="E4476" s="20"/>
      <c r="F4476" s="20"/>
      <c r="G4476" s="20"/>
      <c r="H4476" s="20"/>
      <c r="I4476" s="20"/>
      <c r="J4476" s="20"/>
    </row>
    <row r="4477" spans="1:10">
      <c r="A4477" s="20"/>
      <c r="B4477" s="20"/>
      <c r="C4477" s="20"/>
      <c r="D4477" s="20"/>
      <c r="E4477" s="20"/>
      <c r="F4477" s="20"/>
      <c r="G4477" s="20"/>
      <c r="H4477" s="20"/>
      <c r="I4477" s="20"/>
      <c r="J4477" s="20"/>
    </row>
    <row r="4478" spans="1:10">
      <c r="A4478" s="20"/>
      <c r="B4478" s="20"/>
      <c r="C4478" s="20"/>
      <c r="D4478" s="20"/>
      <c r="E4478" s="20"/>
      <c r="F4478" s="20"/>
      <c r="G4478" s="20"/>
      <c r="H4478" s="20"/>
      <c r="I4478" s="20"/>
      <c r="J4478" s="20"/>
    </row>
    <row r="4479" spans="1:10">
      <c r="A4479" s="20"/>
      <c r="B4479" s="20"/>
      <c r="C4479" s="20"/>
      <c r="D4479" s="20"/>
      <c r="E4479" s="20"/>
      <c r="F4479" s="20"/>
      <c r="G4479" s="20"/>
      <c r="H4479" s="20"/>
      <c r="I4479" s="20"/>
      <c r="J4479" s="20"/>
    </row>
    <row r="4480" spans="1:10">
      <c r="A4480" s="20"/>
      <c r="B4480" s="20"/>
      <c r="C4480" s="20"/>
      <c r="D4480" s="20"/>
      <c r="E4480" s="20"/>
    </row>
    <row r="4481" spans="1:5">
      <c r="A4481" s="20"/>
      <c r="B4481" s="20"/>
      <c r="C4481" s="20"/>
      <c r="D4481" s="20"/>
      <c r="E4481" s="20"/>
    </row>
    <row r="4482" spans="1:5">
      <c r="A4482" s="20"/>
      <c r="B4482" s="20"/>
      <c r="C4482" s="20"/>
      <c r="D4482" s="20"/>
      <c r="E4482" s="20"/>
    </row>
    <row r="4483" spans="1:5">
      <c r="A4483" s="20"/>
      <c r="B4483" s="20"/>
      <c r="C4483" s="20"/>
      <c r="D4483" s="20"/>
      <c r="E4483" s="20"/>
    </row>
    <row r="4484" spans="1:5">
      <c r="A4484" s="20"/>
      <c r="B4484" s="20"/>
      <c r="C4484" s="20"/>
      <c r="D4484" s="20"/>
      <c r="E4484" s="20"/>
    </row>
    <row r="4485" spans="1:5">
      <c r="A4485" s="20"/>
      <c r="B4485" s="20"/>
      <c r="C4485" s="20"/>
      <c r="D4485" s="20"/>
      <c r="E4485" s="20"/>
    </row>
    <row r="4486" spans="1:5">
      <c r="A4486" s="20"/>
      <c r="B4486" s="20"/>
      <c r="C4486" s="20"/>
      <c r="D4486" s="20"/>
      <c r="E4486" s="20"/>
    </row>
    <row r="4487" spans="1:5">
      <c r="A4487" s="20"/>
      <c r="B4487" s="20"/>
      <c r="C4487" s="20"/>
      <c r="D4487" s="20"/>
      <c r="E4487" s="20"/>
    </row>
    <row r="4488" spans="1:5">
      <c r="A4488" s="20"/>
      <c r="B4488" s="20"/>
      <c r="C4488" s="20"/>
      <c r="D4488" s="20"/>
      <c r="E4488" s="20"/>
    </row>
    <row r="4489" spans="1:5">
      <c r="A4489" s="20"/>
      <c r="B4489" s="20"/>
      <c r="C4489" s="20"/>
      <c r="D4489" s="20"/>
      <c r="E4489" s="20"/>
    </row>
    <row r="4490" spans="1:5">
      <c r="A4490" s="20"/>
      <c r="B4490" s="20"/>
      <c r="C4490" s="20"/>
      <c r="D4490" s="20"/>
      <c r="E4490" s="20"/>
    </row>
    <row r="4491" spans="1:5">
      <c r="A4491" s="20"/>
      <c r="B4491" s="20"/>
      <c r="C4491" s="20"/>
      <c r="D4491" s="20"/>
      <c r="E4491" s="20"/>
    </row>
    <row r="4492" spans="1:5">
      <c r="A4492" s="20"/>
      <c r="B4492" s="20"/>
      <c r="C4492" s="20"/>
      <c r="D4492" s="20"/>
      <c r="E4492" s="20"/>
    </row>
    <row r="4493" spans="1:5">
      <c r="A4493" s="20"/>
      <c r="B4493" s="20"/>
      <c r="C4493" s="20"/>
      <c r="D4493" s="20"/>
      <c r="E4493" s="20"/>
    </row>
    <row r="4494" spans="1:5">
      <c r="A4494" s="20"/>
      <c r="B4494" s="20"/>
      <c r="C4494" s="20"/>
      <c r="D4494" s="20"/>
      <c r="E4494" s="20"/>
    </row>
    <row r="4495" spans="1:5">
      <c r="A4495" s="20"/>
      <c r="B4495" s="20"/>
      <c r="C4495" s="20"/>
      <c r="D4495" s="20"/>
      <c r="E4495" s="20"/>
    </row>
    <row r="4496" spans="1:5">
      <c r="A4496" s="20"/>
      <c r="B4496" s="20"/>
      <c r="C4496" s="20"/>
      <c r="D4496" s="20"/>
      <c r="E4496" s="20"/>
    </row>
    <row r="4497" spans="1:5">
      <c r="A4497" s="20"/>
      <c r="B4497" s="20"/>
      <c r="C4497" s="20"/>
      <c r="D4497" s="20"/>
      <c r="E4497" s="20"/>
    </row>
    <row r="4498" spans="1:5">
      <c r="A4498" s="20"/>
      <c r="B4498" s="20"/>
      <c r="C4498" s="20"/>
      <c r="D4498" s="20"/>
      <c r="E4498" s="20"/>
    </row>
    <row r="4499" spans="1:5">
      <c r="A4499" s="20"/>
      <c r="B4499" s="20"/>
      <c r="C4499" s="20"/>
      <c r="D4499" s="20"/>
      <c r="E4499" s="20"/>
    </row>
    <row r="4500" spans="1:5">
      <c r="A4500" s="20"/>
      <c r="B4500" s="20"/>
      <c r="C4500" s="20"/>
      <c r="D4500" s="20"/>
      <c r="E4500" s="20"/>
    </row>
    <row r="4501" spans="1:5">
      <c r="A4501" s="20"/>
      <c r="B4501" s="20"/>
      <c r="C4501" s="20"/>
      <c r="D4501" s="20"/>
      <c r="E4501" s="20"/>
    </row>
    <row r="4502" spans="1:5">
      <c r="A4502" s="20"/>
      <c r="B4502" s="20"/>
      <c r="C4502" s="20"/>
      <c r="D4502" s="20"/>
      <c r="E4502" s="20"/>
    </row>
    <row r="4503" spans="1:5">
      <c r="A4503" s="20"/>
      <c r="B4503" s="20"/>
      <c r="C4503" s="20"/>
      <c r="D4503" s="20"/>
      <c r="E4503" s="20"/>
    </row>
    <row r="4504" spans="1:5">
      <c r="A4504" s="20"/>
      <c r="B4504" s="20"/>
      <c r="C4504" s="20"/>
      <c r="D4504" s="20"/>
      <c r="E4504" s="20"/>
    </row>
    <row r="4505" spans="1:5">
      <c r="A4505" s="20"/>
      <c r="B4505" s="20"/>
      <c r="C4505" s="20"/>
      <c r="D4505" s="20"/>
      <c r="E4505" s="20"/>
    </row>
    <row r="4506" spans="1:5">
      <c r="A4506" s="20"/>
      <c r="B4506" s="20"/>
      <c r="C4506" s="20"/>
      <c r="D4506" s="20"/>
      <c r="E4506" s="20"/>
    </row>
    <row r="4507" spans="1:5">
      <c r="A4507" s="20"/>
      <c r="B4507" s="20"/>
      <c r="C4507" s="20"/>
      <c r="D4507" s="20"/>
      <c r="E4507" s="20"/>
    </row>
    <row r="4508" spans="1:5">
      <c r="A4508" s="20"/>
      <c r="B4508" s="20"/>
      <c r="C4508" s="20"/>
      <c r="D4508" s="20"/>
      <c r="E4508" s="20"/>
    </row>
    <row r="4509" spans="1:5">
      <c r="A4509" s="20"/>
      <c r="B4509" s="20"/>
      <c r="C4509" s="20"/>
      <c r="D4509" s="20"/>
      <c r="E4509" s="20"/>
    </row>
    <row r="4510" spans="1:5">
      <c r="A4510" s="20"/>
      <c r="B4510" s="20"/>
      <c r="C4510" s="20"/>
      <c r="D4510" s="20"/>
      <c r="E4510" s="20"/>
    </row>
    <row r="4511" spans="1:5">
      <c r="A4511" s="20"/>
      <c r="B4511" s="20"/>
      <c r="C4511" s="20"/>
      <c r="D4511" s="20"/>
      <c r="E4511" s="20"/>
    </row>
    <row r="4512" spans="1:5">
      <c r="A4512" s="20"/>
      <c r="B4512" s="20"/>
      <c r="C4512" s="20"/>
      <c r="D4512" s="20"/>
      <c r="E4512" s="20"/>
    </row>
    <row r="4513" spans="1:5">
      <c r="A4513" s="20"/>
      <c r="B4513" s="20"/>
      <c r="C4513" s="20"/>
      <c r="D4513" s="20"/>
      <c r="E4513" s="20"/>
    </row>
    <row r="4514" spans="1:5">
      <c r="A4514" s="20"/>
      <c r="B4514" s="20"/>
      <c r="C4514" s="20"/>
      <c r="D4514" s="20"/>
      <c r="E4514" s="20"/>
    </row>
    <row r="4515" spans="1:5">
      <c r="A4515" s="20"/>
      <c r="B4515" s="20"/>
      <c r="C4515" s="20"/>
      <c r="D4515" s="20"/>
      <c r="E4515" s="20"/>
    </row>
    <row r="4516" spans="1:5">
      <c r="A4516" s="20"/>
      <c r="B4516" s="20"/>
      <c r="C4516" s="20"/>
      <c r="D4516" s="20"/>
      <c r="E4516" s="20"/>
    </row>
    <row r="4517" spans="1:5">
      <c r="A4517" s="20"/>
      <c r="B4517" s="20"/>
      <c r="C4517" s="20"/>
      <c r="D4517" s="20"/>
      <c r="E4517" s="20"/>
    </row>
    <row r="4518" spans="1:5">
      <c r="A4518" s="20"/>
      <c r="B4518" s="20"/>
      <c r="C4518" s="20"/>
      <c r="D4518" s="20"/>
      <c r="E4518" s="20"/>
    </row>
    <row r="4519" spans="1:5">
      <c r="A4519" s="20"/>
      <c r="B4519" s="20"/>
      <c r="C4519" s="20"/>
      <c r="D4519" s="20"/>
      <c r="E4519" s="20"/>
    </row>
    <row r="4520" spans="1:5">
      <c r="A4520" s="20"/>
      <c r="B4520" s="20"/>
      <c r="C4520" s="20"/>
      <c r="D4520" s="20"/>
      <c r="E4520" s="20"/>
    </row>
    <row r="4521" spans="1:5">
      <c r="A4521" s="20"/>
      <c r="B4521" s="20"/>
      <c r="C4521" s="20"/>
      <c r="D4521" s="20"/>
      <c r="E4521" s="20"/>
    </row>
    <row r="4522" spans="1:5">
      <c r="A4522" s="20"/>
      <c r="B4522" s="20"/>
      <c r="C4522" s="20"/>
      <c r="D4522" s="20"/>
      <c r="E4522" s="20"/>
    </row>
    <row r="4523" spans="1:5">
      <c r="A4523" s="20"/>
      <c r="B4523" s="20"/>
      <c r="C4523" s="20"/>
      <c r="D4523" s="20"/>
      <c r="E4523" s="20"/>
    </row>
    <row r="4524" spans="1:5">
      <c r="A4524" s="20"/>
      <c r="B4524" s="20"/>
      <c r="C4524" s="20"/>
      <c r="D4524" s="20"/>
      <c r="E4524" s="20"/>
    </row>
    <row r="4525" spans="1:5">
      <c r="A4525" s="20"/>
      <c r="B4525" s="20"/>
      <c r="C4525" s="20"/>
      <c r="D4525" s="20"/>
      <c r="E4525" s="20"/>
    </row>
    <row r="4526" spans="1:5">
      <c r="A4526" s="20"/>
      <c r="B4526" s="20"/>
      <c r="C4526" s="20"/>
      <c r="D4526" s="20"/>
      <c r="E4526" s="20"/>
    </row>
    <row r="4527" spans="1:5">
      <c r="A4527" s="20"/>
      <c r="B4527" s="20"/>
      <c r="C4527" s="20"/>
      <c r="D4527" s="20"/>
      <c r="E4527" s="20"/>
    </row>
    <row r="4528" spans="1:5">
      <c r="A4528" s="20"/>
      <c r="B4528" s="20"/>
      <c r="C4528" s="20"/>
      <c r="D4528" s="20"/>
      <c r="E4528" s="20"/>
    </row>
    <row r="4529" spans="1:5">
      <c r="A4529" s="20"/>
      <c r="B4529" s="20"/>
      <c r="C4529" s="20"/>
      <c r="D4529" s="20"/>
      <c r="E4529" s="20"/>
    </row>
    <row r="4530" spans="1:5">
      <c r="A4530" s="20"/>
      <c r="B4530" s="20"/>
      <c r="C4530" s="20"/>
      <c r="D4530" s="20"/>
      <c r="E4530" s="20"/>
    </row>
    <row r="4531" spans="1:5">
      <c r="A4531" s="20"/>
      <c r="B4531" s="20"/>
      <c r="C4531" s="20"/>
      <c r="D4531" s="20"/>
      <c r="E4531" s="20"/>
    </row>
    <row r="4532" spans="1:5">
      <c r="A4532" s="20"/>
      <c r="B4532" s="20"/>
      <c r="C4532" s="20"/>
      <c r="D4532" s="20"/>
      <c r="E4532" s="20"/>
    </row>
    <row r="4533" spans="1:5">
      <c r="A4533" s="20"/>
      <c r="B4533" s="20"/>
      <c r="C4533" s="20"/>
      <c r="D4533" s="20"/>
      <c r="E4533" s="20"/>
    </row>
    <row r="4534" spans="1:5">
      <c r="A4534" s="20"/>
      <c r="B4534" s="20"/>
      <c r="C4534" s="20"/>
      <c r="D4534" s="20"/>
      <c r="E4534" s="20"/>
    </row>
    <row r="4535" spans="1:5">
      <c r="A4535" s="20"/>
      <c r="B4535" s="20"/>
      <c r="C4535" s="20"/>
      <c r="D4535" s="20"/>
      <c r="E4535" s="20"/>
    </row>
    <row r="4536" spans="1:5">
      <c r="A4536" s="20"/>
      <c r="B4536" s="20"/>
      <c r="C4536" s="20"/>
      <c r="D4536" s="20"/>
      <c r="E4536" s="20"/>
    </row>
    <row r="4537" spans="1:5">
      <c r="A4537" s="20"/>
      <c r="B4537" s="20"/>
      <c r="C4537" s="20"/>
      <c r="D4537" s="20"/>
      <c r="E4537" s="20"/>
    </row>
    <row r="4538" spans="1:5">
      <c r="A4538" s="20"/>
      <c r="B4538" s="20"/>
      <c r="C4538" s="20"/>
      <c r="D4538" s="20"/>
      <c r="E4538" s="20"/>
    </row>
    <row r="4539" spans="1:5">
      <c r="A4539" s="20"/>
      <c r="B4539" s="20"/>
      <c r="C4539" s="20"/>
      <c r="D4539" s="20"/>
      <c r="E4539" s="20"/>
    </row>
    <row r="4540" spans="1:5">
      <c r="A4540" s="20"/>
      <c r="B4540" s="20"/>
      <c r="C4540" s="20"/>
      <c r="D4540" s="20"/>
      <c r="E4540" s="20"/>
    </row>
  </sheetData>
  <sheetProtection algorithmName="SHA-512" hashValue="Gmru8HDOpUQwEFbhQ18lMF5/lqPFq+090V7HHiSQmr2oHmxgTqIla7beXhhGz32lYupiXg1Iz9/IHEcpG1wIAA==" saltValue="HCWRDhG4cTjg9jq3255eGg==" spinCount="100000" sheet="1" objects="1" scenarios="1"/>
  <protectedRanges>
    <protectedRange sqref="B560 B610" name="Range1" securityDescriptor="O:WDG:WDD:(A;;CC;;;S-1-5-21-422840099-141104626-1905203885-1918)"/>
    <protectedRange sqref="B477" name="Range2" securityDescriptor="O:WDG:WDD:(A;;CC;;;S-1-5-21-422840099-141104626-1905203885-1918)"/>
    <protectedRange sqref="B708:AE806" name="Range3" securityDescriptor="O:WDG:WDD:(A;;CC;;;S-1-5-21-422840099-141104626-1905203885-1918)"/>
  </protectedRanges>
  <sortState xmlns:xlrd2="http://schemas.microsoft.com/office/spreadsheetml/2017/richdata2" ref="A16:A296">
    <sortCondition ref="A16"/>
  </sortState>
  <mergeCells count="1">
    <mergeCell ref="A1:M1"/>
  </mergeCells>
  <conditionalFormatting sqref="B385:P385">
    <cfRule type="cellIs" dxfId="2" priority="6" operator="equal">
      <formula>"Loans Missing"</formula>
    </cfRule>
  </conditionalFormatting>
  <conditionalFormatting sqref="F39">
    <cfRule type="expression" dxfId="1" priority="1">
      <formula>$F$398=FALSE</formula>
    </cfRule>
    <cfRule type="expression" dxfId="0" priority="4">
      <formula>$F$398=FALSE</formula>
    </cfRule>
  </conditionalFormatting>
  <dataValidations disablePrompts="1" count="5">
    <dataValidation type="whole" allowBlank="1" showInputMessage="1" showErrorMessage="1" errorTitle="# of  Units" error="Please enter a whole number for number of units." sqref="W25:W26" xr:uid="{00000000-0002-0000-1600-000000000000}">
      <formula1>1</formula1>
      <formula2>1000</formula2>
    </dataValidation>
    <dataValidation type="whole" allowBlank="1" showInputMessage="1" showErrorMessage="1" errorTitle="Unit Size" error="Please enter a whole number in square feet for unit size." sqref="V25:V26" xr:uid="{00000000-0002-0000-1600-000001000000}">
      <formula1>1</formula1>
      <formula2>3000</formula2>
    </dataValidation>
    <dataValidation type="whole" allowBlank="1" showInputMessage="1" showErrorMessage="1" errorTitle="Whole Numbers Only" error="All Unit Size (sq. ft.) values on the Unit Mix &amp; Rents worksheet must be entered as a whole number." sqref="C888:C947" xr:uid="{00000000-0002-0000-1600-000002000000}">
      <formula1>0</formula1>
      <formula2>100000</formula2>
    </dataValidation>
    <dataValidation type="whole" allowBlank="1" showInputMessage="1" showErrorMessage="1" errorTitle="Whole Numbers Only" error="All # of Units values on the Unit Mix &amp; Rents worksheet must be entered as a whole number." sqref="D888:D947" xr:uid="{00000000-0002-0000-1600-000003000000}">
      <formula1>0</formula1>
      <formula2>100000</formula2>
    </dataValidation>
    <dataValidation type="whole" allowBlank="1" showInputMessage="1" showErrorMessage="1" errorTitle="Whole Numbers Only" error="All Actual Rent per Unit values on the Unit Mix &amp; Rents worksheet must be entered as a whole number." sqref="E888:E947" xr:uid="{00000000-0002-0000-1600-000004000000}">
      <formula1>0</formula1>
      <formula2>100000</formula2>
    </dataValidation>
  </dataValidations>
  <pageMargins left="0.7" right="0.7" top="0.75" bottom="0.75" header="0.3" footer="0.3"/>
  <pageSetup orientation="portrait" r:id="rId1"/>
  <ignoredErrors>
    <ignoredError sqref="B461" formula="1"/>
  </ignoredError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theme="1"/>
  </sheetPr>
  <dimension ref="A1:BD1027"/>
  <sheetViews>
    <sheetView zoomScale="130" zoomScaleNormal="130" workbookViewId="0"/>
  </sheetViews>
  <sheetFormatPr defaultRowHeight="15"/>
  <cols>
    <col min="1" max="1" width="35.140625" customWidth="1"/>
    <col min="2" max="2" width="17" customWidth="1"/>
    <col min="3" max="3" width="19.140625" customWidth="1"/>
    <col min="4" max="4" width="15" customWidth="1"/>
    <col min="5" max="5" width="14.42578125" customWidth="1"/>
    <col min="6" max="6" width="11.7109375" customWidth="1"/>
    <col min="9" max="9" width="11" customWidth="1"/>
  </cols>
  <sheetData>
    <row r="1" spans="1:3" ht="15.75" thickBot="1">
      <c r="A1" s="13"/>
      <c r="C1" s="1"/>
    </row>
    <row r="2" spans="1:3" ht="15.75" thickBot="1">
      <c r="A2" t="s">
        <v>3000</v>
      </c>
      <c r="B2" s="50">
        <v>45292</v>
      </c>
      <c r="C2" s="1"/>
    </row>
    <row r="3" spans="1:3" ht="15.75" thickBot="1">
      <c r="A3" t="s">
        <v>3001</v>
      </c>
      <c r="B3" s="50">
        <v>45991</v>
      </c>
      <c r="C3" s="1"/>
    </row>
    <row r="4" spans="1:3">
      <c r="A4" s="13"/>
      <c r="C4" s="1"/>
    </row>
    <row r="5" spans="1:3" ht="15.75" thickBot="1">
      <c r="A5" s="13"/>
      <c r="C5" s="1"/>
    </row>
    <row r="6" spans="1:3" ht="15.75" thickBot="1">
      <c r="A6" s="9" t="s">
        <v>3002</v>
      </c>
      <c r="B6" s="51">
        <v>0</v>
      </c>
    </row>
    <row r="7" spans="1:3" ht="30.75" thickBot="1">
      <c r="A7" s="9" t="s">
        <v>3003</v>
      </c>
      <c r="B7" s="51">
        <v>300</v>
      </c>
    </row>
    <row r="8" spans="1:3" ht="15.75" thickBot="1">
      <c r="A8" t="s">
        <v>3004</v>
      </c>
      <c r="B8" s="51">
        <v>4500</v>
      </c>
    </row>
    <row r="9" spans="1:3" ht="15.75" thickBot="1">
      <c r="A9" t="s">
        <v>3005</v>
      </c>
      <c r="B9" s="51">
        <v>1.1499999999999999</v>
      </c>
    </row>
    <row r="10" spans="1:3" ht="15.75" thickBot="1">
      <c r="A10" t="s">
        <v>3006</v>
      </c>
      <c r="B10" s="51">
        <v>130</v>
      </c>
    </row>
    <row r="11" spans="1:3" ht="15.75" thickBot="1">
      <c r="A11" s="9" t="s">
        <v>4226</v>
      </c>
      <c r="B11" s="51">
        <v>95</v>
      </c>
    </row>
    <row r="12" spans="1:3" ht="15.75" thickBot="1">
      <c r="A12" s="9" t="s">
        <v>4195</v>
      </c>
      <c r="B12" s="51">
        <v>115</v>
      </c>
    </row>
    <row r="13" spans="1:3" ht="15.75" thickBot="1">
      <c r="A13" s="14"/>
    </row>
    <row r="14" spans="1:3" ht="15.75" thickBot="1">
      <c r="A14" s="14" t="s">
        <v>3007</v>
      </c>
      <c r="B14" s="57">
        <f>C14</f>
        <v>0</v>
      </c>
      <c r="C14">
        <f>IF(ISNA(MATCH(Application!$B$10,Tax_Credit_Type_Table[Type Of Tax Credit],0)), 0,INDEX(Tax_Credit_Type_Table[9% Max], MATCH(Application!$B$10,Tax_Credit_Type_Table[Type Of Tax Credit],0), 1))</f>
        <v>0</v>
      </c>
    </row>
    <row r="15" spans="1:3" ht="15.75" thickBot="1">
      <c r="A15" s="14" t="s">
        <v>3008</v>
      </c>
      <c r="B15" s="57">
        <f>C15</f>
        <v>0</v>
      </c>
      <c r="C15">
        <f>IF(ISNA(MATCH(Application!$B$10,Tax_Credit_Type_Table[Type Of Tax Credit],0)), 0,INDEX(Tax_Credit_Type_Table[State Max], MATCH(Application!$B$10,Tax_Credit_Type_Table[Type Of Tax Credit],0), 1))</f>
        <v>0</v>
      </c>
    </row>
    <row r="16" spans="1:3" ht="15.75" thickBot="1">
      <c r="A16" s="14" t="s">
        <v>4228</v>
      </c>
      <c r="B16" s="57">
        <v>200000</v>
      </c>
    </row>
    <row r="17" spans="1:4" ht="15.75" thickBot="1">
      <c r="A17" s="14"/>
      <c r="B17" s="257"/>
    </row>
    <row r="18" spans="1:4" ht="15.75" thickBot="1">
      <c r="A18" s="14" t="s">
        <v>3009</v>
      </c>
      <c r="B18" s="57" t="b">
        <v>1</v>
      </c>
    </row>
    <row r="19" spans="1:4" ht="15.75" thickBot="1">
      <c r="A19" s="14" t="s">
        <v>3010</v>
      </c>
      <c r="B19" s="57" t="b">
        <v>1</v>
      </c>
    </row>
    <row r="20" spans="1:4" ht="15.75" thickBot="1">
      <c r="A20" s="14" t="s">
        <v>3011</v>
      </c>
      <c r="B20" s="57" t="b">
        <v>1</v>
      </c>
    </row>
    <row r="21" spans="1:4" ht="15.75" thickBot="1">
      <c r="A21" s="14" t="s">
        <v>4236</v>
      </c>
      <c r="B21" s="57"/>
      <c r="C21" t="s">
        <v>3012</v>
      </c>
    </row>
    <row r="22" spans="1:4" ht="15.75" thickBot="1">
      <c r="A22" s="817" t="s">
        <v>4237</v>
      </c>
      <c r="B22" s="57" t="str">
        <f>IF(AND(Calculations!$B$6, Calculations!$B$10), Admin!C22, "")</f>
        <v/>
      </c>
      <c r="C22">
        <v>650000</v>
      </c>
      <c r="D22" s="817"/>
    </row>
    <row r="23" spans="1:4" ht="15.75" thickBot="1">
      <c r="A23" s="817" t="s">
        <v>4233</v>
      </c>
      <c r="B23" s="57">
        <f>Calculations!H522</f>
        <v>0</v>
      </c>
      <c r="C23">
        <f>Calculations!H522</f>
        <v>0</v>
      </c>
      <c r="D23" s="817"/>
    </row>
    <row r="24" spans="1:4" ht="15.75" thickBot="1">
      <c r="A24" s="817" t="s">
        <v>4242</v>
      </c>
      <c r="B24" s="57" t="str">
        <f>IF(AND(Calculations!$B$6, Calculations!$B$10), Calculations!B630, "")</f>
        <v/>
      </c>
      <c r="D24" s="817"/>
    </row>
    <row r="25" spans="1:4" ht="15.75" thickBot="1">
      <c r="A25" s="817" t="s">
        <v>4243</v>
      </c>
      <c r="B25" s="57" t="str">
        <f>IF(AND(Calculations!$B$6, Calculations!$B$10), Calculations!C630, "")</f>
        <v/>
      </c>
      <c r="D25" s="817"/>
    </row>
    <row r="26" spans="1:4" ht="15.75" thickBot="1">
      <c r="A26" s="14" t="s">
        <v>2873</v>
      </c>
      <c r="B26" s="57">
        <v>10000</v>
      </c>
    </row>
    <row r="27" spans="1:4" ht="30.75" thickBot="1">
      <c r="A27" s="852" t="s">
        <v>4201</v>
      </c>
      <c r="B27" s="57">
        <v>700000</v>
      </c>
    </row>
    <row r="28" spans="1:4" ht="15.75" thickBot="1">
      <c r="A28" s="14" t="s">
        <v>3013</v>
      </c>
      <c r="B28" s="57"/>
    </row>
    <row r="29" spans="1:4" ht="15.75" thickBot="1">
      <c r="A29" s="14" t="s">
        <v>3014</v>
      </c>
      <c r="B29" s="57"/>
    </row>
    <row r="30" spans="1:4" ht="27" thickBot="1">
      <c r="A30" s="851" t="s">
        <v>3015</v>
      </c>
      <c r="B30" s="57"/>
    </row>
    <row r="31" spans="1:4" ht="27" thickBot="1">
      <c r="A31" s="851" t="s">
        <v>3016</v>
      </c>
      <c r="B31" s="57"/>
    </row>
    <row r="32" spans="1:4" ht="15.75" thickBot="1">
      <c r="A32" s="852" t="s">
        <v>2911</v>
      </c>
      <c r="B32" s="57"/>
    </row>
    <row r="33" spans="1:3" ht="15.75" thickBot="1">
      <c r="A33" s="852" t="s">
        <v>3017</v>
      </c>
      <c r="B33" s="501"/>
      <c r="C33" t="s">
        <v>3018</v>
      </c>
    </row>
    <row r="34" spans="1:3" ht="15.75" thickBot="1">
      <c r="A34" s="852" t="s">
        <v>3019</v>
      </c>
      <c r="B34" s="501">
        <v>1300</v>
      </c>
    </row>
    <row r="35" spans="1:3" ht="30.75" thickBot="1">
      <c r="A35" s="852" t="s">
        <v>4202</v>
      </c>
      <c r="B35" s="501">
        <v>200000</v>
      </c>
    </row>
    <row r="36" spans="1:3">
      <c r="A36" s="852"/>
      <c r="B36" s="885"/>
    </row>
    <row r="37" spans="1:3" ht="15.75" thickBot="1">
      <c r="A37" s="96" t="s">
        <v>3020</v>
      </c>
    </row>
    <row r="38" spans="1:3" ht="15.75" thickBot="1">
      <c r="A38" t="s">
        <v>2134</v>
      </c>
      <c r="B38" s="97">
        <v>1</v>
      </c>
    </row>
    <row r="39" spans="1:3" ht="15.75" thickBot="1">
      <c r="A39" s="852" t="s">
        <v>4212</v>
      </c>
      <c r="B39" s="97">
        <v>3</v>
      </c>
    </row>
    <row r="40" spans="1:3" ht="15.75" thickBot="1">
      <c r="A40" s="852" t="s">
        <v>4213</v>
      </c>
      <c r="B40" s="97">
        <v>3</v>
      </c>
    </row>
    <row r="41" spans="1:3" ht="15.75" thickBot="1">
      <c r="A41" t="s">
        <v>2143</v>
      </c>
      <c r="B41" s="97">
        <v>5</v>
      </c>
    </row>
    <row r="42" spans="1:3" ht="15.75" thickBot="1">
      <c r="A42" t="s">
        <v>2146</v>
      </c>
      <c r="B42" s="97">
        <v>5</v>
      </c>
    </row>
    <row r="43" spans="1:3" ht="15.75" thickBot="1">
      <c r="A43" t="s">
        <v>2149</v>
      </c>
      <c r="B43" s="97">
        <v>5</v>
      </c>
    </row>
    <row r="44" spans="1:3" ht="15.75" thickBot="1">
      <c r="A44" t="s">
        <v>2152</v>
      </c>
      <c r="B44" s="97">
        <v>15</v>
      </c>
    </row>
    <row r="45" spans="1:3" ht="15.75" thickBot="1">
      <c r="A45" t="s">
        <v>2155</v>
      </c>
      <c r="B45" s="97">
        <v>1</v>
      </c>
    </row>
    <row r="46" spans="1:3" ht="15.75" thickBot="1">
      <c r="A46" t="s">
        <v>2769</v>
      </c>
      <c r="B46" s="502">
        <v>5</v>
      </c>
    </row>
    <row r="47" spans="1:3" ht="15.75" thickBot="1">
      <c r="A47" t="s">
        <v>4200</v>
      </c>
      <c r="B47" s="502">
        <v>2</v>
      </c>
    </row>
    <row r="48" spans="1:3" ht="15.75" thickBot="1">
      <c r="A48" t="s">
        <v>528</v>
      </c>
      <c r="B48" s="97">
        <v>5</v>
      </c>
    </row>
    <row r="49" spans="1:10" ht="15.75" thickBot="1">
      <c r="A49" t="s">
        <v>3021</v>
      </c>
      <c r="B49" s="502">
        <v>15</v>
      </c>
    </row>
    <row r="50" spans="1:10" ht="15.75" thickBot="1">
      <c r="A50" t="s">
        <v>532</v>
      </c>
      <c r="B50" s="97">
        <v>2</v>
      </c>
    </row>
    <row r="51" spans="1:10">
      <c r="A51" s="14"/>
    </row>
    <row r="52" spans="1:10">
      <c r="A52" s="14"/>
    </row>
    <row r="53" spans="1:10" ht="15.75" thickBot="1">
      <c r="A53" s="96" t="s">
        <v>536</v>
      </c>
    </row>
    <row r="54" spans="1:10" ht="15.75" thickBot="1">
      <c r="A54" s="14" t="s">
        <v>3022</v>
      </c>
      <c r="B54" s="196">
        <v>7.0000000000000007E-2</v>
      </c>
    </row>
    <row r="55" spans="1:10" ht="30.75" thickBot="1">
      <c r="A55" s="852" t="s">
        <v>3023</v>
      </c>
      <c r="B55" s="196">
        <v>0.05</v>
      </c>
    </row>
    <row r="56" spans="1:10" ht="15.75" thickBot="1">
      <c r="A56" s="9" t="s">
        <v>2791</v>
      </c>
      <c r="B56" s="206">
        <v>1.02</v>
      </c>
    </row>
    <row r="57" spans="1:10" ht="15.75" thickBot="1">
      <c r="A57" s="9" t="s">
        <v>2792</v>
      </c>
      <c r="B57" s="206">
        <v>1.03</v>
      </c>
    </row>
    <row r="58" spans="1:10" s="320" customFormat="1" ht="15.75" thickBot="1">
      <c r="A58" s="9" t="s">
        <v>3024</v>
      </c>
      <c r="B58" s="196">
        <v>0.08</v>
      </c>
      <c r="C58"/>
      <c r="D58"/>
      <c r="E58"/>
      <c r="F58"/>
      <c r="G58"/>
      <c r="H58"/>
      <c r="I58"/>
      <c r="J58"/>
    </row>
    <row r="60" spans="1:10" ht="15.75" thickBot="1">
      <c r="A60" s="96" t="s">
        <v>1305</v>
      </c>
    </row>
    <row r="61" spans="1:10" ht="30.75" thickBot="1">
      <c r="A61" s="9" t="s">
        <v>3025</v>
      </c>
      <c r="B61" s="57">
        <v>20000</v>
      </c>
    </row>
    <row r="62" spans="1:10" ht="30.75" thickBot="1">
      <c r="A62" s="9" t="s">
        <v>3026</v>
      </c>
      <c r="B62" s="57">
        <v>5000</v>
      </c>
    </row>
    <row r="63" spans="1:10" ht="30.75" thickBot="1">
      <c r="A63" s="9" t="s">
        <v>3027</v>
      </c>
      <c r="B63" s="57">
        <v>4500</v>
      </c>
    </row>
    <row r="64" spans="1:10" ht="30.75" thickBot="1">
      <c r="A64" s="9" t="s">
        <v>4203</v>
      </c>
      <c r="B64" s="57">
        <v>300</v>
      </c>
    </row>
    <row r="65" spans="1:4" ht="30.75" thickBot="1">
      <c r="A65" s="9" t="s">
        <v>3028</v>
      </c>
      <c r="B65" s="57">
        <v>350</v>
      </c>
    </row>
    <row r="66" spans="1:4" ht="30.75" thickBot="1">
      <c r="A66" s="9" t="s">
        <v>3029</v>
      </c>
      <c r="B66" s="206">
        <v>0.33329999999999999</v>
      </c>
    </row>
    <row r="67" spans="1:4" ht="15.75" thickBot="1">
      <c r="A67" s="9"/>
    </row>
    <row r="68" spans="1:4" ht="30.75" thickBot="1">
      <c r="A68" s="9" t="s">
        <v>3030</v>
      </c>
      <c r="B68" s="196">
        <v>0.05</v>
      </c>
    </row>
    <row r="69" spans="1:4">
      <c r="A69" s="853"/>
    </row>
    <row r="70" spans="1:4" ht="15.75" thickBot="1">
      <c r="A70" s="9" t="s">
        <v>3031</v>
      </c>
      <c r="B70" t="s">
        <v>3032</v>
      </c>
      <c r="C70" t="s">
        <v>3033</v>
      </c>
    </row>
    <row r="71" spans="1:4" ht="15.75" thickBot="1">
      <c r="A71" t="s">
        <v>3034</v>
      </c>
      <c r="B71" s="97">
        <v>0</v>
      </c>
      <c r="C71" s="97">
        <v>30</v>
      </c>
    </row>
    <row r="72" spans="1:4" ht="15.75" thickBot="1">
      <c r="A72" t="s">
        <v>3035</v>
      </c>
      <c r="B72" s="97">
        <v>31</v>
      </c>
      <c r="C72" s="97">
        <v>73</v>
      </c>
    </row>
    <row r="73" spans="1:4" ht="15.75" thickBot="1">
      <c r="A73" t="s">
        <v>3036</v>
      </c>
      <c r="B73" s="97">
        <v>74</v>
      </c>
      <c r="C73" s="97">
        <v>9999</v>
      </c>
    </row>
    <row r="75" spans="1:4" ht="15.75" thickBot="1">
      <c r="A75" t="s">
        <v>3037</v>
      </c>
      <c r="B75" t="s">
        <v>3032</v>
      </c>
      <c r="C75" t="s">
        <v>3033</v>
      </c>
      <c r="D75" s="67" t="s">
        <v>3038</v>
      </c>
    </row>
    <row r="76" spans="1:4" ht="15.75" thickBot="1">
      <c r="A76" t="s">
        <v>3039</v>
      </c>
      <c r="B76" s="97">
        <v>0</v>
      </c>
      <c r="C76" s="97">
        <v>50</v>
      </c>
      <c r="D76" s="210">
        <v>0.15</v>
      </c>
    </row>
    <row r="77" spans="1:4" ht="15.75" thickBot="1">
      <c r="A77" t="s">
        <v>3040</v>
      </c>
      <c r="B77" s="97">
        <v>51</v>
      </c>
      <c r="C77" s="97">
        <v>9999</v>
      </c>
      <c r="D77" s="210">
        <v>0.12</v>
      </c>
    </row>
    <row r="78" spans="1:4" ht="15.75" thickBot="1"/>
    <row r="79" spans="1:4" ht="15.75" thickBot="1">
      <c r="A79" s="9" t="s">
        <v>3041</v>
      </c>
      <c r="B79" s="501">
        <f>Application!B85</f>
        <v>0</v>
      </c>
      <c r="C79" t="s">
        <v>3042</v>
      </c>
    </row>
    <row r="80" spans="1:4" ht="15.75" thickBot="1">
      <c r="A80" s="9" t="s">
        <v>3043</v>
      </c>
      <c r="B80" s="501">
        <f>Application!B87</f>
        <v>0</v>
      </c>
      <c r="C80" t="s">
        <v>3044</v>
      </c>
    </row>
    <row r="81" spans="1:9" ht="15.75" thickBot="1">
      <c r="A81" t="s">
        <v>3045</v>
      </c>
      <c r="B81" s="206">
        <v>1.3</v>
      </c>
    </row>
    <row r="82" spans="1:9" ht="15.75" thickBot="1">
      <c r="A82" t="s">
        <v>3046</v>
      </c>
      <c r="B82" s="206">
        <v>1.3</v>
      </c>
    </row>
    <row r="84" spans="1:9">
      <c r="A84" t="s">
        <v>3047</v>
      </c>
      <c r="B84" t="s">
        <v>3048</v>
      </c>
    </row>
    <row r="85" spans="1:9">
      <c r="A85" t="s">
        <v>3049</v>
      </c>
      <c r="B85" t="s">
        <v>3050</v>
      </c>
      <c r="C85" t="s">
        <v>3051</v>
      </c>
    </row>
    <row r="86" spans="1:9">
      <c r="A86" t="s">
        <v>103</v>
      </c>
      <c r="B86" s="92">
        <v>89067</v>
      </c>
      <c r="C86" s="92">
        <v>82771</v>
      </c>
      <c r="F86" s="92"/>
      <c r="I86" s="92"/>
    </row>
    <row r="87" spans="1:9">
      <c r="A87" t="s">
        <v>104</v>
      </c>
      <c r="B87" s="92">
        <v>102108</v>
      </c>
      <c r="C87" s="92">
        <v>93952</v>
      </c>
      <c r="F87" s="92"/>
      <c r="I87" s="92"/>
    </row>
    <row r="88" spans="1:9">
      <c r="A88" t="s">
        <v>105</v>
      </c>
      <c r="B88" s="92">
        <v>124155</v>
      </c>
      <c r="C88" s="92">
        <v>113563</v>
      </c>
      <c r="F88" s="92"/>
      <c r="I88" s="92"/>
    </row>
    <row r="89" spans="1:9">
      <c r="A89" t="s">
        <v>106</v>
      </c>
      <c r="B89" s="92">
        <v>160614</v>
      </c>
      <c r="C89" s="92">
        <v>142543</v>
      </c>
      <c r="F89" s="92"/>
      <c r="I89" s="92"/>
    </row>
    <row r="90" spans="1:9">
      <c r="A90" t="s">
        <v>107</v>
      </c>
      <c r="B90" s="92">
        <v>176308</v>
      </c>
      <c r="C90" s="92">
        <v>161521</v>
      </c>
      <c r="F90" s="92"/>
      <c r="I90" s="92"/>
    </row>
    <row r="91" spans="1:9">
      <c r="A91" t="s">
        <v>108</v>
      </c>
      <c r="B91" s="92">
        <v>192056</v>
      </c>
      <c r="C91" s="92">
        <v>177328</v>
      </c>
      <c r="F91" s="92"/>
      <c r="I91" s="92"/>
    </row>
    <row r="93" spans="1:9">
      <c r="A93" t="s">
        <v>3052</v>
      </c>
    </row>
    <row r="94" spans="1:9">
      <c r="A94" t="s">
        <v>2860</v>
      </c>
      <c r="B94" t="s">
        <v>2778</v>
      </c>
    </row>
    <row r="95" spans="1:9">
      <c r="A95" s="73">
        <v>1</v>
      </c>
      <c r="B95">
        <v>3.6</v>
      </c>
      <c r="C95" t="s">
        <v>3053</v>
      </c>
    </row>
    <row r="96" spans="1:9">
      <c r="A96" s="73">
        <v>2</v>
      </c>
      <c r="B96">
        <v>4</v>
      </c>
      <c r="C96" t="s">
        <v>3054</v>
      </c>
    </row>
    <row r="97" spans="1:3">
      <c r="A97" s="73">
        <v>3</v>
      </c>
      <c r="B97">
        <v>3.6</v>
      </c>
      <c r="C97" t="s">
        <v>3053</v>
      </c>
    </row>
    <row r="99" spans="1:3" ht="15.75" thickBot="1">
      <c r="A99" s="96" t="s">
        <v>2474</v>
      </c>
    </row>
    <row r="100" spans="1:3" ht="15.75" thickBot="1">
      <c r="A100" t="s">
        <v>3055</v>
      </c>
      <c r="B100" s="57">
        <v>15000</v>
      </c>
    </row>
    <row r="101" spans="1:3" ht="15.75" thickBot="1">
      <c r="A101" s="14" t="s">
        <v>3056</v>
      </c>
      <c r="B101" s="196">
        <v>0.04</v>
      </c>
    </row>
    <row r="102" spans="1:3" ht="15.75" thickBot="1">
      <c r="A102" s="14" t="s">
        <v>3057</v>
      </c>
      <c r="B102" s="196">
        <v>0.01</v>
      </c>
    </row>
    <row r="103" spans="1:3" ht="15.75" thickBot="1">
      <c r="A103" s="852" t="s">
        <v>3058</v>
      </c>
      <c r="B103" s="196">
        <v>0.03</v>
      </c>
    </row>
    <row r="104" spans="1:3" ht="15.75" thickBot="1">
      <c r="A104" s="14" t="s">
        <v>3059</v>
      </c>
      <c r="B104" s="196">
        <v>0.01</v>
      </c>
    </row>
    <row r="105" spans="1:3" ht="15.75" thickBot="1">
      <c r="A105" t="s">
        <v>3060</v>
      </c>
      <c r="B105" s="57">
        <v>15000</v>
      </c>
    </row>
    <row r="106" spans="1:3" ht="15.75" thickBot="1">
      <c r="A106" t="s">
        <v>3061</v>
      </c>
      <c r="B106" s="57">
        <v>1000</v>
      </c>
    </row>
    <row r="107" spans="1:3" ht="15.75" thickBot="1">
      <c r="A107" s="9" t="s">
        <v>3062</v>
      </c>
      <c r="B107" s="196">
        <v>3.5000000000000003E-2</v>
      </c>
    </row>
    <row r="108" spans="1:3" ht="15.75" thickBot="1">
      <c r="A108" t="s">
        <v>3063</v>
      </c>
      <c r="B108" s="196">
        <v>0.01</v>
      </c>
    </row>
    <row r="109" spans="1:3" ht="15.75" thickBot="1">
      <c r="A109" s="9" t="s">
        <v>3064</v>
      </c>
      <c r="B109" s="57">
        <v>5000</v>
      </c>
    </row>
    <row r="110" spans="1:3" ht="15.75" thickBot="1">
      <c r="A110" t="s">
        <v>3065</v>
      </c>
      <c r="B110" s="196">
        <v>0.03</v>
      </c>
    </row>
    <row r="111" spans="1:3" ht="15.75" thickBot="1">
      <c r="A111" t="s">
        <v>3066</v>
      </c>
      <c r="B111" s="196">
        <v>0.01</v>
      </c>
    </row>
    <row r="112" spans="1:3" ht="15.75" thickBot="1">
      <c r="A112" t="s">
        <v>3067</v>
      </c>
      <c r="B112" s="57">
        <v>5000</v>
      </c>
    </row>
    <row r="113" spans="1:52" ht="30.75" thickBot="1">
      <c r="A113" s="9" t="s">
        <v>3068</v>
      </c>
      <c r="B113" s="57">
        <v>300</v>
      </c>
    </row>
    <row r="114" spans="1:52" ht="30.75" thickBot="1">
      <c r="A114" s="9" t="s">
        <v>3069</v>
      </c>
      <c r="B114" s="57">
        <v>500</v>
      </c>
    </row>
    <row r="115" spans="1:52" ht="15.75" thickBot="1">
      <c r="A115" t="s">
        <v>2484</v>
      </c>
      <c r="B115" s="501">
        <v>3000</v>
      </c>
    </row>
    <row r="116" spans="1:52" ht="15.75" thickBot="1">
      <c r="A116" t="s">
        <v>4214</v>
      </c>
      <c r="B116" s="501">
        <v>1000</v>
      </c>
    </row>
    <row r="117" spans="1:52" ht="30">
      <c r="A117" s="857" t="s">
        <v>3070</v>
      </c>
      <c r="B117" s="52" t="s">
        <v>3071</v>
      </c>
      <c r="C117" s="52"/>
      <c r="F117" s="873" t="s">
        <v>3072</v>
      </c>
      <c r="G117" s="873"/>
      <c r="H117" s="873"/>
    </row>
    <row r="118" spans="1:52" ht="90">
      <c r="A118" t="s">
        <v>244</v>
      </c>
      <c r="B118" t="s">
        <v>2860</v>
      </c>
      <c r="C118" t="s">
        <v>3073</v>
      </c>
      <c r="D118" s="9" t="s">
        <v>3074</v>
      </c>
      <c r="E118" s="9" t="s">
        <v>857</v>
      </c>
      <c r="F118" t="s">
        <v>3075</v>
      </c>
      <c r="G118" t="s">
        <v>3076</v>
      </c>
    </row>
    <row r="119" spans="1:52">
      <c r="A119" s="52" t="s">
        <v>1236</v>
      </c>
      <c r="B119">
        <v>1</v>
      </c>
      <c r="C119">
        <v>0</v>
      </c>
      <c r="D119">
        <v>12</v>
      </c>
      <c r="E119">
        <v>4</v>
      </c>
      <c r="F119" t="b">
        <v>0</v>
      </c>
      <c r="G119">
        <v>78.010000000000005</v>
      </c>
      <c r="H119">
        <v>78.02</v>
      </c>
      <c r="I119">
        <v>79</v>
      </c>
      <c r="J119">
        <v>80</v>
      </c>
      <c r="K119">
        <v>81</v>
      </c>
      <c r="L119">
        <v>83.08</v>
      </c>
      <c r="M119">
        <v>83.09</v>
      </c>
      <c r="N119" s="873">
        <v>83.55</v>
      </c>
      <c r="O119">
        <v>85.06</v>
      </c>
      <c r="P119" s="873">
        <v>85.64</v>
      </c>
      <c r="Q119">
        <v>86.03</v>
      </c>
      <c r="R119" s="873">
        <v>86.06</v>
      </c>
      <c r="S119">
        <v>87.05</v>
      </c>
      <c r="T119">
        <v>87.06</v>
      </c>
      <c r="U119">
        <v>87.09</v>
      </c>
      <c r="V119">
        <v>88.01</v>
      </c>
      <c r="W119">
        <v>88.02</v>
      </c>
      <c r="X119">
        <v>91.03</v>
      </c>
      <c r="Y119">
        <v>92.02</v>
      </c>
      <c r="Z119" s="873">
        <v>92.03</v>
      </c>
      <c r="AA119" s="873">
        <v>93.04</v>
      </c>
      <c r="AB119" s="873">
        <v>93.06</v>
      </c>
      <c r="AC119" s="873">
        <v>93.08</v>
      </c>
      <c r="AD119">
        <v>93.09</v>
      </c>
      <c r="AE119">
        <v>93.16</v>
      </c>
      <c r="AF119">
        <v>93.18</v>
      </c>
      <c r="AG119">
        <v>93.19</v>
      </c>
      <c r="AH119">
        <v>93.2</v>
      </c>
      <c r="AI119">
        <v>93.21</v>
      </c>
      <c r="AJ119">
        <v>93.22</v>
      </c>
      <c r="AK119" s="873">
        <v>93.23</v>
      </c>
      <c r="AL119">
        <v>95.01</v>
      </c>
      <c r="AM119">
        <v>96.03</v>
      </c>
      <c r="AN119">
        <v>96.04</v>
      </c>
      <c r="AO119">
        <v>96.06</v>
      </c>
      <c r="AP119">
        <v>96.07</v>
      </c>
      <c r="AQ119">
        <v>97.51</v>
      </c>
      <c r="AR119">
        <v>150</v>
      </c>
    </row>
    <row r="120" spans="1:52">
      <c r="A120" s="417" t="s">
        <v>1237</v>
      </c>
      <c r="B120">
        <v>2</v>
      </c>
      <c r="C120">
        <v>20</v>
      </c>
      <c r="D120">
        <v>13</v>
      </c>
      <c r="E120">
        <v>2</v>
      </c>
      <c r="F120" t="b">
        <v>0</v>
      </c>
      <c r="G120" s="873">
        <v>9602.01</v>
      </c>
      <c r="H120">
        <v>9603</v>
      </c>
    </row>
    <row r="121" spans="1:52">
      <c r="A121" s="52" t="s">
        <v>1238</v>
      </c>
      <c r="B121">
        <v>1</v>
      </c>
      <c r="C121">
        <v>0</v>
      </c>
      <c r="D121">
        <v>12</v>
      </c>
      <c r="E121">
        <v>5</v>
      </c>
      <c r="F121" t="b">
        <v>0</v>
      </c>
      <c r="G121" s="873">
        <v>49.51</v>
      </c>
      <c r="H121">
        <v>55.51</v>
      </c>
      <c r="I121">
        <v>55.52</v>
      </c>
      <c r="J121">
        <v>59.51</v>
      </c>
      <c r="K121">
        <v>64</v>
      </c>
      <c r="L121">
        <v>66.010000000000005</v>
      </c>
      <c r="M121">
        <v>66.040000000000006</v>
      </c>
      <c r="N121">
        <v>71.11</v>
      </c>
      <c r="O121">
        <v>72.010000000000005</v>
      </c>
      <c r="P121">
        <v>72.02</v>
      </c>
      <c r="Q121">
        <v>73.010000000000005</v>
      </c>
      <c r="R121">
        <v>73.02</v>
      </c>
      <c r="S121">
        <v>74</v>
      </c>
      <c r="T121">
        <v>75</v>
      </c>
      <c r="U121">
        <v>76</v>
      </c>
      <c r="V121" s="873">
        <v>77.040000000000006</v>
      </c>
      <c r="W121">
        <v>800</v>
      </c>
      <c r="X121">
        <v>801</v>
      </c>
      <c r="Y121" s="873">
        <v>806</v>
      </c>
      <c r="Z121" s="873">
        <v>807</v>
      </c>
      <c r="AA121">
        <v>810.02</v>
      </c>
      <c r="AB121">
        <v>811.02</v>
      </c>
      <c r="AC121">
        <v>812</v>
      </c>
      <c r="AD121">
        <v>815</v>
      </c>
      <c r="AE121">
        <v>818</v>
      </c>
      <c r="AF121">
        <v>819</v>
      </c>
      <c r="AG121">
        <v>820</v>
      </c>
      <c r="AH121">
        <v>824</v>
      </c>
      <c r="AI121" s="873">
        <v>826</v>
      </c>
      <c r="AJ121" s="873">
        <v>869</v>
      </c>
      <c r="AK121" s="873">
        <v>871</v>
      </c>
    </row>
    <row r="122" spans="1:52">
      <c r="A122" t="s">
        <v>1239</v>
      </c>
      <c r="B122">
        <v>2</v>
      </c>
      <c r="C122">
        <v>20</v>
      </c>
      <c r="D122">
        <v>12</v>
      </c>
      <c r="E122">
        <v>2</v>
      </c>
      <c r="F122" t="b">
        <v>1</v>
      </c>
    </row>
    <row r="123" spans="1:52">
      <c r="A123" s="417" t="s">
        <v>1240</v>
      </c>
      <c r="B123">
        <v>1</v>
      </c>
      <c r="C123">
        <v>20</v>
      </c>
      <c r="D123">
        <v>6</v>
      </c>
      <c r="E123">
        <v>1</v>
      </c>
      <c r="F123" t="b">
        <v>0</v>
      </c>
      <c r="G123" s="873">
        <v>9646</v>
      </c>
      <c r="H123">
        <v>9647</v>
      </c>
    </row>
    <row r="124" spans="1:52">
      <c r="A124" s="417" t="s">
        <v>1241</v>
      </c>
      <c r="B124">
        <v>1</v>
      </c>
      <c r="C124">
        <v>20</v>
      </c>
      <c r="D124">
        <v>10</v>
      </c>
      <c r="E124">
        <v>2</v>
      </c>
      <c r="F124" t="b">
        <v>0</v>
      </c>
      <c r="G124">
        <v>9667.01</v>
      </c>
      <c r="H124">
        <v>9667.02</v>
      </c>
    </row>
    <row r="125" spans="1:52" s="417" customFormat="1">
      <c r="A125" s="52" t="s">
        <v>1242</v>
      </c>
      <c r="B125">
        <v>1</v>
      </c>
      <c r="C125">
        <v>0</v>
      </c>
      <c r="D125">
        <v>13</v>
      </c>
      <c r="E125">
        <v>4</v>
      </c>
      <c r="F125" s="320" t="b">
        <v>0</v>
      </c>
      <c r="G125">
        <v>122.01</v>
      </c>
      <c r="H125">
        <v>122.04</v>
      </c>
      <c r="I125">
        <v>122.05</v>
      </c>
      <c r="J125">
        <v>122.06</v>
      </c>
      <c r="K125" s="873">
        <v>122.07</v>
      </c>
      <c r="L125">
        <v>123</v>
      </c>
      <c r="M125">
        <v>124.01</v>
      </c>
      <c r="N125" s="873">
        <v>125.07</v>
      </c>
      <c r="O125">
        <v>126.05</v>
      </c>
      <c r="P125">
        <v>126.09</v>
      </c>
      <c r="Q125">
        <v>126.1</v>
      </c>
      <c r="R125" s="873">
        <v>127.07</v>
      </c>
      <c r="S125">
        <v>133.08000000000001</v>
      </c>
      <c r="T125">
        <v>134.01</v>
      </c>
      <c r="U125">
        <v>135.03</v>
      </c>
      <c r="V125">
        <v>608.02</v>
      </c>
      <c r="W125"/>
      <c r="X125"/>
      <c r="Y125"/>
      <c r="Z125"/>
      <c r="AA125"/>
      <c r="AB125"/>
      <c r="AC125"/>
      <c r="AD125"/>
      <c r="AE125"/>
      <c r="AF125"/>
      <c r="AG125"/>
      <c r="AH125"/>
      <c r="AI125"/>
      <c r="AJ125"/>
      <c r="AK125"/>
      <c r="AL125"/>
      <c r="AM125"/>
      <c r="AN125"/>
      <c r="AO125"/>
      <c r="AP125"/>
      <c r="AQ125"/>
      <c r="AR125"/>
      <c r="AS125"/>
      <c r="AT125"/>
      <c r="AU125"/>
      <c r="AV125"/>
      <c r="AW125"/>
      <c r="AX125"/>
      <c r="AY125"/>
      <c r="AZ125"/>
    </row>
    <row r="126" spans="1:52">
      <c r="A126" s="52" t="s">
        <v>1243</v>
      </c>
      <c r="B126">
        <v>1</v>
      </c>
      <c r="C126">
        <v>0</v>
      </c>
      <c r="D126">
        <v>13</v>
      </c>
      <c r="E126">
        <v>4</v>
      </c>
      <c r="F126" t="b">
        <v>0</v>
      </c>
    </row>
    <row r="127" spans="1:52">
      <c r="A127" t="s">
        <v>1244</v>
      </c>
      <c r="B127">
        <v>2</v>
      </c>
      <c r="C127">
        <v>20</v>
      </c>
      <c r="D127">
        <v>11</v>
      </c>
      <c r="E127">
        <v>2</v>
      </c>
      <c r="F127" t="b">
        <v>1</v>
      </c>
    </row>
    <row r="128" spans="1:52">
      <c r="A128" t="s">
        <v>1245</v>
      </c>
      <c r="B128">
        <v>1</v>
      </c>
      <c r="C128">
        <v>20</v>
      </c>
      <c r="D128">
        <v>9</v>
      </c>
      <c r="E128">
        <v>1</v>
      </c>
      <c r="F128" t="b">
        <v>0</v>
      </c>
    </row>
    <row r="129" spans="1:56">
      <c r="A129" s="52" t="s">
        <v>1246</v>
      </c>
      <c r="B129">
        <v>2</v>
      </c>
      <c r="C129">
        <v>0</v>
      </c>
      <c r="D129">
        <v>14</v>
      </c>
      <c r="E129">
        <v>2</v>
      </c>
      <c r="F129" t="b">
        <v>0</v>
      </c>
      <c r="G129">
        <v>149</v>
      </c>
    </row>
    <row r="130" spans="1:56">
      <c r="A130" s="417" t="s">
        <v>1247</v>
      </c>
      <c r="B130">
        <v>2</v>
      </c>
      <c r="C130">
        <v>20</v>
      </c>
      <c r="D130">
        <v>8</v>
      </c>
      <c r="E130">
        <v>2</v>
      </c>
      <c r="F130" t="b">
        <v>0</v>
      </c>
      <c r="G130">
        <v>9748</v>
      </c>
      <c r="H130">
        <v>9749</v>
      </c>
    </row>
    <row r="131" spans="1:56">
      <c r="A131" s="417" t="s">
        <v>1248</v>
      </c>
      <c r="B131">
        <v>2</v>
      </c>
      <c r="C131">
        <v>20</v>
      </c>
      <c r="D131">
        <v>6</v>
      </c>
      <c r="E131">
        <v>1</v>
      </c>
      <c r="F131" t="b">
        <v>0</v>
      </c>
      <c r="G131">
        <v>9726</v>
      </c>
      <c r="H131">
        <v>9727</v>
      </c>
    </row>
    <row r="132" spans="1:56">
      <c r="A132" s="417" t="s">
        <v>1249</v>
      </c>
      <c r="B132">
        <v>1</v>
      </c>
      <c r="C132">
        <v>20</v>
      </c>
      <c r="D132">
        <v>10</v>
      </c>
      <c r="E132">
        <v>2</v>
      </c>
      <c r="F132" t="b">
        <v>1</v>
      </c>
      <c r="G132">
        <v>9696.01</v>
      </c>
      <c r="H132">
        <v>9696.02</v>
      </c>
    </row>
    <row r="133" spans="1:56">
      <c r="A133" t="s">
        <v>1250</v>
      </c>
      <c r="B133">
        <v>1</v>
      </c>
      <c r="C133">
        <v>20</v>
      </c>
      <c r="D133">
        <v>8</v>
      </c>
      <c r="E133">
        <v>1</v>
      </c>
      <c r="F133" t="b">
        <v>0</v>
      </c>
    </row>
    <row r="134" spans="1:56">
      <c r="A134" s="417" t="s">
        <v>1251</v>
      </c>
      <c r="B134">
        <v>3</v>
      </c>
      <c r="C134">
        <v>20</v>
      </c>
      <c r="D134">
        <v>12</v>
      </c>
      <c r="E134">
        <v>2</v>
      </c>
      <c r="F134" t="b">
        <v>0</v>
      </c>
      <c r="G134" s="873">
        <v>9648</v>
      </c>
      <c r="H134" s="873">
        <v>9651</v>
      </c>
      <c r="I134">
        <v>9652.01</v>
      </c>
    </row>
    <row r="135" spans="1:56">
      <c r="A135" s="52" t="s">
        <v>3077</v>
      </c>
      <c r="B135">
        <v>1</v>
      </c>
      <c r="C135">
        <v>0</v>
      </c>
      <c r="D135">
        <v>11</v>
      </c>
      <c r="E135">
        <v>6</v>
      </c>
      <c r="F135" t="b">
        <v>0</v>
      </c>
      <c r="G135">
        <v>5.03</v>
      </c>
      <c r="H135">
        <v>8</v>
      </c>
      <c r="I135">
        <v>9.02</v>
      </c>
      <c r="J135">
        <v>9.0299999999999994</v>
      </c>
      <c r="K135">
        <v>9.0399999999999991</v>
      </c>
      <c r="L135">
        <v>10</v>
      </c>
      <c r="M135">
        <v>13.01</v>
      </c>
      <c r="N135">
        <v>13.02</v>
      </c>
      <c r="O135">
        <v>14.01</v>
      </c>
      <c r="P135">
        <v>14.02</v>
      </c>
      <c r="Q135">
        <v>15</v>
      </c>
      <c r="R135" s="873">
        <v>18</v>
      </c>
      <c r="S135">
        <v>19.010000000000002</v>
      </c>
      <c r="T135" s="873">
        <v>24.04</v>
      </c>
      <c r="U135">
        <v>26.04</v>
      </c>
      <c r="V135">
        <v>27.04</v>
      </c>
      <c r="W135" s="873">
        <v>31.02</v>
      </c>
      <c r="X135">
        <v>35.01</v>
      </c>
      <c r="Y135">
        <v>35.020000000000003</v>
      </c>
      <c r="Z135">
        <v>36.020000000000003</v>
      </c>
      <c r="AA135">
        <v>41.01</v>
      </c>
      <c r="AB135" s="873">
        <v>41.02</v>
      </c>
      <c r="AC135">
        <v>43.07</v>
      </c>
      <c r="AD135">
        <v>44.04</v>
      </c>
      <c r="AE135">
        <v>45.03</v>
      </c>
      <c r="AF135">
        <v>45.04</v>
      </c>
      <c r="AG135">
        <v>45.05</v>
      </c>
      <c r="AH135">
        <v>45.06</v>
      </c>
      <c r="AI135">
        <v>46.02</v>
      </c>
      <c r="AJ135" s="873">
        <v>46.03</v>
      </c>
      <c r="AK135">
        <v>50.03</v>
      </c>
      <c r="AL135">
        <v>50.04</v>
      </c>
      <c r="AM135" s="873">
        <v>51.04</v>
      </c>
      <c r="AN135" s="873">
        <v>68.099999999999994</v>
      </c>
      <c r="AO135" s="873">
        <v>68.13</v>
      </c>
      <c r="AP135" s="873">
        <v>68.14</v>
      </c>
      <c r="AQ135" s="873">
        <v>68.16</v>
      </c>
      <c r="AR135" s="873">
        <v>69.02</v>
      </c>
      <c r="AS135">
        <v>70.06</v>
      </c>
      <c r="AT135">
        <v>70.37</v>
      </c>
      <c r="AU135" s="873">
        <v>70.88</v>
      </c>
      <c r="AV135">
        <v>70.900000000000006</v>
      </c>
      <c r="AW135">
        <v>70.91</v>
      </c>
      <c r="AX135">
        <v>83.04</v>
      </c>
      <c r="AY135">
        <v>83.05</v>
      </c>
      <c r="AZ135">
        <v>83.06</v>
      </c>
      <c r="BA135">
        <v>83.12</v>
      </c>
      <c r="BB135" s="873">
        <v>153</v>
      </c>
      <c r="BC135">
        <v>155</v>
      </c>
      <c r="BD135">
        <v>158</v>
      </c>
    </row>
    <row r="136" spans="1:56">
      <c r="A136" t="s">
        <v>1253</v>
      </c>
      <c r="B136">
        <v>3</v>
      </c>
      <c r="C136">
        <v>20</v>
      </c>
      <c r="D136">
        <v>11</v>
      </c>
      <c r="E136">
        <v>1</v>
      </c>
      <c r="F136" t="b">
        <v>0</v>
      </c>
    </row>
    <row r="137" spans="1:56">
      <c r="A137" s="52" t="s">
        <v>1254</v>
      </c>
      <c r="B137">
        <v>1</v>
      </c>
      <c r="C137">
        <v>0</v>
      </c>
      <c r="D137">
        <v>12</v>
      </c>
      <c r="E137">
        <v>2</v>
      </c>
      <c r="F137" t="b">
        <v>0</v>
      </c>
    </row>
    <row r="138" spans="1:56">
      <c r="A138" t="s">
        <v>1255</v>
      </c>
      <c r="B138">
        <v>2</v>
      </c>
      <c r="C138">
        <v>0</v>
      </c>
      <c r="D138">
        <v>12</v>
      </c>
      <c r="E138">
        <v>2</v>
      </c>
      <c r="F138" t="b">
        <v>1</v>
      </c>
    </row>
    <row r="139" spans="1:56">
      <c r="A139" s="52" t="s">
        <v>1256</v>
      </c>
      <c r="B139">
        <v>1</v>
      </c>
      <c r="C139">
        <v>0</v>
      </c>
      <c r="D139">
        <v>13</v>
      </c>
      <c r="E139">
        <v>6</v>
      </c>
      <c r="F139" s="320" t="b">
        <v>0</v>
      </c>
      <c r="G139">
        <v>3.02</v>
      </c>
      <c r="H139" s="873">
        <v>7</v>
      </c>
      <c r="I139">
        <v>11.01</v>
      </c>
      <c r="J139" s="873">
        <v>11.04</v>
      </c>
      <c r="K139">
        <v>16</v>
      </c>
      <c r="L139">
        <v>19.010000000000002</v>
      </c>
      <c r="M139">
        <v>19.02</v>
      </c>
      <c r="N139">
        <v>20</v>
      </c>
      <c r="O139">
        <v>21.02</v>
      </c>
      <c r="P139">
        <v>23</v>
      </c>
      <c r="Q139">
        <v>28.01</v>
      </c>
      <c r="R139">
        <v>29.02</v>
      </c>
      <c r="S139" s="873">
        <v>40.090000000000003</v>
      </c>
      <c r="T139" s="873">
        <v>44.05</v>
      </c>
      <c r="U139" s="873">
        <v>44.06</v>
      </c>
      <c r="V139">
        <v>45.01</v>
      </c>
      <c r="W139" s="873">
        <v>45.13</v>
      </c>
      <c r="X139">
        <v>52.01</v>
      </c>
      <c r="Y139">
        <v>54</v>
      </c>
      <c r="Z139">
        <v>55.02</v>
      </c>
      <c r="AA139">
        <v>60</v>
      </c>
      <c r="AB139">
        <v>61</v>
      </c>
      <c r="AC139" s="873">
        <v>62</v>
      </c>
      <c r="AD139">
        <v>63.02</v>
      </c>
      <c r="AE139">
        <v>64</v>
      </c>
    </row>
    <row r="140" spans="1:56">
      <c r="A140" s="52" t="s">
        <v>1257</v>
      </c>
      <c r="B140">
        <v>1</v>
      </c>
      <c r="C140">
        <v>0</v>
      </c>
      <c r="D140">
        <v>8</v>
      </c>
      <c r="E140">
        <v>2</v>
      </c>
      <c r="F140" t="b">
        <v>0</v>
      </c>
    </row>
    <row r="141" spans="1:56">
      <c r="A141" s="417" t="s">
        <v>1258</v>
      </c>
      <c r="B141">
        <v>1</v>
      </c>
      <c r="C141">
        <v>20</v>
      </c>
      <c r="D141">
        <v>11</v>
      </c>
      <c r="E141">
        <v>2</v>
      </c>
      <c r="F141" t="b">
        <v>0</v>
      </c>
      <c r="G141" s="873">
        <v>9786</v>
      </c>
      <c r="H141" s="873">
        <v>9790.02</v>
      </c>
    </row>
    <row r="142" spans="1:56">
      <c r="A142" t="s">
        <v>1259</v>
      </c>
      <c r="B142">
        <v>3</v>
      </c>
      <c r="C142">
        <v>0</v>
      </c>
      <c r="D142">
        <v>11</v>
      </c>
      <c r="E142">
        <v>3</v>
      </c>
      <c r="F142" t="b">
        <v>1</v>
      </c>
    </row>
    <row r="143" spans="1:56">
      <c r="A143" s="52" t="s">
        <v>1260</v>
      </c>
      <c r="B143">
        <v>2</v>
      </c>
      <c r="C143">
        <v>0</v>
      </c>
      <c r="D143">
        <v>13</v>
      </c>
      <c r="E143">
        <v>2</v>
      </c>
      <c r="F143" t="b">
        <v>0</v>
      </c>
    </row>
    <row r="144" spans="1:56">
      <c r="A144" t="s">
        <v>1261</v>
      </c>
      <c r="B144">
        <v>2</v>
      </c>
      <c r="C144">
        <v>0</v>
      </c>
      <c r="D144">
        <v>10</v>
      </c>
      <c r="E144">
        <v>2</v>
      </c>
      <c r="F144" s="873" t="b">
        <v>0</v>
      </c>
    </row>
    <row r="145" spans="1:18">
      <c r="A145" s="417" t="s">
        <v>1262</v>
      </c>
      <c r="B145">
        <v>2</v>
      </c>
      <c r="C145">
        <v>0</v>
      </c>
      <c r="D145">
        <v>13</v>
      </c>
      <c r="E145">
        <v>2</v>
      </c>
      <c r="F145" t="b">
        <v>1</v>
      </c>
      <c r="G145">
        <v>9637.02</v>
      </c>
    </row>
    <row r="146" spans="1:18">
      <c r="A146" t="s">
        <v>1263</v>
      </c>
      <c r="B146">
        <v>2</v>
      </c>
      <c r="C146">
        <v>0</v>
      </c>
      <c r="D146">
        <v>9</v>
      </c>
      <c r="E146">
        <v>1</v>
      </c>
      <c r="F146" t="b">
        <v>0</v>
      </c>
    </row>
    <row r="147" spans="1:18">
      <c r="A147" s="417" t="s">
        <v>1264</v>
      </c>
      <c r="B147">
        <v>1</v>
      </c>
      <c r="C147">
        <v>20</v>
      </c>
      <c r="D147">
        <v>9</v>
      </c>
      <c r="E147">
        <v>2</v>
      </c>
      <c r="F147" t="b">
        <v>0</v>
      </c>
      <c r="G147">
        <v>9606</v>
      </c>
    </row>
    <row r="148" spans="1:18">
      <c r="A148" t="s">
        <v>1265</v>
      </c>
      <c r="B148">
        <v>2</v>
      </c>
      <c r="C148">
        <v>20</v>
      </c>
      <c r="D148">
        <v>6</v>
      </c>
      <c r="E148">
        <v>1</v>
      </c>
      <c r="F148" s="320" t="b">
        <v>0</v>
      </c>
    </row>
    <row r="149" spans="1:18">
      <c r="A149" s="52" t="s">
        <v>1266</v>
      </c>
      <c r="B149">
        <v>1</v>
      </c>
      <c r="C149">
        <v>0</v>
      </c>
      <c r="D149">
        <v>13</v>
      </c>
      <c r="E149">
        <v>5</v>
      </c>
      <c r="F149" t="b">
        <v>0</v>
      </c>
      <c r="G149">
        <v>104.06</v>
      </c>
      <c r="H149">
        <v>109.02</v>
      </c>
      <c r="I149">
        <v>111.02</v>
      </c>
      <c r="J149">
        <v>114.01</v>
      </c>
      <c r="K149">
        <v>114.02</v>
      </c>
      <c r="L149">
        <v>115.52</v>
      </c>
      <c r="M149">
        <v>116.02</v>
      </c>
      <c r="N149">
        <v>118.06</v>
      </c>
    </row>
    <row r="150" spans="1:18">
      <c r="A150" s="417" t="s">
        <v>1267</v>
      </c>
      <c r="B150">
        <v>1</v>
      </c>
      <c r="C150">
        <v>20</v>
      </c>
      <c r="D150">
        <v>7</v>
      </c>
      <c r="E150">
        <v>1</v>
      </c>
      <c r="F150" t="b">
        <v>0</v>
      </c>
      <c r="G150" s="873">
        <v>9601</v>
      </c>
    </row>
    <row r="151" spans="1:18">
      <c r="A151" t="s">
        <v>1268</v>
      </c>
      <c r="B151">
        <v>1</v>
      </c>
      <c r="C151">
        <v>20</v>
      </c>
      <c r="D151">
        <v>6</v>
      </c>
      <c r="E151">
        <v>2</v>
      </c>
      <c r="F151" t="b">
        <v>0</v>
      </c>
    </row>
    <row r="152" spans="1:18">
      <c r="A152" t="s">
        <v>1269</v>
      </c>
      <c r="B152">
        <v>3</v>
      </c>
      <c r="C152">
        <v>0</v>
      </c>
      <c r="D152">
        <v>11</v>
      </c>
      <c r="E152">
        <v>2</v>
      </c>
      <c r="F152" t="b">
        <v>1</v>
      </c>
    </row>
    <row r="153" spans="1:18">
      <c r="A153" t="s">
        <v>1270</v>
      </c>
      <c r="B153">
        <v>2</v>
      </c>
      <c r="C153">
        <v>0</v>
      </c>
      <c r="D153">
        <v>12</v>
      </c>
      <c r="E153">
        <v>2</v>
      </c>
      <c r="F153" s="873" t="b">
        <v>1</v>
      </c>
    </row>
    <row r="154" spans="1:18">
      <c r="A154" s="52" t="s">
        <v>1271</v>
      </c>
      <c r="B154">
        <v>1</v>
      </c>
      <c r="C154">
        <v>0</v>
      </c>
      <c r="D154">
        <v>13</v>
      </c>
      <c r="E154">
        <v>4</v>
      </c>
      <c r="F154" t="b">
        <v>0</v>
      </c>
      <c r="G154">
        <v>1</v>
      </c>
      <c r="H154">
        <v>2.0099999999999998</v>
      </c>
      <c r="I154">
        <v>5.03</v>
      </c>
      <c r="J154">
        <v>5.04</v>
      </c>
      <c r="K154">
        <v>5.05</v>
      </c>
      <c r="L154">
        <v>6</v>
      </c>
      <c r="M154" s="873">
        <v>8.02</v>
      </c>
      <c r="N154" s="873">
        <v>11.1</v>
      </c>
      <c r="O154">
        <v>11.11</v>
      </c>
      <c r="P154">
        <v>13.04</v>
      </c>
      <c r="Q154">
        <v>13.05</v>
      </c>
      <c r="R154">
        <v>13.06</v>
      </c>
    </row>
    <row r="155" spans="1:18">
      <c r="A155" s="417" t="s">
        <v>1272</v>
      </c>
      <c r="B155">
        <v>1</v>
      </c>
      <c r="C155">
        <v>20</v>
      </c>
      <c r="D155">
        <v>10</v>
      </c>
      <c r="E155">
        <v>2</v>
      </c>
      <c r="F155" t="b">
        <v>0</v>
      </c>
      <c r="G155">
        <v>1</v>
      </c>
      <c r="H155" s="873">
        <v>3</v>
      </c>
    </row>
    <row r="156" spans="1:18">
      <c r="A156" t="s">
        <v>1273</v>
      </c>
      <c r="B156">
        <v>1</v>
      </c>
      <c r="C156">
        <v>20</v>
      </c>
      <c r="D156">
        <v>8</v>
      </c>
      <c r="E156">
        <v>2</v>
      </c>
      <c r="F156" t="b">
        <v>0</v>
      </c>
    </row>
    <row r="157" spans="1:18">
      <c r="A157" s="417" t="s">
        <v>1274</v>
      </c>
      <c r="B157">
        <v>1</v>
      </c>
      <c r="C157">
        <v>20</v>
      </c>
      <c r="D157">
        <v>9</v>
      </c>
      <c r="E157">
        <v>2</v>
      </c>
      <c r="F157" t="b">
        <v>0</v>
      </c>
      <c r="G157">
        <v>9661.02</v>
      </c>
      <c r="H157" s="873">
        <v>9662</v>
      </c>
    </row>
    <row r="158" spans="1:18">
      <c r="A158" s="52" t="s">
        <v>1275</v>
      </c>
      <c r="B158">
        <v>3</v>
      </c>
      <c r="C158">
        <v>0</v>
      </c>
      <c r="D158">
        <v>11</v>
      </c>
      <c r="E158">
        <v>3</v>
      </c>
      <c r="F158" t="b">
        <v>0</v>
      </c>
      <c r="G158">
        <v>2</v>
      </c>
      <c r="H158">
        <v>5</v>
      </c>
      <c r="I158">
        <v>6.01</v>
      </c>
      <c r="J158">
        <v>6.02</v>
      </c>
      <c r="K158" s="873">
        <v>7</v>
      </c>
      <c r="L158" s="873">
        <v>11.04</v>
      </c>
      <c r="M158">
        <v>17.059999999999999</v>
      </c>
    </row>
    <row r="159" spans="1:18">
      <c r="A159" t="s">
        <v>1276</v>
      </c>
      <c r="B159">
        <v>2</v>
      </c>
      <c r="C159">
        <v>0</v>
      </c>
      <c r="D159">
        <v>11</v>
      </c>
      <c r="E159">
        <v>1</v>
      </c>
      <c r="F159" t="b">
        <v>1</v>
      </c>
    </row>
    <row r="160" spans="1:18">
      <c r="A160" s="417" t="s">
        <v>1277</v>
      </c>
      <c r="B160">
        <v>3</v>
      </c>
      <c r="C160">
        <v>0</v>
      </c>
      <c r="D160">
        <v>8</v>
      </c>
      <c r="E160">
        <v>2</v>
      </c>
      <c r="F160" s="873" t="b">
        <v>0</v>
      </c>
      <c r="G160" s="873">
        <v>4</v>
      </c>
    </row>
    <row r="161" spans="1:21">
      <c r="A161" s="417" t="s">
        <v>1278</v>
      </c>
      <c r="B161">
        <v>3</v>
      </c>
      <c r="C161">
        <v>20</v>
      </c>
      <c r="D161">
        <v>12</v>
      </c>
      <c r="E161">
        <v>2</v>
      </c>
      <c r="F161" t="b">
        <v>1</v>
      </c>
      <c r="G161">
        <v>9411</v>
      </c>
      <c r="H161">
        <v>9694</v>
      </c>
    </row>
    <row r="162" spans="1:21">
      <c r="A162" s="417" t="s">
        <v>1279</v>
      </c>
      <c r="B162">
        <v>3</v>
      </c>
      <c r="C162">
        <v>20</v>
      </c>
      <c r="D162">
        <v>11</v>
      </c>
      <c r="E162">
        <v>2</v>
      </c>
      <c r="F162" t="b">
        <v>0</v>
      </c>
      <c r="G162" s="873">
        <v>9661</v>
      </c>
      <c r="H162">
        <v>9663.01</v>
      </c>
    </row>
    <row r="163" spans="1:21">
      <c r="A163" t="s">
        <v>1280</v>
      </c>
      <c r="B163">
        <v>1</v>
      </c>
      <c r="C163">
        <v>20</v>
      </c>
      <c r="D163">
        <v>12</v>
      </c>
      <c r="E163">
        <v>2</v>
      </c>
      <c r="F163" t="b">
        <v>1</v>
      </c>
    </row>
    <row r="164" spans="1:21">
      <c r="A164" s="417" t="s">
        <v>1281</v>
      </c>
      <c r="B164">
        <v>1</v>
      </c>
      <c r="C164">
        <v>20</v>
      </c>
      <c r="D164">
        <v>10</v>
      </c>
      <c r="E164">
        <v>2</v>
      </c>
      <c r="F164" t="b">
        <v>0</v>
      </c>
      <c r="G164" s="873">
        <v>9680</v>
      </c>
      <c r="H164">
        <v>9681</v>
      </c>
    </row>
    <row r="165" spans="1:21">
      <c r="A165" t="s">
        <v>1282</v>
      </c>
      <c r="B165">
        <v>2</v>
      </c>
      <c r="C165">
        <v>0</v>
      </c>
      <c r="D165">
        <v>8</v>
      </c>
      <c r="E165">
        <v>1</v>
      </c>
      <c r="F165" t="b">
        <v>1</v>
      </c>
    </row>
    <row r="166" spans="1:21">
      <c r="A166" s="52" t="s">
        <v>1283</v>
      </c>
      <c r="B166">
        <v>2</v>
      </c>
      <c r="C166">
        <v>0</v>
      </c>
      <c r="D166">
        <v>12</v>
      </c>
      <c r="E166">
        <v>2</v>
      </c>
      <c r="F166" t="b">
        <v>0</v>
      </c>
      <c r="G166" s="873">
        <v>5</v>
      </c>
    </row>
    <row r="167" spans="1:21">
      <c r="A167" t="s">
        <v>1284</v>
      </c>
      <c r="B167">
        <v>1</v>
      </c>
      <c r="C167">
        <v>20</v>
      </c>
      <c r="D167">
        <v>7</v>
      </c>
      <c r="E167">
        <v>1</v>
      </c>
      <c r="F167" t="b">
        <v>0</v>
      </c>
    </row>
    <row r="168" spans="1:21">
      <c r="A168" t="s">
        <v>1285</v>
      </c>
      <c r="B168">
        <v>2</v>
      </c>
      <c r="C168">
        <v>0</v>
      </c>
      <c r="D168">
        <v>10</v>
      </c>
      <c r="E168">
        <v>2</v>
      </c>
      <c r="F168" t="b">
        <v>1</v>
      </c>
    </row>
    <row r="169" spans="1:21">
      <c r="A169" s="417" t="s">
        <v>1286</v>
      </c>
      <c r="B169">
        <v>1</v>
      </c>
      <c r="C169">
        <v>20</v>
      </c>
      <c r="D169">
        <v>8</v>
      </c>
      <c r="E169">
        <v>2</v>
      </c>
      <c r="F169" t="b">
        <v>0</v>
      </c>
      <c r="G169">
        <v>2</v>
      </c>
      <c r="H169" s="873">
        <v>6</v>
      </c>
      <c r="I169" s="873">
        <v>7</v>
      </c>
    </row>
    <row r="170" spans="1:21">
      <c r="A170" s="52" t="s">
        <v>3078</v>
      </c>
      <c r="B170">
        <v>1</v>
      </c>
      <c r="C170">
        <v>20</v>
      </c>
      <c r="D170">
        <v>11</v>
      </c>
      <c r="E170">
        <v>4</v>
      </c>
      <c r="F170" t="b">
        <v>0</v>
      </c>
      <c r="G170">
        <v>2</v>
      </c>
      <c r="H170">
        <v>6</v>
      </c>
      <c r="I170">
        <v>8</v>
      </c>
      <c r="J170">
        <v>11</v>
      </c>
      <c r="K170">
        <v>12</v>
      </c>
      <c r="L170">
        <v>14</v>
      </c>
      <c r="M170" s="873">
        <v>15</v>
      </c>
      <c r="N170" s="873">
        <v>19</v>
      </c>
      <c r="O170">
        <v>20</v>
      </c>
      <c r="P170">
        <v>21</v>
      </c>
      <c r="Q170">
        <v>22</v>
      </c>
      <c r="R170">
        <v>24</v>
      </c>
      <c r="S170">
        <v>26</v>
      </c>
      <c r="T170">
        <v>35</v>
      </c>
      <c r="U170">
        <v>36</v>
      </c>
    </row>
    <row r="171" spans="1:21">
      <c r="A171" t="s">
        <v>1288</v>
      </c>
      <c r="B171">
        <v>3</v>
      </c>
      <c r="C171">
        <v>0</v>
      </c>
      <c r="D171">
        <v>8</v>
      </c>
      <c r="E171">
        <v>2</v>
      </c>
      <c r="F171" t="b">
        <v>0</v>
      </c>
    </row>
    <row r="172" spans="1:21">
      <c r="A172" s="417" t="s">
        <v>1289</v>
      </c>
      <c r="B172">
        <v>2</v>
      </c>
      <c r="C172">
        <v>20</v>
      </c>
      <c r="D172">
        <v>9</v>
      </c>
      <c r="E172">
        <v>2</v>
      </c>
      <c r="F172" t="b">
        <v>0</v>
      </c>
      <c r="G172">
        <v>9768</v>
      </c>
    </row>
    <row r="173" spans="1:21">
      <c r="A173" t="s">
        <v>1290</v>
      </c>
      <c r="B173">
        <v>2</v>
      </c>
      <c r="C173">
        <v>0</v>
      </c>
      <c r="D173">
        <v>12</v>
      </c>
      <c r="E173">
        <v>2</v>
      </c>
      <c r="F173" t="b">
        <v>1</v>
      </c>
    </row>
    <row r="174" spans="1:21">
      <c r="A174" t="s">
        <v>1291</v>
      </c>
      <c r="B174">
        <v>2</v>
      </c>
      <c r="C174">
        <v>20</v>
      </c>
      <c r="D174">
        <v>8</v>
      </c>
      <c r="E174">
        <v>2</v>
      </c>
      <c r="F174" t="b">
        <v>0</v>
      </c>
    </row>
    <row r="175" spans="1:21">
      <c r="A175" t="s">
        <v>1292</v>
      </c>
      <c r="B175">
        <v>3</v>
      </c>
      <c r="C175">
        <v>20</v>
      </c>
      <c r="D175">
        <v>5</v>
      </c>
      <c r="E175">
        <v>1</v>
      </c>
      <c r="F175" t="b">
        <v>1</v>
      </c>
    </row>
    <row r="176" spans="1:21">
      <c r="A176" t="s">
        <v>1293</v>
      </c>
      <c r="B176">
        <v>3</v>
      </c>
      <c r="C176">
        <v>0</v>
      </c>
      <c r="D176">
        <v>14</v>
      </c>
      <c r="E176">
        <v>2</v>
      </c>
      <c r="F176" t="b">
        <v>1</v>
      </c>
    </row>
    <row r="177" spans="1:22">
      <c r="A177" t="s">
        <v>1294</v>
      </c>
      <c r="B177">
        <v>1</v>
      </c>
      <c r="C177">
        <v>20</v>
      </c>
      <c r="D177">
        <v>6</v>
      </c>
      <c r="E177">
        <v>1</v>
      </c>
      <c r="F177" t="b">
        <v>0</v>
      </c>
    </row>
    <row r="178" spans="1:22">
      <c r="A178" s="417" t="s">
        <v>1295</v>
      </c>
      <c r="B178">
        <v>2</v>
      </c>
      <c r="C178">
        <v>0</v>
      </c>
      <c r="D178">
        <v>12</v>
      </c>
      <c r="E178">
        <v>2</v>
      </c>
      <c r="F178" t="b">
        <v>1</v>
      </c>
      <c r="G178">
        <v>2.0099999999999998</v>
      </c>
    </row>
    <row r="179" spans="1:22">
      <c r="A179" s="52" t="s">
        <v>1296</v>
      </c>
      <c r="B179">
        <v>1</v>
      </c>
      <c r="C179">
        <v>0</v>
      </c>
      <c r="D179">
        <v>13</v>
      </c>
      <c r="E179">
        <v>2</v>
      </c>
      <c r="F179" t="b">
        <v>0</v>
      </c>
    </row>
    <row r="180" spans="1:22">
      <c r="A180" t="s">
        <v>1297</v>
      </c>
      <c r="B180">
        <v>1</v>
      </c>
      <c r="C180">
        <v>20</v>
      </c>
      <c r="D180">
        <v>6</v>
      </c>
      <c r="E180">
        <v>2</v>
      </c>
      <c r="F180" t="b">
        <v>0</v>
      </c>
    </row>
    <row r="181" spans="1:22">
      <c r="A181" s="52" t="s">
        <v>1298</v>
      </c>
      <c r="B181">
        <v>1</v>
      </c>
      <c r="C181">
        <v>0</v>
      </c>
      <c r="D181">
        <v>13</v>
      </c>
      <c r="E181">
        <v>3</v>
      </c>
      <c r="F181" t="b">
        <v>0</v>
      </c>
      <c r="G181">
        <v>1</v>
      </c>
      <c r="H181">
        <v>2</v>
      </c>
      <c r="I181">
        <v>5.01</v>
      </c>
      <c r="J181">
        <v>5.0199999999999996</v>
      </c>
      <c r="K181">
        <v>6</v>
      </c>
      <c r="L181">
        <v>7.01</v>
      </c>
      <c r="M181">
        <v>7.03</v>
      </c>
      <c r="N181" s="873">
        <v>7.05</v>
      </c>
      <c r="O181">
        <v>8</v>
      </c>
      <c r="P181">
        <v>10.029999999999999</v>
      </c>
      <c r="Q181">
        <v>10.039999999999999</v>
      </c>
      <c r="R181" s="873">
        <v>10.06</v>
      </c>
      <c r="S181" s="873">
        <v>11</v>
      </c>
      <c r="T181">
        <v>12.01</v>
      </c>
      <c r="U181">
        <v>13</v>
      </c>
      <c r="V181">
        <v>14.04</v>
      </c>
    </row>
    <row r="182" spans="1:22">
      <c r="A182" t="s">
        <v>1299</v>
      </c>
      <c r="B182">
        <v>1</v>
      </c>
      <c r="C182">
        <v>20</v>
      </c>
      <c r="D182">
        <v>7</v>
      </c>
      <c r="E182">
        <v>2</v>
      </c>
      <c r="F182" t="b">
        <v>1</v>
      </c>
    </row>
    <row r="183" spans="1:22" s="320" customFormat="1"/>
    <row r="185" spans="1:22">
      <c r="A185" s="92"/>
      <c r="B185" s="92"/>
      <c r="C185" s="92"/>
    </row>
    <row r="186" spans="1:22">
      <c r="A186" s="874" t="s">
        <v>3072</v>
      </c>
      <c r="B186" s="92"/>
      <c r="C186" s="92"/>
    </row>
    <row r="187" spans="1:22">
      <c r="A187" t="s">
        <v>3079</v>
      </c>
    </row>
    <row r="188" spans="1:22">
      <c r="A188" s="874">
        <v>80005</v>
      </c>
    </row>
    <row r="189" spans="1:22">
      <c r="A189" s="873">
        <v>80007</v>
      </c>
      <c r="B189" s="92"/>
    </row>
    <row r="190" spans="1:22">
      <c r="A190" s="873">
        <v>80015</v>
      </c>
      <c r="B190" s="92"/>
    </row>
    <row r="191" spans="1:22">
      <c r="A191" s="874">
        <v>80016</v>
      </c>
      <c r="B191" s="92"/>
    </row>
    <row r="192" spans="1:22">
      <c r="A192" s="873">
        <v>80018</v>
      </c>
      <c r="B192" s="92"/>
    </row>
    <row r="193" spans="1:2">
      <c r="A193" s="873">
        <v>80021</v>
      </c>
      <c r="B193" s="92"/>
    </row>
    <row r="194" spans="1:2">
      <c r="A194" s="873">
        <v>80023</v>
      </c>
      <c r="B194" s="92"/>
    </row>
    <row r="195" spans="1:2">
      <c r="A195" s="874">
        <v>80031</v>
      </c>
      <c r="B195" s="92"/>
    </row>
    <row r="196" spans="1:2">
      <c r="A196" s="874">
        <v>80045</v>
      </c>
      <c r="B196" s="92"/>
    </row>
    <row r="197" spans="1:2">
      <c r="A197" s="874">
        <v>80104</v>
      </c>
      <c r="B197" s="92"/>
    </row>
    <row r="198" spans="1:2">
      <c r="A198" s="874">
        <v>80108</v>
      </c>
      <c r="B198" s="92"/>
    </row>
    <row r="199" spans="1:2">
      <c r="A199" s="873">
        <v>80109</v>
      </c>
      <c r="B199" s="92"/>
    </row>
    <row r="200" spans="1:2">
      <c r="A200" s="873">
        <v>80111</v>
      </c>
      <c r="B200" s="92"/>
    </row>
    <row r="201" spans="1:2">
      <c r="A201" s="873">
        <v>80118</v>
      </c>
      <c r="B201" s="92"/>
    </row>
    <row r="202" spans="1:2">
      <c r="A202" s="874">
        <v>80122</v>
      </c>
      <c r="B202" s="92"/>
    </row>
    <row r="203" spans="1:2">
      <c r="A203" s="873">
        <v>80124</v>
      </c>
      <c r="B203" s="92"/>
    </row>
    <row r="204" spans="1:2">
      <c r="A204" s="873">
        <v>80125</v>
      </c>
      <c r="B204" s="92"/>
    </row>
    <row r="205" spans="1:2">
      <c r="A205" s="873">
        <v>80126</v>
      </c>
      <c r="B205" s="92"/>
    </row>
    <row r="206" spans="1:2">
      <c r="A206" s="874">
        <v>80127</v>
      </c>
      <c r="B206" s="92"/>
    </row>
    <row r="207" spans="1:2">
      <c r="A207" s="873">
        <v>80129</v>
      </c>
      <c r="B207" s="92"/>
    </row>
    <row r="208" spans="1:2">
      <c r="A208" s="873">
        <v>80130</v>
      </c>
      <c r="B208" s="92"/>
    </row>
    <row r="209" spans="1:2">
      <c r="A209" s="874">
        <v>80132</v>
      </c>
      <c r="B209" s="92"/>
    </row>
    <row r="210" spans="1:2">
      <c r="A210" s="873">
        <v>80134</v>
      </c>
      <c r="B210" s="92"/>
    </row>
    <row r="211" spans="1:2">
      <c r="A211" s="874">
        <v>80138</v>
      </c>
      <c r="B211" s="92"/>
    </row>
    <row r="212" spans="1:2">
      <c r="A212" s="873">
        <v>80202</v>
      </c>
      <c r="B212" s="92"/>
    </row>
    <row r="213" spans="1:2">
      <c r="A213" s="873">
        <v>80203</v>
      </c>
      <c r="B213" s="92"/>
    </row>
    <row r="214" spans="1:2">
      <c r="A214" s="873">
        <v>80209</v>
      </c>
      <c r="B214" s="92"/>
    </row>
    <row r="215" spans="1:2">
      <c r="A215" s="874">
        <v>80230</v>
      </c>
      <c r="B215" s="92"/>
    </row>
    <row r="216" spans="1:2">
      <c r="A216" s="873">
        <v>80238</v>
      </c>
      <c r="B216" s="92"/>
    </row>
    <row r="217" spans="1:2">
      <c r="A217" s="874">
        <v>80241</v>
      </c>
      <c r="B217" s="92"/>
    </row>
    <row r="218" spans="1:2">
      <c r="A218" s="873">
        <v>80249</v>
      </c>
      <c r="B218" s="92"/>
    </row>
    <row r="219" spans="1:2">
      <c r="A219" s="874">
        <v>80290</v>
      </c>
      <c r="B219" s="92"/>
    </row>
    <row r="220" spans="1:2">
      <c r="A220" s="874">
        <v>80433</v>
      </c>
      <c r="B220" s="92"/>
    </row>
    <row r="221" spans="1:2">
      <c r="A221" s="873">
        <v>80439</v>
      </c>
      <c r="B221" s="92"/>
    </row>
    <row r="222" spans="1:2">
      <c r="A222" s="874">
        <v>80454</v>
      </c>
      <c r="B222" s="92"/>
    </row>
    <row r="223" spans="1:2">
      <c r="A223" s="873">
        <v>80457</v>
      </c>
      <c r="B223" s="92"/>
    </row>
    <row r="224" spans="1:2">
      <c r="A224" s="874">
        <v>80465</v>
      </c>
      <c r="B224" s="92"/>
    </row>
    <row r="225" spans="1:2">
      <c r="A225" s="873">
        <v>80504</v>
      </c>
      <c r="B225" s="92"/>
    </row>
    <row r="226" spans="1:2">
      <c r="A226" s="873">
        <v>80516</v>
      </c>
      <c r="B226" s="92"/>
    </row>
    <row r="227" spans="1:2">
      <c r="A227" s="873">
        <v>80549</v>
      </c>
      <c r="B227" s="92"/>
    </row>
    <row r="228" spans="1:2">
      <c r="A228" s="873">
        <v>80602</v>
      </c>
      <c r="B228" s="92"/>
    </row>
    <row r="229" spans="1:2">
      <c r="A229" s="874">
        <v>80809</v>
      </c>
      <c r="B229" s="92"/>
    </row>
    <row r="230" spans="1:2">
      <c r="A230" s="874">
        <v>80817</v>
      </c>
      <c r="B230" s="92"/>
    </row>
    <row r="231" spans="1:2">
      <c r="A231" s="874">
        <v>80831</v>
      </c>
      <c r="B231" s="92"/>
    </row>
    <row r="232" spans="1:2">
      <c r="A232" s="873">
        <v>80840</v>
      </c>
      <c r="B232" s="92"/>
    </row>
    <row r="233" spans="1:2">
      <c r="A233" s="873">
        <v>80902</v>
      </c>
      <c r="B233" s="92"/>
    </row>
    <row r="234" spans="1:2">
      <c r="A234" s="873">
        <v>80908</v>
      </c>
      <c r="B234" s="92"/>
    </row>
    <row r="235" spans="1:2">
      <c r="A235" s="873">
        <v>80913</v>
      </c>
      <c r="B235" s="92"/>
    </row>
    <row r="236" spans="1:2">
      <c r="A236" s="873">
        <v>80914</v>
      </c>
      <c r="B236" s="92"/>
    </row>
    <row r="237" spans="1:2">
      <c r="A237" s="873">
        <v>80920</v>
      </c>
      <c r="B237" s="92"/>
    </row>
    <row r="238" spans="1:2">
      <c r="A238" s="873">
        <v>80921</v>
      </c>
      <c r="B238" s="92"/>
    </row>
    <row r="239" spans="1:2">
      <c r="A239" s="873">
        <v>80922</v>
      </c>
      <c r="B239" s="92"/>
    </row>
    <row r="240" spans="1:2">
      <c r="A240" s="873">
        <v>80923</v>
      </c>
      <c r="B240" s="92"/>
    </row>
    <row r="241" spans="1:2">
      <c r="A241" s="873">
        <v>80924</v>
      </c>
      <c r="B241" s="92"/>
    </row>
    <row r="242" spans="1:2">
      <c r="A242" s="873">
        <v>80925</v>
      </c>
      <c r="B242" s="92"/>
    </row>
    <row r="243" spans="1:2">
      <c r="A243" s="873">
        <v>80927</v>
      </c>
      <c r="B243" s="92"/>
    </row>
    <row r="244" spans="1:2">
      <c r="A244" s="873">
        <v>80929</v>
      </c>
    </row>
    <row r="245" spans="1:2">
      <c r="A245" s="873">
        <v>80930</v>
      </c>
    </row>
    <row r="246" spans="1:2">
      <c r="A246" s="874">
        <v>80938</v>
      </c>
    </row>
    <row r="247" spans="1:2">
      <c r="A247" s="873">
        <v>80951</v>
      </c>
    </row>
    <row r="248" spans="1:2">
      <c r="A248" s="92"/>
    </row>
    <row r="249" spans="1:2">
      <c r="A249" t="s">
        <v>243</v>
      </c>
      <c r="B249" t="s">
        <v>3080</v>
      </c>
    </row>
    <row r="250" spans="1:2">
      <c r="A250" t="s">
        <v>3081</v>
      </c>
      <c r="B250">
        <v>0</v>
      </c>
    </row>
    <row r="251" spans="1:2">
      <c r="A251" t="s">
        <v>3082</v>
      </c>
      <c r="B251">
        <v>0</v>
      </c>
    </row>
    <row r="252" spans="1:2">
      <c r="A252" t="s">
        <v>1237</v>
      </c>
      <c r="B252">
        <v>0</v>
      </c>
    </row>
    <row r="253" spans="1:2">
      <c r="A253" t="s">
        <v>3083</v>
      </c>
      <c r="B253">
        <v>0</v>
      </c>
    </row>
    <row r="254" spans="1:2">
      <c r="A254" t="s">
        <v>3084</v>
      </c>
      <c r="B254">
        <v>0</v>
      </c>
    </row>
    <row r="255" spans="1:2">
      <c r="A255" t="s">
        <v>3085</v>
      </c>
      <c r="B255">
        <v>0</v>
      </c>
    </row>
    <row r="256" spans="1:2">
      <c r="A256" t="s">
        <v>3086</v>
      </c>
      <c r="B256">
        <v>0</v>
      </c>
    </row>
    <row r="257" spans="1:2">
      <c r="A257" t="s">
        <v>3087</v>
      </c>
      <c r="B257">
        <v>0</v>
      </c>
    </row>
    <row r="258" spans="1:2">
      <c r="A258" t="s">
        <v>3088</v>
      </c>
      <c r="B258">
        <v>0</v>
      </c>
    </row>
    <row r="259" spans="1:2">
      <c r="A259" t="s">
        <v>3089</v>
      </c>
      <c r="B259">
        <v>3</v>
      </c>
    </row>
    <row r="260" spans="1:2">
      <c r="A260" t="s">
        <v>3090</v>
      </c>
      <c r="B260">
        <v>0</v>
      </c>
    </row>
    <row r="261" spans="1:2">
      <c r="A261" t="s">
        <v>3091</v>
      </c>
      <c r="B261">
        <v>0</v>
      </c>
    </row>
    <row r="262" spans="1:2">
      <c r="A262" t="s">
        <v>3092</v>
      </c>
      <c r="B262">
        <v>4</v>
      </c>
    </row>
    <row r="263" spans="1:2">
      <c r="A263" t="s">
        <v>3093</v>
      </c>
      <c r="B263">
        <v>0</v>
      </c>
    </row>
    <row r="264" spans="1:2">
      <c r="A264" t="s">
        <v>3094</v>
      </c>
      <c r="B264">
        <v>0</v>
      </c>
    </row>
    <row r="265" spans="1:2">
      <c r="A265" t="s">
        <v>3095</v>
      </c>
      <c r="B265">
        <v>0</v>
      </c>
    </row>
    <row r="266" spans="1:2">
      <c r="A266" t="s">
        <v>3096</v>
      </c>
      <c r="B266">
        <v>0</v>
      </c>
    </row>
    <row r="267" spans="1:2">
      <c r="A267" t="s">
        <v>3097</v>
      </c>
      <c r="B267">
        <v>0</v>
      </c>
    </row>
    <row r="268" spans="1:2">
      <c r="A268" t="s">
        <v>3098</v>
      </c>
      <c r="B268">
        <v>0</v>
      </c>
    </row>
    <row r="269" spans="1:2">
      <c r="A269" t="s">
        <v>3099</v>
      </c>
      <c r="B269">
        <v>0</v>
      </c>
    </row>
    <row r="270" spans="1:2">
      <c r="A270" t="s">
        <v>3100</v>
      </c>
      <c r="B270">
        <v>0</v>
      </c>
    </row>
    <row r="271" spans="1:2">
      <c r="A271" t="s">
        <v>3101</v>
      </c>
      <c r="B271">
        <v>0</v>
      </c>
    </row>
    <row r="272" spans="1:2">
      <c r="A272" t="s">
        <v>3102</v>
      </c>
      <c r="B272">
        <v>0</v>
      </c>
    </row>
    <row r="273" spans="1:2">
      <c r="A273" t="s">
        <v>3103</v>
      </c>
      <c r="B273">
        <v>0</v>
      </c>
    </row>
    <row r="274" spans="1:2">
      <c r="A274" t="s">
        <v>3104</v>
      </c>
      <c r="B274">
        <v>0</v>
      </c>
    </row>
    <row r="275" spans="1:2">
      <c r="A275" t="s">
        <v>3105</v>
      </c>
      <c r="B275">
        <v>0</v>
      </c>
    </row>
    <row r="276" spans="1:2">
      <c r="A276" t="s">
        <v>3106</v>
      </c>
      <c r="B276">
        <v>0</v>
      </c>
    </row>
    <row r="277" spans="1:2">
      <c r="A277" t="s">
        <v>1242</v>
      </c>
      <c r="B277">
        <v>3</v>
      </c>
    </row>
    <row r="278" spans="1:2">
      <c r="A278" t="s">
        <v>3107</v>
      </c>
      <c r="B278">
        <v>0</v>
      </c>
    </row>
    <row r="279" spans="1:2">
      <c r="A279" t="s">
        <v>3108</v>
      </c>
      <c r="B279">
        <v>0</v>
      </c>
    </row>
    <row r="280" spans="1:2">
      <c r="A280" t="s">
        <v>3109</v>
      </c>
      <c r="B280">
        <v>0</v>
      </c>
    </row>
    <row r="281" spans="1:2">
      <c r="A281" t="s">
        <v>3110</v>
      </c>
      <c r="B281">
        <v>0</v>
      </c>
    </row>
    <row r="282" spans="1:2">
      <c r="A282" t="s">
        <v>3111</v>
      </c>
      <c r="B282">
        <v>0</v>
      </c>
    </row>
    <row r="283" spans="1:2">
      <c r="A283" t="s">
        <v>1243</v>
      </c>
      <c r="B283">
        <v>0</v>
      </c>
    </row>
    <row r="284" spans="1:2">
      <c r="A284" t="s">
        <v>3112</v>
      </c>
      <c r="B284">
        <v>0</v>
      </c>
    </row>
    <row r="285" spans="1:2">
      <c r="A285" t="s">
        <v>3113</v>
      </c>
      <c r="B285">
        <v>0</v>
      </c>
    </row>
    <row r="286" spans="1:2">
      <c r="A286" t="s">
        <v>3114</v>
      </c>
      <c r="B286">
        <v>0</v>
      </c>
    </row>
    <row r="287" spans="1:2">
      <c r="A287" t="s">
        <v>3115</v>
      </c>
      <c r="B287">
        <v>0</v>
      </c>
    </row>
    <row r="288" spans="1:2">
      <c r="A288" t="s">
        <v>3116</v>
      </c>
      <c r="B288">
        <v>0</v>
      </c>
    </row>
    <row r="289" spans="1:2">
      <c r="A289" t="s">
        <v>3117</v>
      </c>
      <c r="B289">
        <v>0</v>
      </c>
    </row>
    <row r="290" spans="1:2">
      <c r="A290" t="s">
        <v>3118</v>
      </c>
      <c r="B290">
        <v>0</v>
      </c>
    </row>
    <row r="291" spans="1:2">
      <c r="A291" t="s">
        <v>3119</v>
      </c>
      <c r="B291">
        <v>0</v>
      </c>
    </row>
    <row r="292" spans="1:2">
      <c r="A292" t="s">
        <v>3120</v>
      </c>
      <c r="B292">
        <v>0</v>
      </c>
    </row>
    <row r="293" spans="1:2">
      <c r="A293" t="s">
        <v>3121</v>
      </c>
      <c r="B293">
        <v>0</v>
      </c>
    </row>
    <row r="294" spans="1:2">
      <c r="A294" t="s">
        <v>3122</v>
      </c>
      <c r="B294">
        <v>0</v>
      </c>
    </row>
    <row r="295" spans="1:2">
      <c r="A295" t="s">
        <v>3123</v>
      </c>
      <c r="B295">
        <v>0</v>
      </c>
    </row>
    <row r="296" spans="1:2">
      <c r="A296" t="s">
        <v>3124</v>
      </c>
      <c r="B296">
        <v>0</v>
      </c>
    </row>
    <row r="297" spans="1:2">
      <c r="A297" t="s">
        <v>3125</v>
      </c>
      <c r="B297">
        <v>0</v>
      </c>
    </row>
    <row r="298" spans="1:2">
      <c r="A298" t="s">
        <v>3126</v>
      </c>
      <c r="B298">
        <v>0</v>
      </c>
    </row>
    <row r="299" spans="1:2">
      <c r="A299" t="s">
        <v>3127</v>
      </c>
      <c r="B299">
        <v>0</v>
      </c>
    </row>
    <row r="300" spans="1:2">
      <c r="A300" t="s">
        <v>3128</v>
      </c>
      <c r="B300">
        <v>0</v>
      </c>
    </row>
    <row r="301" spans="1:2">
      <c r="A301" t="s">
        <v>3129</v>
      </c>
      <c r="B301">
        <v>0</v>
      </c>
    </row>
    <row r="302" spans="1:2">
      <c r="A302" t="s">
        <v>3130</v>
      </c>
      <c r="B302">
        <v>0</v>
      </c>
    </row>
    <row r="303" spans="1:2">
      <c r="A303" t="s">
        <v>3131</v>
      </c>
      <c r="B303">
        <v>0</v>
      </c>
    </row>
    <row r="304" spans="1:2">
      <c r="A304" t="s">
        <v>3132</v>
      </c>
      <c r="B304">
        <v>0</v>
      </c>
    </row>
    <row r="305" spans="1:2">
      <c r="A305" t="s">
        <v>3133</v>
      </c>
      <c r="B305">
        <v>0</v>
      </c>
    </row>
    <row r="306" spans="1:2">
      <c r="A306" t="s">
        <v>3134</v>
      </c>
      <c r="B306">
        <v>0</v>
      </c>
    </row>
    <row r="307" spans="1:2">
      <c r="A307" t="s">
        <v>3135</v>
      </c>
      <c r="B307">
        <v>0</v>
      </c>
    </row>
    <row r="308" spans="1:2">
      <c r="A308" t="s">
        <v>3136</v>
      </c>
      <c r="B308">
        <v>5</v>
      </c>
    </row>
    <row r="309" spans="1:2">
      <c r="A309" t="s">
        <v>3137</v>
      </c>
      <c r="B309">
        <v>0</v>
      </c>
    </row>
    <row r="310" spans="1:2">
      <c r="A310" t="s">
        <v>3138</v>
      </c>
      <c r="B310">
        <v>0</v>
      </c>
    </row>
    <row r="311" spans="1:2">
      <c r="A311" t="s">
        <v>3139</v>
      </c>
      <c r="B311">
        <v>0</v>
      </c>
    </row>
    <row r="312" spans="1:2">
      <c r="A312" t="s">
        <v>3140</v>
      </c>
      <c r="B312">
        <v>0</v>
      </c>
    </row>
    <row r="313" spans="1:2">
      <c r="A313" t="s">
        <v>3141</v>
      </c>
      <c r="B313">
        <v>0</v>
      </c>
    </row>
    <row r="314" spans="1:2">
      <c r="A314" t="s">
        <v>3142</v>
      </c>
      <c r="B314">
        <v>0</v>
      </c>
    </row>
    <row r="315" spans="1:2">
      <c r="A315" t="s">
        <v>3143</v>
      </c>
      <c r="B315">
        <v>0</v>
      </c>
    </row>
    <row r="316" spans="1:2">
      <c r="A316" t="s">
        <v>3144</v>
      </c>
      <c r="B316">
        <v>0</v>
      </c>
    </row>
    <row r="317" spans="1:2">
      <c r="A317" t="s">
        <v>3145</v>
      </c>
      <c r="B317">
        <v>0</v>
      </c>
    </row>
    <row r="318" spans="1:2">
      <c r="A318" t="s">
        <v>3146</v>
      </c>
      <c r="B318">
        <v>0</v>
      </c>
    </row>
    <row r="319" spans="1:2">
      <c r="A319" t="s">
        <v>3147</v>
      </c>
      <c r="B319">
        <v>0</v>
      </c>
    </row>
    <row r="320" spans="1:2">
      <c r="A320" t="s">
        <v>1249</v>
      </c>
      <c r="B320">
        <v>0</v>
      </c>
    </row>
    <row r="321" spans="1:2">
      <c r="A321" t="s">
        <v>3148</v>
      </c>
      <c r="B321">
        <v>0</v>
      </c>
    </row>
    <row r="322" spans="1:2">
      <c r="A322" t="s">
        <v>3149</v>
      </c>
      <c r="B322">
        <v>0</v>
      </c>
    </row>
    <row r="323" spans="1:2">
      <c r="A323" t="s">
        <v>3150</v>
      </c>
      <c r="B323">
        <v>0</v>
      </c>
    </row>
    <row r="324" spans="1:2">
      <c r="A324" t="s">
        <v>3151</v>
      </c>
      <c r="B324">
        <v>0</v>
      </c>
    </row>
    <row r="325" spans="1:2">
      <c r="A325" t="s">
        <v>3152</v>
      </c>
      <c r="B325">
        <v>0</v>
      </c>
    </row>
    <row r="326" spans="1:2">
      <c r="A326" t="s">
        <v>1251</v>
      </c>
      <c r="B326">
        <v>0</v>
      </c>
    </row>
    <row r="327" spans="1:2">
      <c r="A327" t="s">
        <v>3077</v>
      </c>
      <c r="B327">
        <v>6</v>
      </c>
    </row>
    <row r="328" spans="1:2">
      <c r="A328" t="s">
        <v>3153</v>
      </c>
      <c r="B328">
        <v>0</v>
      </c>
    </row>
    <row r="329" spans="1:2">
      <c r="A329" t="s">
        <v>3154</v>
      </c>
      <c r="B329">
        <v>0</v>
      </c>
    </row>
    <row r="330" spans="1:2">
      <c r="A330" t="s">
        <v>3155</v>
      </c>
      <c r="B330">
        <v>0</v>
      </c>
    </row>
    <row r="331" spans="1:2">
      <c r="A331" t="s">
        <v>1253</v>
      </c>
      <c r="B331">
        <v>0</v>
      </c>
    </row>
    <row r="332" spans="1:2">
      <c r="A332" t="s">
        <v>3156</v>
      </c>
      <c r="B332">
        <v>0</v>
      </c>
    </row>
    <row r="333" spans="1:2">
      <c r="A333" t="s">
        <v>3157</v>
      </c>
      <c r="B333">
        <v>0</v>
      </c>
    </row>
    <row r="334" spans="1:2">
      <c r="A334" t="s">
        <v>3158</v>
      </c>
      <c r="B334">
        <v>0</v>
      </c>
    </row>
    <row r="335" spans="1:2">
      <c r="A335" t="s">
        <v>3159</v>
      </c>
      <c r="B335">
        <v>0</v>
      </c>
    </row>
    <row r="336" spans="1:2">
      <c r="A336" t="s">
        <v>1255</v>
      </c>
      <c r="B336">
        <v>0</v>
      </c>
    </row>
    <row r="337" spans="1:2">
      <c r="A337" t="s">
        <v>3160</v>
      </c>
      <c r="B337">
        <v>0</v>
      </c>
    </row>
    <row r="338" spans="1:2">
      <c r="A338" t="s">
        <v>3161</v>
      </c>
      <c r="B338">
        <v>0</v>
      </c>
    </row>
    <row r="339" spans="1:2">
      <c r="A339" t="s">
        <v>3162</v>
      </c>
      <c r="B339">
        <v>0</v>
      </c>
    </row>
    <row r="340" spans="1:2">
      <c r="A340" t="s">
        <v>3163</v>
      </c>
      <c r="B340">
        <v>0</v>
      </c>
    </row>
    <row r="341" spans="1:2">
      <c r="A341" t="s">
        <v>3164</v>
      </c>
      <c r="B341">
        <v>0</v>
      </c>
    </row>
    <row r="342" spans="1:2">
      <c r="A342" t="s">
        <v>3165</v>
      </c>
      <c r="B342">
        <v>0</v>
      </c>
    </row>
    <row r="343" spans="1:2">
      <c r="A343" t="s">
        <v>3166</v>
      </c>
      <c r="B343">
        <v>0</v>
      </c>
    </row>
    <row r="344" spans="1:2">
      <c r="A344" t="s">
        <v>3167</v>
      </c>
      <c r="B344">
        <v>0</v>
      </c>
    </row>
    <row r="345" spans="1:2">
      <c r="A345" t="s">
        <v>3168</v>
      </c>
      <c r="B345">
        <v>0</v>
      </c>
    </row>
    <row r="346" spans="1:2">
      <c r="A346" t="s">
        <v>3169</v>
      </c>
      <c r="B346">
        <v>0</v>
      </c>
    </row>
    <row r="347" spans="1:2">
      <c r="A347" t="s">
        <v>3170</v>
      </c>
      <c r="B347">
        <v>0</v>
      </c>
    </row>
    <row r="348" spans="1:2">
      <c r="A348" t="s">
        <v>3171</v>
      </c>
      <c r="B348">
        <v>0</v>
      </c>
    </row>
    <row r="349" spans="1:2">
      <c r="A349" t="s">
        <v>3172</v>
      </c>
      <c r="B349">
        <v>0</v>
      </c>
    </row>
    <row r="350" spans="1:2">
      <c r="A350" t="s">
        <v>3173</v>
      </c>
      <c r="B350">
        <v>0</v>
      </c>
    </row>
    <row r="351" spans="1:2">
      <c r="A351" t="s">
        <v>3174</v>
      </c>
      <c r="B351">
        <v>0</v>
      </c>
    </row>
    <row r="352" spans="1:2">
      <c r="A352" t="s">
        <v>3175</v>
      </c>
      <c r="B352">
        <v>0</v>
      </c>
    </row>
    <row r="353" spans="1:2">
      <c r="A353" t="s">
        <v>3176</v>
      </c>
      <c r="B353">
        <v>0</v>
      </c>
    </row>
    <row r="354" spans="1:2">
      <c r="A354" t="s">
        <v>3177</v>
      </c>
      <c r="B354">
        <v>0</v>
      </c>
    </row>
    <row r="355" spans="1:2">
      <c r="A355" t="s">
        <v>3178</v>
      </c>
      <c r="B355">
        <v>0</v>
      </c>
    </row>
    <row r="356" spans="1:2">
      <c r="A356" t="s">
        <v>3179</v>
      </c>
      <c r="B356">
        <v>0</v>
      </c>
    </row>
    <row r="357" spans="1:2">
      <c r="A357" t="s">
        <v>3180</v>
      </c>
      <c r="B357">
        <v>0</v>
      </c>
    </row>
    <row r="358" spans="1:2">
      <c r="A358" t="s">
        <v>3181</v>
      </c>
      <c r="B358">
        <v>0</v>
      </c>
    </row>
    <row r="359" spans="1:2">
      <c r="A359" t="s">
        <v>3182</v>
      </c>
      <c r="B359">
        <v>3</v>
      </c>
    </row>
    <row r="360" spans="1:2">
      <c r="A360" t="s">
        <v>3183</v>
      </c>
      <c r="B360">
        <v>0</v>
      </c>
    </row>
    <row r="361" spans="1:2">
      <c r="A361" t="s">
        <v>3184</v>
      </c>
      <c r="B361">
        <v>0</v>
      </c>
    </row>
    <row r="362" spans="1:2">
      <c r="A362" t="s">
        <v>3185</v>
      </c>
      <c r="B362">
        <v>0</v>
      </c>
    </row>
    <row r="363" spans="1:2">
      <c r="A363" t="s">
        <v>3186</v>
      </c>
      <c r="B363">
        <v>0</v>
      </c>
    </row>
    <row r="364" spans="1:2">
      <c r="A364" t="s">
        <v>3187</v>
      </c>
      <c r="B364">
        <v>0</v>
      </c>
    </row>
    <row r="365" spans="1:2">
      <c r="A365" t="s">
        <v>3188</v>
      </c>
      <c r="B365">
        <v>0</v>
      </c>
    </row>
    <row r="366" spans="1:2">
      <c r="A366" t="s">
        <v>3189</v>
      </c>
      <c r="B366">
        <v>0</v>
      </c>
    </row>
    <row r="367" spans="1:2">
      <c r="A367" t="s">
        <v>3190</v>
      </c>
      <c r="B367">
        <v>0</v>
      </c>
    </row>
    <row r="368" spans="1:2">
      <c r="A368" t="s">
        <v>3191</v>
      </c>
      <c r="B368">
        <v>0</v>
      </c>
    </row>
    <row r="369" spans="1:2">
      <c r="A369" t="s">
        <v>3192</v>
      </c>
      <c r="B369">
        <v>0</v>
      </c>
    </row>
    <row r="370" spans="1:2">
      <c r="A370" t="s">
        <v>3193</v>
      </c>
      <c r="B370">
        <v>0</v>
      </c>
    </row>
    <row r="371" spans="1:2">
      <c r="A371" t="s">
        <v>3194</v>
      </c>
      <c r="B371">
        <v>0</v>
      </c>
    </row>
    <row r="372" spans="1:2">
      <c r="A372" t="s">
        <v>3195</v>
      </c>
      <c r="B372">
        <v>0</v>
      </c>
    </row>
    <row r="373" spans="1:2">
      <c r="A373" t="s">
        <v>3196</v>
      </c>
      <c r="B373">
        <v>0</v>
      </c>
    </row>
    <row r="374" spans="1:2">
      <c r="A374" t="s">
        <v>3197</v>
      </c>
      <c r="B374">
        <v>0</v>
      </c>
    </row>
    <row r="375" spans="1:2">
      <c r="A375" t="s">
        <v>3198</v>
      </c>
      <c r="B375">
        <v>0</v>
      </c>
    </row>
    <row r="376" spans="1:2">
      <c r="A376" t="s">
        <v>3199</v>
      </c>
      <c r="B376">
        <v>0</v>
      </c>
    </row>
    <row r="377" spans="1:2">
      <c r="A377" t="s">
        <v>3200</v>
      </c>
      <c r="B377">
        <v>0</v>
      </c>
    </row>
    <row r="378" spans="1:2">
      <c r="A378" t="s">
        <v>3201</v>
      </c>
      <c r="B378">
        <v>0</v>
      </c>
    </row>
    <row r="379" spans="1:2">
      <c r="A379" t="s">
        <v>3202</v>
      </c>
      <c r="B379">
        <v>0</v>
      </c>
    </row>
    <row r="380" spans="1:2">
      <c r="A380" t="s">
        <v>3203</v>
      </c>
      <c r="B380">
        <v>0</v>
      </c>
    </row>
    <row r="381" spans="1:2">
      <c r="A381" t="s">
        <v>3204</v>
      </c>
      <c r="B381">
        <v>0</v>
      </c>
    </row>
    <row r="382" spans="1:2">
      <c r="A382" t="s">
        <v>3205</v>
      </c>
      <c r="B382">
        <v>0</v>
      </c>
    </row>
    <row r="383" spans="1:2">
      <c r="A383" t="s">
        <v>1187</v>
      </c>
      <c r="B383">
        <v>0</v>
      </c>
    </row>
    <row r="384" spans="1:2">
      <c r="A384" t="s">
        <v>3206</v>
      </c>
      <c r="B384">
        <v>0</v>
      </c>
    </row>
    <row r="385" spans="1:2">
      <c r="A385" t="s">
        <v>3207</v>
      </c>
      <c r="B385">
        <v>0</v>
      </c>
    </row>
    <row r="386" spans="1:2">
      <c r="A386" t="s">
        <v>3208</v>
      </c>
      <c r="B386">
        <v>0</v>
      </c>
    </row>
    <row r="387" spans="1:2">
      <c r="A387" t="s">
        <v>1262</v>
      </c>
      <c r="B387">
        <v>0</v>
      </c>
    </row>
    <row r="388" spans="1:2">
      <c r="A388" t="s">
        <v>3209</v>
      </c>
      <c r="B388">
        <v>0</v>
      </c>
    </row>
    <row r="389" spans="1:2">
      <c r="A389" t="s">
        <v>3210</v>
      </c>
      <c r="B389">
        <v>0</v>
      </c>
    </row>
    <row r="390" spans="1:2">
      <c r="A390" t="s">
        <v>3211</v>
      </c>
      <c r="B390">
        <v>0</v>
      </c>
    </row>
    <row r="391" spans="1:2">
      <c r="A391" t="s">
        <v>3212</v>
      </c>
      <c r="B391">
        <v>0</v>
      </c>
    </row>
    <row r="392" spans="1:2">
      <c r="A392" t="s">
        <v>3213</v>
      </c>
      <c r="B392">
        <v>0</v>
      </c>
    </row>
    <row r="393" spans="1:2">
      <c r="A393" t="s">
        <v>3214</v>
      </c>
      <c r="B393">
        <v>0</v>
      </c>
    </row>
    <row r="394" spans="1:2">
      <c r="A394" t="s">
        <v>3215</v>
      </c>
      <c r="B394">
        <v>0</v>
      </c>
    </row>
    <row r="395" spans="1:2">
      <c r="A395" t="s">
        <v>3216</v>
      </c>
      <c r="B395">
        <v>0</v>
      </c>
    </row>
    <row r="396" spans="1:2">
      <c r="A396" t="s">
        <v>3217</v>
      </c>
      <c r="B396">
        <v>0</v>
      </c>
    </row>
    <row r="397" spans="1:2">
      <c r="A397" t="s">
        <v>3218</v>
      </c>
      <c r="B397">
        <v>0</v>
      </c>
    </row>
    <row r="398" spans="1:2">
      <c r="A398" t="s">
        <v>3219</v>
      </c>
      <c r="B398">
        <v>0</v>
      </c>
    </row>
    <row r="399" spans="1:2">
      <c r="A399" t="s">
        <v>3220</v>
      </c>
      <c r="B399">
        <v>0</v>
      </c>
    </row>
    <row r="400" spans="1:2">
      <c r="A400" t="s">
        <v>3221</v>
      </c>
      <c r="B400">
        <v>0</v>
      </c>
    </row>
    <row r="401" spans="1:2">
      <c r="A401" t="s">
        <v>3222</v>
      </c>
      <c r="B401">
        <v>0</v>
      </c>
    </row>
    <row r="402" spans="1:2">
      <c r="A402" t="s">
        <v>3223</v>
      </c>
      <c r="B402">
        <v>0</v>
      </c>
    </row>
    <row r="403" spans="1:2">
      <c r="A403" t="s">
        <v>3224</v>
      </c>
      <c r="B403">
        <v>0</v>
      </c>
    </row>
    <row r="404" spans="1:2">
      <c r="A404" t="s">
        <v>3225</v>
      </c>
      <c r="B404">
        <v>0</v>
      </c>
    </row>
    <row r="405" spans="1:2">
      <c r="A405" t="s">
        <v>3226</v>
      </c>
      <c r="B405">
        <v>0</v>
      </c>
    </row>
    <row r="406" spans="1:2">
      <c r="A406" t="s">
        <v>3227</v>
      </c>
      <c r="B406">
        <v>0</v>
      </c>
    </row>
    <row r="407" spans="1:2">
      <c r="A407" t="s">
        <v>3228</v>
      </c>
      <c r="B407">
        <v>0</v>
      </c>
    </row>
    <row r="408" spans="1:2">
      <c r="A408" t="s">
        <v>3229</v>
      </c>
      <c r="B408">
        <v>0</v>
      </c>
    </row>
    <row r="409" spans="1:2">
      <c r="A409" t="s">
        <v>3230</v>
      </c>
      <c r="B409">
        <v>0</v>
      </c>
    </row>
    <row r="410" spans="1:2">
      <c r="A410" t="s">
        <v>3231</v>
      </c>
      <c r="B410">
        <v>0</v>
      </c>
    </row>
    <row r="411" spans="1:2">
      <c r="A411" t="s">
        <v>3232</v>
      </c>
      <c r="B411">
        <v>0</v>
      </c>
    </row>
    <row r="412" spans="1:2">
      <c r="A412" t="s">
        <v>3233</v>
      </c>
      <c r="B412">
        <v>0</v>
      </c>
    </row>
    <row r="413" spans="1:2">
      <c r="A413" t="s">
        <v>3234</v>
      </c>
      <c r="B413">
        <v>0</v>
      </c>
    </row>
    <row r="414" spans="1:2">
      <c r="A414" t="s">
        <v>3235</v>
      </c>
      <c r="B414">
        <v>0</v>
      </c>
    </row>
    <row r="415" spans="1:2">
      <c r="A415" t="s">
        <v>3236</v>
      </c>
      <c r="B415">
        <v>0</v>
      </c>
    </row>
    <row r="416" spans="1:2">
      <c r="A416" t="s">
        <v>3237</v>
      </c>
      <c r="B416">
        <v>0</v>
      </c>
    </row>
    <row r="417" spans="1:2">
      <c r="A417" t="s">
        <v>1267</v>
      </c>
      <c r="B417">
        <v>0</v>
      </c>
    </row>
    <row r="418" spans="1:2">
      <c r="A418" t="s">
        <v>1268</v>
      </c>
      <c r="B418">
        <v>0</v>
      </c>
    </row>
    <row r="419" spans="1:2">
      <c r="A419" t="s">
        <v>3238</v>
      </c>
      <c r="B419">
        <v>0</v>
      </c>
    </row>
    <row r="420" spans="1:2">
      <c r="A420" t="s">
        <v>3239</v>
      </c>
      <c r="B420">
        <v>0</v>
      </c>
    </row>
    <row r="421" spans="1:2">
      <c r="A421" t="s">
        <v>3240</v>
      </c>
      <c r="B421">
        <v>0</v>
      </c>
    </row>
    <row r="422" spans="1:2">
      <c r="A422" t="s">
        <v>3241</v>
      </c>
      <c r="B422">
        <v>0</v>
      </c>
    </row>
    <row r="423" spans="1:2">
      <c r="A423" t="s">
        <v>3242</v>
      </c>
      <c r="B423">
        <v>0</v>
      </c>
    </row>
    <row r="424" spans="1:2">
      <c r="A424" t="s">
        <v>3243</v>
      </c>
      <c r="B424">
        <v>0</v>
      </c>
    </row>
    <row r="425" spans="1:2">
      <c r="A425" t="s">
        <v>3244</v>
      </c>
      <c r="B425">
        <v>0</v>
      </c>
    </row>
    <row r="426" spans="1:2">
      <c r="A426" t="s">
        <v>3245</v>
      </c>
      <c r="B426">
        <v>0</v>
      </c>
    </row>
    <row r="427" spans="1:2">
      <c r="A427" t="s">
        <v>3246</v>
      </c>
      <c r="B427">
        <v>3</v>
      </c>
    </row>
    <row r="428" spans="1:2">
      <c r="A428" t="s">
        <v>3247</v>
      </c>
      <c r="B428">
        <v>0</v>
      </c>
    </row>
    <row r="429" spans="1:2">
      <c r="A429" t="s">
        <v>3248</v>
      </c>
      <c r="B429">
        <v>0</v>
      </c>
    </row>
    <row r="430" spans="1:2">
      <c r="A430" t="s">
        <v>3249</v>
      </c>
      <c r="B430">
        <v>0</v>
      </c>
    </row>
    <row r="431" spans="1:2">
      <c r="A431" t="s">
        <v>1272</v>
      </c>
      <c r="B431">
        <v>0</v>
      </c>
    </row>
    <row r="432" spans="1:2">
      <c r="A432" t="s">
        <v>3250</v>
      </c>
      <c r="B432">
        <v>0</v>
      </c>
    </row>
    <row r="433" spans="1:2">
      <c r="A433" t="s">
        <v>3251</v>
      </c>
      <c r="B433">
        <v>0</v>
      </c>
    </row>
    <row r="434" spans="1:2">
      <c r="A434" t="s">
        <v>3252</v>
      </c>
      <c r="B434">
        <v>0</v>
      </c>
    </row>
    <row r="435" spans="1:2">
      <c r="A435" t="s">
        <v>3253</v>
      </c>
      <c r="B435">
        <v>0</v>
      </c>
    </row>
    <row r="436" spans="1:2">
      <c r="A436" t="s">
        <v>3254</v>
      </c>
      <c r="B436">
        <v>0</v>
      </c>
    </row>
    <row r="437" spans="1:2">
      <c r="A437" t="s">
        <v>3255</v>
      </c>
      <c r="B437">
        <v>3</v>
      </c>
    </row>
    <row r="438" spans="1:2">
      <c r="A438" t="s">
        <v>3256</v>
      </c>
      <c r="B438">
        <v>0</v>
      </c>
    </row>
    <row r="439" spans="1:2">
      <c r="A439" t="s">
        <v>3257</v>
      </c>
      <c r="B439">
        <v>0</v>
      </c>
    </row>
    <row r="440" spans="1:2">
      <c r="A440" t="s">
        <v>3258</v>
      </c>
      <c r="B440">
        <v>0</v>
      </c>
    </row>
    <row r="441" spans="1:2">
      <c r="A441" t="s">
        <v>3259</v>
      </c>
      <c r="B441">
        <v>0</v>
      </c>
    </row>
    <row r="442" spans="1:2">
      <c r="A442" t="s">
        <v>3260</v>
      </c>
      <c r="B442">
        <v>0</v>
      </c>
    </row>
    <row r="443" spans="1:2">
      <c r="A443" t="s">
        <v>3261</v>
      </c>
      <c r="B443">
        <v>0</v>
      </c>
    </row>
    <row r="444" spans="1:2">
      <c r="A444" t="s">
        <v>3262</v>
      </c>
      <c r="B444">
        <v>0</v>
      </c>
    </row>
    <row r="445" spans="1:2">
      <c r="A445" t="s">
        <v>3263</v>
      </c>
      <c r="B445">
        <v>3</v>
      </c>
    </row>
    <row r="446" spans="1:2">
      <c r="A446" t="s">
        <v>3264</v>
      </c>
      <c r="B446">
        <v>0</v>
      </c>
    </row>
    <row r="447" spans="1:2">
      <c r="A447" t="s">
        <v>3265</v>
      </c>
      <c r="B447">
        <v>0</v>
      </c>
    </row>
    <row r="448" spans="1:2">
      <c r="A448" t="s">
        <v>3266</v>
      </c>
      <c r="B448">
        <v>0</v>
      </c>
    </row>
    <row r="449" spans="1:2">
      <c r="A449" t="s">
        <v>3267</v>
      </c>
      <c r="B449">
        <v>0</v>
      </c>
    </row>
    <row r="450" spans="1:2">
      <c r="A450" t="s">
        <v>3268</v>
      </c>
      <c r="B450">
        <v>0</v>
      </c>
    </row>
    <row r="451" spans="1:2">
      <c r="A451" t="s">
        <v>3269</v>
      </c>
      <c r="B451">
        <v>0</v>
      </c>
    </row>
    <row r="452" spans="1:2">
      <c r="A452" t="s">
        <v>3270</v>
      </c>
      <c r="B452">
        <v>0</v>
      </c>
    </row>
    <row r="453" spans="1:2">
      <c r="A453" t="s">
        <v>3271</v>
      </c>
      <c r="B453">
        <v>0</v>
      </c>
    </row>
    <row r="454" spans="1:2">
      <c r="A454" t="s">
        <v>3272</v>
      </c>
      <c r="B454">
        <v>0</v>
      </c>
    </row>
    <row r="455" spans="1:2">
      <c r="A455" t="s">
        <v>3273</v>
      </c>
      <c r="B455">
        <v>0</v>
      </c>
    </row>
    <row r="456" spans="1:2">
      <c r="A456" t="s">
        <v>3274</v>
      </c>
      <c r="B456">
        <v>0</v>
      </c>
    </row>
    <row r="457" spans="1:2">
      <c r="A457" t="s">
        <v>3275</v>
      </c>
      <c r="B457">
        <v>0</v>
      </c>
    </row>
    <row r="458" spans="1:2">
      <c r="A458" t="s">
        <v>3276</v>
      </c>
      <c r="B458">
        <v>0</v>
      </c>
    </row>
    <row r="459" spans="1:2">
      <c r="A459" t="s">
        <v>3277</v>
      </c>
      <c r="B459">
        <v>0</v>
      </c>
    </row>
    <row r="460" spans="1:2">
      <c r="A460" t="s">
        <v>1275</v>
      </c>
      <c r="B460">
        <v>0</v>
      </c>
    </row>
    <row r="461" spans="1:2">
      <c r="A461" t="s">
        <v>3278</v>
      </c>
      <c r="B461">
        <v>0</v>
      </c>
    </row>
    <row r="462" spans="1:2">
      <c r="A462" t="s">
        <v>3279</v>
      </c>
      <c r="B462">
        <v>0</v>
      </c>
    </row>
    <row r="463" spans="1:2">
      <c r="A463" t="s">
        <v>3280</v>
      </c>
      <c r="B463">
        <v>0</v>
      </c>
    </row>
    <row r="464" spans="1:2">
      <c r="A464" t="s">
        <v>3281</v>
      </c>
      <c r="B464">
        <v>0</v>
      </c>
    </row>
    <row r="465" spans="1:2">
      <c r="A465" t="s">
        <v>1279</v>
      </c>
      <c r="B465">
        <v>0</v>
      </c>
    </row>
    <row r="466" spans="1:2">
      <c r="A466" t="s">
        <v>3282</v>
      </c>
      <c r="B466">
        <v>0</v>
      </c>
    </row>
    <row r="467" spans="1:2">
      <c r="A467" t="s">
        <v>3283</v>
      </c>
      <c r="B467">
        <v>0</v>
      </c>
    </row>
    <row r="468" spans="1:2">
      <c r="A468" t="s">
        <v>3284</v>
      </c>
      <c r="B468">
        <v>0</v>
      </c>
    </row>
    <row r="469" spans="1:2">
      <c r="A469" t="s">
        <v>3285</v>
      </c>
      <c r="B469">
        <v>0</v>
      </c>
    </row>
    <row r="470" spans="1:2">
      <c r="A470" t="s">
        <v>3286</v>
      </c>
      <c r="B470">
        <v>0</v>
      </c>
    </row>
    <row r="471" spans="1:2">
      <c r="A471" t="s">
        <v>3287</v>
      </c>
      <c r="B471">
        <v>0</v>
      </c>
    </row>
    <row r="472" spans="1:2">
      <c r="A472" t="s">
        <v>3288</v>
      </c>
      <c r="B472">
        <v>0</v>
      </c>
    </row>
    <row r="473" spans="1:2">
      <c r="A473" t="s">
        <v>3289</v>
      </c>
      <c r="B473">
        <v>0</v>
      </c>
    </row>
    <row r="474" spans="1:2">
      <c r="A474" t="s">
        <v>3290</v>
      </c>
      <c r="B474">
        <v>0</v>
      </c>
    </row>
    <row r="475" spans="1:2">
      <c r="A475" t="s">
        <v>3291</v>
      </c>
      <c r="B475">
        <v>2</v>
      </c>
    </row>
    <row r="476" spans="1:2">
      <c r="A476" t="s">
        <v>3292</v>
      </c>
      <c r="B476">
        <v>0</v>
      </c>
    </row>
    <row r="477" spans="1:2">
      <c r="A477" t="s">
        <v>3293</v>
      </c>
      <c r="B477">
        <v>0</v>
      </c>
    </row>
    <row r="478" spans="1:2">
      <c r="A478" t="s">
        <v>3294</v>
      </c>
      <c r="B478">
        <v>0</v>
      </c>
    </row>
    <row r="479" spans="1:2">
      <c r="A479" t="s">
        <v>3295</v>
      </c>
      <c r="B479">
        <v>0</v>
      </c>
    </row>
    <row r="480" spans="1:2">
      <c r="A480" t="s">
        <v>3296</v>
      </c>
      <c r="B480">
        <v>0</v>
      </c>
    </row>
    <row r="481" spans="1:2">
      <c r="A481" t="s">
        <v>3297</v>
      </c>
      <c r="B481">
        <v>0</v>
      </c>
    </row>
    <row r="482" spans="1:2">
      <c r="A482" t="s">
        <v>3298</v>
      </c>
      <c r="B482">
        <v>0</v>
      </c>
    </row>
    <row r="483" spans="1:2">
      <c r="A483" t="s">
        <v>3299</v>
      </c>
      <c r="B483">
        <v>0</v>
      </c>
    </row>
    <row r="484" spans="1:2">
      <c r="A484" t="s">
        <v>3300</v>
      </c>
      <c r="B484">
        <v>0</v>
      </c>
    </row>
    <row r="485" spans="1:2">
      <c r="A485" t="s">
        <v>3301</v>
      </c>
      <c r="B485">
        <v>0</v>
      </c>
    </row>
    <row r="486" spans="1:2">
      <c r="A486" t="s">
        <v>1282</v>
      </c>
      <c r="B486">
        <v>0</v>
      </c>
    </row>
    <row r="487" spans="1:2">
      <c r="A487" t="s">
        <v>3302</v>
      </c>
      <c r="B487">
        <v>0</v>
      </c>
    </row>
    <row r="488" spans="1:2">
      <c r="A488" t="s">
        <v>3303</v>
      </c>
      <c r="B488">
        <v>0</v>
      </c>
    </row>
    <row r="489" spans="1:2">
      <c r="A489" t="s">
        <v>3304</v>
      </c>
      <c r="B489">
        <v>0</v>
      </c>
    </row>
    <row r="490" spans="1:2">
      <c r="A490" t="s">
        <v>3305</v>
      </c>
      <c r="B490">
        <v>0</v>
      </c>
    </row>
    <row r="491" spans="1:2">
      <c r="A491" t="s">
        <v>3306</v>
      </c>
      <c r="B491">
        <v>0</v>
      </c>
    </row>
    <row r="492" spans="1:2">
      <c r="A492" t="s">
        <v>3307</v>
      </c>
      <c r="B492">
        <v>0</v>
      </c>
    </row>
    <row r="493" spans="1:2">
      <c r="A493" t="s">
        <v>3308</v>
      </c>
      <c r="B493">
        <v>0</v>
      </c>
    </row>
    <row r="494" spans="1:2">
      <c r="A494" t="s">
        <v>3309</v>
      </c>
      <c r="B494">
        <v>0</v>
      </c>
    </row>
    <row r="495" spans="1:2">
      <c r="A495" t="s">
        <v>3310</v>
      </c>
      <c r="B495">
        <v>0</v>
      </c>
    </row>
    <row r="496" spans="1:2">
      <c r="A496" t="s">
        <v>3311</v>
      </c>
      <c r="B496">
        <v>0</v>
      </c>
    </row>
    <row r="497" spans="1:2">
      <c r="A497" t="s">
        <v>3312</v>
      </c>
      <c r="B497">
        <v>0</v>
      </c>
    </row>
    <row r="498" spans="1:2">
      <c r="A498" t="s">
        <v>3313</v>
      </c>
      <c r="B498">
        <v>0</v>
      </c>
    </row>
    <row r="499" spans="1:2">
      <c r="A499" t="s">
        <v>1285</v>
      </c>
      <c r="B499">
        <v>0</v>
      </c>
    </row>
    <row r="500" spans="1:2">
      <c r="A500" t="s">
        <v>3314</v>
      </c>
      <c r="B500">
        <v>0</v>
      </c>
    </row>
    <row r="501" spans="1:2">
      <c r="A501" t="s">
        <v>3315</v>
      </c>
      <c r="B501">
        <v>0</v>
      </c>
    </row>
    <row r="502" spans="1:2">
      <c r="A502" t="s">
        <v>3316</v>
      </c>
      <c r="B502">
        <v>0</v>
      </c>
    </row>
    <row r="503" spans="1:2">
      <c r="A503" t="s">
        <v>3317</v>
      </c>
      <c r="B503">
        <v>0</v>
      </c>
    </row>
    <row r="504" spans="1:2">
      <c r="A504" t="s">
        <v>3078</v>
      </c>
      <c r="B504">
        <v>3</v>
      </c>
    </row>
    <row r="505" spans="1:2">
      <c r="A505" t="s">
        <v>3318</v>
      </c>
      <c r="B505">
        <v>0</v>
      </c>
    </row>
    <row r="506" spans="1:2">
      <c r="A506" t="s">
        <v>3319</v>
      </c>
      <c r="B506">
        <v>0</v>
      </c>
    </row>
    <row r="507" spans="1:2">
      <c r="A507" t="s">
        <v>3320</v>
      </c>
      <c r="B507">
        <v>0</v>
      </c>
    </row>
    <row r="508" spans="1:2">
      <c r="A508" t="s">
        <v>3321</v>
      </c>
      <c r="B508">
        <v>0</v>
      </c>
    </row>
    <row r="509" spans="1:2">
      <c r="A509" t="s">
        <v>3322</v>
      </c>
      <c r="B509">
        <v>0</v>
      </c>
    </row>
    <row r="510" spans="1:2">
      <c r="A510" t="s">
        <v>3323</v>
      </c>
      <c r="B510">
        <v>0</v>
      </c>
    </row>
    <row r="511" spans="1:2">
      <c r="A511" t="s">
        <v>3324</v>
      </c>
      <c r="B511">
        <v>0</v>
      </c>
    </row>
    <row r="512" spans="1:2">
      <c r="A512" t="s">
        <v>3325</v>
      </c>
      <c r="B512">
        <v>0</v>
      </c>
    </row>
    <row r="513" spans="1:2">
      <c r="A513" t="s">
        <v>3326</v>
      </c>
      <c r="B513">
        <v>0</v>
      </c>
    </row>
    <row r="514" spans="1:2">
      <c r="A514" t="s">
        <v>3327</v>
      </c>
      <c r="B514">
        <v>0</v>
      </c>
    </row>
    <row r="515" spans="1:2">
      <c r="A515" t="s">
        <v>3328</v>
      </c>
      <c r="B515">
        <v>0</v>
      </c>
    </row>
    <row r="516" spans="1:2">
      <c r="A516" t="s">
        <v>3329</v>
      </c>
      <c r="B516">
        <v>0</v>
      </c>
    </row>
    <row r="517" spans="1:2">
      <c r="A517" t="s">
        <v>3330</v>
      </c>
      <c r="B517">
        <v>0</v>
      </c>
    </row>
    <row r="518" spans="1:2">
      <c r="A518" t="s">
        <v>3331</v>
      </c>
      <c r="B518">
        <v>0</v>
      </c>
    </row>
    <row r="519" spans="1:2">
      <c r="A519" t="s">
        <v>3332</v>
      </c>
      <c r="B519">
        <v>0</v>
      </c>
    </row>
    <row r="520" spans="1:2">
      <c r="A520" t="s">
        <v>1291</v>
      </c>
      <c r="B520">
        <v>0</v>
      </c>
    </row>
    <row r="521" spans="1:2">
      <c r="A521" t="s">
        <v>3333</v>
      </c>
      <c r="B521">
        <v>0</v>
      </c>
    </row>
    <row r="522" spans="1:2">
      <c r="A522" t="s">
        <v>3334</v>
      </c>
      <c r="B522">
        <v>0</v>
      </c>
    </row>
    <row r="523" spans="1:2">
      <c r="A523" t="s">
        <v>3335</v>
      </c>
      <c r="B523">
        <v>0</v>
      </c>
    </row>
    <row r="524" spans="1:2">
      <c r="A524" t="s">
        <v>3336</v>
      </c>
      <c r="B524">
        <v>0</v>
      </c>
    </row>
    <row r="525" spans="1:2">
      <c r="A525" t="s">
        <v>586</v>
      </c>
      <c r="B525">
        <v>0</v>
      </c>
    </row>
    <row r="526" spans="1:2">
      <c r="A526" t="s">
        <v>3337</v>
      </c>
      <c r="B526">
        <v>0</v>
      </c>
    </row>
    <row r="527" spans="1:2">
      <c r="A527" t="s">
        <v>3338</v>
      </c>
      <c r="B527">
        <v>0</v>
      </c>
    </row>
    <row r="528" spans="1:2">
      <c r="A528" t="s">
        <v>3339</v>
      </c>
      <c r="B528">
        <v>0</v>
      </c>
    </row>
    <row r="529" spans="1:2">
      <c r="A529" t="s">
        <v>3340</v>
      </c>
      <c r="B529">
        <v>0</v>
      </c>
    </row>
    <row r="530" spans="1:2">
      <c r="A530" t="s">
        <v>3341</v>
      </c>
      <c r="B530">
        <v>0</v>
      </c>
    </row>
    <row r="531" spans="1:2">
      <c r="A531" t="s">
        <v>3342</v>
      </c>
      <c r="B531">
        <v>0</v>
      </c>
    </row>
    <row r="532" spans="1:2">
      <c r="A532" t="s">
        <v>3343</v>
      </c>
      <c r="B532">
        <v>0</v>
      </c>
    </row>
    <row r="533" spans="1:2">
      <c r="A533" t="s">
        <v>3344</v>
      </c>
      <c r="B533">
        <v>0</v>
      </c>
    </row>
    <row r="534" spans="1:2">
      <c r="A534" t="s">
        <v>3345</v>
      </c>
      <c r="B534">
        <v>0</v>
      </c>
    </row>
    <row r="535" spans="1:2">
      <c r="A535" t="s">
        <v>3346</v>
      </c>
      <c r="B535">
        <v>0</v>
      </c>
    </row>
    <row r="536" spans="1:2">
      <c r="A536" t="s">
        <v>3347</v>
      </c>
      <c r="B536">
        <v>0</v>
      </c>
    </row>
    <row r="537" spans="1:2">
      <c r="A537" t="s">
        <v>3348</v>
      </c>
      <c r="B537">
        <v>0</v>
      </c>
    </row>
    <row r="538" spans="1:2">
      <c r="A538" t="s">
        <v>3349</v>
      </c>
      <c r="B538">
        <v>0</v>
      </c>
    </row>
    <row r="539" spans="1:2">
      <c r="A539" t="s">
        <v>3350</v>
      </c>
      <c r="B539">
        <v>0</v>
      </c>
    </row>
    <row r="540" spans="1:2">
      <c r="A540" t="s">
        <v>3351</v>
      </c>
      <c r="B540">
        <v>0</v>
      </c>
    </row>
    <row r="541" spans="1:2">
      <c r="A541" t="s">
        <v>3352</v>
      </c>
      <c r="B541">
        <v>0</v>
      </c>
    </row>
    <row r="542" spans="1:2">
      <c r="A542" t="s">
        <v>3353</v>
      </c>
      <c r="B542">
        <v>0</v>
      </c>
    </row>
    <row r="543" spans="1:2">
      <c r="A543" t="s">
        <v>3354</v>
      </c>
      <c r="B543">
        <v>0</v>
      </c>
    </row>
    <row r="544" spans="1:2">
      <c r="A544" t="s">
        <v>3355</v>
      </c>
      <c r="B544">
        <v>0</v>
      </c>
    </row>
    <row r="545" spans="1:2">
      <c r="A545" t="s">
        <v>3356</v>
      </c>
      <c r="B545">
        <v>0</v>
      </c>
    </row>
    <row r="546" spans="1:2">
      <c r="A546" t="s">
        <v>3357</v>
      </c>
      <c r="B546">
        <v>3</v>
      </c>
    </row>
    <row r="547" spans="1:2">
      <c r="A547" t="s">
        <v>3358</v>
      </c>
      <c r="B547">
        <v>0</v>
      </c>
    </row>
    <row r="548" spans="1:2">
      <c r="A548" t="s">
        <v>3359</v>
      </c>
      <c r="B548">
        <v>0</v>
      </c>
    </row>
    <row r="549" spans="1:2">
      <c r="A549" t="s">
        <v>3360</v>
      </c>
      <c r="B549">
        <v>0</v>
      </c>
    </row>
    <row r="550" spans="1:2">
      <c r="A550" t="s">
        <v>3361</v>
      </c>
      <c r="B550">
        <v>0</v>
      </c>
    </row>
    <row r="551" spans="1:2">
      <c r="A551" t="s">
        <v>3362</v>
      </c>
      <c r="B551">
        <v>0</v>
      </c>
    </row>
    <row r="552" spans="1:2">
      <c r="A552" t="s">
        <v>3363</v>
      </c>
      <c r="B552">
        <v>0</v>
      </c>
    </row>
    <row r="553" spans="1:2">
      <c r="A553" t="s">
        <v>3364</v>
      </c>
      <c r="B553">
        <v>0</v>
      </c>
    </row>
    <row r="554" spans="1:2">
      <c r="A554" t="s">
        <v>3365</v>
      </c>
      <c r="B554">
        <v>0</v>
      </c>
    </row>
    <row r="555" spans="1:2">
      <c r="A555" t="s">
        <v>3366</v>
      </c>
      <c r="B555">
        <v>0</v>
      </c>
    </row>
    <row r="556" spans="1:2">
      <c r="A556" t="s">
        <v>3367</v>
      </c>
      <c r="B556">
        <v>0</v>
      </c>
    </row>
    <row r="557" spans="1:2">
      <c r="A557" t="s">
        <v>3368</v>
      </c>
      <c r="B557">
        <v>0</v>
      </c>
    </row>
    <row r="558" spans="1:2">
      <c r="A558" t="s">
        <v>3369</v>
      </c>
      <c r="B558">
        <v>0</v>
      </c>
    </row>
    <row r="559" spans="1:2">
      <c r="A559" t="s">
        <v>3370</v>
      </c>
      <c r="B559">
        <v>0</v>
      </c>
    </row>
    <row r="560" spans="1:2">
      <c r="A560" t="s">
        <v>3371</v>
      </c>
      <c r="B560">
        <v>0</v>
      </c>
    </row>
    <row r="561" spans="1:2">
      <c r="A561" t="s">
        <v>3372</v>
      </c>
      <c r="B561">
        <v>0</v>
      </c>
    </row>
    <row r="562" spans="1:2">
      <c r="A562" t="s">
        <v>3373</v>
      </c>
      <c r="B562">
        <v>0</v>
      </c>
    </row>
    <row r="563" spans="1:2">
      <c r="A563" t="s">
        <v>3374</v>
      </c>
      <c r="B563">
        <v>3</v>
      </c>
    </row>
    <row r="564" spans="1:2">
      <c r="A564" t="s">
        <v>3375</v>
      </c>
      <c r="B564">
        <v>0</v>
      </c>
    </row>
    <row r="565" spans="1:2">
      <c r="A565" t="s">
        <v>3376</v>
      </c>
      <c r="B565">
        <v>3</v>
      </c>
    </row>
    <row r="566" spans="1:2">
      <c r="A566" t="s">
        <v>3377</v>
      </c>
      <c r="B566">
        <v>0</v>
      </c>
    </row>
    <row r="567" spans="1:2">
      <c r="A567" t="s">
        <v>3378</v>
      </c>
      <c r="B567">
        <v>0</v>
      </c>
    </row>
    <row r="568" spans="1:2">
      <c r="A568" t="s">
        <v>3379</v>
      </c>
      <c r="B568">
        <v>0</v>
      </c>
    </row>
    <row r="569" spans="1:2">
      <c r="A569" t="s">
        <v>3380</v>
      </c>
      <c r="B569">
        <v>0</v>
      </c>
    </row>
    <row r="570" spans="1:2">
      <c r="A570" t="s">
        <v>3381</v>
      </c>
      <c r="B570">
        <v>0</v>
      </c>
    </row>
    <row r="571" spans="1:2">
      <c r="A571" t="s">
        <v>3382</v>
      </c>
      <c r="B571">
        <v>0</v>
      </c>
    </row>
    <row r="572" spans="1:2">
      <c r="A572" t="s">
        <v>3383</v>
      </c>
      <c r="B572">
        <v>0</v>
      </c>
    </row>
    <row r="573" spans="1:2">
      <c r="A573" t="s">
        <v>3384</v>
      </c>
      <c r="B573">
        <v>0</v>
      </c>
    </row>
    <row r="574" spans="1:2">
      <c r="A574" t="s">
        <v>3385</v>
      </c>
      <c r="B574">
        <v>0</v>
      </c>
    </row>
    <row r="575" spans="1:2">
      <c r="A575" t="s">
        <v>3386</v>
      </c>
      <c r="B575">
        <v>0</v>
      </c>
    </row>
    <row r="576" spans="1:2">
      <c r="A576" t="s">
        <v>3387</v>
      </c>
      <c r="B576">
        <v>0</v>
      </c>
    </row>
    <row r="577" spans="1:3">
      <c r="A577" t="s">
        <v>1299</v>
      </c>
      <c r="B577">
        <v>0</v>
      </c>
    </row>
    <row r="580" spans="1:3" ht="15.75" thickBot="1"/>
    <row r="581" spans="1:3" ht="15.75" thickBot="1">
      <c r="A581" s="258" t="s">
        <v>712</v>
      </c>
      <c r="B581" s="259" t="s">
        <v>414</v>
      </c>
      <c r="C581" s="260">
        <v>8.6817346484673763</v>
      </c>
    </row>
    <row r="582" spans="1:3" ht="15.75" thickBot="1">
      <c r="A582" s="258" t="s">
        <v>714</v>
      </c>
      <c r="B582" s="261" t="s">
        <v>715</v>
      </c>
      <c r="C582" s="260">
        <v>1.5896134694072646</v>
      </c>
    </row>
    <row r="583" spans="1:3" ht="15.75" thickBot="1">
      <c r="A583" s="258" t="s">
        <v>716</v>
      </c>
      <c r="B583" s="261" t="s">
        <v>717</v>
      </c>
      <c r="C583" s="260">
        <v>10.288703212226878</v>
      </c>
    </row>
    <row r="584" spans="1:3" ht="15.75" thickBot="1">
      <c r="A584" s="258" t="s">
        <v>718</v>
      </c>
      <c r="B584" s="261" t="s">
        <v>719</v>
      </c>
      <c r="C584" s="260">
        <v>4.2762293024083338</v>
      </c>
    </row>
    <row r="585" spans="1:3" ht="15.75" thickBot="1">
      <c r="A585" s="258" t="s">
        <v>720</v>
      </c>
      <c r="B585" s="261" t="s">
        <v>721</v>
      </c>
      <c r="C585" s="260">
        <v>3.1584752895401684</v>
      </c>
    </row>
    <row r="586" spans="1:3" ht="15.75" thickBot="1">
      <c r="A586" s="258" t="s">
        <v>722</v>
      </c>
      <c r="B586" s="261" t="s">
        <v>723</v>
      </c>
      <c r="C586" s="260">
        <v>25.393610171003605</v>
      </c>
    </row>
    <row r="587" spans="1:3" ht="15.75" thickBot="1">
      <c r="A587" s="258" t="s">
        <v>724</v>
      </c>
      <c r="B587" s="261" t="s">
        <v>725</v>
      </c>
      <c r="C587" s="260">
        <v>8.1222823300722506</v>
      </c>
    </row>
    <row r="588" spans="1:3" ht="15.75" thickBot="1">
      <c r="A588" s="258" t="s">
        <v>726</v>
      </c>
      <c r="B588" s="261" t="s">
        <v>727</v>
      </c>
      <c r="C588" s="260">
        <v>5.8683947335626732</v>
      </c>
    </row>
    <row r="589" spans="1:3" ht="15.75" thickBot="1">
      <c r="A589" s="258" t="s">
        <v>728</v>
      </c>
      <c r="B589" s="261" t="s">
        <v>729</v>
      </c>
      <c r="C589" s="260">
        <v>18.085170134420103</v>
      </c>
    </row>
    <row r="590" spans="1:3" ht="15.75" thickBot="1">
      <c r="A590" s="258" t="s">
        <v>730</v>
      </c>
      <c r="B590" s="259" t="s">
        <v>731</v>
      </c>
      <c r="C590" s="260">
        <v>1.0656362661067138</v>
      </c>
    </row>
    <row r="591" spans="1:3" ht="15.75" thickBot="1">
      <c r="A591" s="258" t="s">
        <v>732</v>
      </c>
      <c r="B591" s="261" t="s">
        <v>733</v>
      </c>
      <c r="C591" s="260">
        <v>2.8619081702102802</v>
      </c>
    </row>
    <row r="592" spans="1:3" ht="15.75" thickBot="1">
      <c r="A592" s="258" t="s">
        <v>734</v>
      </c>
      <c r="B592" s="261" t="s">
        <v>735</v>
      </c>
      <c r="C592" s="260">
        <v>2.4314722386620735</v>
      </c>
    </row>
    <row r="593" spans="1:3" ht="15.75" thickBot="1">
      <c r="A593" s="258" t="s">
        <v>736</v>
      </c>
      <c r="B593" s="262" t="s">
        <v>737</v>
      </c>
      <c r="C593" s="260">
        <v>0.53049941013446511</v>
      </c>
    </row>
    <row r="594" spans="1:3" ht="15.75" thickBot="1">
      <c r="A594" s="258" t="s">
        <v>738</v>
      </c>
      <c r="B594" s="261" t="s">
        <v>739</v>
      </c>
      <c r="C594" s="260">
        <v>1.4400365240210267</v>
      </c>
    </row>
    <row r="595" spans="1:3" ht="15.75" thickBot="1">
      <c r="A595" s="258" t="s">
        <v>740</v>
      </c>
      <c r="B595" s="261" t="s">
        <v>741</v>
      </c>
      <c r="C595" s="260">
        <v>3.0152444913917975</v>
      </c>
    </row>
    <row r="596" spans="1:3" ht="15.75" thickBot="1">
      <c r="A596" s="258" t="s">
        <v>742</v>
      </c>
      <c r="B596" s="261" t="s">
        <v>743</v>
      </c>
      <c r="C596" s="260">
        <v>13.63692754971138</v>
      </c>
    </row>
    <row r="597" spans="1:3" ht="15.75" thickBot="1">
      <c r="A597" s="258" t="s">
        <v>744</v>
      </c>
      <c r="B597" s="261" t="s">
        <v>745</v>
      </c>
      <c r="C597" s="260">
        <v>8.0824560481186474</v>
      </c>
    </row>
    <row r="598" spans="1:3" ht="15.75" thickBot="1">
      <c r="A598" s="258" t="s">
        <v>746</v>
      </c>
      <c r="B598" s="261" t="s">
        <v>747</v>
      </c>
      <c r="C598" s="260">
        <v>0</v>
      </c>
    </row>
    <row r="599" spans="1:3" ht="15.75" thickBot="1">
      <c r="A599" s="258" t="s">
        <v>748</v>
      </c>
      <c r="B599" s="261" t="s">
        <v>749</v>
      </c>
      <c r="C599" s="260">
        <v>13.702762949786916</v>
      </c>
    </row>
    <row r="600" spans="1:3" ht="15.75" thickBot="1">
      <c r="A600" s="258" t="s">
        <v>750</v>
      </c>
      <c r="B600" s="261" t="s">
        <v>751</v>
      </c>
      <c r="C600" s="260">
        <v>0.41048747799423546</v>
      </c>
    </row>
    <row r="601" spans="1:3" ht="15.75" thickBot="1">
      <c r="A601" s="258" t="s">
        <v>752</v>
      </c>
      <c r="B601" s="261" t="s">
        <v>753</v>
      </c>
      <c r="C601" s="260">
        <v>0.57497083664727655</v>
      </c>
    </row>
    <row r="602" spans="1:3" ht="15.75" thickBot="1">
      <c r="A602" s="258" t="s">
        <v>754</v>
      </c>
      <c r="B602" s="261" t="s">
        <v>755</v>
      </c>
      <c r="C602" s="260">
        <v>4.119343089928222</v>
      </c>
    </row>
    <row r="603" spans="1:3" ht="15.75" thickBot="1">
      <c r="A603" s="258" t="s">
        <v>756</v>
      </c>
      <c r="B603" s="261" t="s">
        <v>757</v>
      </c>
      <c r="C603" s="260">
        <v>5.8842184374227982</v>
      </c>
    </row>
    <row r="604" spans="1:3" ht="15.75" thickBot="1">
      <c r="A604" s="258" t="s">
        <v>758</v>
      </c>
      <c r="B604" s="261" t="s">
        <v>692</v>
      </c>
      <c r="C604" s="260">
        <v>3.5556462625714897</v>
      </c>
    </row>
    <row r="605" spans="1:3" ht="15.75" thickBot="1">
      <c r="A605" s="258" t="s">
        <v>759</v>
      </c>
      <c r="B605" s="261" t="s">
        <v>760</v>
      </c>
      <c r="C605" s="260">
        <v>1.7179652777777776E-2</v>
      </c>
    </row>
    <row r="606" spans="1:3" ht="15.75" thickBot="1">
      <c r="A606" s="258"/>
      <c r="B606" s="263" t="s">
        <v>3388</v>
      </c>
      <c r="C606" s="260">
        <v>0.16715204924239649</v>
      </c>
    </row>
    <row r="607" spans="1:3" ht="15.75" thickBot="1">
      <c r="A607" s="258"/>
      <c r="B607" s="263" t="s">
        <v>3388</v>
      </c>
      <c r="C607" s="260">
        <v>0.25056748601748252</v>
      </c>
    </row>
    <row r="608" spans="1:3" ht="15.75" thickBot="1"/>
    <row r="609" spans="1:3" ht="15.75" thickBot="1">
      <c r="A609" s="264" t="s">
        <v>3389</v>
      </c>
      <c r="B609" s="259" t="s">
        <v>764</v>
      </c>
      <c r="C609" s="260">
        <v>0.16972499543009054</v>
      </c>
    </row>
    <row r="610" spans="1:3" ht="15.75" thickBot="1">
      <c r="A610" s="261"/>
      <c r="B610" s="263" t="s">
        <v>3388</v>
      </c>
      <c r="C610" s="260">
        <v>0.31684716533865287</v>
      </c>
    </row>
    <row r="611" spans="1:3" ht="15.75" thickBot="1">
      <c r="A611" s="261"/>
      <c r="B611" s="263" t="s">
        <v>3388</v>
      </c>
      <c r="C611" s="260">
        <v>1.4351063417966796E-2</v>
      </c>
    </row>
    <row r="612" spans="1:3" ht="15.75" thickBot="1">
      <c r="A612" s="261"/>
      <c r="B612" s="263" t="s">
        <v>3388</v>
      </c>
      <c r="C612" s="260">
        <v>6.0695918278226221E-3</v>
      </c>
    </row>
    <row r="613" spans="1:3" ht="15.75" thickBot="1"/>
    <row r="614" spans="1:3" ht="15.75" thickBot="1">
      <c r="A614" s="259" t="s">
        <v>3390</v>
      </c>
      <c r="B614" s="261" t="s">
        <v>766</v>
      </c>
      <c r="C614" s="260">
        <v>1.0079990413720277</v>
      </c>
    </row>
    <row r="615" spans="1:3" ht="15.75" thickBot="1">
      <c r="B615" s="261" t="s">
        <v>767</v>
      </c>
      <c r="C615" s="260">
        <v>0.31351678021098778</v>
      </c>
    </row>
    <row r="616" spans="1:3" ht="15.75" thickBot="1">
      <c r="A616" s="261"/>
      <c r="B616" s="261" t="s">
        <v>768</v>
      </c>
      <c r="C616" s="260">
        <v>0.88405110122993147</v>
      </c>
    </row>
    <row r="617" spans="1:3" ht="15.75" thickBot="1">
      <c r="A617" s="261"/>
      <c r="B617" s="261" t="s">
        <v>769</v>
      </c>
      <c r="C617" s="260">
        <v>0.34380732718628254</v>
      </c>
    </row>
    <row r="618" spans="1:3" ht="15.75" thickBot="1">
      <c r="A618" s="261"/>
      <c r="B618" s="263" t="s">
        <v>3388</v>
      </c>
      <c r="C618" s="260">
        <v>8.3013245313021081E-2</v>
      </c>
    </row>
    <row r="619" spans="1:3" ht="15.75" thickBot="1"/>
    <row r="620" spans="1:3" ht="15.75" thickBot="1">
      <c r="A620" s="259" t="s">
        <v>3391</v>
      </c>
      <c r="B620" s="261" t="s">
        <v>771</v>
      </c>
      <c r="C620" s="260">
        <v>4.6964038659794438</v>
      </c>
    </row>
    <row r="621" spans="1:3" ht="15.75" thickBot="1">
      <c r="A621" s="261"/>
      <c r="B621" s="261" t="s">
        <v>415</v>
      </c>
      <c r="C621" s="260">
        <v>3.397816351302013</v>
      </c>
    </row>
    <row r="622" spans="1:3" ht="15.75" thickBot="1">
      <c r="A622" s="261"/>
      <c r="B622" s="261" t="s">
        <v>416</v>
      </c>
      <c r="C622" s="260">
        <v>3.9598180424375298</v>
      </c>
    </row>
    <row r="623" spans="1:3" ht="15.75" thickBot="1">
      <c r="A623" s="261"/>
      <c r="B623" s="261" t="s">
        <v>772</v>
      </c>
      <c r="C623" s="260">
        <v>0.57001251121509944</v>
      </c>
    </row>
    <row r="624" spans="1:3" ht="15.75" thickBot="1">
      <c r="A624" s="261"/>
      <c r="B624" s="261" t="s">
        <v>773</v>
      </c>
      <c r="C624" s="260">
        <v>0.33469803799683517</v>
      </c>
    </row>
    <row r="625" spans="1:3" ht="15.75" thickBot="1">
      <c r="A625" s="261"/>
      <c r="B625" s="259" t="s">
        <v>3392</v>
      </c>
      <c r="C625" s="260">
        <v>1.6987537078850419</v>
      </c>
    </row>
    <row r="630" spans="1:3">
      <c r="A630" s="310" t="s">
        <v>3393</v>
      </c>
    </row>
    <row r="631" spans="1:3">
      <c r="A631" t="s">
        <v>3394</v>
      </c>
    </row>
    <row r="632" spans="1:3">
      <c r="A632" t="s">
        <v>3395</v>
      </c>
    </row>
    <row r="633" spans="1:3">
      <c r="A633" t="s">
        <v>3396</v>
      </c>
    </row>
    <row r="634" spans="1:3">
      <c r="A634" t="s">
        <v>3397</v>
      </c>
    </row>
    <row r="635" spans="1:3">
      <c r="A635" t="s">
        <v>3398</v>
      </c>
    </row>
    <row r="636" spans="1:3">
      <c r="A636" t="s">
        <v>3399</v>
      </c>
    </row>
    <row r="637" spans="1:3">
      <c r="A637" t="s">
        <v>3400</v>
      </c>
    </row>
    <row r="638" spans="1:3">
      <c r="A638" t="s">
        <v>3401</v>
      </c>
    </row>
    <row r="639" spans="1:3">
      <c r="A639" t="s">
        <v>3402</v>
      </c>
    </row>
    <row r="640" spans="1:3">
      <c r="A640" t="s">
        <v>3403</v>
      </c>
    </row>
    <row r="641" spans="1:1">
      <c r="A641" t="s">
        <v>3404</v>
      </c>
    </row>
    <row r="642" spans="1:1">
      <c r="A642" t="s">
        <v>3405</v>
      </c>
    </row>
    <row r="643" spans="1:1">
      <c r="A643" t="s">
        <v>3406</v>
      </c>
    </row>
    <row r="644" spans="1:1">
      <c r="A644" t="s">
        <v>3407</v>
      </c>
    </row>
    <row r="645" spans="1:1">
      <c r="A645" t="s">
        <v>3408</v>
      </c>
    </row>
    <row r="646" spans="1:1">
      <c r="A646" t="s">
        <v>3409</v>
      </c>
    </row>
    <row r="647" spans="1:1">
      <c r="A647" t="s">
        <v>3410</v>
      </c>
    </row>
    <row r="648" spans="1:1">
      <c r="A648" t="s">
        <v>3411</v>
      </c>
    </row>
    <row r="649" spans="1:1">
      <c r="A649" t="s">
        <v>3412</v>
      </c>
    </row>
    <row r="650" spans="1:1">
      <c r="A650" t="s">
        <v>3413</v>
      </c>
    </row>
    <row r="651" spans="1:1">
      <c r="A651" t="s">
        <v>3414</v>
      </c>
    </row>
    <row r="652" spans="1:1">
      <c r="A652" t="s">
        <v>3415</v>
      </c>
    </row>
    <row r="653" spans="1:1">
      <c r="A653" t="s">
        <v>3416</v>
      </c>
    </row>
    <row r="654" spans="1:1">
      <c r="A654" t="s">
        <v>3417</v>
      </c>
    </row>
    <row r="655" spans="1:1">
      <c r="A655" t="s">
        <v>3418</v>
      </c>
    </row>
    <row r="656" spans="1:1">
      <c r="A656" t="s">
        <v>3419</v>
      </c>
    </row>
    <row r="657" spans="1:1">
      <c r="A657" t="s">
        <v>3420</v>
      </c>
    </row>
    <row r="658" spans="1:1">
      <c r="A658" t="s">
        <v>3421</v>
      </c>
    </row>
    <row r="659" spans="1:1">
      <c r="A659" t="s">
        <v>3422</v>
      </c>
    </row>
    <row r="660" spans="1:1">
      <c r="A660" t="s">
        <v>3423</v>
      </c>
    </row>
    <row r="661" spans="1:1">
      <c r="A661" t="s">
        <v>3424</v>
      </c>
    </row>
    <row r="662" spans="1:1">
      <c r="A662" s="315" t="s">
        <v>3425</v>
      </c>
    </row>
    <row r="663" spans="1:1">
      <c r="A663" s="315" t="s">
        <v>3426</v>
      </c>
    </row>
    <row r="664" spans="1:1">
      <c r="A664" s="315" t="s">
        <v>3427</v>
      </c>
    </row>
    <row r="665" spans="1:1">
      <c r="A665" s="315" t="s">
        <v>3428</v>
      </c>
    </row>
    <row r="666" spans="1:1">
      <c r="A666" s="315" t="s">
        <v>3429</v>
      </c>
    </row>
    <row r="667" spans="1:1">
      <c r="A667" s="315" t="s">
        <v>3430</v>
      </c>
    </row>
    <row r="668" spans="1:1">
      <c r="A668" s="315" t="s">
        <v>3431</v>
      </c>
    </row>
    <row r="669" spans="1:1">
      <c r="A669" s="315" t="s">
        <v>3432</v>
      </c>
    </row>
    <row r="670" spans="1:1">
      <c r="A670" s="315" t="s">
        <v>3433</v>
      </c>
    </row>
    <row r="671" spans="1:1">
      <c r="A671" s="315" t="s">
        <v>3434</v>
      </c>
    </row>
    <row r="672" spans="1:1" ht="17.25" customHeight="1">
      <c r="A672" s="315" t="s">
        <v>3435</v>
      </c>
    </row>
    <row r="673" spans="1:1">
      <c r="A673" s="315" t="s">
        <v>3436</v>
      </c>
    </row>
    <row r="674" spans="1:1">
      <c r="A674" s="315" t="s">
        <v>3437</v>
      </c>
    </row>
    <row r="675" spans="1:1">
      <c r="A675" s="315" t="s">
        <v>3438</v>
      </c>
    </row>
    <row r="676" spans="1:1">
      <c r="A676" s="315" t="s">
        <v>3439</v>
      </c>
    </row>
    <row r="677" spans="1:1">
      <c r="A677" s="315" t="s">
        <v>3440</v>
      </c>
    </row>
    <row r="678" spans="1:1">
      <c r="A678" s="315" t="s">
        <v>3441</v>
      </c>
    </row>
    <row r="679" spans="1:1">
      <c r="A679" s="315" t="s">
        <v>3442</v>
      </c>
    </row>
    <row r="680" spans="1:1">
      <c r="A680" s="315" t="s">
        <v>3443</v>
      </c>
    </row>
    <row r="681" spans="1:1">
      <c r="A681" s="315" t="s">
        <v>3444</v>
      </c>
    </row>
    <row r="682" spans="1:1">
      <c r="A682" s="315" t="s">
        <v>3445</v>
      </c>
    </row>
    <row r="683" spans="1:1">
      <c r="A683" s="315" t="s">
        <v>3446</v>
      </c>
    </row>
    <row r="684" spans="1:1">
      <c r="A684" s="315" t="s">
        <v>3447</v>
      </c>
    </row>
    <row r="685" spans="1:1">
      <c r="A685" s="315" t="s">
        <v>3448</v>
      </c>
    </row>
    <row r="686" spans="1:1">
      <c r="A686" s="315" t="s">
        <v>3449</v>
      </c>
    </row>
    <row r="687" spans="1:1">
      <c r="A687" s="315" t="s">
        <v>3450</v>
      </c>
    </row>
    <row r="688" spans="1:1">
      <c r="A688" s="315" t="s">
        <v>3451</v>
      </c>
    </row>
    <row r="689" spans="1:1">
      <c r="A689" s="315" t="s">
        <v>3452</v>
      </c>
    </row>
    <row r="690" spans="1:1">
      <c r="A690" s="315" t="s">
        <v>3453</v>
      </c>
    </row>
    <row r="691" spans="1:1">
      <c r="A691" s="315" t="s">
        <v>3454</v>
      </c>
    </row>
    <row r="692" spans="1:1">
      <c r="A692" s="315" t="s">
        <v>3455</v>
      </c>
    </row>
    <row r="693" spans="1:1">
      <c r="A693" s="315" t="s">
        <v>3456</v>
      </c>
    </row>
    <row r="694" spans="1:1">
      <c r="A694" s="315" t="s">
        <v>3457</v>
      </c>
    </row>
    <row r="695" spans="1:1">
      <c r="A695" s="315" t="s">
        <v>3458</v>
      </c>
    </row>
    <row r="696" spans="1:1">
      <c r="A696" s="315" t="s">
        <v>3459</v>
      </c>
    </row>
    <row r="697" spans="1:1">
      <c r="A697" s="315" t="s">
        <v>3460</v>
      </c>
    </row>
    <row r="698" spans="1:1">
      <c r="A698" s="315" t="s">
        <v>3461</v>
      </c>
    </row>
    <row r="699" spans="1:1">
      <c r="A699" s="315" t="s">
        <v>3462</v>
      </c>
    </row>
    <row r="700" spans="1:1">
      <c r="A700" s="315" t="s">
        <v>3463</v>
      </c>
    </row>
    <row r="701" spans="1:1">
      <c r="A701" s="315" t="s">
        <v>3464</v>
      </c>
    </row>
    <row r="702" spans="1:1">
      <c r="A702" s="315" t="s">
        <v>3465</v>
      </c>
    </row>
    <row r="703" spans="1:1">
      <c r="A703" s="315" t="s">
        <v>3466</v>
      </c>
    </row>
    <row r="704" spans="1:1">
      <c r="A704" s="315" t="s">
        <v>3467</v>
      </c>
    </row>
    <row r="705" spans="1:1">
      <c r="A705" s="315" t="s">
        <v>3468</v>
      </c>
    </row>
    <row r="706" spans="1:1">
      <c r="A706" s="315" t="s">
        <v>3469</v>
      </c>
    </row>
    <row r="707" spans="1:1">
      <c r="A707" s="315" t="s">
        <v>3470</v>
      </c>
    </row>
    <row r="708" spans="1:1">
      <c r="A708" s="315" t="s">
        <v>3471</v>
      </c>
    </row>
    <row r="709" spans="1:1">
      <c r="A709" s="315" t="s">
        <v>3472</v>
      </c>
    </row>
    <row r="710" spans="1:1">
      <c r="A710" s="315" t="s">
        <v>3473</v>
      </c>
    </row>
    <row r="711" spans="1:1">
      <c r="A711" s="315" t="s">
        <v>3474</v>
      </c>
    </row>
    <row r="712" spans="1:1">
      <c r="A712" s="315" t="s">
        <v>3475</v>
      </c>
    </row>
    <row r="713" spans="1:1">
      <c r="A713" s="315" t="s">
        <v>3476</v>
      </c>
    </row>
    <row r="714" spans="1:1">
      <c r="A714" s="315" t="s">
        <v>3477</v>
      </c>
    </row>
    <row r="715" spans="1:1">
      <c r="A715" s="315" t="s">
        <v>3478</v>
      </c>
    </row>
    <row r="716" spans="1:1">
      <c r="A716" s="315" t="s">
        <v>3479</v>
      </c>
    </row>
    <row r="717" spans="1:1">
      <c r="A717" s="315" t="s">
        <v>3480</v>
      </c>
    </row>
    <row r="718" spans="1:1">
      <c r="A718" s="315" t="s">
        <v>3481</v>
      </c>
    </row>
    <row r="719" spans="1:1">
      <c r="A719" s="315" t="s">
        <v>3482</v>
      </c>
    </row>
    <row r="720" spans="1:1">
      <c r="A720" s="315" t="s">
        <v>3483</v>
      </c>
    </row>
    <row r="721" spans="1:1">
      <c r="A721" s="315" t="s">
        <v>3484</v>
      </c>
    </row>
    <row r="722" spans="1:1">
      <c r="A722" s="315" t="s">
        <v>3485</v>
      </c>
    </row>
    <row r="723" spans="1:1">
      <c r="A723" s="315" t="s">
        <v>3486</v>
      </c>
    </row>
    <row r="724" spans="1:1">
      <c r="A724" s="315" t="s">
        <v>3487</v>
      </c>
    </row>
    <row r="725" spans="1:1">
      <c r="A725" s="315" t="s">
        <v>3488</v>
      </c>
    </row>
    <row r="726" spans="1:1">
      <c r="A726" s="315" t="s">
        <v>3489</v>
      </c>
    </row>
    <row r="727" spans="1:1">
      <c r="A727" s="315" t="s">
        <v>3490</v>
      </c>
    </row>
    <row r="728" spans="1:1">
      <c r="A728" s="315" t="s">
        <v>3491</v>
      </c>
    </row>
    <row r="729" spans="1:1">
      <c r="A729" s="315" t="s">
        <v>3492</v>
      </c>
    </row>
    <row r="730" spans="1:1">
      <c r="A730" s="315" t="s">
        <v>3493</v>
      </c>
    </row>
    <row r="731" spans="1:1">
      <c r="A731" s="315" t="s">
        <v>3494</v>
      </c>
    </row>
    <row r="732" spans="1:1">
      <c r="A732" s="315" t="s">
        <v>3495</v>
      </c>
    </row>
    <row r="733" spans="1:1">
      <c r="A733" s="315" t="s">
        <v>3496</v>
      </c>
    </row>
    <row r="734" spans="1:1">
      <c r="A734" s="315" t="s">
        <v>3497</v>
      </c>
    </row>
    <row r="735" spans="1:1">
      <c r="A735" s="315" t="s">
        <v>3498</v>
      </c>
    </row>
    <row r="736" spans="1:1">
      <c r="A736" s="315" t="s">
        <v>3499</v>
      </c>
    </row>
    <row r="737" spans="1:1">
      <c r="A737" s="315" t="s">
        <v>3500</v>
      </c>
    </row>
    <row r="738" spans="1:1">
      <c r="A738" s="315" t="s">
        <v>3501</v>
      </c>
    </row>
    <row r="739" spans="1:1">
      <c r="A739" s="315" t="s">
        <v>3502</v>
      </c>
    </row>
    <row r="740" spans="1:1">
      <c r="A740" s="315" t="s">
        <v>3503</v>
      </c>
    </row>
    <row r="741" spans="1:1">
      <c r="A741" s="315" t="s">
        <v>3504</v>
      </c>
    </row>
    <row r="742" spans="1:1">
      <c r="A742" s="315" t="s">
        <v>3505</v>
      </c>
    </row>
    <row r="743" spans="1:1">
      <c r="A743" s="315" t="s">
        <v>3506</v>
      </c>
    </row>
    <row r="744" spans="1:1">
      <c r="A744" s="315" t="s">
        <v>3507</v>
      </c>
    </row>
    <row r="745" spans="1:1">
      <c r="A745" s="315" t="s">
        <v>3508</v>
      </c>
    </row>
    <row r="746" spans="1:1">
      <c r="A746" s="315" t="s">
        <v>3509</v>
      </c>
    </row>
    <row r="747" spans="1:1">
      <c r="A747" s="315" t="s">
        <v>3510</v>
      </c>
    </row>
    <row r="748" spans="1:1">
      <c r="A748" s="315" t="s">
        <v>3511</v>
      </c>
    </row>
    <row r="749" spans="1:1">
      <c r="A749" s="315" t="s">
        <v>3512</v>
      </c>
    </row>
    <row r="750" spans="1:1">
      <c r="A750" s="315" t="s">
        <v>3513</v>
      </c>
    </row>
    <row r="751" spans="1:1">
      <c r="A751" s="315" t="s">
        <v>3514</v>
      </c>
    </row>
    <row r="752" spans="1:1">
      <c r="A752" s="315" t="s">
        <v>3515</v>
      </c>
    </row>
    <row r="753" spans="1:13">
      <c r="A753" s="315" t="s">
        <v>3516</v>
      </c>
    </row>
    <row r="754" spans="1:13">
      <c r="A754" s="315" t="s">
        <v>3517</v>
      </c>
    </row>
    <row r="755" spans="1:13">
      <c r="A755" s="315" t="s">
        <v>3518</v>
      </c>
    </row>
    <row r="756" spans="1:13">
      <c r="A756" s="315" t="s">
        <v>3519</v>
      </c>
    </row>
    <row r="757" spans="1:13">
      <c r="A757" s="315" t="s">
        <v>3520</v>
      </c>
    </row>
    <row r="758" spans="1:13">
      <c r="A758" s="315" t="s">
        <v>3521</v>
      </c>
    </row>
    <row r="759" spans="1:13">
      <c r="A759" s="315" t="s">
        <v>3522</v>
      </c>
    </row>
    <row r="760" spans="1:13" ht="27.75" customHeight="1">
      <c r="A760" s="958" t="s">
        <v>3523</v>
      </c>
      <c r="B760" s="958"/>
      <c r="C760" s="958"/>
      <c r="D760" s="958"/>
      <c r="E760" s="958"/>
      <c r="F760" s="958"/>
      <c r="G760" s="958"/>
      <c r="H760" s="958"/>
      <c r="I760" s="958"/>
      <c r="J760" s="958"/>
      <c r="K760" s="958"/>
      <c r="L760" s="958"/>
      <c r="M760" s="958"/>
    </row>
    <row r="761" spans="1:13">
      <c r="A761" s="315" t="s">
        <v>3524</v>
      </c>
    </row>
    <row r="762" spans="1:13">
      <c r="A762" s="315" t="s">
        <v>3525</v>
      </c>
    </row>
    <row r="763" spans="1:13">
      <c r="A763" s="315" t="s">
        <v>3526</v>
      </c>
    </row>
    <row r="764" spans="1:13">
      <c r="A764" s="315" t="s">
        <v>3527</v>
      </c>
    </row>
    <row r="765" spans="1:13">
      <c r="A765" s="315" t="s">
        <v>3528</v>
      </c>
    </row>
    <row r="766" spans="1:13">
      <c r="A766" s="315" t="s">
        <v>3529</v>
      </c>
    </row>
    <row r="767" spans="1:13">
      <c r="A767" s="315" t="s">
        <v>3530</v>
      </c>
    </row>
    <row r="768" spans="1:13">
      <c r="A768" s="315" t="s">
        <v>3531</v>
      </c>
    </row>
    <row r="769" spans="1:39">
      <c r="A769" s="315" t="s">
        <v>3532</v>
      </c>
    </row>
    <row r="770" spans="1:39">
      <c r="A770" s="315" t="s">
        <v>3533</v>
      </c>
    </row>
    <row r="771" spans="1:39">
      <c r="A771" s="315" t="s">
        <v>3534</v>
      </c>
    </row>
    <row r="772" spans="1:39">
      <c r="A772" s="315" t="s">
        <v>3535</v>
      </c>
    </row>
    <row r="773" spans="1:39">
      <c r="A773" s="315" t="s">
        <v>3536</v>
      </c>
    </row>
    <row r="774" spans="1:39">
      <c r="A774" s="315" t="s">
        <v>3537</v>
      </c>
    </row>
    <row r="775" spans="1:39">
      <c r="A775" s="315" t="s">
        <v>3538</v>
      </c>
    </row>
    <row r="776" spans="1:39">
      <c r="A776" s="315" t="s">
        <v>3539</v>
      </c>
    </row>
    <row r="777" spans="1:39">
      <c r="A777" s="315" t="s">
        <v>3540</v>
      </c>
    </row>
    <row r="778" spans="1:39">
      <c r="A778" s="315" t="s">
        <v>3541</v>
      </c>
    </row>
    <row r="779" spans="1:39">
      <c r="A779" s="315" t="s">
        <v>3542</v>
      </c>
    </row>
    <row r="780" spans="1:39">
      <c r="A780" s="315" t="s">
        <v>3543</v>
      </c>
    </row>
    <row r="781" spans="1:39">
      <c r="A781" s="315" t="s">
        <v>3544</v>
      </c>
    </row>
    <row r="782" spans="1:39">
      <c r="A782" s="315" t="s">
        <v>3545</v>
      </c>
    </row>
    <row r="783" spans="1:39">
      <c r="A783" s="315" t="s">
        <v>3546</v>
      </c>
      <c r="AF783" s="320"/>
      <c r="AG783" s="320"/>
      <c r="AH783" s="320"/>
      <c r="AI783" s="320"/>
      <c r="AJ783" s="320"/>
      <c r="AK783" s="320"/>
      <c r="AL783" s="320"/>
      <c r="AM783" s="320"/>
    </row>
    <row r="784" spans="1:39">
      <c r="A784" s="315" t="s">
        <v>3547</v>
      </c>
      <c r="AF784" s="320"/>
      <c r="AG784" s="320"/>
      <c r="AH784" s="320"/>
      <c r="AI784" s="320"/>
      <c r="AJ784" s="320"/>
      <c r="AK784" s="320"/>
      <c r="AL784" s="320"/>
      <c r="AM784" s="320"/>
    </row>
    <row r="785" spans="1:39" s="16" customFormat="1">
      <c r="A785" t="s">
        <v>3548</v>
      </c>
      <c r="B785"/>
      <c r="C785"/>
      <c r="D785"/>
      <c r="E785"/>
      <c r="F785"/>
      <c r="G785"/>
      <c r="H785"/>
      <c r="I785"/>
      <c r="J785"/>
      <c r="K785"/>
      <c r="L785"/>
      <c r="M785"/>
      <c r="N785"/>
      <c r="O785"/>
      <c r="P785"/>
      <c r="Q785"/>
      <c r="R785"/>
      <c r="S785"/>
      <c r="T785"/>
      <c r="U785"/>
      <c r="V785"/>
      <c r="W785"/>
      <c r="X785"/>
      <c r="Y785"/>
      <c r="Z785"/>
      <c r="AA785"/>
      <c r="AB785"/>
      <c r="AC785"/>
      <c r="AD785"/>
      <c r="AE785"/>
      <c r="AF785" s="320"/>
      <c r="AG785" s="320"/>
      <c r="AH785" s="320"/>
      <c r="AI785" s="320"/>
      <c r="AJ785" s="320"/>
      <c r="AK785" s="320"/>
      <c r="AL785" s="320"/>
      <c r="AM785" s="320"/>
    </row>
    <row r="786" spans="1:39">
      <c r="A786" t="s">
        <v>3549</v>
      </c>
      <c r="AF786" s="320"/>
      <c r="AG786" s="320"/>
      <c r="AH786" s="320"/>
      <c r="AI786" s="320"/>
      <c r="AJ786" s="320"/>
      <c r="AK786" s="320"/>
      <c r="AL786" s="320"/>
      <c r="AM786" s="320"/>
    </row>
    <row r="787" spans="1:39">
      <c r="A787" t="s">
        <v>3550</v>
      </c>
      <c r="AF787" s="320"/>
      <c r="AG787" s="320"/>
      <c r="AH787" s="320"/>
      <c r="AI787" s="320"/>
      <c r="AJ787" s="320"/>
      <c r="AK787" s="320"/>
      <c r="AL787" s="320"/>
      <c r="AM787" s="320"/>
    </row>
    <row r="788" spans="1:39">
      <c r="A788" t="s">
        <v>3551</v>
      </c>
      <c r="AF788" s="320"/>
      <c r="AG788" s="320"/>
      <c r="AH788" s="320"/>
      <c r="AI788" s="320"/>
      <c r="AJ788" s="320"/>
      <c r="AK788" s="320"/>
      <c r="AL788" s="320"/>
      <c r="AM788" s="320"/>
    </row>
    <row r="789" spans="1:39" s="16" customFormat="1">
      <c r="A789" t="s">
        <v>3552</v>
      </c>
      <c r="B789"/>
      <c r="C789"/>
      <c r="D789"/>
      <c r="E789"/>
      <c r="F789"/>
      <c r="G789"/>
      <c r="H789"/>
      <c r="I789"/>
      <c r="J789"/>
      <c r="K789"/>
      <c r="L789"/>
      <c r="M789"/>
      <c r="N789"/>
      <c r="O789"/>
      <c r="P789"/>
      <c r="Q789"/>
      <c r="R789"/>
      <c r="S789"/>
      <c r="T789"/>
      <c r="U789"/>
      <c r="V789"/>
      <c r="W789"/>
      <c r="X789"/>
      <c r="Y789"/>
      <c r="Z789"/>
      <c r="AA789"/>
      <c r="AB789"/>
      <c r="AC789"/>
      <c r="AD789"/>
      <c r="AE789"/>
      <c r="AF789" s="320"/>
      <c r="AG789" s="320"/>
      <c r="AH789" s="320"/>
      <c r="AI789" s="320"/>
      <c r="AJ789" s="320"/>
      <c r="AK789" s="320"/>
      <c r="AL789" s="320"/>
      <c r="AM789" s="320"/>
    </row>
    <row r="790" spans="1:39">
      <c r="A790" t="s">
        <v>3553</v>
      </c>
      <c r="AF790" s="320"/>
      <c r="AG790" s="320"/>
      <c r="AH790" s="320"/>
      <c r="AI790" s="320"/>
      <c r="AJ790" s="320"/>
      <c r="AK790" s="320"/>
      <c r="AL790" s="320"/>
      <c r="AM790" s="320"/>
    </row>
    <row r="791" spans="1:39">
      <c r="A791" s="421" t="s">
        <v>3554</v>
      </c>
    </row>
    <row r="792" spans="1:39">
      <c r="A792" t="s">
        <v>3555</v>
      </c>
    </row>
    <row r="793" spans="1:39">
      <c r="A793" t="s">
        <v>3556</v>
      </c>
    </row>
    <row r="794" spans="1:39">
      <c r="A794" t="s">
        <v>3557</v>
      </c>
    </row>
    <row r="795" spans="1:39">
      <c r="A795" t="s">
        <v>3558</v>
      </c>
    </row>
    <row r="796" spans="1:39">
      <c r="A796" t="s">
        <v>3559</v>
      </c>
    </row>
    <row r="797" spans="1:39">
      <c r="A797" t="s">
        <v>3560</v>
      </c>
    </row>
    <row r="798" spans="1:39">
      <c r="A798" t="s">
        <v>3561</v>
      </c>
    </row>
    <row r="799" spans="1:39">
      <c r="A799" t="s">
        <v>3561</v>
      </c>
    </row>
    <row r="800" spans="1:39">
      <c r="A800" t="s">
        <v>3562</v>
      </c>
    </row>
    <row r="801" spans="1:1">
      <c r="A801" t="s">
        <v>3563</v>
      </c>
    </row>
    <row r="802" spans="1:1">
      <c r="A802" t="s">
        <v>3564</v>
      </c>
    </row>
    <row r="803" spans="1:1">
      <c r="A803" t="s">
        <v>3565</v>
      </c>
    </row>
    <row r="804" spans="1:1">
      <c r="A804" t="s">
        <v>3566</v>
      </c>
    </row>
    <row r="805" spans="1:1">
      <c r="A805" t="s">
        <v>3567</v>
      </c>
    </row>
    <row r="806" spans="1:1">
      <c r="A806" t="s">
        <v>3568</v>
      </c>
    </row>
    <row r="807" spans="1:1">
      <c r="A807" t="s">
        <v>3569</v>
      </c>
    </row>
    <row r="808" spans="1:1">
      <c r="A808" s="315" t="s">
        <v>3570</v>
      </c>
    </row>
    <row r="809" spans="1:1">
      <c r="A809" s="315" t="s">
        <v>3571</v>
      </c>
    </row>
    <row r="810" spans="1:1">
      <c r="A810" s="315" t="s">
        <v>3572</v>
      </c>
    </row>
    <row r="811" spans="1:1">
      <c r="A811" s="315" t="s">
        <v>3573</v>
      </c>
    </row>
    <row r="812" spans="1:1">
      <c r="A812" s="315" t="s">
        <v>3574</v>
      </c>
    </row>
    <row r="813" spans="1:1">
      <c r="A813" s="315" t="s">
        <v>3575</v>
      </c>
    </row>
    <row r="814" spans="1:1">
      <c r="A814" s="315" t="s">
        <v>3576</v>
      </c>
    </row>
    <row r="815" spans="1:1">
      <c r="A815" s="315" t="s">
        <v>3577</v>
      </c>
    </row>
    <row r="816" spans="1:1">
      <c r="A816" s="315" t="s">
        <v>3578</v>
      </c>
    </row>
    <row r="817" spans="1:1">
      <c r="A817" s="315" t="s">
        <v>3579</v>
      </c>
    </row>
    <row r="818" spans="1:1">
      <c r="A818" s="315" t="s">
        <v>3580</v>
      </c>
    </row>
    <row r="819" spans="1:1">
      <c r="A819" s="315" t="s">
        <v>3581</v>
      </c>
    </row>
    <row r="820" spans="1:1">
      <c r="A820" s="315" t="s">
        <v>3582</v>
      </c>
    </row>
    <row r="821" spans="1:1">
      <c r="A821" s="315" t="s">
        <v>3583</v>
      </c>
    </row>
    <row r="822" spans="1:1">
      <c r="A822" s="315" t="s">
        <v>3584</v>
      </c>
    </row>
    <row r="823" spans="1:1">
      <c r="A823" s="315" t="s">
        <v>3585</v>
      </c>
    </row>
    <row r="824" spans="1:1">
      <c r="A824" s="315" t="s">
        <v>3586</v>
      </c>
    </row>
    <row r="825" spans="1:1">
      <c r="A825" s="315" t="s">
        <v>3587</v>
      </c>
    </row>
    <row r="826" spans="1:1">
      <c r="A826" s="315" t="s">
        <v>3588</v>
      </c>
    </row>
    <row r="827" spans="1:1">
      <c r="A827" s="315" t="s">
        <v>3589</v>
      </c>
    </row>
    <row r="828" spans="1:1">
      <c r="A828" s="315" t="s">
        <v>3590</v>
      </c>
    </row>
    <row r="829" spans="1:1">
      <c r="A829" s="315" t="s">
        <v>3591</v>
      </c>
    </row>
    <row r="830" spans="1:1">
      <c r="A830" t="s">
        <v>3592</v>
      </c>
    </row>
    <row r="831" spans="1:1">
      <c r="A831" s="315" t="s">
        <v>3593</v>
      </c>
    </row>
    <row r="832" spans="1:1">
      <c r="A832" s="482" t="s">
        <v>3594</v>
      </c>
    </row>
    <row r="833" spans="1:1">
      <c r="A833" s="315" t="s">
        <v>3595</v>
      </c>
    </row>
    <row r="834" spans="1:1">
      <c r="A834" s="482" t="s">
        <v>3596</v>
      </c>
    </row>
    <row r="835" spans="1:1">
      <c r="A835" s="482" t="s">
        <v>3597</v>
      </c>
    </row>
    <row r="836" spans="1:1">
      <c r="A836" s="315" t="s">
        <v>3598</v>
      </c>
    </row>
    <row r="837" spans="1:1">
      <c r="A837" s="315" t="s">
        <v>3599</v>
      </c>
    </row>
    <row r="838" spans="1:1">
      <c r="A838" s="315" t="s">
        <v>3600</v>
      </c>
    </row>
    <row r="839" spans="1:1">
      <c r="A839" s="315" t="s">
        <v>3601</v>
      </c>
    </row>
    <row r="840" spans="1:1">
      <c r="A840" s="315" t="s">
        <v>3602</v>
      </c>
    </row>
    <row r="841" spans="1:1">
      <c r="A841" s="315" t="s">
        <v>3603</v>
      </c>
    </row>
    <row r="842" spans="1:1">
      <c r="A842" s="315" t="s">
        <v>3604</v>
      </c>
    </row>
    <row r="843" spans="1:1">
      <c r="A843" s="315" t="s">
        <v>3605</v>
      </c>
    </row>
    <row r="844" spans="1:1">
      <c r="A844" s="315" t="s">
        <v>3606</v>
      </c>
    </row>
    <row r="845" spans="1:1">
      <c r="A845" s="315" t="s">
        <v>3607</v>
      </c>
    </row>
    <row r="846" spans="1:1">
      <c r="A846" s="315" t="s">
        <v>3608</v>
      </c>
    </row>
    <row r="847" spans="1:1">
      <c r="A847" s="482" t="s">
        <v>3609</v>
      </c>
    </row>
    <row r="848" spans="1:1">
      <c r="A848" s="482" t="s">
        <v>3609</v>
      </c>
    </row>
    <row r="849" spans="1:4">
      <c r="A849" s="315" t="s">
        <v>3610</v>
      </c>
    </row>
    <row r="850" spans="1:4">
      <c r="A850" s="315" t="s">
        <v>3611</v>
      </c>
    </row>
    <row r="851" spans="1:4">
      <c r="A851" s="482" t="s">
        <v>3612</v>
      </c>
    </row>
    <row r="852" spans="1:4">
      <c r="A852" s="482" t="s">
        <v>3613</v>
      </c>
    </row>
    <row r="853" spans="1:4">
      <c r="A853" s="482" t="s">
        <v>3614</v>
      </c>
    </row>
    <row r="854" spans="1:4">
      <c r="A854" s="482" t="s">
        <v>3615</v>
      </c>
    </row>
    <row r="855" spans="1:4">
      <c r="A855" s="482" t="s">
        <v>3615</v>
      </c>
    </row>
    <row r="856" spans="1:4">
      <c r="A856" s="315" t="s">
        <v>3616</v>
      </c>
    </row>
    <row r="857" spans="1:4">
      <c r="A857" s="315" t="s">
        <v>3617</v>
      </c>
    </row>
    <row r="858" spans="1:4">
      <c r="A858" s="483" t="s">
        <v>3618</v>
      </c>
    </row>
    <row r="859" spans="1:4">
      <c r="A859" t="s">
        <v>3619</v>
      </c>
    </row>
    <row r="860" spans="1:4">
      <c r="A860" t="s">
        <v>3620</v>
      </c>
    </row>
    <row r="861" spans="1:4">
      <c r="A861" t="s">
        <v>3621</v>
      </c>
    </row>
    <row r="862" spans="1:4" s="320" customFormat="1">
      <c r="A862" s="320" t="s">
        <v>3622</v>
      </c>
      <c r="D862" s="320" t="s">
        <v>3623</v>
      </c>
    </row>
    <row r="863" spans="1:4">
      <c r="A863" s="483" t="s">
        <v>3624</v>
      </c>
    </row>
    <row r="864" spans="1:4">
      <c r="A864" t="s">
        <v>3625</v>
      </c>
    </row>
    <row r="865" spans="1:11">
      <c r="A865" t="s">
        <v>3626</v>
      </c>
    </row>
    <row r="866" spans="1:11">
      <c r="A866" t="s">
        <v>3627</v>
      </c>
    </row>
    <row r="867" spans="1:11">
      <c r="A867" t="s">
        <v>3628</v>
      </c>
    </row>
    <row r="868" spans="1:11">
      <c r="A868" t="s">
        <v>3629</v>
      </c>
    </row>
    <row r="869" spans="1:11">
      <c r="A869" t="s">
        <v>3630</v>
      </c>
    </row>
    <row r="870" spans="1:11">
      <c r="A870" t="s">
        <v>3631</v>
      </c>
    </row>
    <row r="871" spans="1:11">
      <c r="A871" t="s">
        <v>3632</v>
      </c>
    </row>
    <row r="872" spans="1:11">
      <c r="A872" t="s">
        <v>3633</v>
      </c>
    </row>
    <row r="873" spans="1:11">
      <c r="A873" t="s">
        <v>3634</v>
      </c>
    </row>
    <row r="874" spans="1:11">
      <c r="A874" t="s">
        <v>3635</v>
      </c>
    </row>
    <row r="875" spans="1:11">
      <c r="A875" t="s">
        <v>3636</v>
      </c>
      <c r="K875" t="s">
        <v>3637</v>
      </c>
    </row>
    <row r="876" spans="1:11">
      <c r="A876" t="s">
        <v>3638</v>
      </c>
    </row>
    <row r="877" spans="1:11">
      <c r="A877" t="s">
        <v>3639</v>
      </c>
    </row>
    <row r="878" spans="1:11">
      <c r="A878" t="s">
        <v>3640</v>
      </c>
    </row>
    <row r="879" spans="1:11">
      <c r="A879" t="s">
        <v>3641</v>
      </c>
    </row>
    <row r="880" spans="1:11">
      <c r="A880" t="s">
        <v>3642</v>
      </c>
    </row>
    <row r="881" spans="1:1">
      <c r="A881" t="s">
        <v>3643</v>
      </c>
    </row>
    <row r="882" spans="1:1">
      <c r="A882" t="s">
        <v>3644</v>
      </c>
    </row>
    <row r="883" spans="1:1">
      <c r="A883" t="s">
        <v>3645</v>
      </c>
    </row>
    <row r="884" spans="1:1">
      <c r="A884" t="s">
        <v>3646</v>
      </c>
    </row>
    <row r="885" spans="1:1">
      <c r="A885" t="s">
        <v>3647</v>
      </c>
    </row>
    <row r="886" spans="1:1">
      <c r="A886" t="s">
        <v>3648</v>
      </c>
    </row>
    <row r="887" spans="1:1">
      <c r="A887" t="s">
        <v>3649</v>
      </c>
    </row>
    <row r="888" spans="1:1">
      <c r="A888" t="s">
        <v>3650</v>
      </c>
    </row>
    <row r="889" spans="1:1">
      <c r="A889" t="s">
        <v>3651</v>
      </c>
    </row>
    <row r="890" spans="1:1">
      <c r="A890" t="s">
        <v>3652</v>
      </c>
    </row>
    <row r="891" spans="1:1">
      <c r="A891" t="s">
        <v>3653</v>
      </c>
    </row>
    <row r="892" spans="1:1">
      <c r="A892" t="s">
        <v>3654</v>
      </c>
    </row>
    <row r="893" spans="1:1">
      <c r="A893" t="s">
        <v>3655</v>
      </c>
    </row>
    <row r="894" spans="1:1">
      <c r="A894" t="s">
        <v>3656</v>
      </c>
    </row>
    <row r="895" spans="1:1">
      <c r="A895" t="s">
        <v>3657</v>
      </c>
    </row>
    <row r="896" spans="1:1">
      <c r="A896" t="s">
        <v>3658</v>
      </c>
    </row>
    <row r="897" spans="1:1">
      <c r="A897" t="s">
        <v>3659</v>
      </c>
    </row>
    <row r="898" spans="1:1">
      <c r="A898" t="s">
        <v>3660</v>
      </c>
    </row>
    <row r="899" spans="1:1">
      <c r="A899" t="s">
        <v>3661</v>
      </c>
    </row>
    <row r="900" spans="1:1">
      <c r="A900" t="s">
        <v>3662</v>
      </c>
    </row>
    <row r="901" spans="1:1">
      <c r="A901" t="s">
        <v>3663</v>
      </c>
    </row>
    <row r="902" spans="1:1">
      <c r="A902" t="s">
        <v>3664</v>
      </c>
    </row>
    <row r="903" spans="1:1">
      <c r="A903" t="s">
        <v>3665</v>
      </c>
    </row>
    <row r="904" spans="1:1">
      <c r="A904" t="s">
        <v>3666</v>
      </c>
    </row>
    <row r="905" spans="1:1">
      <c r="A905" t="s">
        <v>3667</v>
      </c>
    </row>
    <row r="906" spans="1:1">
      <c r="A906" t="s">
        <v>3668</v>
      </c>
    </row>
    <row r="907" spans="1:1">
      <c r="A907" t="s">
        <v>3669</v>
      </c>
    </row>
    <row r="908" spans="1:1">
      <c r="A908" t="s">
        <v>3670</v>
      </c>
    </row>
    <row r="909" spans="1:1">
      <c r="A909" t="s">
        <v>3671</v>
      </c>
    </row>
    <row r="910" spans="1:1">
      <c r="A910" t="s">
        <v>3672</v>
      </c>
    </row>
    <row r="911" spans="1:1">
      <c r="A911" t="s">
        <v>3673</v>
      </c>
    </row>
    <row r="912" spans="1:1">
      <c r="A912" t="s">
        <v>3674</v>
      </c>
    </row>
    <row r="913" spans="1:1">
      <c r="A913" t="s">
        <v>3675</v>
      </c>
    </row>
    <row r="914" spans="1:1">
      <c r="A914" t="s">
        <v>3676</v>
      </c>
    </row>
    <row r="915" spans="1:1">
      <c r="A915" t="s">
        <v>3677</v>
      </c>
    </row>
    <row r="916" spans="1:1">
      <c r="A916" t="s">
        <v>3678</v>
      </c>
    </row>
    <row r="917" spans="1:1">
      <c r="A917" s="315" t="s">
        <v>3679</v>
      </c>
    </row>
    <row r="918" spans="1:1">
      <c r="A918" t="s">
        <v>3680</v>
      </c>
    </row>
    <row r="919" spans="1:1">
      <c r="A919" t="s">
        <v>3681</v>
      </c>
    </row>
    <row r="920" spans="1:1">
      <c r="A920" t="s">
        <v>3682</v>
      </c>
    </row>
    <row r="921" spans="1:1">
      <c r="A921" t="s">
        <v>3683</v>
      </c>
    </row>
    <row r="922" spans="1:1">
      <c r="A922" t="s">
        <v>3684</v>
      </c>
    </row>
    <row r="923" spans="1:1">
      <c r="A923" t="s">
        <v>3685</v>
      </c>
    </row>
    <row r="924" spans="1:1">
      <c r="A924" t="s">
        <v>3686</v>
      </c>
    </row>
    <row r="925" spans="1:1">
      <c r="A925" t="s">
        <v>3687</v>
      </c>
    </row>
    <row r="926" spans="1:1">
      <c r="A926" t="s">
        <v>3688</v>
      </c>
    </row>
    <row r="927" spans="1:1">
      <c r="A927" t="s">
        <v>3689</v>
      </c>
    </row>
    <row r="928" spans="1:1">
      <c r="A928" t="s">
        <v>3690</v>
      </c>
    </row>
    <row r="929" spans="1:1">
      <c r="A929" t="s">
        <v>3691</v>
      </c>
    </row>
    <row r="930" spans="1:1">
      <c r="A930" t="s">
        <v>3692</v>
      </c>
    </row>
    <row r="931" spans="1:1">
      <c r="A931" t="s">
        <v>3693</v>
      </c>
    </row>
    <row r="932" spans="1:1">
      <c r="A932" t="s">
        <v>3694</v>
      </c>
    </row>
    <row r="933" spans="1:1">
      <c r="A933" t="s">
        <v>3695</v>
      </c>
    </row>
    <row r="934" spans="1:1">
      <c r="A934" t="s">
        <v>3696</v>
      </c>
    </row>
    <row r="935" spans="1:1">
      <c r="A935" t="s">
        <v>3697</v>
      </c>
    </row>
    <row r="936" spans="1:1">
      <c r="A936" t="s">
        <v>3698</v>
      </c>
    </row>
    <row r="937" spans="1:1">
      <c r="A937" t="s">
        <v>3699</v>
      </c>
    </row>
    <row r="938" spans="1:1">
      <c r="A938" t="s">
        <v>3700</v>
      </c>
    </row>
    <row r="939" spans="1:1">
      <c r="A939" t="s">
        <v>3701</v>
      </c>
    </row>
    <row r="940" spans="1:1">
      <c r="A940" t="s">
        <v>3702</v>
      </c>
    </row>
    <row r="941" spans="1:1">
      <c r="A941" t="s">
        <v>3703</v>
      </c>
    </row>
    <row r="942" spans="1:1">
      <c r="A942" t="s">
        <v>3704</v>
      </c>
    </row>
    <row r="943" spans="1:1">
      <c r="A943" t="s">
        <v>3705</v>
      </c>
    </row>
    <row r="944" spans="1:1">
      <c r="A944" t="s">
        <v>3706</v>
      </c>
    </row>
    <row r="945" spans="1:1">
      <c r="A945" t="s">
        <v>3707</v>
      </c>
    </row>
    <row r="946" spans="1:1">
      <c r="A946" t="s">
        <v>3708</v>
      </c>
    </row>
    <row r="947" spans="1:1">
      <c r="A947" t="s">
        <v>3709</v>
      </c>
    </row>
    <row r="948" spans="1:1">
      <c r="A948" t="s">
        <v>3710</v>
      </c>
    </row>
    <row r="949" spans="1:1">
      <c r="A949" t="s">
        <v>3711</v>
      </c>
    </row>
    <row r="950" spans="1:1">
      <c r="A950" t="s">
        <v>3712</v>
      </c>
    </row>
    <row r="951" spans="1:1">
      <c r="A951" t="s">
        <v>3713</v>
      </c>
    </row>
    <row r="952" spans="1:1">
      <c r="A952" t="s">
        <v>3714</v>
      </c>
    </row>
    <row r="953" spans="1:1">
      <c r="A953" t="s">
        <v>3715</v>
      </c>
    </row>
    <row r="954" spans="1:1">
      <c r="A954" t="s">
        <v>3716</v>
      </c>
    </row>
    <row r="955" spans="1:1">
      <c r="A955" t="s">
        <v>3717</v>
      </c>
    </row>
    <row r="956" spans="1:1">
      <c r="A956" t="s">
        <v>3718</v>
      </c>
    </row>
    <row r="957" spans="1:1">
      <c r="A957" t="s">
        <v>3719</v>
      </c>
    </row>
    <row r="958" spans="1:1">
      <c r="A958" t="s">
        <v>3720</v>
      </c>
    </row>
    <row r="959" spans="1:1">
      <c r="A959" t="s">
        <v>3721</v>
      </c>
    </row>
    <row r="960" spans="1:1">
      <c r="A960" t="s">
        <v>3722</v>
      </c>
    </row>
    <row r="961" spans="1:1">
      <c r="A961" t="s">
        <v>3723</v>
      </c>
    </row>
    <row r="962" spans="1:1">
      <c r="A962" t="s">
        <v>3724</v>
      </c>
    </row>
    <row r="963" spans="1:1">
      <c r="A963" t="s">
        <v>3725</v>
      </c>
    </row>
    <row r="964" spans="1:1">
      <c r="A964" t="s">
        <v>3726</v>
      </c>
    </row>
    <row r="965" spans="1:1">
      <c r="A965" t="s">
        <v>3727</v>
      </c>
    </row>
    <row r="966" spans="1:1">
      <c r="A966" t="s">
        <v>3728</v>
      </c>
    </row>
    <row r="967" spans="1:1">
      <c r="A967" t="s">
        <v>3729</v>
      </c>
    </row>
    <row r="968" spans="1:1">
      <c r="A968" t="s">
        <v>3730</v>
      </c>
    </row>
    <row r="969" spans="1:1">
      <c r="A969" t="s">
        <v>3731</v>
      </c>
    </row>
    <row r="970" spans="1:1">
      <c r="A970" t="s">
        <v>3732</v>
      </c>
    </row>
    <row r="971" spans="1:1">
      <c r="A971" t="s">
        <v>3733</v>
      </c>
    </row>
    <row r="972" spans="1:1">
      <c r="A972" t="s">
        <v>3734</v>
      </c>
    </row>
    <row r="973" spans="1:1">
      <c r="A973" t="s">
        <v>3735</v>
      </c>
    </row>
    <row r="974" spans="1:1">
      <c r="A974" s="315" t="s">
        <v>3736</v>
      </c>
    </row>
    <row r="975" spans="1:1">
      <c r="A975" s="315" t="s">
        <v>3737</v>
      </c>
    </row>
    <row r="976" spans="1:1">
      <c r="A976" t="s">
        <v>3738</v>
      </c>
    </row>
    <row r="977" spans="1:1">
      <c r="A977" t="s">
        <v>3739</v>
      </c>
    </row>
    <row r="978" spans="1:1">
      <c r="A978" t="s">
        <v>3740</v>
      </c>
    </row>
    <row r="979" spans="1:1">
      <c r="A979" t="s">
        <v>3741</v>
      </c>
    </row>
    <row r="980" spans="1:1">
      <c r="A980" t="s">
        <v>3742</v>
      </c>
    </row>
    <row r="981" spans="1:1">
      <c r="A981" t="s">
        <v>3743</v>
      </c>
    </row>
    <row r="982" spans="1:1">
      <c r="A982" t="s">
        <v>3744</v>
      </c>
    </row>
    <row r="983" spans="1:1">
      <c r="A983" t="s">
        <v>3745</v>
      </c>
    </row>
    <row r="984" spans="1:1">
      <c r="A984" t="s">
        <v>3746</v>
      </c>
    </row>
    <row r="985" spans="1:1">
      <c r="A985" t="s">
        <v>3747</v>
      </c>
    </row>
    <row r="986" spans="1:1">
      <c r="A986" t="s">
        <v>3748</v>
      </c>
    </row>
    <row r="987" spans="1:1">
      <c r="A987" t="s">
        <v>3749</v>
      </c>
    </row>
    <row r="988" spans="1:1">
      <c r="A988" t="s">
        <v>3750</v>
      </c>
    </row>
    <row r="989" spans="1:1">
      <c r="A989" t="s">
        <v>3751</v>
      </c>
    </row>
    <row r="990" spans="1:1">
      <c r="A990" t="s">
        <v>3752</v>
      </c>
    </row>
    <row r="991" spans="1:1">
      <c r="A991" t="s">
        <v>3753</v>
      </c>
    </row>
    <row r="992" spans="1:1">
      <c r="A992" t="s">
        <v>3754</v>
      </c>
    </row>
    <row r="993" spans="1:1">
      <c r="A993" t="s">
        <v>3755</v>
      </c>
    </row>
    <row r="994" spans="1:1">
      <c r="A994" t="s">
        <v>3756</v>
      </c>
    </row>
    <row r="995" spans="1:1">
      <c r="A995" t="s">
        <v>3757</v>
      </c>
    </row>
    <row r="996" spans="1:1">
      <c r="A996" t="s">
        <v>3758</v>
      </c>
    </row>
    <row r="997" spans="1:1">
      <c r="A997" t="s">
        <v>3759</v>
      </c>
    </row>
    <row r="998" spans="1:1">
      <c r="A998" t="s">
        <v>3760</v>
      </c>
    </row>
    <row r="999" spans="1:1">
      <c r="A999" t="s">
        <v>3761</v>
      </c>
    </row>
    <row r="1000" spans="1:1">
      <c r="A1000" t="s">
        <v>3762</v>
      </c>
    </row>
    <row r="1001" spans="1:1">
      <c r="A1001" t="s">
        <v>3763</v>
      </c>
    </row>
    <row r="1002" spans="1:1">
      <c r="A1002" t="s">
        <v>3764</v>
      </c>
    </row>
    <row r="1003" spans="1:1">
      <c r="A1003" t="s">
        <v>3765</v>
      </c>
    </row>
    <row r="1004" spans="1:1">
      <c r="A1004" t="s">
        <v>3766</v>
      </c>
    </row>
    <row r="1005" spans="1:1" ht="16.5" customHeight="1">
      <c r="A1005" s="317" t="s">
        <v>3767</v>
      </c>
    </row>
    <row r="1006" spans="1:1">
      <c r="A1006" t="s">
        <v>3768</v>
      </c>
    </row>
    <row r="1007" spans="1:1">
      <c r="A1007" t="s">
        <v>3769</v>
      </c>
    </row>
    <row r="1008" spans="1:1">
      <c r="A1008" t="s">
        <v>3770</v>
      </c>
    </row>
    <row r="1009" spans="1:1">
      <c r="A1009" t="s">
        <v>3771</v>
      </c>
    </row>
    <row r="1010" spans="1:1">
      <c r="A1010" t="s">
        <v>3772</v>
      </c>
    </row>
    <row r="1011" spans="1:1">
      <c r="A1011" t="s">
        <v>3773</v>
      </c>
    </row>
    <row r="1012" spans="1:1">
      <c r="A1012" t="s">
        <v>3774</v>
      </c>
    </row>
    <row r="1013" spans="1:1">
      <c r="A1013" t="s">
        <v>3775</v>
      </c>
    </row>
    <row r="1014" spans="1:1">
      <c r="A1014" t="s">
        <v>3776</v>
      </c>
    </row>
    <row r="1015" spans="1:1">
      <c r="A1015" t="s">
        <v>3777</v>
      </c>
    </row>
    <row r="1016" spans="1:1">
      <c r="A1016" t="s">
        <v>3778</v>
      </c>
    </row>
    <row r="1017" spans="1:1">
      <c r="A1017" t="s">
        <v>3779</v>
      </c>
    </row>
    <row r="1018" spans="1:1">
      <c r="A1018" t="s">
        <v>3780</v>
      </c>
    </row>
    <row r="1019" spans="1:1">
      <c r="A1019" t="s">
        <v>3781</v>
      </c>
    </row>
    <row r="1020" spans="1:1">
      <c r="A1020" t="s">
        <v>3782</v>
      </c>
    </row>
    <row r="1021" spans="1:1">
      <c r="A1021" t="s">
        <v>3783</v>
      </c>
    </row>
    <row r="1022" spans="1:1">
      <c r="A1022" t="s">
        <v>3784</v>
      </c>
    </row>
    <row r="1023" spans="1:1">
      <c r="A1023" t="s">
        <v>3785</v>
      </c>
    </row>
    <row r="1024" spans="1:1">
      <c r="A1024" t="s">
        <v>3786</v>
      </c>
    </row>
    <row r="1025" spans="1:1">
      <c r="A1025" t="s">
        <v>3787</v>
      </c>
    </row>
    <row r="1026" spans="1:1">
      <c r="A1026" t="s">
        <v>3788</v>
      </c>
    </row>
    <row r="1027" spans="1:1">
      <c r="A1027" t="s">
        <v>3789</v>
      </c>
    </row>
  </sheetData>
  <sheetProtection algorithmName="SHA-512" hashValue="G8FDNnbivnlBSWXxArI1q5B9e0mri/io2+7ohj0Yhf+IVnvJdec97koFjqjO9866ocNMcKUIVv35X80OWphTzQ==" saltValue="wvLSwu0voyCQuKpE3cOYEQ==" spinCount="100000" sheet="1" objects="1" scenarios="1"/>
  <mergeCells count="1">
    <mergeCell ref="A760:M760"/>
  </mergeCells>
  <phoneticPr fontId="91" type="noConversion"/>
  <pageMargins left="0.7" right="0.7" top="0.75" bottom="0.75" header="0.3" footer="0.3"/>
  <pageSetup orientation="portrait" r:id="rId1"/>
  <legacyDrawing r:id="rId2"/>
  <tableParts count="5">
    <tablePart r:id="rId3"/>
    <tablePart r:id="rId4"/>
    <tablePart r:id="rId5"/>
    <tablePart r:id="rId6"/>
    <tablePart r:id="rId7"/>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1"/>
  </sheetPr>
  <dimension ref="A1:S3547"/>
  <sheetViews>
    <sheetView zoomScaleNormal="100" workbookViewId="0"/>
  </sheetViews>
  <sheetFormatPr defaultRowHeight="15"/>
  <cols>
    <col min="1" max="1" width="94.5703125" customWidth="1"/>
    <col min="3" max="3" width="52" customWidth="1"/>
    <col min="4" max="4" width="13" customWidth="1"/>
    <col min="5" max="5" width="26.85546875" customWidth="1"/>
    <col min="6" max="6" width="103.28515625" customWidth="1"/>
    <col min="7" max="7" width="52" customWidth="1"/>
    <col min="8" max="8" width="42" customWidth="1"/>
    <col min="13" max="13" width="12.7109375" customWidth="1"/>
  </cols>
  <sheetData>
    <row r="1" spans="1:13">
      <c r="A1" s="99"/>
      <c r="B1" s="99"/>
      <c r="C1" s="99"/>
      <c r="D1" s="99"/>
      <c r="E1" s="99"/>
      <c r="F1" s="99"/>
      <c r="G1" s="99"/>
      <c r="H1" s="71"/>
      <c r="I1" s="71"/>
      <c r="J1" s="71"/>
      <c r="K1" s="71"/>
      <c r="L1" s="71"/>
      <c r="M1" s="71"/>
    </row>
    <row r="2" spans="1:13">
      <c r="A2" s="19" t="s">
        <v>3790</v>
      </c>
      <c r="B2" s="19"/>
      <c r="C2" s="19"/>
      <c r="D2" s="19"/>
      <c r="E2" s="19"/>
      <c r="F2" s="19"/>
      <c r="G2" s="19"/>
      <c r="H2" s="19"/>
      <c r="I2" s="19"/>
      <c r="J2" s="19"/>
    </row>
    <row r="3" spans="1:13">
      <c r="A3" s="22" t="s">
        <v>90</v>
      </c>
      <c r="F3" s="49" t="s">
        <v>3791</v>
      </c>
    </row>
    <row r="4" spans="1:13">
      <c r="A4" s="53" t="s">
        <v>3792</v>
      </c>
      <c r="B4" s="53" t="s">
        <v>3793</v>
      </c>
      <c r="C4" s="53" t="s">
        <v>3794</v>
      </c>
      <c r="D4" s="53" t="s">
        <v>3795</v>
      </c>
      <c r="E4" s="53" t="s">
        <v>3796</v>
      </c>
      <c r="F4" s="53" t="s">
        <v>3797</v>
      </c>
      <c r="G4" s="54" t="s">
        <v>3798</v>
      </c>
      <c r="H4" s="53"/>
      <c r="I4" s="53"/>
      <c r="J4" s="53"/>
      <c r="K4" s="53"/>
    </row>
    <row r="5" spans="1:13" ht="15" customHeight="1">
      <c r="A5" t="str">
        <f ca="1">IF(E5="",F5, "")</f>
        <v xml:space="preserve">Enter a date for 'Application Date' in cell B4 between 01/01/2024 and 11/30/2025.
</v>
      </c>
      <c r="B5">
        <f>ROW(Application!A4)</f>
        <v>4</v>
      </c>
      <c r="C5" t="str">
        <f t="shared" ref="C5:C52" ca="1" si="0">INDIRECT($F$3 &amp; ADDRESS(B5, 1,4  ))</f>
        <v>Application Date</v>
      </c>
      <c r="D5" t="str">
        <f t="shared" ref="D5:D15" si="1">ADDRESS(B5, 2,4  )</f>
        <v>B4</v>
      </c>
      <c r="E5" t="str">
        <f t="shared" ref="E5:E52" ca="1" si="2">IF(ISBLANK( INDIRECT($F$3 &amp; D5)),"", INDIRECT($F$3 &amp; D5))</f>
        <v/>
      </c>
      <c r="F5" t="str">
        <f ca="1">CONCATENATE("Enter a date for '", C5, "' in cell ", D5, " between ", TEXT(Admin!B2,"mm/dd/yyyy")," and ", TEXT(Admin!B3,"mm/dd/yyyy"), ".", CHAR(10))</f>
        <v xml:space="preserve">Enter a date for 'Application Date' in cell B4 between 01/01/2024 and 11/30/2025.
</v>
      </c>
      <c r="G5" s="9" t="str">
        <f ca="1">A5</f>
        <v xml:space="preserve">Enter a date for 'Application Date' in cell B4 between 01/01/2024 and 11/30/2025.
</v>
      </c>
    </row>
    <row r="6" spans="1:13" ht="15" customHeight="1">
      <c r="A6" t="str">
        <f ca="1">IF(E6="",F6, "")</f>
        <v xml:space="preserve">Select a value for 'Application Stage' in cell B6.
</v>
      </c>
      <c r="B6">
        <f>ROW(Application!A6)</f>
        <v>6</v>
      </c>
      <c r="C6" t="str">
        <f t="shared" ca="1" si="0"/>
        <v>Application Stage</v>
      </c>
      <c r="D6" t="str">
        <f t="shared" si="1"/>
        <v>B6</v>
      </c>
      <c r="E6" t="str">
        <f t="shared" ca="1" si="2"/>
        <v/>
      </c>
      <c r="F6" t="str">
        <f ca="1">CONCATENATE("Select a value for '", C6, "' in cell ", D6, ".", CHAR(10))</f>
        <v xml:space="preserve">Select a value for 'Application Stage' in cell B6.
</v>
      </c>
      <c r="G6" s="9" t="str">
        <f t="shared" ref="G6:G53" ca="1" si="3">OFFSET(G6, -1, 0) &amp; A6</f>
        <v xml:space="preserve">Enter a date for 'Application Date' in cell B4 between 01/01/2024 and 11/30/2025.
Select a value for 'Application Stage' in cell B6.
</v>
      </c>
    </row>
    <row r="7" spans="1:13" ht="15" customHeight="1">
      <c r="A7" t="str">
        <f ca="1">IF(E7="",F7, "")</f>
        <v xml:space="preserve">Select a value for 'Is Supplemental Credit being requested?' in cell B7.
</v>
      </c>
      <c r="B7">
        <f>ROW(Application!A7)</f>
        <v>7</v>
      </c>
      <c r="C7" t="str">
        <f t="shared" ca="1" si="0"/>
        <v>Is Supplemental Credit being requested?</v>
      </c>
      <c r="D7" t="str">
        <f t="shared" si="1"/>
        <v>B7</v>
      </c>
      <c r="E7" t="str">
        <f t="shared" ca="1" si="2"/>
        <v/>
      </c>
      <c r="F7" t="str">
        <f ca="1">CONCATENATE("Select a value for '", C7, "' in cell ", D7, ".", CHAR(10))</f>
        <v xml:space="preserve">Select a value for 'Is Supplemental Credit being requested?' in cell B7.
</v>
      </c>
      <c r="G7" s="9" t="str">
        <f t="shared" ca="1" si="3"/>
        <v xml:space="preserve">Enter a date for 'Application Date' in cell B4 between 01/01/2024 and 11/30/2025.
Select a value for 'Application Stage' in cell B6.
Select a value for 'Is Supplemental Credit being requested?' in cell B7.
</v>
      </c>
      <c r="L7" s="16" t="s">
        <v>3799</v>
      </c>
    </row>
    <row r="8" spans="1:13" ht="15" customHeight="1">
      <c r="A8" s="52" t="str">
        <f ca="1">IF(AND(NOT(Calculations!B2), E8="N/A"),F8, "")</f>
        <v/>
      </c>
      <c r="B8">
        <f>ROW(Application!A7)</f>
        <v>7</v>
      </c>
      <c r="C8" t="str">
        <f t="shared" ca="1" si="0"/>
        <v>Is Supplemental Credit being requested?</v>
      </c>
      <c r="D8" t="str">
        <f t="shared" si="1"/>
        <v>B7</v>
      </c>
      <c r="E8" t="str">
        <f t="shared" ca="1" si="2"/>
        <v/>
      </c>
      <c r="F8" t="str">
        <f ca="1">CONCATENATE("Select Yes or No for '", C8, "' in cell ", D8, ".", CHAR(10))</f>
        <v xml:space="preserve">Select Yes or No for 'Is Supplemental Credit being requested?' in cell B7.
</v>
      </c>
      <c r="G8" s="9" t="str">
        <f t="shared" ca="1" si="3"/>
        <v xml:space="preserve">Enter a date for 'Application Date' in cell B4 between 01/01/2024 and 11/30/2025.
Select a value for 'Application Stage' in cell B6.
Select a value for 'Is Supplemental Credit being requested?' in cell B7.
</v>
      </c>
    </row>
    <row r="9" spans="1:13" ht="15" customHeight="1">
      <c r="A9" t="str">
        <f ca="1">IF(E9="",F9, "")</f>
        <v xml:space="preserve">Select a value for 'Are you requesting a CHFA DDA Basis Boost? ' in cell B8.
</v>
      </c>
      <c r="B9">
        <f>ROW(Application!A8)</f>
        <v>8</v>
      </c>
      <c r="C9" t="str">
        <f t="shared" ca="1" si="0"/>
        <v xml:space="preserve">Are you requesting a CHFA DDA Basis Boost? </v>
      </c>
      <c r="D9" t="str">
        <f t="shared" si="1"/>
        <v>B8</v>
      </c>
      <c r="E9" t="str">
        <f t="shared" ca="1" si="2"/>
        <v/>
      </c>
      <c r="F9" t="str">
        <f ca="1">CONCATENATE("Select a value for '", C9, "' in cell ", D9, ".", CHAR(10))</f>
        <v xml:space="preserve">Select a value for 'Are you requesting a CHFA DDA Basis Boost? ' in cell B8.
</v>
      </c>
      <c r="G9"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v>
      </c>
    </row>
    <row r="10" spans="1:13" ht="15" customHeight="1">
      <c r="A10" s="52" t="str">
        <f ca="1">IF(AND(E10= "Yes", NOT(Calculations!B6)), F10, "")</f>
        <v/>
      </c>
      <c r="B10">
        <f>ROW(Application!A8)</f>
        <v>8</v>
      </c>
      <c r="C10" t="str">
        <f t="shared" ca="1" si="0"/>
        <v xml:space="preserve">Are you requesting a CHFA DDA Basis Boost? </v>
      </c>
      <c r="D10" t="str">
        <f t="shared" si="1"/>
        <v>B8</v>
      </c>
      <c r="E10" t="str">
        <f t="shared" ca="1" si="2"/>
        <v/>
      </c>
      <c r="F10" t="str">
        <f>CONCATENATE("4% Non-Competitive is not eligible for a CHFA DDA Boost (cell ", D10, ").", CHAR(10))</f>
        <v xml:space="preserve">4% Non-Competitive is not eligible for a CHFA DDA Boost (cell B8).
</v>
      </c>
      <c r="G10"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v>
      </c>
    </row>
    <row r="11" spans="1:13" ht="15" customHeight="1">
      <c r="A11" s="52" t="str">
        <f>IF(AND(Calculations!B21, Calculations!B22), F11, "")</f>
        <v/>
      </c>
      <c r="B11">
        <f>ROW(Application!A8)</f>
        <v>8</v>
      </c>
      <c r="C11" t="str">
        <f t="shared" ca="1" si="0"/>
        <v xml:space="preserve">Are you requesting a CHFA DDA Basis Boost? </v>
      </c>
      <c r="D11" t="str">
        <f t="shared" si="1"/>
        <v>B8</v>
      </c>
      <c r="E11" t="str">
        <f t="shared" ca="1" si="2"/>
        <v/>
      </c>
      <c r="F11" t="str">
        <f>CONCATENATE("Project is not eligible for a CHFA DDA Boost (cell ", D11, ") since it is already QCT Eligible.", CHAR(10))</f>
        <v xml:space="preserve">Project is not eligible for a CHFA DDA Boost (cell B8) since it is already QCT Eligible.
</v>
      </c>
      <c r="G11"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v>
      </c>
    </row>
    <row r="12" spans="1:13" ht="15" customHeight="1">
      <c r="A12" t="str">
        <f t="shared" ref="A12:A18" ca="1" si="4">IF(E12="",F12, "")</f>
        <v xml:space="preserve">Select a value for 'Identity of Interest' in cell B9.
</v>
      </c>
      <c r="B12">
        <f>ROW(Application!A9)</f>
        <v>9</v>
      </c>
      <c r="C12" t="str">
        <f t="shared" ref="C12" ca="1" si="5">INDIRECT($F$3 &amp; ADDRESS(B12, 1,4  ))</f>
        <v>Identity of Interest</v>
      </c>
      <c r="D12" t="str">
        <f t="shared" ref="D12" si="6">ADDRESS(B12, 2,4  )</f>
        <v>B9</v>
      </c>
      <c r="E12" t="str">
        <f t="shared" ref="E12" ca="1" si="7">IF(ISBLANK( INDIRECT($F$3 &amp; D12)),"", INDIRECT($F$3 &amp; D12))</f>
        <v/>
      </c>
      <c r="F12" t="str">
        <f t="shared" ref="F12:F21" ca="1" si="8">CONCATENATE("Select a value for '", C12, "' in cell ", D12, ".", CHAR(10))</f>
        <v xml:space="preserve">Select a value for 'Identity of Interest' in cell B9.
</v>
      </c>
      <c r="G12" s="9" t="str">
        <f t="shared" ref="G12" ca="1" si="9">OFFSET(G12, -1, 0) &amp; A12</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v>
      </c>
    </row>
    <row r="13" spans="1:13" ht="15" customHeight="1">
      <c r="A13" t="str">
        <f t="shared" ca="1" si="4"/>
        <v xml:space="preserve">Select a value for 'Type Of Tax Credit' in cell B10.
</v>
      </c>
      <c r="B13">
        <f>ROW(Application!A10)</f>
        <v>10</v>
      </c>
      <c r="C13" t="str">
        <f t="shared" ca="1" si="0"/>
        <v>Type Of Tax Credit</v>
      </c>
      <c r="D13" t="str">
        <f t="shared" si="1"/>
        <v>B10</v>
      </c>
      <c r="E13" t="str">
        <f t="shared" ca="1" si="2"/>
        <v/>
      </c>
      <c r="F13" t="str">
        <f t="shared" ca="1" si="8"/>
        <v xml:space="preserve">Select a value for 'Type Of Tax Credit' in cell B10.
</v>
      </c>
      <c r="G13"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v>
      </c>
    </row>
    <row r="14" spans="1:13" ht="15" customHeight="1">
      <c r="A14" t="str">
        <f t="shared" ca="1" si="4"/>
        <v xml:space="preserve">Select a value for 'TOC Credit?' in cell B12.
</v>
      </c>
      <c r="B14">
        <v>12</v>
      </c>
      <c r="C14" t="str">
        <f t="shared" ca="1" si="0"/>
        <v>TOC Credit?</v>
      </c>
      <c r="D14" t="str">
        <f t="shared" si="1"/>
        <v>B12</v>
      </c>
      <c r="E14" t="str">
        <f t="shared" ca="1" si="2"/>
        <v/>
      </c>
      <c r="F14" t="str">
        <f t="shared" ca="1" si="8"/>
        <v xml:space="preserve">Select a value for 'TOC Credit?' in cell B12.
</v>
      </c>
      <c r="G14"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v>
      </c>
    </row>
    <row r="15" spans="1:13" ht="15" customHeight="1">
      <c r="A15" t="str">
        <f t="shared" ca="1" si="4"/>
        <v xml:space="preserve">Select a value for 'Project Type' in cell B13.
</v>
      </c>
      <c r="B15">
        <f>ROW(Application!A13)</f>
        <v>13</v>
      </c>
      <c r="C15" t="str">
        <f t="shared" ca="1" si="0"/>
        <v>Project Type</v>
      </c>
      <c r="D15" t="str">
        <f t="shared" si="1"/>
        <v>B13</v>
      </c>
      <c r="E15" t="str">
        <f t="shared" ca="1" si="2"/>
        <v/>
      </c>
      <c r="F15" t="str">
        <f t="shared" ca="1" si="8"/>
        <v xml:space="preserve">Select a value for 'Project Type' in cell B13.
</v>
      </c>
      <c r="G15"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v>
      </c>
    </row>
    <row r="16" spans="1:13" ht="15" customHeight="1">
      <c r="A16" t="str">
        <f t="shared" ca="1" si="4"/>
        <v xml:space="preserve">Select a value for 'Is this an existing LIHTC property' in cell B14.
</v>
      </c>
      <c r="B16">
        <f>ROW(Application!A14)</f>
        <v>14</v>
      </c>
      <c r="C16" t="str">
        <f t="shared" ca="1" si="0"/>
        <v>Is this an existing LIHTC property</v>
      </c>
      <c r="D16" t="str">
        <f>ADDRESS(B16, 2, 4)</f>
        <v>B14</v>
      </c>
      <c r="E16" t="str">
        <f t="shared" ca="1" si="2"/>
        <v/>
      </c>
      <c r="F16" t="str">
        <f t="shared" ca="1" si="8"/>
        <v xml:space="preserve">Select a value for 'Is this an existing LIHTC property' in cell B14.
</v>
      </c>
      <c r="G16"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v>
      </c>
    </row>
    <row r="17" spans="1:8" ht="15" customHeight="1">
      <c r="A17" t="str">
        <f t="shared" ca="1" si="4"/>
        <v xml:space="preserve">Select a value for 'Locking Applicable Percentage?' in cell B15.
</v>
      </c>
      <c r="B17">
        <f>ROW(Application!A15)</f>
        <v>15</v>
      </c>
      <c r="C17" t="str">
        <f t="shared" ca="1" si="0"/>
        <v>Locking Applicable Percentage?</v>
      </c>
      <c r="D17" t="str">
        <f t="shared" ref="D17:D52" si="10">ADDRESS(B17, 2,4  )</f>
        <v>B15</v>
      </c>
      <c r="E17" t="str">
        <f t="shared" ca="1" si="2"/>
        <v/>
      </c>
      <c r="F17" t="str">
        <f t="shared" ca="1" si="8"/>
        <v xml:space="preserve">Select a value for 'Locking Applicable Percentage?' in cell B15.
</v>
      </c>
      <c r="G17"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v>
      </c>
    </row>
    <row r="18" spans="1:8" ht="15" customHeight="1">
      <c r="A18" t="str">
        <f t="shared" ca="1" si="4"/>
        <v xml:space="preserve">Select a value for 'Federal Equity Factor' in cell B16.
</v>
      </c>
      <c r="B18">
        <f>ROW(Application!A16)</f>
        <v>16</v>
      </c>
      <c r="C18" t="str">
        <f t="shared" ca="1" si="0"/>
        <v>Federal Equity Factor</v>
      </c>
      <c r="D18" t="str">
        <f t="shared" si="10"/>
        <v>B16</v>
      </c>
      <c r="E18" t="str">
        <f t="shared" ca="1" si="2"/>
        <v/>
      </c>
      <c r="F18" t="str">
        <f t="shared" ca="1" si="8"/>
        <v xml:space="preserve">Select a value for 'Federal Equity Factor' in cell B16.
</v>
      </c>
      <c r="G18"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19" spans="1:8" ht="15" customHeight="1">
      <c r="A19" t="str">
        <f ca="1">IF(AND(Calculations!B10, E19=""),F19, "")</f>
        <v/>
      </c>
      <c r="B19">
        <f>ROW(Application!A17)</f>
        <v>17</v>
      </c>
      <c r="C19" t="str">
        <f t="shared" ca="1" si="0"/>
        <v>State Equity Factor</v>
      </c>
      <c r="D19" t="str">
        <f t="shared" si="10"/>
        <v>B17</v>
      </c>
      <c r="E19" t="str">
        <f t="shared" ca="1" si="2"/>
        <v/>
      </c>
      <c r="F19" t="str">
        <f t="shared" ca="1" si="8"/>
        <v xml:space="preserve">Select a value for 'State Equity Factor' in cell B17.
</v>
      </c>
      <c r="G19"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0" spans="1:8" ht="15" customHeight="1">
      <c r="A20" t="str">
        <f ca="1">IF(AND(H20, OR(E20="", E20=0)),F20, "")</f>
        <v/>
      </c>
      <c r="B20">
        <f>ROW(Application!A18)</f>
        <v>18</v>
      </c>
      <c r="C20" t="str">
        <f t="shared" ref="C20" ca="1" si="11">INDIRECT($F$3 &amp; ADDRESS(B20, 1,4  ))</f>
        <v>TOC Credit Equity Factor</v>
      </c>
      <c r="D20" t="str">
        <f t="shared" ref="D20" si="12">ADDRESS(B20, 2,4  )</f>
        <v>B18</v>
      </c>
      <c r="E20" t="str">
        <f t="shared" ref="E20" ca="1" si="13">IF(ISBLANK( INDIRECT($F$3 &amp; D20)),"", INDIRECT($F$3 &amp; D20))</f>
        <v/>
      </c>
      <c r="F20" t="str">
        <f t="shared" ref="F20" ca="1" si="14">CONCATENATE("Select a value for '", C20, "' in cell ", D20, ".", CHAR(10))</f>
        <v xml:space="preserve">Select a value for 'TOC Credit Equity Factor' in cell B18.
</v>
      </c>
      <c r="G20" s="9" t="str">
        <f t="shared" ref="G20" ca="1" si="15">OFFSET(G20, -1, 0) &amp; A20</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c r="H20" t="b">
        <f>Application!B12 = "Yes"</f>
        <v>0</v>
      </c>
    </row>
    <row r="21" spans="1:8" ht="15" customHeight="1">
      <c r="A21" t="str">
        <f ca="1">IF(AND(Calculations!B5, E21=""),F21, "")</f>
        <v/>
      </c>
      <c r="B21">
        <f>ROW(Application!A21)</f>
        <v>21</v>
      </c>
      <c r="C21" t="str">
        <f t="shared" ca="1" si="0"/>
        <v>Acquisition 4% Applicable Percentage Rates (APR)</v>
      </c>
      <c r="D21" t="str">
        <f t="shared" si="10"/>
        <v>B21</v>
      </c>
      <c r="E21">
        <f t="shared" ca="1" si="2"/>
        <v>0.04</v>
      </c>
      <c r="F21" t="str">
        <f t="shared" ca="1" si="8"/>
        <v xml:space="preserve">Select a value for 'Acquisition 4% Applicable Percentage Rates (APR)' in cell B21.
</v>
      </c>
      <c r="G21"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2" spans="1:8" ht="15" customHeight="1">
      <c r="A22" s="52" t="str">
        <f ca="1">IF(AND(Calculations!B5, E22 &gt; 0.04), F22, "")</f>
        <v/>
      </c>
      <c r="B22">
        <f>ROW(Application!A21)</f>
        <v>21</v>
      </c>
      <c r="C22" t="str">
        <f t="shared" ca="1" si="0"/>
        <v>Acquisition 4% Applicable Percentage Rates (APR)</v>
      </c>
      <c r="D22" t="str">
        <f t="shared" si="10"/>
        <v>B21</v>
      </c>
      <c r="E22">
        <f t="shared" ca="1" si="2"/>
        <v>0.04</v>
      </c>
      <c r="F22" t="str">
        <f ca="1">CONCATENATE("The value for '", C22, "' in cell ", D22, " must be 4% or less for the type of tax credit selected.", CHAR(10))</f>
        <v xml:space="preserve">The value for 'Acquisition 4% Applicable Percentage Rates (APR)' in cell B21 must be 4% or less for the type of tax credit selected.
</v>
      </c>
      <c r="G22"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c r="H22" t="s">
        <v>3800</v>
      </c>
    </row>
    <row r="23" spans="1:8" ht="15" customHeight="1">
      <c r="A23" t="str">
        <f ca="1">IF(AND(OR(Calculations!$B$3,Calculations!$B$4),E23=""),F23, "")</f>
        <v/>
      </c>
      <c r="B23">
        <f>ROW(Application!A24)</f>
        <v>24</v>
      </c>
      <c r="C23" t="str">
        <f t="shared" ca="1" si="0"/>
        <v>Lock-in gross rent floor</v>
      </c>
      <c r="D23" t="str">
        <f t="shared" si="10"/>
        <v>B24</v>
      </c>
      <c r="E23" t="str">
        <f t="shared" ca="1" si="2"/>
        <v/>
      </c>
      <c r="F23" t="str">
        <f ca="1">CONCATENATE("Select a value for '", C23, "' in cell ", D23, ".", CHAR(10))</f>
        <v xml:space="preserve">Select a value for 'Lock-in gross rent floor' in cell B24.
</v>
      </c>
      <c r="G23"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4" spans="1:8" ht="15" customHeight="1">
      <c r="A24" t="str">
        <f ca="1">IF(AND(E24="",E23="Yes"),F24, "")</f>
        <v/>
      </c>
      <c r="B24">
        <f>ROW(Application!A25)</f>
        <v>25</v>
      </c>
      <c r="C24" t="str">
        <f t="shared" ca="1" si="0"/>
        <v>Lock-in gross rent floor Date</v>
      </c>
      <c r="D24" t="str">
        <f t="shared" si="10"/>
        <v>B25</v>
      </c>
      <c r="E24" t="str">
        <f t="shared" ca="1" si="2"/>
        <v/>
      </c>
      <c r="F24" t="str">
        <f ca="1">CONCATENATE("Enter a date for '", C24, "' in cell ", D24, ".", CHAR(10))</f>
        <v xml:space="preserve">Enter a date for 'Lock-in gross rent floor Date' in cell B25.
</v>
      </c>
      <c r="G24"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5" spans="1:8" ht="15" customHeight="1">
      <c r="A25" t="str">
        <f ca="1">IF(AND(Calculations!$B$4,E25=""),F25, "")</f>
        <v/>
      </c>
      <c r="B25">
        <f>ROW(Application!A26)</f>
        <v>26</v>
      </c>
      <c r="C25" t="str">
        <f t="shared" ca="1" si="0"/>
        <v>Enter Last Building Placed in Service Date</v>
      </c>
      <c r="D25" t="str">
        <f t="shared" si="10"/>
        <v>B26</v>
      </c>
      <c r="E25" t="str">
        <f t="shared" ca="1" si="2"/>
        <v/>
      </c>
      <c r="F25" t="str">
        <f t="shared" ref="F25:F52" ca="1" si="16">CONCATENATE("Enter a value for '", C25, "' in cell ", D25, ".", CHAR(10))</f>
        <v xml:space="preserve">Enter a value for 'Enter Last Building Placed in Service Date' in cell B26.
</v>
      </c>
      <c r="G25"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6" spans="1:8" ht="15" customHeight="1">
      <c r="A26" t="str">
        <f t="shared" ref="A26:A52" ca="1" si="17">IF(E26="",F26, "")</f>
        <v xml:space="preserve">Enter a value for 'Name' in cell B29.
</v>
      </c>
      <c r="B26">
        <f>ROW(Application!A29)</f>
        <v>29</v>
      </c>
      <c r="C26" t="str">
        <f t="shared" ca="1" si="0"/>
        <v>Name</v>
      </c>
      <c r="D26" t="str">
        <f t="shared" si="10"/>
        <v>B29</v>
      </c>
      <c r="E26" t="str">
        <f t="shared" ca="1" si="2"/>
        <v/>
      </c>
      <c r="F26" t="str">
        <f t="shared" ca="1" si="16"/>
        <v xml:space="preserve">Enter a value for 'Name' in cell B29.
</v>
      </c>
      <c r="G26"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v>
      </c>
    </row>
    <row r="27" spans="1:8" ht="15" customHeight="1">
      <c r="A27" t="str">
        <f t="shared" ca="1" si="17"/>
        <v xml:space="preserve">Enter a value for 'Address' in cell B30.
</v>
      </c>
      <c r="B27">
        <f>ROW(Application!A30)</f>
        <v>30</v>
      </c>
      <c r="C27" t="str">
        <f t="shared" ca="1" si="0"/>
        <v>Address</v>
      </c>
      <c r="D27" t="str">
        <f t="shared" si="10"/>
        <v>B30</v>
      </c>
      <c r="E27" t="str">
        <f t="shared" ca="1" si="2"/>
        <v/>
      </c>
      <c r="F27" t="str">
        <f t="shared" ca="1" si="16"/>
        <v xml:space="preserve">Enter a value for 'Address' in cell B30.
</v>
      </c>
      <c r="G27"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v>
      </c>
    </row>
    <row r="28" spans="1:8" ht="15" customHeight="1">
      <c r="A28" t="str">
        <f t="shared" ca="1" si="17"/>
        <v xml:space="preserve">Enter a value for 'City' in cell B31.
</v>
      </c>
      <c r="B28">
        <f>ROW(Application!A31)</f>
        <v>31</v>
      </c>
      <c r="C28" t="str">
        <f t="shared" ca="1" si="0"/>
        <v>City</v>
      </c>
      <c r="D28" t="str">
        <f t="shared" si="10"/>
        <v>B31</v>
      </c>
      <c r="E28" t="str">
        <f t="shared" ca="1" si="2"/>
        <v/>
      </c>
      <c r="F28" t="str">
        <f t="shared" ca="1" si="16"/>
        <v xml:space="preserve">Enter a value for 'City' in cell B31.
</v>
      </c>
      <c r="G28"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v>
      </c>
    </row>
    <row r="29" spans="1:8" ht="15" customHeight="1">
      <c r="A29" t="str">
        <f t="shared" ca="1" si="17"/>
        <v xml:space="preserve">Enter a value for 'Zip' in cell B32.
</v>
      </c>
      <c r="B29">
        <f>ROW(Application!A32)</f>
        <v>32</v>
      </c>
      <c r="C29" t="str">
        <f t="shared" ca="1" si="0"/>
        <v>Zip</v>
      </c>
      <c r="D29" t="str">
        <f t="shared" si="10"/>
        <v>B32</v>
      </c>
      <c r="E29" t="str">
        <f t="shared" ca="1" si="2"/>
        <v/>
      </c>
      <c r="F29" t="str">
        <f t="shared" ca="1" si="16"/>
        <v xml:space="preserve">Enter a value for 'Zip' in cell B32.
</v>
      </c>
      <c r="G29"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v>
      </c>
    </row>
    <row r="30" spans="1:8" ht="15" customHeight="1">
      <c r="A30" t="str">
        <f t="shared" ca="1" si="17"/>
        <v xml:space="preserve">Enter a value for 'County' in cell B33.
</v>
      </c>
      <c r="B30">
        <f>ROW(Application!A33)</f>
        <v>33</v>
      </c>
      <c r="C30" t="str">
        <f t="shared" ca="1" si="0"/>
        <v>County</v>
      </c>
      <c r="D30" t="str">
        <f t="shared" si="10"/>
        <v>B33</v>
      </c>
      <c r="E30" t="str">
        <f t="shared" ca="1" si="2"/>
        <v/>
      </c>
      <c r="F30" t="str">
        <f t="shared" ca="1" si="16"/>
        <v xml:space="preserve">Enter a value for 'County' in cell B33.
</v>
      </c>
      <c r="G30"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v>
      </c>
    </row>
    <row r="31" spans="1:8" ht="15" customHeight="1">
      <c r="A31" t="str">
        <f t="shared" ca="1" si="17"/>
        <v xml:space="preserve">Enter a value for 'Census Tract' in cell B34.
</v>
      </c>
      <c r="B31">
        <f>ROW(Application!A34)</f>
        <v>34</v>
      </c>
      <c r="C31" t="str">
        <f t="shared" ca="1" si="0"/>
        <v>Census Tract</v>
      </c>
      <c r="D31" t="str">
        <f t="shared" si="10"/>
        <v>B34</v>
      </c>
      <c r="E31" t="str">
        <f t="shared" ca="1" si="2"/>
        <v/>
      </c>
      <c r="F31" t="str">
        <f t="shared" ca="1" si="16"/>
        <v xml:space="preserve">Enter a value for 'Census Tract' in cell B34.
</v>
      </c>
      <c r="G31"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v>
      </c>
    </row>
    <row r="32" spans="1:8" ht="15" customHeight="1">
      <c r="A32" t="str">
        <f t="shared" ca="1" si="17"/>
        <v xml:space="preserve">Enter a value for 'State Senate District' in cell B35.
</v>
      </c>
      <c r="B32">
        <f>ROW(Application!A35)</f>
        <v>35</v>
      </c>
      <c r="C32" t="str">
        <f t="shared" ca="1" si="0"/>
        <v>State Senate District</v>
      </c>
      <c r="D32" t="str">
        <f t="shared" si="10"/>
        <v>B35</v>
      </c>
      <c r="E32" t="str">
        <f t="shared" ca="1" si="2"/>
        <v/>
      </c>
      <c r="F32" t="str">
        <f t="shared" ca="1" si="16"/>
        <v xml:space="preserve">Enter a value for 'State Senate District' in cell B35.
</v>
      </c>
      <c r="G32"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v>
      </c>
    </row>
    <row r="33" spans="1:7" ht="15" customHeight="1">
      <c r="A33" t="str">
        <f t="shared" ca="1" si="17"/>
        <v xml:space="preserve">Enter a value for 'State House District' in cell B36.
</v>
      </c>
      <c r="B33">
        <f>ROW(Application!A36)</f>
        <v>36</v>
      </c>
      <c r="C33" t="str">
        <f t="shared" ca="1" si="0"/>
        <v>State House District</v>
      </c>
      <c r="D33" t="str">
        <f t="shared" si="10"/>
        <v>B36</v>
      </c>
      <c r="E33" t="str">
        <f t="shared" ca="1" si="2"/>
        <v/>
      </c>
      <c r="F33" t="str">
        <f t="shared" ca="1" si="16"/>
        <v xml:space="preserve">Enter a value for 'State House District' in cell B36.
</v>
      </c>
      <c r="G33"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v>
      </c>
    </row>
    <row r="34" spans="1:7" ht="15" customHeight="1">
      <c r="A34" t="str">
        <f t="shared" ca="1" si="17"/>
        <v xml:space="preserve">Enter a value for 'Congressional District' in cell B37.
</v>
      </c>
      <c r="B34">
        <f>ROW(Application!A37)</f>
        <v>37</v>
      </c>
      <c r="C34" t="str">
        <f t="shared" ca="1" si="0"/>
        <v>Congressional District</v>
      </c>
      <c r="D34" t="str">
        <f t="shared" si="10"/>
        <v>B37</v>
      </c>
      <c r="E34" t="str">
        <f t="shared" ca="1" si="2"/>
        <v/>
      </c>
      <c r="F34" t="str">
        <f t="shared" ca="1" si="16"/>
        <v xml:space="preserve">Enter a value for 'Congressional District' in cell B37.
</v>
      </c>
      <c r="G34"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v>
      </c>
    </row>
    <row r="35" spans="1:7" ht="15" customHeight="1">
      <c r="A35" t="str">
        <f t="shared" ca="1" si="17"/>
        <v xml:space="preserve">Enter a value for 'Site Control' in cell B38.
</v>
      </c>
      <c r="B35">
        <f>ROW(Application!A38)</f>
        <v>38</v>
      </c>
      <c r="C35" t="str">
        <f t="shared" ca="1" si="0"/>
        <v>Site Control</v>
      </c>
      <c r="D35" t="str">
        <f t="shared" si="10"/>
        <v>B38</v>
      </c>
      <c r="E35" t="str">
        <f t="shared" ca="1" si="2"/>
        <v/>
      </c>
      <c r="F35" t="str">
        <f t="shared" ca="1" si="16"/>
        <v xml:space="preserve">Enter a value for 'Site Control' in cell B38.
</v>
      </c>
      <c r="G35"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v>
      </c>
    </row>
    <row r="36" spans="1:7" ht="15" customHeight="1">
      <c r="A36" t="str">
        <f t="shared" ref="A36:A38" ca="1" si="18">IF(E36="",F36, "")</f>
        <v xml:space="preserve">Enter a value for 'Identify current Owner/Seller/Lessor ' in cell B39.
</v>
      </c>
      <c r="B36">
        <f>ROW(Application!A39)</f>
        <v>39</v>
      </c>
      <c r="C36" t="str">
        <f t="shared" ref="C36:C38" ca="1" si="19">INDIRECT($F$3 &amp; ADDRESS(B36, 1,4  ))</f>
        <v xml:space="preserve">Identify current Owner/Seller/Lessor </v>
      </c>
      <c r="D36" t="str">
        <f t="shared" ref="D36:D38" si="20">ADDRESS(B36, 2,4  )</f>
        <v>B39</v>
      </c>
      <c r="E36" t="str">
        <f t="shared" ref="E36:E38" ca="1" si="21">IF(ISBLANK( INDIRECT($F$3 &amp; D36)),"", INDIRECT($F$3 &amp; D36))</f>
        <v/>
      </c>
      <c r="F36" t="str">
        <f t="shared" ref="F36:F38" ca="1" si="22">CONCATENATE("Enter a value for '", C36, "' in cell ", D36, ".", CHAR(10))</f>
        <v xml:space="preserve">Enter a value for 'Identify current Owner/Seller/Lessor ' in cell B39.
</v>
      </c>
      <c r="G36" s="9" t="str">
        <f t="shared" ref="G36:G38" ca="1" si="23">OFFSET(G36, -1, 0) &amp; A36</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v>
      </c>
    </row>
    <row r="37" spans="1:7" ht="15" customHeight="1">
      <c r="A37" t="str">
        <f t="shared" ca="1" si="18"/>
        <v xml:space="preserve">Enter a value for 'Related Party? ' in cell B40.
</v>
      </c>
      <c r="B37">
        <f>ROW(Application!A40)</f>
        <v>40</v>
      </c>
      <c r="C37" t="str">
        <f t="shared" ca="1" si="19"/>
        <v xml:space="preserve">Related Party? </v>
      </c>
      <c r="D37" t="str">
        <f t="shared" si="20"/>
        <v>B40</v>
      </c>
      <c r="E37" t="str">
        <f t="shared" ca="1" si="21"/>
        <v/>
      </c>
      <c r="F37" t="str">
        <f t="shared" ca="1" si="22"/>
        <v xml:space="preserve">Enter a value for 'Related Party? ' in cell B40.
</v>
      </c>
      <c r="G37" s="9" t="str">
        <f t="shared" ca="1" si="2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v>
      </c>
    </row>
    <row r="38" spans="1:7" ht="15" customHeight="1">
      <c r="A38" t="str">
        <f t="shared" ca="1" si="18"/>
        <v xml:space="preserve">Enter a value for 'If yes please explain related party ' in cell B41.
</v>
      </c>
      <c r="B38">
        <f>ROW(Application!A41)</f>
        <v>41</v>
      </c>
      <c r="C38" t="str">
        <f t="shared" ca="1" si="19"/>
        <v xml:space="preserve">If yes please explain related party </v>
      </c>
      <c r="D38" t="str">
        <f t="shared" si="20"/>
        <v>B41</v>
      </c>
      <c r="E38" t="str">
        <f t="shared" ca="1" si="21"/>
        <v/>
      </c>
      <c r="F38" t="str">
        <f t="shared" ca="1" si="22"/>
        <v xml:space="preserve">Enter a value for 'If yes please explain related party ' in cell B41.
</v>
      </c>
      <c r="G38" s="9" t="str">
        <f t="shared" ca="1" si="2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v>
      </c>
    </row>
    <row r="39" spans="1:7" ht="15" customHeight="1">
      <c r="A39" t="str">
        <f t="shared" ca="1" si="17"/>
        <v xml:space="preserve">Enter a value for 'Is the site properly zoned?' in cell B42.
</v>
      </c>
      <c r="B39">
        <f>ROW(Application!A42)</f>
        <v>42</v>
      </c>
      <c r="C39" t="str">
        <f t="shared" ca="1" si="0"/>
        <v>Is the site properly zoned?</v>
      </c>
      <c r="D39" t="str">
        <f t="shared" si="10"/>
        <v>B42</v>
      </c>
      <c r="E39" t="str">
        <f t="shared" ca="1" si="2"/>
        <v/>
      </c>
      <c r="F39" t="str">
        <f t="shared" ca="1" si="16"/>
        <v xml:space="preserve">Enter a value for 'Is the site properly zoned?' in cell B42.
</v>
      </c>
      <c r="G39"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v>
      </c>
    </row>
    <row r="40" spans="1:7" ht="15" customHeight="1">
      <c r="A40" t="str">
        <f t="shared" ref="A40" ca="1" si="24">IF(E40="",F40, "")</f>
        <v xml:space="preserve">Enter a value for 'Does Zoning meet parking ratio requirements?' in cell B43.
</v>
      </c>
      <c r="B40">
        <f>ROW(Application!A43)</f>
        <v>43</v>
      </c>
      <c r="C40" t="str">
        <f t="shared" ref="C40" ca="1" si="25">INDIRECT($F$3 &amp; ADDRESS(B40, 1,4  ))</f>
        <v>Does Zoning meet parking ratio requirements?</v>
      </c>
      <c r="D40" t="str">
        <f t="shared" ref="D40" si="26">ADDRESS(B40, 2,4  )</f>
        <v>B43</v>
      </c>
      <c r="E40" t="str">
        <f t="shared" ref="E40" ca="1" si="27">IF(ISBLANK( INDIRECT($F$3 &amp; D40)),"", INDIRECT($F$3 &amp; D40))</f>
        <v/>
      </c>
      <c r="F40" t="str">
        <f t="shared" ref="F40" ca="1" si="28">CONCATENATE("Enter a value for '", C40, "' in cell ", D40, ".", CHAR(10))</f>
        <v xml:space="preserve">Enter a value for 'Does Zoning meet parking ratio requirements?' in cell B43.
</v>
      </c>
      <c r="G40" s="9" t="str">
        <f t="shared" ref="G40" ca="1" si="29">OFFSET(G40, -1, 0) &amp; A40</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v>
      </c>
    </row>
    <row r="41" spans="1:7" ht="15" customHeight="1">
      <c r="A41" t="str">
        <f t="shared" ca="1" si="17"/>
        <v xml:space="preserve">Enter a value for 'Are all utilities available for the development?' in cell B45.
</v>
      </c>
      <c r="B41">
        <f>ROW(Application!A45)</f>
        <v>45</v>
      </c>
      <c r="C41" t="str">
        <f t="shared" ca="1" si="0"/>
        <v>Are all utilities available for the development?</v>
      </c>
      <c r="D41" t="str">
        <f t="shared" si="10"/>
        <v>B45</v>
      </c>
      <c r="E41" t="str">
        <f t="shared" ca="1" si="2"/>
        <v/>
      </c>
      <c r="F41" t="str">
        <f t="shared" ca="1" si="16"/>
        <v xml:space="preserve">Enter a value for 'Are all utilities available for the development?' in cell B45.
</v>
      </c>
      <c r="G41"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v>
      </c>
    </row>
    <row r="42" spans="1:7" ht="15" customHeight="1">
      <c r="A42" t="str">
        <f t="shared" ca="1" si="17"/>
        <v xml:space="preserve">Enter a value for 'Heating Type In-Unit' in cell B46.
</v>
      </c>
      <c r="B42">
        <f>ROW(Application!A46)</f>
        <v>46</v>
      </c>
      <c r="C42" t="str">
        <f t="shared" ca="1" si="0"/>
        <v>Heating Type In-Unit</v>
      </c>
      <c r="D42" t="str">
        <f t="shared" si="10"/>
        <v>B46</v>
      </c>
      <c r="E42" t="str">
        <f t="shared" ca="1" si="2"/>
        <v/>
      </c>
      <c r="F42" t="str">
        <f t="shared" ca="1" si="16"/>
        <v xml:space="preserve">Enter a value for 'Heating Type In-Unit' in cell B46.
</v>
      </c>
      <c r="G42"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v>
      </c>
    </row>
    <row r="43" spans="1:7" ht="15" customHeight="1">
      <c r="A43" t="str">
        <f t="shared" ref="A43" ca="1" si="30">IF(E43="",F43, "")</f>
        <v xml:space="preserve">Enter a value for 'Heating Type Common Area' in cell B47.
</v>
      </c>
      <c r="B43">
        <f>ROW(Application!A47)</f>
        <v>47</v>
      </c>
      <c r="C43" t="str">
        <f t="shared" ref="C43" ca="1" si="31">INDIRECT($F$3 &amp; ADDRESS(B43, 1,4  ))</f>
        <v>Heating Type Common Area</v>
      </c>
      <c r="D43" t="str">
        <f t="shared" ref="D43" si="32">ADDRESS(B43, 2,4  )</f>
        <v>B47</v>
      </c>
      <c r="E43" t="str">
        <f t="shared" ref="E43" ca="1" si="33">IF(ISBLANK( INDIRECT($F$3 &amp; D43)),"", INDIRECT($F$3 &amp; D43))</f>
        <v/>
      </c>
      <c r="F43" t="str">
        <f t="shared" ref="F43" ca="1" si="34">CONCATENATE("Enter a value for '", C43, "' in cell ", D43, ".", CHAR(10))</f>
        <v xml:space="preserve">Enter a value for 'Heating Type Common Area' in cell B47.
</v>
      </c>
      <c r="G43" s="9" t="str">
        <f t="shared" ref="G43" ca="1" si="35">OFFSET(G43, -1, 0) &amp; A43</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v>
      </c>
    </row>
    <row r="44" spans="1:7" ht="15.75" customHeight="1">
      <c r="A44" t="str">
        <f t="shared" ca="1" si="17"/>
        <v xml:space="preserve">Enter a value for 'Cooling Type In-Unit' in cell B48.
</v>
      </c>
      <c r="B44">
        <f>ROW(Application!A48)</f>
        <v>48</v>
      </c>
      <c r="C44" t="str">
        <f t="shared" ca="1" si="0"/>
        <v>Cooling Type In-Unit</v>
      </c>
      <c r="D44" t="str">
        <f t="shared" si="10"/>
        <v>B48</v>
      </c>
      <c r="E44" t="str">
        <f t="shared" ca="1" si="2"/>
        <v/>
      </c>
      <c r="F44" t="str">
        <f t="shared" ca="1" si="16"/>
        <v xml:space="preserve">Enter a value for 'Cooling Type In-Unit' in cell B48.
</v>
      </c>
      <c r="G44"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v>
      </c>
    </row>
    <row r="45" spans="1:7" ht="15.75" customHeight="1">
      <c r="A45" t="str">
        <f t="shared" ref="A45:A48" ca="1" si="36">IF(E45="",F45, "")</f>
        <v xml:space="preserve">Enter a value for 'Cooling Type Common Area' in cell B49.
</v>
      </c>
      <c r="B45">
        <f>ROW(Application!A49)</f>
        <v>49</v>
      </c>
      <c r="C45" t="str">
        <f t="shared" ref="C45:C48" ca="1" si="37">INDIRECT($F$3 &amp; ADDRESS(B45, 1,4  ))</f>
        <v>Cooling Type Common Area</v>
      </c>
      <c r="D45" t="str">
        <f t="shared" ref="D45:D48" si="38">ADDRESS(B45, 2,4  )</f>
        <v>B49</v>
      </c>
      <c r="E45" t="str">
        <f t="shared" ref="E45:E48" ca="1" si="39">IF(ISBLANK( INDIRECT($F$3 &amp; D45)),"", INDIRECT($F$3 &amp; D45))</f>
        <v/>
      </c>
      <c r="F45" t="str">
        <f t="shared" ref="F45:F48" ca="1" si="40">CONCATENATE("Enter a value for '", C45, "' in cell ", D45, ".", CHAR(10))</f>
        <v xml:space="preserve">Enter a value for 'Cooling Type Common Area' in cell B49.
</v>
      </c>
      <c r="G45" s="9" t="str">
        <f t="shared" ref="G45:G48" ca="1" si="41">OFFSET(G45, -1, 0) &amp; A45</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v>
      </c>
    </row>
    <row r="46" spans="1:7" ht="15.75" customHeight="1">
      <c r="A46" t="str">
        <f t="shared" ca="1" si="36"/>
        <v xml:space="preserve">Enter a value for 'HVAC System In-Unit' in cell B50.
</v>
      </c>
      <c r="B46">
        <f>ROW(Application!A50)</f>
        <v>50</v>
      </c>
      <c r="C46" t="str">
        <f t="shared" ca="1" si="37"/>
        <v>HVAC System In-Unit</v>
      </c>
      <c r="D46" t="str">
        <f t="shared" si="38"/>
        <v>B50</v>
      </c>
      <c r="E46" t="str">
        <f t="shared" ca="1" si="39"/>
        <v/>
      </c>
      <c r="F46" t="str">
        <f t="shared" ca="1" si="40"/>
        <v xml:space="preserve">Enter a value for 'HVAC System In-Unit' in cell B50.
</v>
      </c>
      <c r="G46" s="9" t="str">
        <f t="shared" ca="1" si="41"/>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v>
      </c>
    </row>
    <row r="47" spans="1:7" ht="15.75" customHeight="1">
      <c r="A47" t="str">
        <f t="shared" ca="1" si="36"/>
        <v xml:space="preserve">Enter a value for 'Hot Water Heating Type' in cell B51.
</v>
      </c>
      <c r="B47">
        <f>ROW(Application!A51)</f>
        <v>51</v>
      </c>
      <c r="C47" t="str">
        <f t="shared" ca="1" si="37"/>
        <v>Hot Water Heating Type</v>
      </c>
      <c r="D47" t="str">
        <f t="shared" si="38"/>
        <v>B51</v>
      </c>
      <c r="E47" t="str">
        <f t="shared" ca="1" si="39"/>
        <v/>
      </c>
      <c r="F47" t="str">
        <f t="shared" ca="1" si="40"/>
        <v xml:space="preserve">Enter a value for 'Hot Water Heating Type' in cell B51.
</v>
      </c>
      <c r="G47" s="9" t="str">
        <f t="shared" ca="1" si="41"/>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v>
      </c>
    </row>
    <row r="48" spans="1:7" ht="15.75" customHeight="1">
      <c r="A48" t="str">
        <f t="shared" ca="1" si="36"/>
        <v xml:space="preserve">Enter a value for 'Ventalation System' in cell B52.
</v>
      </c>
      <c r="B48">
        <f>ROW(Application!A52)</f>
        <v>52</v>
      </c>
      <c r="C48" t="str">
        <f t="shared" ca="1" si="37"/>
        <v>Ventalation System</v>
      </c>
      <c r="D48" t="str">
        <f t="shared" si="38"/>
        <v>B52</v>
      </c>
      <c r="E48" t="str">
        <f t="shared" ca="1" si="39"/>
        <v/>
      </c>
      <c r="F48" t="str">
        <f t="shared" ca="1" si="40"/>
        <v xml:space="preserve">Enter a value for 'Ventalation System' in cell B52.
</v>
      </c>
      <c r="G48" s="9" t="str">
        <f t="shared" ca="1" si="41"/>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v>
      </c>
    </row>
    <row r="49" spans="1:13" ht="15" customHeight="1">
      <c r="A49" t="str">
        <f t="shared" ref="A49" ca="1" si="42">IF(E49="",F49, "")</f>
        <v xml:space="preserve">Enter a value for 'All-Electric Development' in cell B53.
</v>
      </c>
      <c r="B49">
        <f>ROW(Application!A53)</f>
        <v>53</v>
      </c>
      <c r="C49" t="str">
        <f t="shared" ref="C49" ca="1" si="43">INDIRECT($F$3 &amp; ADDRESS(B49, 1,4  ))</f>
        <v>All-Electric Development</v>
      </c>
      <c r="D49" t="str">
        <f t="shared" ref="D49" si="44">ADDRESS(B49, 2,4  )</f>
        <v>B53</v>
      </c>
      <c r="E49" t="str">
        <f t="shared" ref="E49" ca="1" si="45">IF(ISBLANK( INDIRECT($F$3 &amp; D49)),"", INDIRECT($F$3 &amp; D49))</f>
        <v/>
      </c>
      <c r="F49" t="str">
        <f t="shared" ref="F49" ca="1" si="46">CONCATENATE("Enter a value for '", C49, "' in cell ", D49, ".", CHAR(10))</f>
        <v xml:space="preserve">Enter a value for 'All-Electric Development' in cell B53.
</v>
      </c>
      <c r="G49" s="9" t="str">
        <f t="shared" ref="G49" ca="1" si="47">OFFSET(G49, -1, 0) &amp; A49</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v>
      </c>
    </row>
    <row r="50" spans="1:13" ht="15" customHeight="1">
      <c r="A50" t="str">
        <f t="shared" ref="A50" ca="1" si="48">IF(E50="",F50, "")</f>
        <v xml:space="preserve">Enter a value for 'Electrification-Ready Development' in cell B54.
</v>
      </c>
      <c r="B50">
        <f>ROW(Application!A54)</f>
        <v>54</v>
      </c>
      <c r="C50" t="str">
        <f t="shared" ref="C50" ca="1" si="49">INDIRECT($F$3 &amp; ADDRESS(B50, 1,4  ))</f>
        <v>Electrification-Ready Development</v>
      </c>
      <c r="D50" t="str">
        <f t="shared" ref="D50" si="50">ADDRESS(B50, 2,4  )</f>
        <v>B54</v>
      </c>
      <c r="E50" t="str">
        <f t="shared" ref="E50" ca="1" si="51">IF(ISBLANK( INDIRECT($F$3 &amp; D50)),"", INDIRECT($F$3 &amp; D50))</f>
        <v/>
      </c>
      <c r="F50" t="str">
        <f t="shared" ref="F50" ca="1" si="52">CONCATENATE("Enter a value for '", C50, "' in cell ", D50, ".", CHAR(10))</f>
        <v xml:space="preserve">Enter a value for 'Electrification-Ready Development' in cell B54.
</v>
      </c>
      <c r="G50" s="9" t="str">
        <f t="shared" ref="G50" ca="1" si="53">OFFSET(G50, -1, 0) &amp; A50</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v>
      </c>
    </row>
    <row r="51" spans="1:13" ht="15" customHeight="1">
      <c r="A51" t="str">
        <f t="shared" ca="1" si="17"/>
        <v xml:space="preserve">Enter a value for 'Green Systems' in cell B55.
</v>
      </c>
      <c r="B51">
        <f>ROW(Application!A55)</f>
        <v>55</v>
      </c>
      <c r="C51" t="str">
        <f t="shared" ca="1" si="0"/>
        <v>Green Systems</v>
      </c>
      <c r="D51" t="str">
        <f t="shared" si="10"/>
        <v>B55</v>
      </c>
      <c r="E51" t="str">
        <f t="shared" ca="1" si="2"/>
        <v/>
      </c>
      <c r="F51" t="str">
        <f t="shared" ca="1" si="16"/>
        <v xml:space="preserve">Enter a value for 'Green Systems' in cell B55.
</v>
      </c>
      <c r="G51"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v>
      </c>
    </row>
    <row r="52" spans="1:13" ht="15" customHeight="1">
      <c r="A52" t="str">
        <f t="shared" ca="1" si="17"/>
        <v xml:space="preserve">Enter a value for 'Type of Energy Efficiency Certification' in cell B56.
</v>
      </c>
      <c r="B52">
        <f>ROW(Application!A56)</f>
        <v>56</v>
      </c>
      <c r="C52" t="str">
        <f t="shared" ca="1" si="0"/>
        <v>Type of Energy Efficiency Certification</v>
      </c>
      <c r="D52" t="str">
        <f t="shared" si="10"/>
        <v>B56</v>
      </c>
      <c r="E52" t="str">
        <f t="shared" ca="1" si="2"/>
        <v/>
      </c>
      <c r="F52" t="str">
        <f t="shared" ca="1" si="16"/>
        <v xml:space="preserve">Enter a value for 'Type of Energy Efficiency Certification' in cell B56.
</v>
      </c>
      <c r="G52"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v>
      </c>
    </row>
    <row r="53" spans="1:13" ht="15" customHeight="1">
      <c r="A53" t="str">
        <f t="shared" ref="A53" ca="1" si="54">IF(E53="",F53, "")</f>
        <v xml:space="preserve">Enter a value for 'Radon Mitigation' in cell B57.
</v>
      </c>
      <c r="B53">
        <f>ROW(Application!A57)</f>
        <v>57</v>
      </c>
      <c r="C53" t="str">
        <f t="shared" ref="C53" ca="1" si="55">INDIRECT($F$3 &amp; ADDRESS(B53, 1,4  ))</f>
        <v>Radon Mitigation</v>
      </c>
      <c r="D53" t="str">
        <f t="shared" ref="D53" si="56">ADDRESS(B53, 2,4  )</f>
        <v>B57</v>
      </c>
      <c r="E53" t="str">
        <f t="shared" ref="E53" ca="1" si="57">IF(ISBLANK( INDIRECT($F$3 &amp; D53)),"", INDIRECT($F$3 &amp; D53))</f>
        <v/>
      </c>
      <c r="F53" t="str">
        <f t="shared" ref="F53" ca="1" si="58">CONCATENATE("Enter a value for '", C53, "' in cell ", D53, ".", CHAR(10))</f>
        <v xml:space="preserve">Enter a value for 'Radon Mitigation' in cell B57.
</v>
      </c>
      <c r="G53"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v>
      </c>
    </row>
    <row r="54" spans="1:13" ht="15" customHeight="1">
      <c r="A54" t="str">
        <f t="shared" ref="A54" ca="1" si="59">IF(E54="",F54, "")</f>
        <v xml:space="preserve">Enter a value for 'Water-Wise Landscaping' in cell B58.
</v>
      </c>
      <c r="B54">
        <f>ROW(Application!A58)</f>
        <v>58</v>
      </c>
      <c r="C54" t="str">
        <f t="shared" ref="C54" ca="1" si="60">INDIRECT($F$3 &amp; ADDRESS(B54, 1,4  ))</f>
        <v>Water-Wise Landscaping</v>
      </c>
      <c r="D54" t="str">
        <f t="shared" ref="D54" si="61">ADDRESS(B54, 2,4  )</f>
        <v>B58</v>
      </c>
      <c r="E54" t="str">
        <f t="shared" ref="E54" ca="1" si="62">IF(ISBLANK( INDIRECT($F$3 &amp; D54)),"", INDIRECT($F$3 &amp; D54))</f>
        <v/>
      </c>
      <c r="F54" t="str">
        <f t="shared" ref="F54" ca="1" si="63">CONCATENATE("Enter a value for '", C54, "' in cell ", D54, ".", CHAR(10))</f>
        <v xml:space="preserve">Enter a value for 'Water-Wise Landscaping' in cell B58.
</v>
      </c>
      <c r="G54" s="9" t="str">
        <f t="shared" ref="G54" ca="1" si="64">OFFSET(G54, -1, 0) &amp; A54</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v>
      </c>
    </row>
    <row r="55" spans="1:13" ht="15" customHeight="1">
      <c r="A55" t="str">
        <f t="shared" ref="A55:A62" ca="1" si="65">IF(E55="",F55, "")</f>
        <v xml:space="preserve">Enter a value for 'Number of Residential Building(s)' in cell B59.
</v>
      </c>
      <c r="B55">
        <f>ROW(Application!A59)</f>
        <v>59</v>
      </c>
      <c r="C55" t="str">
        <f t="shared" ref="C55:C98" ca="1" si="66">INDIRECT($F$3 &amp; ADDRESS(B55, 1,4  ))</f>
        <v>Number of Residential Building(s)</v>
      </c>
      <c r="D55" t="str">
        <f t="shared" ref="D55:D98" si="67">ADDRESS(B55, 2,4  )</f>
        <v>B59</v>
      </c>
      <c r="E55" t="str">
        <f t="shared" ref="E55:E98" ca="1" si="68">IF(ISBLANK( INDIRECT($F$3 &amp; D55)),"", INDIRECT($F$3 &amp; D55))</f>
        <v/>
      </c>
      <c r="F55" t="str">
        <f t="shared" ref="F55:F63" ca="1" si="69">CONCATENATE("Enter a value for '", C55, "' in cell ", D55, ".", CHAR(10))</f>
        <v xml:space="preserve">Enter a value for 'Number of Residential Building(s)' in cell B59.
</v>
      </c>
      <c r="G55" s="9" t="str">
        <f t="shared" ref="G55:G93" ca="1" si="70">OFFSET(G55, -1, 0) &amp; A55</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v>
      </c>
    </row>
    <row r="56" spans="1:13" ht="15" customHeight="1">
      <c r="A56" t="str">
        <f t="shared" ref="A56" ca="1" si="71">IF(E56="",F56, "")</f>
        <v xml:space="preserve">Enter a value for 'Number of Floors in the Tallest Building' in cell B60.
</v>
      </c>
      <c r="B56">
        <f>ROW(Application!A60)</f>
        <v>60</v>
      </c>
      <c r="C56" t="str">
        <f t="shared" ref="C56" ca="1" si="72">INDIRECT($F$3 &amp; ADDRESS(B56, 1,4  ))</f>
        <v>Number of Floors in the Tallest Building</v>
      </c>
      <c r="D56" t="str">
        <f t="shared" ref="D56" si="73">ADDRESS(B56, 2,4  )</f>
        <v>B60</v>
      </c>
      <c r="E56" t="str">
        <f t="shared" ref="E56" ca="1" si="74">IF(ISBLANK( INDIRECT($F$3 &amp; D56)),"", INDIRECT($F$3 &amp; D56))</f>
        <v/>
      </c>
      <c r="F56" t="str">
        <f t="shared" ref="F56" ca="1" si="75">CONCATENATE("Enter a value for '", C56, "' in cell ", D56, ".", CHAR(10))</f>
        <v xml:space="preserve">Enter a value for 'Number of Floors in the Tallest Building' in cell B60.
</v>
      </c>
      <c r="G56" s="9" t="str">
        <f t="shared" ref="G56" ca="1" si="76">OFFSET(G56, -1, 0) &amp; A56</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v>
      </c>
      <c r="H56" s="815" cm="1">
        <f t="array" aca="1" ref="H56" ca="1">SUMPRODUCT(--ISTEXT(INDIRECT(J56)))</f>
        <v>0</v>
      </c>
      <c r="I56" s="815" cm="1">
        <f t="array" aca="1" ref="I56" ca="1">SUMPRODUCT(--ISNUMBER(INDIRECT(J56)))</f>
        <v>0</v>
      </c>
      <c r="J56" s="816" t="s">
        <v>3801</v>
      </c>
      <c r="K56" s="817"/>
      <c r="L56" s="817"/>
      <c r="M56" s="818" t="s">
        <v>3802</v>
      </c>
    </row>
    <row r="57" spans="1:13" ht="15" customHeight="1">
      <c r="A57" t="str">
        <f t="shared" ca="1" si="65"/>
        <v xml:space="preserve">Enter a value for 'Building Construction' in cell B61.
</v>
      </c>
      <c r="B57">
        <f>ROW(Application!A61)</f>
        <v>61</v>
      </c>
      <c r="C57" t="str">
        <f t="shared" ca="1" si="66"/>
        <v>Building Construction</v>
      </c>
      <c r="D57" t="str">
        <f t="shared" si="67"/>
        <v>B61</v>
      </c>
      <c r="E57" t="str">
        <f t="shared" ca="1" si="68"/>
        <v/>
      </c>
      <c r="F57" t="str">
        <f t="shared" ca="1" si="69"/>
        <v xml:space="preserve">Enter a value for 'Building Construction' in cell B61.
</v>
      </c>
      <c r="G57"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v>
      </c>
    </row>
    <row r="58" spans="1:13" ht="15" customHeight="1">
      <c r="A58" t="str">
        <f t="shared" ca="1" si="65"/>
        <v xml:space="preserve">Enter a value for 'Building Type' in cell B62.
</v>
      </c>
      <c r="B58">
        <f>ROW(Application!A62)</f>
        <v>62</v>
      </c>
      <c r="C58" t="str">
        <f t="shared" ca="1" si="66"/>
        <v>Building Type</v>
      </c>
      <c r="D58" t="str">
        <f t="shared" si="67"/>
        <v>B62</v>
      </c>
      <c r="E58" t="str">
        <f t="shared" ca="1" si="68"/>
        <v/>
      </c>
      <c r="F58" t="str">
        <f t="shared" ca="1" si="69"/>
        <v xml:space="preserve">Enter a value for 'Building Type' in cell B62.
</v>
      </c>
      <c r="G58"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v>
      </c>
    </row>
    <row r="59" spans="1:13" ht="15" customHeight="1">
      <c r="A59" t="str">
        <f t="shared" ca="1" si="65"/>
        <v xml:space="preserve">Enter a value for 'Parcel Size (Site Acres)' in cell B63.
</v>
      </c>
      <c r="B59">
        <f>ROW(Application!A63)</f>
        <v>63</v>
      </c>
      <c r="C59" t="str">
        <f t="shared" ca="1" si="66"/>
        <v>Parcel Size (Site Acres)</v>
      </c>
      <c r="D59" t="str">
        <f t="shared" si="67"/>
        <v>B63</v>
      </c>
      <c r="E59" t="str">
        <f t="shared" ca="1" si="68"/>
        <v/>
      </c>
      <c r="F59" t="str">
        <f t="shared" ca="1" si="69"/>
        <v xml:space="preserve">Enter a value for 'Parcel Size (Site Acres)' in cell B63.
</v>
      </c>
      <c r="G59"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v>
      </c>
    </row>
    <row r="60" spans="1:13" ht="15" customHeight="1">
      <c r="A60" t="str">
        <f t="shared" ca="1" si="65"/>
        <v xml:space="preserve">Enter a value for 'Common Space Square Footage' in cell B64.
</v>
      </c>
      <c r="B60">
        <f>ROW(Application!A64)</f>
        <v>64</v>
      </c>
      <c r="C60" t="str">
        <f t="shared" ca="1" si="66"/>
        <v>Common Space Square Footage</v>
      </c>
      <c r="D60" t="str">
        <f t="shared" si="67"/>
        <v>B64</v>
      </c>
      <c r="E60" t="str">
        <f t="shared" ca="1" si="68"/>
        <v/>
      </c>
      <c r="F60" t="str">
        <f t="shared" ca="1" si="69"/>
        <v xml:space="preserve">Enter a value for 'Common Space Square Footage' in cell B64.
</v>
      </c>
      <c r="G60"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v>
      </c>
    </row>
    <row r="61" spans="1:13" ht="15" customHeight="1">
      <c r="A61" t="str">
        <f t="shared" ca="1" si="65"/>
        <v xml:space="preserve">Enter a value for 'Commercial Space Square Footage' in cell B65.
</v>
      </c>
      <c r="B61">
        <f>ROW(Application!A65)</f>
        <v>65</v>
      </c>
      <c r="C61" t="str">
        <f t="shared" ca="1" si="66"/>
        <v>Commercial Space Square Footage</v>
      </c>
      <c r="D61" t="str">
        <f t="shared" si="67"/>
        <v>B65</v>
      </c>
      <c r="E61" t="str">
        <f t="shared" ca="1" si="68"/>
        <v/>
      </c>
      <c r="F61" t="str">
        <f t="shared" ca="1" si="69"/>
        <v xml:space="preserve">Enter a value for 'Commercial Space Square Footage' in cell B65.
</v>
      </c>
      <c r="G61"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v>
      </c>
    </row>
    <row r="62" spans="1:13" ht="15" customHeight="1">
      <c r="A62" t="str">
        <f t="shared" ca="1" si="65"/>
        <v xml:space="preserve">Enter a value for 'Type of Units/Housing' in cell B66.
</v>
      </c>
      <c r="B62">
        <f>ROW(Application!A66)</f>
        <v>66</v>
      </c>
      <c r="C62" t="str">
        <f t="shared" ca="1" si="66"/>
        <v>Type of Units/Housing</v>
      </c>
      <c r="D62" t="str">
        <f t="shared" si="67"/>
        <v>B66</v>
      </c>
      <c r="E62" t="str">
        <f t="shared" ca="1" si="68"/>
        <v/>
      </c>
      <c r="F62" t="str">
        <f t="shared" ca="1" si="69"/>
        <v xml:space="preserve">Enter a value for 'Type of Units/Housing' in cell B66.
</v>
      </c>
      <c r="G62"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v>
      </c>
    </row>
    <row r="63" spans="1:13" ht="15" customHeight="1">
      <c r="A63" t="str">
        <f ca="1">IF(E63="",F63, "")</f>
        <v xml:space="preserve">Enter a value for 'Federal Assistance' in cell B68.
</v>
      </c>
      <c r="B63">
        <f>ROW(Application!A68)</f>
        <v>68</v>
      </c>
      <c r="C63" t="str">
        <f t="shared" ca="1" si="66"/>
        <v>Federal Assistance</v>
      </c>
      <c r="D63" t="str">
        <f t="shared" si="67"/>
        <v>B68</v>
      </c>
      <c r="E63" t="str">
        <f t="shared" ca="1" si="68"/>
        <v/>
      </c>
      <c r="F63" t="str">
        <f t="shared" ca="1" si="69"/>
        <v xml:space="preserve">Enter a value for 'Federal Assistance' in cell B68.
</v>
      </c>
      <c r="G63"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v>
      </c>
    </row>
    <row r="64" spans="1:13" ht="15" customHeight="1">
      <c r="A64" s="52" t="str">
        <f ca="1">IF(AND(E70 = "Yes", E64&lt;&gt;"Yes"),F64, "")</f>
        <v/>
      </c>
      <c r="B64">
        <f>ROW(Application!A68)</f>
        <v>68</v>
      </c>
      <c r="C64" t="str">
        <f t="shared" ca="1" si="66"/>
        <v>Federal Assistance</v>
      </c>
      <c r="D64" t="str">
        <f t="shared" si="67"/>
        <v>B68</v>
      </c>
      <c r="E64" t="str">
        <f ca="1">IF(ISBLANK( INDIRECT($F$3 &amp; D64)),"", INDIRECT($F$3 &amp; D64))</f>
        <v/>
      </c>
      <c r="F64" t="str">
        <f ca="1">CONCATENATE("Yes is requied for '", C64, "' in cell ", D64, " when using Tax Exempt Bond Financing.", CHAR(10))</f>
        <v xml:space="preserve">Yes is requied for 'Federal Assistance' in cell B68 when using Tax Exempt Bond Financing.
</v>
      </c>
      <c r="G64"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v>
      </c>
    </row>
    <row r="65" spans="1:7" ht="15" customHeight="1">
      <c r="A65" t="str">
        <f ca="1">IF(E65="",F65, "")</f>
        <v xml:space="preserve">Enter a value for 'USDA Rural Development Sect. 515' in cell B69.
</v>
      </c>
      <c r="B65">
        <f>ROW(Application!A69)</f>
        <v>69</v>
      </c>
      <c r="C65" t="str">
        <f t="shared" ca="1" si="66"/>
        <v>USDA Rural Development Sect. 515</v>
      </c>
      <c r="D65" t="str">
        <f t="shared" si="67"/>
        <v>B69</v>
      </c>
      <c r="E65" t="str">
        <f t="shared" ca="1" si="68"/>
        <v/>
      </c>
      <c r="F65" t="str">
        <f t="shared" ref="F65:F70" ca="1" si="77">CONCATENATE("Enter a value for '", C65, "' in cell ", D65, ".", CHAR(10))</f>
        <v xml:space="preserve">Enter a value for 'USDA Rural Development Sect. 515' in cell B69.
</v>
      </c>
      <c r="G65"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v>
      </c>
    </row>
    <row r="66" spans="1:7" ht="15" customHeight="1">
      <c r="A66" t="str">
        <f t="shared" ref="A66:A70" ca="1" si="78">IF(E66="",F66, "")</f>
        <v xml:space="preserve">Enter a value for 'USDA Rural Development Sect. 514 (Farmworker)' in cell B70.
</v>
      </c>
      <c r="B66">
        <f>ROW(Application!A70)</f>
        <v>70</v>
      </c>
      <c r="C66" t="str">
        <f t="shared" ca="1" si="66"/>
        <v>USDA Rural Development Sect. 514 (Farmworker)</v>
      </c>
      <c r="D66" t="str">
        <f t="shared" si="67"/>
        <v>B70</v>
      </c>
      <c r="E66" t="str">
        <f t="shared" ca="1" si="68"/>
        <v/>
      </c>
      <c r="F66" t="str">
        <f t="shared" ca="1" si="77"/>
        <v xml:space="preserve">Enter a value for 'USDA Rural Development Sect. 514 (Farmworker)' in cell B70.
</v>
      </c>
      <c r="G66"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v>
      </c>
    </row>
    <row r="67" spans="1:7" ht="15" customHeight="1">
      <c r="A67" t="str">
        <f t="shared" ca="1" si="78"/>
        <v xml:space="preserve">Enter a value for 'FHA Insurance-221(d)(4) ' in cell B71.
</v>
      </c>
      <c r="B67">
        <f>ROW(Application!A71)</f>
        <v>71</v>
      </c>
      <c r="C67" t="str">
        <f t="shared" ca="1" si="66"/>
        <v xml:space="preserve">FHA Insurance-221(d)(4) </v>
      </c>
      <c r="D67" t="str">
        <f t="shared" si="67"/>
        <v>B71</v>
      </c>
      <c r="E67" t="str">
        <f t="shared" ca="1" si="68"/>
        <v/>
      </c>
      <c r="F67" t="str">
        <f t="shared" ca="1" si="77"/>
        <v xml:space="preserve">Enter a value for 'FHA Insurance-221(d)(4) ' in cell B71.
</v>
      </c>
      <c r="G67"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v>
      </c>
    </row>
    <row r="68" spans="1:7" ht="15" customHeight="1">
      <c r="A68" t="str">
        <f t="shared" ca="1" si="78"/>
        <v xml:space="preserve">Enter a value for 'FHA Insurance 223 (f)' in cell B72.
</v>
      </c>
      <c r="B68">
        <f>ROW(Application!A72)</f>
        <v>72</v>
      </c>
      <c r="C68" t="str">
        <f t="shared" ca="1" si="66"/>
        <v>FHA Insurance 223 (f)</v>
      </c>
      <c r="D68" t="str">
        <f t="shared" si="67"/>
        <v>B72</v>
      </c>
      <c r="E68" t="str">
        <f t="shared" ca="1" si="68"/>
        <v/>
      </c>
      <c r="F68" t="str">
        <f t="shared" ca="1" si="77"/>
        <v xml:space="preserve">Enter a value for 'FHA Insurance 223 (f)' in cell B72.
</v>
      </c>
      <c r="G68"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v>
      </c>
    </row>
    <row r="69" spans="1:7" ht="15" customHeight="1">
      <c r="A69" t="str">
        <f t="shared" ca="1" si="78"/>
        <v xml:space="preserve">Enter a value for 'FHA Insurance-Risk-Sharing' in cell B73.
</v>
      </c>
      <c r="B69">
        <f>ROW(Application!A73)</f>
        <v>73</v>
      </c>
      <c r="C69" t="str">
        <f t="shared" ca="1" si="66"/>
        <v>FHA Insurance-Risk-Sharing</v>
      </c>
      <c r="D69" t="str">
        <f t="shared" si="67"/>
        <v>B73</v>
      </c>
      <c r="E69" t="str">
        <f t="shared" ca="1" si="68"/>
        <v/>
      </c>
      <c r="F69" t="str">
        <f t="shared" ca="1" si="77"/>
        <v xml:space="preserve">Enter a value for 'FHA Insurance-Risk-Sharing' in cell B73.
</v>
      </c>
      <c r="G69"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v>
      </c>
    </row>
    <row r="70" spans="1:7" ht="15" customHeight="1">
      <c r="A70" t="str">
        <f t="shared" ca="1" si="78"/>
        <v xml:space="preserve">Enter a value for 'Tax Exempt Bond Financing' in cell B74.
</v>
      </c>
      <c r="B70">
        <f>ROW(Application!A74)</f>
        <v>74</v>
      </c>
      <c r="C70" t="str">
        <f t="shared" ca="1" si="66"/>
        <v>Tax Exempt Bond Financing</v>
      </c>
      <c r="D70" t="str">
        <f t="shared" si="67"/>
        <v>B74</v>
      </c>
      <c r="E70" t="str">
        <f t="shared" ca="1" si="68"/>
        <v/>
      </c>
      <c r="F70" t="str">
        <f t="shared" ca="1" si="77"/>
        <v xml:space="preserve">Enter a value for 'Tax Exempt Bond Financing' in cell B74.
</v>
      </c>
      <c r="G70"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1" spans="1:7" ht="15" customHeight="1">
      <c r="A71" t="str">
        <f ca="1">IF(AND(E70="Yes", E71=""),F71, "")</f>
        <v/>
      </c>
      <c r="B71">
        <f>ROW(Application!A75)</f>
        <v>75</v>
      </c>
      <c r="C71" t="str">
        <f ca="1">INDIRECT($F$3 &amp; ADDRESS(B71, 1,4  ))</f>
        <v>Bond Issuer Name</v>
      </c>
      <c r="D71" t="str">
        <f>ADDRESS(B71, 2,4  )</f>
        <v>B75</v>
      </c>
      <c r="E71" t="str">
        <f ca="1">IF(ISBLANK( INDIRECT($F$3 &amp; D71)),"", INDIRECT($F$3 &amp; D71))</f>
        <v/>
      </c>
      <c r="F71" t="str">
        <f ca="1">CONCATENATE("Enter a value for '", C71, "' in cell ", D71, ".", CHAR(10))</f>
        <v xml:space="preserve">Enter a value for 'Bond Issuer Name' in cell B75.
</v>
      </c>
      <c r="G71" s="9" t="str">
        <f ca="1">OFFSET(G71, -1, 0) &amp; A71</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2" spans="1:7" ht="15" customHeight="1">
      <c r="A72" t="str">
        <f ca="1">IF(AND(E70="Yes", E72=""),F72, "")</f>
        <v/>
      </c>
      <c r="B72">
        <f>ROW(Application!A76)</f>
        <v>76</v>
      </c>
      <c r="C72" t="str">
        <f t="shared" ca="1" si="66"/>
        <v xml:space="preserve">Enter the Total Amount of A Bonds being issued  </v>
      </c>
      <c r="D72" t="str">
        <f t="shared" si="67"/>
        <v>B76</v>
      </c>
      <c r="E72">
        <f t="shared" ca="1" si="68"/>
        <v>0</v>
      </c>
      <c r="F72" t="str">
        <f t="shared" ref="F72:F95" ca="1" si="79">CONCATENATE("Enter a value for '", C72, "' in cell ", D72, ".", CHAR(10))</f>
        <v xml:space="preserve">Enter a value for 'Enter the Total Amount of A Bonds being issued  ' in cell B76.
</v>
      </c>
      <c r="G72"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3" spans="1:7" ht="15" customHeight="1">
      <c r="A73" t="str">
        <f ca="1">IF(AND(E70="Yes", E73=""),F73, "")</f>
        <v/>
      </c>
      <c r="B73">
        <f>ROW(Application!A77)</f>
        <v>77</v>
      </c>
      <c r="C73" t="str">
        <f t="shared" ca="1" si="66"/>
        <v xml:space="preserve">Enter the Total Amount of B Bonds being issued  </v>
      </c>
      <c r="D73" t="str">
        <f t="shared" si="67"/>
        <v>B77</v>
      </c>
      <c r="E73">
        <f t="shared" ca="1" si="68"/>
        <v>0</v>
      </c>
      <c r="F73" t="str">
        <f t="shared" ca="1" si="79"/>
        <v xml:space="preserve">Enter a value for 'Enter the Total Amount of B Bonds being issued  ' in cell B77.
</v>
      </c>
      <c r="G73"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4" spans="1:7" ht="15" customHeight="1">
      <c r="B74">
        <f>ROW(Application!A78)</f>
        <v>78</v>
      </c>
      <c r="C74" t="str">
        <f t="shared" ca="1" si="66"/>
        <v xml:space="preserve">Enter the Total Amount of C Bonds being issued </v>
      </c>
      <c r="D74" t="str">
        <f t="shared" si="67"/>
        <v>B78</v>
      </c>
      <c r="E74">
        <f t="shared" ca="1" si="68"/>
        <v>0</v>
      </c>
      <c r="F74" t="str">
        <f t="shared" ca="1" si="79"/>
        <v xml:space="preserve">Enter a value for 'Enter the Total Amount of C Bonds being issued ' in cell B78.
</v>
      </c>
      <c r="G74" s="9" t="str">
        <f ca="1">OFFSET(G74, -1, 0) &amp; A74</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5" spans="1:7" ht="15" customHeight="1">
      <c r="B75">
        <f>ROW(Application!A79)</f>
        <v>79</v>
      </c>
      <c r="C75" t="str">
        <f t="shared" ca="1" si="66"/>
        <v>Enter the Total Amount of Recycled Bonds being issued</v>
      </c>
      <c r="D75" t="str">
        <f t="shared" si="67"/>
        <v>B79</v>
      </c>
      <c r="E75">
        <f t="shared" ca="1" si="68"/>
        <v>0</v>
      </c>
      <c r="F75" t="str">
        <f t="shared" ca="1" si="79"/>
        <v xml:space="preserve">Enter a value for 'Enter the Total Amount of Recycled Bonds being issued' in cell B79.
</v>
      </c>
      <c r="G75" s="9" t="str">
        <f t="shared" ref="G75:G79" ca="1" si="80">OFFSET(G75, -1, 0) &amp; A75</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6" spans="1:7" ht="15" customHeight="1">
      <c r="A76" t="str">
        <f t="shared" ref="A76:A77" ca="1" si="81">IF(E76="",F76, "")</f>
        <v xml:space="preserve">A value of Yes for 'Enter name of Entity Transferring Bond Cap ' in cell B80 is only available for 4% non-competetive.
</v>
      </c>
      <c r="B76">
        <f>ROW(Application!A80)</f>
        <v>80</v>
      </c>
      <c r="C76" t="str">
        <f t="shared" ref="C76:C77" ca="1" si="82">INDIRECT($F$3 &amp; ADDRESS(B76, 1,4  ))</f>
        <v xml:space="preserve">Enter name of Entity Transferring Bond Cap </v>
      </c>
      <c r="D76" t="str">
        <f t="shared" ref="D76:D77" si="83">ADDRESS(B76, 2,4  )</f>
        <v>B80</v>
      </c>
      <c r="E76" t="str">
        <f t="shared" ref="E76:E77" ca="1" si="84">IF(ISBLANK( INDIRECT($F$3 &amp; D76)),"", INDIRECT($F$3 &amp; D76))</f>
        <v/>
      </c>
      <c r="F76" t="str">
        <f t="shared" ref="F76:F77" ca="1" si="85">CONCATENATE("A value of Yes for '", C76, "' in cell ", D76, " is only available for 4% non-competetive.", CHAR(10))</f>
        <v xml:space="preserve">A value of Yes for 'Enter name of Entity Transferring Bond Cap ' in cell B80 is only available for 4% non-competetive.
</v>
      </c>
      <c r="G76" s="9" t="str">
        <f t="shared" ref="G76:G77" ca="1" si="86">OFFSET(G76, -1, 0) &amp; A76</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v>
      </c>
    </row>
    <row r="77" spans="1:7" ht="15" customHeight="1">
      <c r="A77" t="str">
        <f t="shared" ca="1" si="81"/>
        <v/>
      </c>
      <c r="B77">
        <f>ROW(Application!A81)</f>
        <v>81</v>
      </c>
      <c r="C77" t="str">
        <f t="shared" ca="1" si="82"/>
        <v>Enter the Total Amount of Bond Cap Being Transferred</v>
      </c>
      <c r="D77" t="str">
        <f t="shared" si="83"/>
        <v>B81</v>
      </c>
      <c r="E77">
        <f t="shared" ca="1" si="84"/>
        <v>0</v>
      </c>
      <c r="F77" t="str">
        <f t="shared" ca="1" si="85"/>
        <v xml:space="preserve">A value of Yes for 'Enter the Total Amount of Bond Cap Being Transferred' in cell B81 is only available for 4% non-competetive.
</v>
      </c>
      <c r="G77" s="9" t="str">
        <f t="shared" ca="1" si="86"/>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v>
      </c>
    </row>
    <row r="78" spans="1:7" ht="15" customHeight="1">
      <c r="A78" t="str">
        <f ca="1">IF(E78="",F78, "")</f>
        <v xml:space="preserve">Enter a value for 'Taxable Bond Financing' in cell B82.
</v>
      </c>
      <c r="B78">
        <f>ROW(Application!A82)</f>
        <v>82</v>
      </c>
      <c r="C78" t="str">
        <f t="shared" ca="1" si="66"/>
        <v>Taxable Bond Financing</v>
      </c>
      <c r="D78" t="str">
        <f t="shared" si="67"/>
        <v>B82</v>
      </c>
      <c r="E78" t="str">
        <f t="shared" ca="1" si="68"/>
        <v/>
      </c>
      <c r="F78" t="str">
        <f t="shared" ca="1" si="79"/>
        <v xml:space="preserve">Enter a value for 'Taxable Bond Financing' in cell B82.
</v>
      </c>
      <c r="G78" s="9" t="str">
        <f t="shared" ca="1" si="8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v>
      </c>
    </row>
    <row r="79" spans="1:7" ht="15" customHeight="1">
      <c r="B79">
        <f>ROW(Application!A83)</f>
        <v>83</v>
      </c>
      <c r="C79" t="str">
        <f t="shared" ca="1" si="66"/>
        <v xml:space="preserve">Enter the Total Amount of Taxable Bonds being issued  </v>
      </c>
      <c r="D79" t="str">
        <f t="shared" si="67"/>
        <v>B83</v>
      </c>
      <c r="E79" t="str">
        <f t="shared" ca="1" si="68"/>
        <v/>
      </c>
      <c r="F79" t="str">
        <f t="shared" ca="1" si="79"/>
        <v xml:space="preserve">Enter a value for 'Enter the Total Amount of Taxable Bonds being issued  ' in cell B83.
</v>
      </c>
      <c r="G79" s="9" t="str">
        <f t="shared" ca="1" si="8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v>
      </c>
    </row>
    <row r="80" spans="1:7" ht="15" customHeight="1">
      <c r="A80" t="str">
        <f ca="1">IF(E80="",F80, "")</f>
        <v xml:space="preserve">Enter a value for 'Federal Historic Rehabilitation Tax Credits' in cell B84.
</v>
      </c>
      <c r="B80">
        <f>ROW(Application!A84)</f>
        <v>84</v>
      </c>
      <c r="C80" t="str">
        <f t="shared" ca="1" si="66"/>
        <v>Federal Historic Rehabilitation Tax Credits</v>
      </c>
      <c r="D80" t="str">
        <f t="shared" si="67"/>
        <v>B84</v>
      </c>
      <c r="E80" t="str">
        <f t="shared" ca="1" si="68"/>
        <v/>
      </c>
      <c r="F80" t="str">
        <f t="shared" ca="1" si="79"/>
        <v xml:space="preserve">Enter a value for 'Federal Historic Rehabilitation Tax Credits' in cell B84.
</v>
      </c>
      <c r="G80"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v>
      </c>
    </row>
    <row r="81" spans="1:7" ht="15" customHeight="1">
      <c r="A81" s="52" t="str">
        <f ca="1">IF(AND(E80="Yes", E81=""),F81, "")</f>
        <v/>
      </c>
      <c r="B81">
        <f>ROW(Application!A85)</f>
        <v>85</v>
      </c>
      <c r="C81" t="str">
        <f t="shared" ca="1" si="66"/>
        <v xml:space="preserve">Enter the federal historic credit amount  </v>
      </c>
      <c r="D81" t="str">
        <f t="shared" si="67"/>
        <v>B85</v>
      </c>
      <c r="E81">
        <f t="shared" ca="1" si="68"/>
        <v>0</v>
      </c>
      <c r="F81" t="str">
        <f t="shared" ca="1" si="79"/>
        <v xml:space="preserve">Enter a value for 'Enter the federal historic credit amount  ' in cell B85.
</v>
      </c>
      <c r="G81"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v>
      </c>
    </row>
    <row r="82" spans="1:7" ht="15" customHeight="1">
      <c r="A82" t="str">
        <f ca="1">IF(E82="",F82, "")</f>
        <v xml:space="preserve">Enter a value for 'State Historic Rehabilitation Tax Credits' in cell B86.
</v>
      </c>
      <c r="B82">
        <f>ROW(Application!A86)</f>
        <v>86</v>
      </c>
      <c r="C82" t="str">
        <f t="shared" ca="1" si="66"/>
        <v>State Historic Rehabilitation Tax Credits</v>
      </c>
      <c r="D82" t="str">
        <f t="shared" si="67"/>
        <v>B86</v>
      </c>
      <c r="E82" t="str">
        <f t="shared" ca="1" si="68"/>
        <v/>
      </c>
      <c r="F82" t="str">
        <f t="shared" ca="1" si="79"/>
        <v xml:space="preserve">Enter a value for 'State Historic Rehabilitation Tax Credits' in cell B86.
</v>
      </c>
      <c r="G82"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v>
      </c>
    </row>
    <row r="83" spans="1:7" ht="15" customHeight="1">
      <c r="A83" s="52" t="str">
        <f ca="1">IF(AND(E82="Yes", E83=""),F83, "")</f>
        <v/>
      </c>
      <c r="B83">
        <f>ROW(Application!A87)</f>
        <v>87</v>
      </c>
      <c r="C83" t="str">
        <f t="shared" ca="1" si="66"/>
        <v xml:space="preserve">Enter the state historic credit amount  </v>
      </c>
      <c r="D83" t="str">
        <f t="shared" si="67"/>
        <v>B87</v>
      </c>
      <c r="E83">
        <f t="shared" ca="1" si="68"/>
        <v>0</v>
      </c>
      <c r="F83" t="str">
        <f t="shared" ca="1" si="79"/>
        <v xml:space="preserve">Enter a value for 'Enter the state historic credit amount  ' in cell B87.
</v>
      </c>
      <c r="G83"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v>
      </c>
    </row>
    <row r="84" spans="1:7" ht="15" customHeight="1">
      <c r="A84" t="str">
        <f t="shared" ref="A84:A95" ca="1" si="87">IF(E84="",F84, "")</f>
        <v xml:space="preserve">Enter a value for 'Solar Tax Credits/ITC' in cell B88.
</v>
      </c>
      <c r="B84">
        <f>ROW(Application!A88)</f>
        <v>88</v>
      </c>
      <c r="C84" t="str">
        <f t="shared" ca="1" si="66"/>
        <v>Solar Tax Credits/ITC</v>
      </c>
      <c r="D84" t="str">
        <f t="shared" si="67"/>
        <v>B88</v>
      </c>
      <c r="E84" t="str">
        <f t="shared" ca="1" si="68"/>
        <v/>
      </c>
      <c r="F84" t="str">
        <f t="shared" ca="1" si="79"/>
        <v xml:space="preserve">Enter a value for 'Solar Tax Credits/ITC' in cell B88.
</v>
      </c>
      <c r="G84"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Enter a value for 'Solar Tax Credits/ITC' in cell B88.
</v>
      </c>
    </row>
    <row r="85" spans="1:7" ht="15" customHeight="1">
      <c r="A85" t="str">
        <f t="shared" ca="1" si="87"/>
        <v/>
      </c>
      <c r="B85">
        <f>ROW(Application!A89)</f>
        <v>89</v>
      </c>
      <c r="C85" t="str">
        <f t="shared" ca="1" si="66"/>
        <v>Enter the Amount of the Solar Tax Credit</v>
      </c>
      <c r="D85" t="str">
        <f t="shared" si="67"/>
        <v>B89</v>
      </c>
      <c r="E85">
        <f t="shared" ca="1" si="68"/>
        <v>0</v>
      </c>
      <c r="F85" t="str">
        <f t="shared" ca="1" si="79"/>
        <v xml:space="preserve">Enter a value for 'Enter the Amount of the Solar Tax Credit' in cell B89.
</v>
      </c>
      <c r="G85"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Enter a value for 'Solar Tax Credits/ITC' in cell B88.
</v>
      </c>
    </row>
    <row r="86" spans="1:7" ht="15" customHeight="1">
      <c r="A86" t="str">
        <f t="shared" ref="A86" ca="1" si="88">IF(E86="",F86, "")</f>
        <v xml:space="preserve">Enter a value for '45L Energy Efficiency Home Credit' in cell B90.
</v>
      </c>
      <c r="B86">
        <f>ROW(Application!A90)</f>
        <v>90</v>
      </c>
      <c r="C86" t="str">
        <f t="shared" ref="C86" ca="1" si="89">INDIRECT($F$3 &amp; ADDRESS(B86, 1,4  ))</f>
        <v>45L Energy Efficiency Home Credit</v>
      </c>
      <c r="D86" t="str">
        <f t="shared" ref="D86" si="90">ADDRESS(B86, 2,4  )</f>
        <v>B90</v>
      </c>
      <c r="E86" t="str">
        <f t="shared" ref="E86" ca="1" si="91">IF(ISBLANK( INDIRECT($F$3 &amp; D86)),"", INDIRECT($F$3 &amp; D86))</f>
        <v/>
      </c>
      <c r="F86" t="str">
        <f t="shared" ref="F86" ca="1" si="92">CONCATENATE("Enter a value for '", C86, "' in cell ", D86, ".", CHAR(10))</f>
        <v xml:space="preserve">Enter a value for '45L Energy Efficiency Home Credit' in cell B90.
</v>
      </c>
      <c r="G86" s="9" t="str">
        <f t="shared" ref="G86" ca="1" si="93">OFFSET(G86, -1, 0) &amp; A86</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Enter a value for 'Solar Tax Credits/ITC' in cell B88.
Enter a value for '45L Energy Efficiency Home Credit' in cell B90.
</v>
      </c>
    </row>
    <row r="87" spans="1:7" ht="15" customHeight="1">
      <c r="A87" t="str">
        <f t="shared" ref="A87:A89" ca="1" si="94">IF(E87="",F87, "")</f>
        <v/>
      </c>
      <c r="B87">
        <f>ROW(Application!A91)</f>
        <v>91</v>
      </c>
      <c r="C87" t="str">
        <f t="shared" ref="C87:C89" ca="1" si="95">INDIRECT($F$3 &amp; ADDRESS(B87, 1,4  ))</f>
        <v>Enter the Amount of the 45L EEH Credit</v>
      </c>
      <c r="D87" t="str">
        <f t="shared" ref="D87:D89" si="96">ADDRESS(B87, 2,4  )</f>
        <v>B91</v>
      </c>
      <c r="E87">
        <f t="shared" ref="E87:E89" ca="1" si="97">IF(ISBLANK( INDIRECT($F$3 &amp; D87)),"", INDIRECT($F$3 &amp; D87))</f>
        <v>0</v>
      </c>
      <c r="F87" t="str">
        <f t="shared" ref="F87:F89" ca="1" si="98">CONCATENATE("Enter a value for '", C87, "' in cell ", D87, ".", CHAR(10))</f>
        <v xml:space="preserve">Enter a value for 'Enter the Amount of the 45L EEH Credit' in cell B91.
</v>
      </c>
      <c r="G87" s="9" t="str">
        <f t="shared" ref="G87:G89" ca="1" si="99">OFFSET(G87, -1, 0) &amp; A87</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Enter a value for 'Solar Tax Credits/ITC' in cell B88.
Enter a value for '45L Energy Efficiency Home Credit' in cell B90.
</v>
      </c>
    </row>
    <row r="88" spans="1:7" ht="15" customHeight="1">
      <c r="A88" t="e">
        <f t="shared" ca="1" si="94"/>
        <v>#REF!</v>
      </c>
      <c r="B88" t="e">
        <f>ROW(Application!#REF!)</f>
        <v>#REF!</v>
      </c>
      <c r="C88" t="e">
        <f t="shared" ca="1" si="95"/>
        <v>#REF!</v>
      </c>
      <c r="D88" t="e">
        <f t="shared" si="96"/>
        <v>#REF!</v>
      </c>
      <c r="E88" t="e">
        <f t="shared" ca="1" si="97"/>
        <v>#REF!</v>
      </c>
      <c r="F88" t="e">
        <f t="shared" ca="1" si="98"/>
        <v>#REF!</v>
      </c>
      <c r="G88" s="9" t="e">
        <f t="shared" ca="1" si="99"/>
        <v>#REF!</v>
      </c>
    </row>
    <row r="89" spans="1:7" ht="15" customHeight="1">
      <c r="A89" t="e">
        <f t="shared" ca="1" si="94"/>
        <v>#REF!</v>
      </c>
      <c r="B89" t="e">
        <f>ROW(Application!#REF!)</f>
        <v>#REF!</v>
      </c>
      <c r="C89" t="e">
        <f t="shared" ca="1" si="95"/>
        <v>#REF!</v>
      </c>
      <c r="D89" t="e">
        <f t="shared" si="96"/>
        <v>#REF!</v>
      </c>
      <c r="E89" t="e">
        <f t="shared" ca="1" si="97"/>
        <v>#REF!</v>
      </c>
      <c r="F89" t="e">
        <f t="shared" ca="1" si="98"/>
        <v>#REF!</v>
      </c>
      <c r="G89" s="9" t="e">
        <f t="shared" ca="1" si="99"/>
        <v>#REF!</v>
      </c>
    </row>
    <row r="90" spans="1:7" ht="15" customHeight="1">
      <c r="A90" t="str">
        <f t="shared" ca="1" si="87"/>
        <v xml:space="preserve">Enter a value for '100% Project-based rental assistance (HAP Contract)' in cell B92.
</v>
      </c>
      <c r="B90">
        <f>ROW(Application!A92)</f>
        <v>92</v>
      </c>
      <c r="C90" t="str">
        <f t="shared" ref="C90:C91" ca="1" si="100">INDIRECT($F$3 &amp; ADDRESS(B90, 1,4  ))</f>
        <v>100% Project-based rental assistance (HAP Contract)</v>
      </c>
      <c r="D90" t="str">
        <f t="shared" ref="D90:D91" si="101">ADDRESS(B90, 2,4  )</f>
        <v>B92</v>
      </c>
      <c r="E90" t="str">
        <f t="shared" ref="E90:E91" ca="1" si="102">IF(ISBLANK( INDIRECT($F$3 &amp; D90)),"", INDIRECT($F$3 &amp; D90))</f>
        <v/>
      </c>
      <c r="F90" t="str">
        <f t="shared" ref="F90:F91" ca="1" si="103">CONCATENATE("Enter a value for '", C90, "' in cell ", D90, ".", CHAR(10))</f>
        <v xml:space="preserve">Enter a value for '100% Project-based rental assistance (HAP Contract)' in cell B92.
</v>
      </c>
      <c r="G90" s="9" t="e">
        <f t="shared" ca="1" si="70"/>
        <v>#REF!</v>
      </c>
    </row>
    <row r="91" spans="1:7" ht="15" customHeight="1">
      <c r="A91" t="str">
        <f t="shared" ca="1" si="87"/>
        <v xml:space="preserve">Enter a value for 'McKinney Act Homeless Funding' in cell B93.
</v>
      </c>
      <c r="B91">
        <f>ROW(Application!A93)</f>
        <v>93</v>
      </c>
      <c r="C91" t="str">
        <f t="shared" ca="1" si="100"/>
        <v>McKinney Act Homeless Funding</v>
      </c>
      <c r="D91" t="str">
        <f t="shared" si="101"/>
        <v>B93</v>
      </c>
      <c r="E91" t="str">
        <f t="shared" ca="1" si="102"/>
        <v/>
      </c>
      <c r="F91" t="str">
        <f t="shared" ca="1" si="103"/>
        <v xml:space="preserve">Enter a value for 'McKinney Act Homeless Funding' in cell B93.
</v>
      </c>
      <c r="G91" s="9" t="e">
        <f t="shared" ca="1" si="70"/>
        <v>#REF!</v>
      </c>
    </row>
    <row r="92" spans="1:7" ht="15" customHeight="1">
      <c r="A92" t="str">
        <f t="shared" ca="1" si="87"/>
        <v xml:space="preserve">Enter a value for 'HOME Funding' in cell B94.
</v>
      </c>
      <c r="B92">
        <f>ROW(Application!A94)</f>
        <v>94</v>
      </c>
      <c r="C92" t="str">
        <f t="shared" ca="1" si="66"/>
        <v>HOME Funding</v>
      </c>
      <c r="D92" t="str">
        <f t="shared" si="67"/>
        <v>B94</v>
      </c>
      <c r="E92" t="str">
        <f t="shared" ca="1" si="68"/>
        <v/>
      </c>
      <c r="F92" t="str">
        <f t="shared" ca="1" si="79"/>
        <v xml:space="preserve">Enter a value for 'HOME Funding' in cell B94.
</v>
      </c>
      <c r="G92" s="9" t="e">
        <f t="shared" ca="1" si="70"/>
        <v>#REF!</v>
      </c>
    </row>
    <row r="93" spans="1:7" ht="15" customHeight="1">
      <c r="A93" t="str">
        <f t="shared" ca="1" si="87"/>
        <v xml:space="preserve">Enter a value for 'CDBG DR Funding' in cell B95.
</v>
      </c>
      <c r="B93">
        <f>ROW(Application!A95)</f>
        <v>95</v>
      </c>
      <c r="C93" t="str">
        <f t="shared" ca="1" si="66"/>
        <v>CDBG DR Funding</v>
      </c>
      <c r="D93" t="str">
        <f t="shared" si="67"/>
        <v>B95</v>
      </c>
      <c r="E93" t="str">
        <f t="shared" ca="1" si="68"/>
        <v/>
      </c>
      <c r="F93" t="str">
        <f t="shared" ca="1" si="79"/>
        <v xml:space="preserve">Enter a value for 'CDBG DR Funding' in cell B95.
</v>
      </c>
      <c r="G93" s="9" t="e">
        <f t="shared" ca="1" si="70"/>
        <v>#REF!</v>
      </c>
    </row>
    <row r="94" spans="1:7" ht="15" customHeight="1">
      <c r="A94" t="str">
        <f t="shared" ca="1" si="87"/>
        <v xml:space="preserve">Enter a value for 'FHLB Affordable Housing Program Funding' in cell B96.
</v>
      </c>
      <c r="B94">
        <f>ROW(Application!A96)</f>
        <v>96</v>
      </c>
      <c r="C94" t="str">
        <f t="shared" ca="1" si="66"/>
        <v>FHLB Affordable Housing Program Funding</v>
      </c>
      <c r="D94" t="str">
        <f t="shared" si="67"/>
        <v>B96</v>
      </c>
      <c r="E94" t="str">
        <f t="shared" ca="1" si="68"/>
        <v/>
      </c>
      <c r="F94" t="str">
        <f t="shared" ca="1" si="79"/>
        <v xml:space="preserve">Enter a value for 'FHLB Affordable Housing Program Funding' in cell B96.
</v>
      </c>
      <c r="G94" s="9" t="e">
        <f t="shared" ref="G94:G98" ca="1" si="104">OFFSET(G94, -1, 0) &amp; A94</f>
        <v>#REF!</v>
      </c>
    </row>
    <row r="95" spans="1:7" ht="15" customHeight="1">
      <c r="A95" t="str">
        <f t="shared" ca="1" si="87"/>
        <v xml:space="preserve">Enter a value for 'CDBG Funding' in cell B97.
</v>
      </c>
      <c r="B95">
        <f>ROW(Application!A97)</f>
        <v>97</v>
      </c>
      <c r="C95" t="str">
        <f t="shared" ca="1" si="66"/>
        <v>CDBG Funding</v>
      </c>
      <c r="D95" t="str">
        <f t="shared" si="67"/>
        <v>B97</v>
      </c>
      <c r="E95" t="str">
        <f t="shared" ca="1" si="68"/>
        <v/>
      </c>
      <c r="F95" t="str">
        <f t="shared" ca="1" si="79"/>
        <v xml:space="preserve">Enter a value for 'CDBG Funding' in cell B97.
</v>
      </c>
      <c r="G95" s="9" t="e">
        <f t="shared" ca="1" si="104"/>
        <v>#REF!</v>
      </c>
    </row>
    <row r="96" spans="1:7" ht="15" customHeight="1">
      <c r="A96" t="str">
        <f ca="1">IF(E96="",F96, "")</f>
        <v xml:space="preserve">Enter a value for 'Project-based Vouchers' in cell B98.
</v>
      </c>
      <c r="B96">
        <f>ROW(Application!A98)</f>
        <v>98</v>
      </c>
      <c r="C96" t="str">
        <f t="shared" ca="1" si="66"/>
        <v>Project-based Vouchers</v>
      </c>
      <c r="D96" t="str">
        <f t="shared" si="67"/>
        <v>B98</v>
      </c>
      <c r="E96" t="str">
        <f t="shared" ca="1" si="68"/>
        <v/>
      </c>
      <c r="F96" t="str">
        <f ca="1">CONCATENATE("Enter a value for '", C96, "' in cell ", D96, ".", CHAR(10))</f>
        <v xml:space="preserve">Enter a value for 'Project-based Vouchers' in cell B98.
</v>
      </c>
      <c r="G96" s="9" t="e">
        <f t="shared" ca="1" si="104"/>
        <v>#REF!</v>
      </c>
    </row>
    <row r="97" spans="1:8" ht="15" customHeight="1">
      <c r="A97" t="str">
        <f ca="1">IF(E97="",F97, "")</f>
        <v/>
      </c>
      <c r="B97">
        <f>ROW(Application!A99)</f>
        <v>99</v>
      </c>
      <c r="C97" t="str">
        <f t="shared" ca="1" si="66"/>
        <v xml:space="preserve">Enter the Number of Project-based Vouchers  </v>
      </c>
      <c r="D97" t="str">
        <f t="shared" si="67"/>
        <v>B99</v>
      </c>
      <c r="E97">
        <f t="shared" ca="1" si="68"/>
        <v>0</v>
      </c>
      <c r="F97" t="str">
        <f ca="1">CONCATENATE("Enter a value for '", C97, "' in cell ", D97, ".", CHAR(10))</f>
        <v xml:space="preserve">Enter a value for 'Enter the Number of Project-based Vouchers  ' in cell B99.
</v>
      </c>
      <c r="G97" s="9" t="e">
        <f t="shared" ca="1" si="104"/>
        <v>#REF!</v>
      </c>
    </row>
    <row r="98" spans="1:8" ht="15" customHeight="1">
      <c r="A98" t="str">
        <f ca="1">IF(E98="",F98, "")</f>
        <v xml:space="preserve">Enter a value for 'State Funds - HDG' in cell B100.
</v>
      </c>
      <c r="B98">
        <f>ROW(Application!A100)</f>
        <v>100</v>
      </c>
      <c r="C98" t="str">
        <f t="shared" ca="1" si="66"/>
        <v>State Funds - HDG</v>
      </c>
      <c r="D98" t="str">
        <f t="shared" si="67"/>
        <v>B100</v>
      </c>
      <c r="E98" t="str">
        <f t="shared" ca="1" si="68"/>
        <v/>
      </c>
      <c r="F98" t="str">
        <f ca="1">CONCATENATE("Enter a value for '", C98, "' in cell ", D98, ".", CHAR(10))</f>
        <v xml:space="preserve">Enter a value for 'State Funds - HDG' in cell B100.
</v>
      </c>
      <c r="G98" s="9" t="e">
        <f t="shared" ca="1" si="104"/>
        <v>#REF!</v>
      </c>
    </row>
    <row r="99" spans="1:8" ht="15" customHeight="1">
      <c r="A99" t="str">
        <f t="shared" ref="A99:A101" ca="1" si="105">IF(E99="",F99, "")</f>
        <v xml:space="preserve">Enter a value for 'State Funds - HSP' in cell B101.
</v>
      </c>
      <c r="B99">
        <f>ROW(Application!A101)</f>
        <v>101</v>
      </c>
      <c r="C99" t="str">
        <f t="shared" ref="C99:C102" ca="1" si="106">INDIRECT($F$3 &amp; ADDRESS(B99, 1,4  ))</f>
        <v>State Funds - HSP</v>
      </c>
      <c r="D99" t="str">
        <f t="shared" ref="D99:D102" si="107">ADDRESS(B99, 2,4  )</f>
        <v>B101</v>
      </c>
      <c r="E99" t="str">
        <f t="shared" ref="E99:E102" ca="1" si="108">IF(ISBLANK( INDIRECT($F$3 &amp; D99)),"", INDIRECT($F$3 &amp; D99))</f>
        <v/>
      </c>
      <c r="F99" t="str">
        <f t="shared" ref="F99:F101" ca="1" si="109">CONCATENATE("Enter a value for '", C99, "' in cell ", D99, ".", CHAR(10))</f>
        <v xml:space="preserve">Enter a value for 'State Funds - HSP' in cell B101.
</v>
      </c>
      <c r="G99" s="9" t="e">
        <f t="shared" ref="G99:G102" ca="1" si="110">OFFSET(G99, -1, 0) &amp; A99</f>
        <v>#REF!</v>
      </c>
    </row>
    <row r="100" spans="1:8" ht="15" customHeight="1">
      <c r="A100" t="str">
        <f t="shared" ca="1" si="105"/>
        <v xml:space="preserve">Enter a value for 'State Funds - DOH Vouchers' in cell B102.
</v>
      </c>
      <c r="B100">
        <f>ROW(Application!A102)</f>
        <v>102</v>
      </c>
      <c r="C100" t="str">
        <f t="shared" ca="1" si="106"/>
        <v>State Funds - DOH Vouchers</v>
      </c>
      <c r="D100" t="str">
        <f t="shared" si="107"/>
        <v>B102</v>
      </c>
      <c r="E100" t="str">
        <f t="shared" ca="1" si="108"/>
        <v/>
      </c>
      <c r="F100" t="str">
        <f t="shared" ca="1" si="109"/>
        <v xml:space="preserve">Enter a value for 'State Funds - DOH Vouchers' in cell B102.
</v>
      </c>
      <c r="G100" s="9" t="e">
        <f t="shared" ca="1" si="110"/>
        <v>#REF!</v>
      </c>
    </row>
    <row r="101" spans="1:8" ht="15" customHeight="1">
      <c r="A101" t="str">
        <f t="shared" ca="1" si="105"/>
        <v xml:space="preserve">Enter a value for 'Additional 5% Developer Fee Boost for PSH Units' in cell B107.
</v>
      </c>
      <c r="B101">
        <f>ROW(Application!A107)</f>
        <v>107</v>
      </c>
      <c r="C101" t="str">
        <f t="shared" ca="1" si="106"/>
        <v>Additional 5% Developer Fee Boost for PSH Units</v>
      </c>
      <c r="D101" t="str">
        <f t="shared" si="107"/>
        <v>B107</v>
      </c>
      <c r="E101" t="str">
        <f t="shared" ca="1" si="108"/>
        <v/>
      </c>
      <c r="F101" t="str">
        <f t="shared" ca="1" si="109"/>
        <v xml:space="preserve">Enter a value for 'Additional 5% Developer Fee Boost for PSH Units' in cell B107.
</v>
      </c>
      <c r="G101" t="e">
        <f t="shared" ca="1" si="110"/>
        <v>#REF!</v>
      </c>
    </row>
    <row r="102" spans="1:8" ht="15" customHeight="1">
      <c r="A102" t="str">
        <f ca="1">IF(AND(E102="Yes", E108=0),F102, "")</f>
        <v/>
      </c>
      <c r="B102">
        <f>ROW(Application!A107)</f>
        <v>107</v>
      </c>
      <c r="C102" t="str">
        <f t="shared" ca="1" si="106"/>
        <v>Additional 5% Developer Fee Boost for PSH Units</v>
      </c>
      <c r="D102" t="str">
        <f t="shared" si="107"/>
        <v>B107</v>
      </c>
      <c r="E102" t="str">
        <f t="shared" ca="1" si="108"/>
        <v/>
      </c>
      <c r="F102" t="str">
        <f ca="1">CONCATENATE("A 'Yes' value for '", C102, "' in cell ", D102, " is not permitted unless units are targeting PSH in cell ", D108, ".", CHAR(10))</f>
        <v xml:space="preserve">A 'Yes' value for 'Additional 5% Developer Fee Boost for PSH Units' in cell B107 is not permitted unless units are targeting PSH in cell B114.
</v>
      </c>
      <c r="G102" t="e">
        <f t="shared" ca="1" si="110"/>
        <v>#REF!</v>
      </c>
    </row>
    <row r="103" spans="1:8" ht="15" customHeight="1">
      <c r="A103" t="str">
        <f t="shared" ref="A103:A123" ca="1" si="111">IF(E103="",F103, "")</f>
        <v/>
      </c>
      <c r="B103">
        <f>ROW(Application!A109)</f>
        <v>109</v>
      </c>
      <c r="C103" t="str">
        <f t="shared" ref="C103:C123" ca="1" si="112">INDIRECT($F$3 &amp; ADDRESS(B103, 1,4  ))</f>
        <v>Special Populations</v>
      </c>
      <c r="D103" t="str">
        <f t="shared" ref="D103:D123" si="113">ADDRESS(B103, 2,4  )</f>
        <v>B109</v>
      </c>
      <c r="E103">
        <f t="shared" ref="E103:E127" ca="1" si="114">IF(ISBLANK( INDIRECT($F$3 &amp; D103)),"", INDIRECT($F$3 &amp; D103))</f>
        <v>0</v>
      </c>
      <c r="F103" t="str">
        <f t="shared" ref="F103:F107" ca="1" si="115">CONCATENATE("Enter a value for '", C103, "' in cell ", D103, ".", CHAR(10))</f>
        <v xml:space="preserve">Enter a value for 'Special Populations' in cell B109.
</v>
      </c>
      <c r="G103" s="9" t="e">
        <f t="shared" ref="G103:G127" ca="1" si="116">OFFSET(G103, -1, 0) &amp; A103</f>
        <v>#REF!</v>
      </c>
    </row>
    <row r="104" spans="1:8" ht="15" customHeight="1">
      <c r="A104" t="str">
        <f t="shared" ca="1" si="111"/>
        <v/>
      </c>
      <c r="B104">
        <f>ROW(Application!A110)</f>
        <v>110</v>
      </c>
      <c r="C104" t="str">
        <f t="shared" ca="1" si="112"/>
        <v>Family</v>
      </c>
      <c r="D104" t="str">
        <f t="shared" si="113"/>
        <v>B110</v>
      </c>
      <c r="E104">
        <f t="shared" ca="1" si="114"/>
        <v>0</v>
      </c>
      <c r="F104" t="str">
        <f t="shared" ca="1" si="115"/>
        <v xml:space="preserve">Enter a value for 'Family' in cell B110.
</v>
      </c>
      <c r="G104" s="9" t="e">
        <f t="shared" ca="1" si="116"/>
        <v>#REF!</v>
      </c>
    </row>
    <row r="105" spans="1:8" ht="15" customHeight="1">
      <c r="A105" t="str">
        <f t="shared" ca="1" si="111"/>
        <v/>
      </c>
      <c r="B105">
        <f>ROW(Application!A111)</f>
        <v>111</v>
      </c>
      <c r="C105" t="str">
        <f t="shared" ca="1" si="112"/>
        <v>Homeless (not PSH)</v>
      </c>
      <c r="D105" t="str">
        <f t="shared" si="113"/>
        <v>B111</v>
      </c>
      <c r="E105">
        <f t="shared" ca="1" si="114"/>
        <v>0</v>
      </c>
      <c r="F105" t="str">
        <f t="shared" ca="1" si="115"/>
        <v xml:space="preserve">Enter a value for 'Homeless (not PSH)' in cell B111.
</v>
      </c>
      <c r="G105" s="9" t="e">
        <f t="shared" ca="1" si="116"/>
        <v>#REF!</v>
      </c>
    </row>
    <row r="106" spans="1:8" ht="15" customHeight="1">
      <c r="A106" t="str">
        <f t="shared" ca="1" si="111"/>
        <v/>
      </c>
      <c r="B106">
        <f>ROW(Application!A112)</f>
        <v>112</v>
      </c>
      <c r="C106" t="str">
        <f t="shared" ca="1" si="112"/>
        <v>Older Adult</v>
      </c>
      <c r="D106" t="str">
        <f t="shared" si="113"/>
        <v>B112</v>
      </c>
      <c r="E106">
        <f t="shared" ca="1" si="114"/>
        <v>0</v>
      </c>
      <c r="F106" t="str">
        <f t="shared" ca="1" si="115"/>
        <v xml:space="preserve">Enter a value for 'Older Adult' in cell B112.
</v>
      </c>
      <c r="G106" s="9" t="e">
        <f t="shared" ca="1" si="116"/>
        <v>#REF!</v>
      </c>
    </row>
    <row r="107" spans="1:8" ht="15" customHeight="1">
      <c r="A107" t="str">
        <f t="shared" ca="1" si="111"/>
        <v/>
      </c>
      <c r="B107">
        <f>ROW(Application!A113)</f>
        <v>113</v>
      </c>
      <c r="C107" t="str">
        <f t="shared" ca="1" si="112"/>
        <v>Veterans</v>
      </c>
      <c r="D107" t="str">
        <f t="shared" si="113"/>
        <v>B113</v>
      </c>
      <c r="E107">
        <f t="shared" ca="1" si="114"/>
        <v>0</v>
      </c>
      <c r="F107" t="str">
        <f t="shared" ca="1" si="115"/>
        <v xml:space="preserve">Enter a value for 'Veterans' in cell B113.
</v>
      </c>
      <c r="G107" s="9" t="e">
        <f t="shared" ca="1" si="116"/>
        <v>#REF!</v>
      </c>
    </row>
    <row r="108" spans="1:8" ht="15" customHeight="1">
      <c r="A108" t="str">
        <f t="shared" ref="A108" ca="1" si="117">IF(E108="",F108, "")</f>
        <v/>
      </c>
      <c r="B108">
        <f>ROW(Application!A114)</f>
        <v>114</v>
      </c>
      <c r="C108" t="str">
        <f t="shared" ref="C108" ca="1" si="118">INDIRECT($F$3 &amp; ADDRESS(B108, 1,4  ))</f>
        <v xml:space="preserve">Permanent Supportive Housing </v>
      </c>
      <c r="D108" t="str">
        <f t="shared" ref="D108" si="119">ADDRESS(B108, 2,4  )</f>
        <v>B114</v>
      </c>
      <c r="E108">
        <f t="shared" ref="E108" ca="1" si="120">IF(ISBLANK( INDIRECT($F$3 &amp; D108)),"", INDIRECT($F$3 &amp; D108))</f>
        <v>0</v>
      </c>
      <c r="F108" t="str">
        <f t="shared" ref="F108" ca="1" si="121">CONCATENATE("Enter a value for '", C108, "' in cell ", D108, ".", CHAR(10))</f>
        <v xml:space="preserve">Enter a value for 'Permanent Supportive Housing ' in cell B114.
</v>
      </c>
      <c r="G108" s="9" t="e">
        <f t="shared" ref="G108" ca="1" si="122">OFFSET(G108, -1, 0) &amp; A108</f>
        <v>#REF!</v>
      </c>
    </row>
    <row r="109" spans="1:8" ht="15" customHeight="1">
      <c r="A109" t="str">
        <f ca="1">IF(AND(OR(E109="", E109=0), H109),F109, "")</f>
        <v/>
      </c>
      <c r="B109">
        <v>116</v>
      </c>
      <c r="C109" t="str">
        <f ca="1">INDIRECT($F$3 &amp; ADDRESS(B109, 1,4  ))</f>
        <v>New Construction</v>
      </c>
      <c r="D109" t="str">
        <f>ADDRESS(B109, 2,4  )</f>
        <v>B116</v>
      </c>
      <c r="E109">
        <f ca="1">IF(ISBLANK( INDIRECT($F$3 &amp; D109)),"", INDIRECT($F$3 &amp; D109))</f>
        <v>0</v>
      </c>
      <c r="F109" t="str">
        <f ca="1">CONCATENATE("Enter a value for '", C109, "' in cell ", D109, ".", CHAR(10))</f>
        <v xml:space="preserve">Enter a value for 'New Construction' in cell B116.
</v>
      </c>
      <c r="G109" s="9" t="e">
        <f ca="1">OFFSET(G109, -1, 0) &amp; A109</f>
        <v>#REF!</v>
      </c>
      <c r="H109" t="b">
        <f>AND(Calculations!B8,Calculations!B9)</f>
        <v>0</v>
      </c>
    </row>
    <row r="110" spans="1:8" ht="15" customHeight="1">
      <c r="A110" t="str">
        <f ca="1">IF(AND(OR(E110="", E110=0), H110),F110, "")</f>
        <v/>
      </c>
      <c r="B110">
        <v>117</v>
      </c>
      <c r="C110" t="str">
        <f ca="1">INDIRECT($F$3 &amp; ADDRESS(B110, 1,4  ))</f>
        <v>Acq/Rehab or Rehab</v>
      </c>
      <c r="D110" t="str">
        <f>ADDRESS(B110, 2,4  )</f>
        <v>B117</v>
      </c>
      <c r="E110">
        <f ca="1">IF(ISBLANK( INDIRECT($F$3 &amp; D110)),"", INDIRECT($F$3 &amp; D110))</f>
        <v>0</v>
      </c>
      <c r="F110" t="str">
        <f ca="1">CONCATENATE("Enter a value for '", C110, "' in cell ", D110, ".", CHAR(10))</f>
        <v xml:space="preserve">Enter a value for 'Acq/Rehab or Rehab' in cell B117.
</v>
      </c>
      <c r="G110" s="9" t="e">
        <f ca="1">OFFSET(G110, -1, 0) &amp; A110</f>
        <v>#REF!</v>
      </c>
      <c r="H110" t="b">
        <f>AND(Calculations!B8,Calculations!B9)</f>
        <v>0</v>
      </c>
    </row>
    <row r="111" spans="1:8" ht="15" customHeight="1">
      <c r="A111" t="str">
        <f t="shared" ca="1" si="111"/>
        <v xml:space="preserve">Enter a date for 'Letter of Intent &amp; Market Analyst Engagement Letter to CHFA' in cell B121.
</v>
      </c>
      <c r="B111">
        <f>ROW(Application!A121)</f>
        <v>121</v>
      </c>
      <c r="C111" t="str">
        <f t="shared" ca="1" si="112"/>
        <v>Letter of Intent &amp; Market Analyst Engagement Letter to CHFA</v>
      </c>
      <c r="D111" t="str">
        <f t="shared" si="113"/>
        <v>B121</v>
      </c>
      <c r="E111" t="str">
        <f t="shared" ca="1" si="114"/>
        <v/>
      </c>
      <c r="F111" t="str">
        <f t="shared" ref="F111:F125" ca="1" si="123">CONCATENATE("Enter a date for '", C111, "' in cell ", D111, ".", CHAR(10))</f>
        <v xml:space="preserve">Enter a date for 'Letter of Intent &amp; Market Analyst Engagement Letter to CHFA' in cell B121.
</v>
      </c>
      <c r="G111" s="9" t="e">
        <f t="shared" ca="1" si="116"/>
        <v>#REF!</v>
      </c>
      <c r="H111" t="s">
        <v>3803</v>
      </c>
    </row>
    <row r="112" spans="1:8" ht="15" customHeight="1">
      <c r="A112" t="str">
        <f t="shared" ca="1" si="111"/>
        <v xml:space="preserve">Enter a date for 'Submit Housing Credit Application &amp; Market Study to CHFA' in cell B122.
</v>
      </c>
      <c r="B112">
        <f>ROW(Application!A122)</f>
        <v>122</v>
      </c>
      <c r="C112" t="str">
        <f t="shared" ca="1" si="112"/>
        <v>Submit Housing Credit Application &amp; Market Study to CHFA</v>
      </c>
      <c r="D112" t="str">
        <f t="shared" si="113"/>
        <v>B122</v>
      </c>
      <c r="E112" t="str">
        <f t="shared" ca="1" si="114"/>
        <v/>
      </c>
      <c r="F112" t="str">
        <f t="shared" ca="1" si="123"/>
        <v xml:space="preserve">Enter a date for 'Submit Housing Credit Application &amp; Market Study to CHFA' in cell B122.
</v>
      </c>
      <c r="G112" s="9" t="e">
        <f t="shared" ca="1" si="116"/>
        <v>#REF!</v>
      </c>
      <c r="H112" t="b">
        <f>Application!B74="Yes"</f>
        <v>0</v>
      </c>
    </row>
    <row r="113" spans="1:8" ht="15" customHeight="1">
      <c r="A113" t="str">
        <f t="shared" ca="1" si="111"/>
        <v xml:space="preserve">Enter a date for 'Housing Credit Application Approval/Reservation' in cell B123.
</v>
      </c>
      <c r="B113">
        <f>ROW(Application!A123)</f>
        <v>123</v>
      </c>
      <c r="C113" t="str">
        <f t="shared" ca="1" si="112"/>
        <v>Housing Credit Application Approval/Reservation</v>
      </c>
      <c r="D113" t="str">
        <f t="shared" si="113"/>
        <v>B123</v>
      </c>
      <c r="E113" t="str">
        <f t="shared" ca="1" si="114"/>
        <v/>
      </c>
      <c r="F113" t="str">
        <f t="shared" ca="1" si="123"/>
        <v xml:space="preserve">Enter a date for 'Housing Credit Application Approval/Reservation' in cell B123.
</v>
      </c>
      <c r="G113" s="9" t="e">
        <f t="shared" ca="1" si="116"/>
        <v>#REF!</v>
      </c>
    </row>
    <row r="114" spans="1:8" ht="15" customHeight="1">
      <c r="A114" t="str">
        <f ca="1">IF(AND(E114="", $H$112),F114, "")</f>
        <v/>
      </c>
      <c r="B114">
        <f>ROW(Application!A125)</f>
        <v>125</v>
      </c>
      <c r="C114" t="str">
        <f t="shared" ca="1" si="112"/>
        <v>Inducement Resolution</v>
      </c>
      <c r="D114" t="str">
        <f t="shared" si="113"/>
        <v>B125</v>
      </c>
      <c r="E114" t="str">
        <f t="shared" ca="1" si="114"/>
        <v/>
      </c>
      <c r="F114" t="str">
        <f t="shared" ca="1" si="123"/>
        <v xml:space="preserve">Enter a date for 'Inducement Resolution' in cell B125.
</v>
      </c>
      <c r="G114" s="9" t="e">
        <f t="shared" ca="1" si="116"/>
        <v>#REF!</v>
      </c>
    </row>
    <row r="115" spans="1:8" ht="15" customHeight="1">
      <c r="A115" t="str">
        <f ca="1">IF(AND(E115="", $H$112),F115, "")</f>
        <v/>
      </c>
      <c r="B115">
        <f>ROW(Application!A126)</f>
        <v>126</v>
      </c>
      <c r="C115" t="str">
        <f t="shared" ca="1" si="112"/>
        <v>Final Authorizing Resolution</v>
      </c>
      <c r="D115" t="str">
        <f t="shared" si="113"/>
        <v>B126</v>
      </c>
      <c r="E115" t="str">
        <f t="shared" ca="1" si="114"/>
        <v/>
      </c>
      <c r="F115" t="str">
        <f t="shared" ca="1" si="123"/>
        <v xml:space="preserve">Enter a date for 'Final Authorizing Resolution' in cell B126.
</v>
      </c>
      <c r="G115" s="9" t="e">
        <f t="shared" ca="1" si="116"/>
        <v>#REF!</v>
      </c>
    </row>
    <row r="116" spans="1:8" ht="15" customHeight="1">
      <c r="A116" t="str">
        <f ca="1">IF(AND(E116="", $H$112),F116, "")</f>
        <v/>
      </c>
      <c r="B116">
        <f>ROW(Application!A127)</f>
        <v>127</v>
      </c>
      <c r="C116" t="str">
        <f t="shared" ca="1" si="112"/>
        <v>Construction Loan Closing</v>
      </c>
      <c r="D116" t="str">
        <f t="shared" si="113"/>
        <v>B127</v>
      </c>
      <c r="E116" t="str">
        <f t="shared" ca="1" si="114"/>
        <v/>
      </c>
      <c r="F116" t="str">
        <f t="shared" ca="1" si="123"/>
        <v xml:space="preserve">Enter a date for 'Construction Loan Closing' in cell B127.
</v>
      </c>
      <c r="G116" s="9" t="e">
        <f t="shared" ca="1" si="116"/>
        <v>#REF!</v>
      </c>
    </row>
    <row r="117" spans="1:8" ht="15" customHeight="1">
      <c r="A117" t="str">
        <f t="shared" ca="1" si="111"/>
        <v xml:space="preserve">Enter a date for 'Close Acquisition (if applicable)' in cell B128.
</v>
      </c>
      <c r="B117">
        <f>ROW(Application!A128)</f>
        <v>128</v>
      </c>
      <c r="C117" t="str">
        <f t="shared" ca="1" si="112"/>
        <v>Close Acquisition (if applicable)</v>
      </c>
      <c r="D117" t="str">
        <f t="shared" si="113"/>
        <v>B128</v>
      </c>
      <c r="E117" t="str">
        <f t="shared" ca="1" si="114"/>
        <v/>
      </c>
      <c r="F117" t="str">
        <f t="shared" ca="1" si="123"/>
        <v xml:space="preserve">Enter a date for 'Close Acquisition (if applicable)' in cell B128.
</v>
      </c>
      <c r="G117" s="9" t="e">
        <f t="shared" ca="1" si="116"/>
        <v>#REF!</v>
      </c>
    </row>
    <row r="118" spans="1:8" ht="15" customHeight="1">
      <c r="A118" t="str">
        <f t="shared" ca="1" si="111"/>
        <v xml:space="preserve">Enter a date for 'All Loans Closed' in cell B129.
</v>
      </c>
      <c r="B118">
        <f>ROW(Application!A129)</f>
        <v>129</v>
      </c>
      <c r="C118" t="str">
        <f t="shared" ca="1" si="112"/>
        <v>All Loans Closed</v>
      </c>
      <c r="D118" t="str">
        <f t="shared" si="113"/>
        <v>B129</v>
      </c>
      <c r="E118" t="str">
        <f t="shared" ca="1" si="114"/>
        <v/>
      </c>
      <c r="F118" t="str">
        <f t="shared" ca="1" si="123"/>
        <v xml:space="preserve">Enter a date for 'All Loans Closed' in cell B129.
</v>
      </c>
      <c r="G118" s="9" t="e">
        <f t="shared" ca="1" si="116"/>
        <v>#REF!</v>
      </c>
    </row>
    <row r="119" spans="1:8" ht="15" customHeight="1">
      <c r="A119" t="str">
        <f t="shared" ca="1" si="111"/>
        <v xml:space="preserve">Enter a date for 'Execute Partnership Agreement' in cell B130.
</v>
      </c>
      <c r="B119">
        <f>ROW(Application!A130)</f>
        <v>130</v>
      </c>
      <c r="C119" t="str">
        <f t="shared" ca="1" si="112"/>
        <v>Execute Partnership Agreement</v>
      </c>
      <c r="D119" t="str">
        <f t="shared" si="113"/>
        <v>B130</v>
      </c>
      <c r="E119" t="str">
        <f t="shared" ca="1" si="114"/>
        <v/>
      </c>
      <c r="F119" t="str">
        <f t="shared" ca="1" si="123"/>
        <v xml:space="preserve">Enter a date for 'Execute Partnership Agreement' in cell B130.
</v>
      </c>
      <c r="G119" s="9" t="e">
        <f t="shared" ca="1" si="116"/>
        <v>#REF!</v>
      </c>
    </row>
    <row r="120" spans="1:8" ht="15" customHeight="1">
      <c r="A120" t="str">
        <f ca="1">IF(AND(E120="",$H$112=FALSE),F120, "")</f>
        <v xml:space="preserve">Enter a date for 'Submit Carryover Application for 9% Project' in cell B131.
</v>
      </c>
      <c r="B120">
        <f>ROW(Application!A131)</f>
        <v>131</v>
      </c>
      <c r="C120" t="str">
        <f t="shared" ca="1" si="112"/>
        <v>Submit Carryover Application for 9% Project</v>
      </c>
      <c r="D120" t="str">
        <f t="shared" si="113"/>
        <v>B131</v>
      </c>
      <c r="E120" t="str">
        <f t="shared" ca="1" si="114"/>
        <v/>
      </c>
      <c r="F120" t="str">
        <f t="shared" ca="1" si="123"/>
        <v xml:space="preserve">Enter a date for 'Submit Carryover Application for 9% Project' in cell B131.
</v>
      </c>
      <c r="G120" s="9" t="e">
        <f t="shared" ca="1" si="116"/>
        <v>#REF!</v>
      </c>
    </row>
    <row r="121" spans="1:8" s="365" customFormat="1" ht="15" customHeight="1">
      <c r="A121" s="365" t="str">
        <f ca="1">IF(AND(E121="",Calculations!B10),F121, "")</f>
        <v/>
      </c>
      <c r="B121" s="365">
        <f>ROW(Application!A132)</f>
        <v>132</v>
      </c>
      <c r="C121" s="365" t="str">
        <f t="shared" ref="C121" ca="1" si="124">INDIRECT($F$3 &amp; ADDRESS(B121, 1,4  ))</f>
        <v>Submit Milestone Documention for State AHTC</v>
      </c>
      <c r="D121" s="365" t="str">
        <f t="shared" ref="D121" si="125">ADDRESS(B121, 2,4  )</f>
        <v>B132</v>
      </c>
      <c r="E121" s="365" t="str">
        <f t="shared" ca="1" si="114"/>
        <v/>
      </c>
      <c r="F121" s="365" t="str">
        <f t="shared" ca="1" si="123"/>
        <v xml:space="preserve">Enter a date for 'Submit Milestone Documention for State AHTC' in cell B132.
</v>
      </c>
      <c r="G121" s="858" t="e">
        <f t="shared" ca="1" si="116"/>
        <v>#REF!</v>
      </c>
      <c r="H121" s="365" t="s">
        <v>3804</v>
      </c>
    </row>
    <row r="122" spans="1:8" ht="15" customHeight="1">
      <c r="A122" t="str">
        <f t="shared" ca="1" si="111"/>
        <v xml:space="preserve">Enter a date for 'Complete Construction Drawings approved by Planning/Building Dept.' in cell B134.
</v>
      </c>
      <c r="B122">
        <f>ROW(Application!A134)</f>
        <v>134</v>
      </c>
      <c r="C122" t="str">
        <f t="shared" ca="1" si="112"/>
        <v>Complete Construction Drawings approved by Planning/Building Dept.</v>
      </c>
      <c r="D122" t="str">
        <f t="shared" si="113"/>
        <v>B134</v>
      </c>
      <c r="E122" t="str">
        <f t="shared" ca="1" si="114"/>
        <v/>
      </c>
      <c r="F122" t="str">
        <f t="shared" ca="1" si="123"/>
        <v xml:space="preserve">Enter a date for 'Complete Construction Drawings approved by Planning/Building Dept.' in cell B134.
</v>
      </c>
      <c r="G122" s="9" t="e">
        <f t="shared" ca="1" si="116"/>
        <v>#REF!</v>
      </c>
    </row>
    <row r="123" spans="1:8" ht="15" customHeight="1">
      <c r="A123" t="str">
        <f t="shared" ca="1" si="111"/>
        <v xml:space="preserve">Enter a date for 'Final Site Plan Approval' in cell B135.
</v>
      </c>
      <c r="B123">
        <f>ROW(Application!A135)</f>
        <v>135</v>
      </c>
      <c r="C123" t="str">
        <f t="shared" ca="1" si="112"/>
        <v>Final Site Plan Approval</v>
      </c>
      <c r="D123" t="str">
        <f t="shared" si="113"/>
        <v>B135</v>
      </c>
      <c r="E123" t="str">
        <f t="shared" ca="1" si="114"/>
        <v/>
      </c>
      <c r="F123" t="str">
        <f t="shared" ca="1" si="123"/>
        <v xml:space="preserve">Enter a date for 'Final Site Plan Approval' in cell B135.
</v>
      </c>
      <c r="G123" s="9" t="e">
        <f t="shared" ca="1" si="116"/>
        <v>#REF!</v>
      </c>
    </row>
    <row r="124" spans="1:8" ht="15" customHeight="1">
      <c r="A124" t="str">
        <f t="shared" ref="A124:A127" ca="1" si="126">IF(E124="",F124, "")</f>
        <v xml:space="preserve">Enter a date for 'Groundbreaking Ceremony (if planned)' in cell B136.
</v>
      </c>
      <c r="B124">
        <f>ROW(Application!A136)</f>
        <v>136</v>
      </c>
      <c r="C124" t="str">
        <f t="shared" ref="C124:C127" ca="1" si="127">INDIRECT($F$3 &amp; ADDRESS(B124, 1,4  ))</f>
        <v>Groundbreaking Ceremony (if planned)</v>
      </c>
      <c r="D124" t="str">
        <f t="shared" ref="D124:D127" si="128">ADDRESS(B124, 2,4  )</f>
        <v>B136</v>
      </c>
      <c r="E124" t="str">
        <f t="shared" ca="1" si="114"/>
        <v/>
      </c>
      <c r="F124" t="str">
        <f t="shared" ca="1" si="123"/>
        <v xml:space="preserve">Enter a date for 'Groundbreaking Ceremony (if planned)' in cell B136.
</v>
      </c>
      <c r="G124" s="9" t="e">
        <f t="shared" ca="1" si="116"/>
        <v>#REF!</v>
      </c>
    </row>
    <row r="125" spans="1:8" ht="15" customHeight="1">
      <c r="A125" t="str">
        <f t="shared" ca="1" si="126"/>
        <v xml:space="preserve">Enter a date for 'Building Permit(s) Issued' in cell B137.
</v>
      </c>
      <c r="B125">
        <f>ROW(Application!A137)</f>
        <v>137</v>
      </c>
      <c r="C125" t="str">
        <f t="shared" ca="1" si="127"/>
        <v>Building Permit(s) Issued</v>
      </c>
      <c r="D125" t="str">
        <f t="shared" si="128"/>
        <v>B137</v>
      </c>
      <c r="E125" t="str">
        <f t="shared" ca="1" si="114"/>
        <v/>
      </c>
      <c r="F125" t="str">
        <f t="shared" ca="1" si="123"/>
        <v xml:space="preserve">Enter a date for 'Building Permit(s) Issued' in cell B137.
</v>
      </c>
      <c r="G125" s="9" t="e">
        <f t="shared" ca="1" si="116"/>
        <v>#REF!</v>
      </c>
    </row>
    <row r="126" spans="1:8" ht="15" customHeight="1">
      <c r="A126" t="str">
        <f t="shared" ca="1" si="126"/>
        <v xml:space="preserve">Enter a value for 'Complete Construction &amp; Anticipated Place-In-Service
(Obtain Certificates of Occupancy)' in cell B138.
</v>
      </c>
      <c r="B126">
        <f>ROW(Application!A138)</f>
        <v>138</v>
      </c>
      <c r="C126" t="str">
        <f t="shared" ca="1" si="127"/>
        <v>Complete Construction &amp; Anticipated Place-In-Service
(Obtain Certificates of Occupancy)</v>
      </c>
      <c r="D126" t="str">
        <f t="shared" si="128"/>
        <v>B138</v>
      </c>
      <c r="E126" t="str">
        <f t="shared" ca="1" si="114"/>
        <v/>
      </c>
      <c r="F126" t="str">
        <f ca="1">CONCATENATE("Enter a value for '", C126, "' in cell ", D126, ".", CHAR(10))</f>
        <v xml:space="preserve">Enter a value for 'Complete Construction &amp; Anticipated Place-In-Service
(Obtain Certificates of Occupancy)' in cell B138.
</v>
      </c>
      <c r="G126" s="9" t="e">
        <f t="shared" ca="1" si="116"/>
        <v>#REF!</v>
      </c>
    </row>
    <row r="127" spans="1:8" ht="15" customHeight="1">
      <c r="A127" t="str">
        <f t="shared" ca="1" si="126"/>
        <v xml:space="preserve">Enter a date for 'Enter Estimated Construction Period (Months)' in cell B139.
</v>
      </c>
      <c r="B127">
        <f>ROW(Application!A139)</f>
        <v>139</v>
      </c>
      <c r="C127" t="str">
        <f t="shared" ca="1" si="127"/>
        <v>Enter Estimated Construction Period (Months)</v>
      </c>
      <c r="D127" t="str">
        <f t="shared" si="128"/>
        <v>B139</v>
      </c>
      <c r="E127" t="str">
        <f t="shared" ca="1" si="114"/>
        <v/>
      </c>
      <c r="F127" t="str">
        <f ca="1">CONCATENATE("Enter a date for '", C127, "' in cell ", D127, ".", CHAR(10))</f>
        <v xml:space="preserve">Enter a date for 'Enter Estimated Construction Period (Months)' in cell B139.
</v>
      </c>
      <c r="G127" s="9" t="e">
        <f t="shared" ca="1" si="116"/>
        <v>#REF!</v>
      </c>
    </row>
    <row r="128" spans="1:8" ht="15" customHeight="1">
      <c r="A128" t="str">
        <f t="shared" ref="A128:A131" ca="1" si="129">IF(E128="",F128, "")</f>
        <v xml:space="preserve">Enter a date for 'Place-In-Service Application for LURA to CHFA (must submit within 45 days of first building placing in service)' in cell B141.
</v>
      </c>
      <c r="B128">
        <f>ROW(Application!A141)</f>
        <v>141</v>
      </c>
      <c r="C128" t="str">
        <f t="shared" ref="C128:C131" ca="1" si="130">INDIRECT($F$3 &amp; ADDRESS(B128, 1,4  ))</f>
        <v>Place-In-Service Application for LURA to CHFA (must submit within 45 days of first building placing in service)</v>
      </c>
      <c r="D128" t="str">
        <f t="shared" ref="D128:D131" si="131">ADDRESS(B128, 2,4  )</f>
        <v>B141</v>
      </c>
      <c r="E128" t="str">
        <f t="shared" ref="E128:E131" ca="1" si="132">IF(ISBLANK( INDIRECT($F$3 &amp; D128)),"", INDIRECT($F$3 &amp; D128))</f>
        <v/>
      </c>
      <c r="F128" t="str">
        <f t="shared" ref="F128:F131" ca="1" si="133">CONCATENATE("Enter a date for '", C128, "' in cell ", D128, ".", CHAR(10))</f>
        <v xml:space="preserve">Enter a date for 'Place-In-Service Application for LURA to CHFA (must submit within 45 days of first building placing in service)' in cell B141.
</v>
      </c>
      <c r="G128" s="9" t="e">
        <f t="shared" ref="G128:G131" ca="1" si="134">OFFSET(G128, -1, 0) &amp; A128</f>
        <v>#REF!</v>
      </c>
    </row>
    <row r="129" spans="1:7" ht="15" customHeight="1">
      <c r="A129" t="str">
        <f t="shared" ca="1" si="129"/>
        <v xml:space="preserve">Enter a date for 'Grand Opening (if planned)' in cell B142.
</v>
      </c>
      <c r="B129">
        <f>ROW(Application!A142)</f>
        <v>142</v>
      </c>
      <c r="C129" t="str">
        <f t="shared" ca="1" si="130"/>
        <v>Grand Opening (if planned)</v>
      </c>
      <c r="D129" t="str">
        <f t="shared" si="131"/>
        <v>B142</v>
      </c>
      <c r="E129" t="str">
        <f t="shared" ca="1" si="132"/>
        <v/>
      </c>
      <c r="F129" t="str">
        <f t="shared" ca="1" si="133"/>
        <v xml:space="preserve">Enter a date for 'Grand Opening (if planned)' in cell B142.
</v>
      </c>
      <c r="G129" s="9" t="e">
        <f t="shared" ca="1" si="134"/>
        <v>#REF!</v>
      </c>
    </row>
    <row r="130" spans="1:7" ht="15" customHeight="1">
      <c r="A130" t="str">
        <f t="shared" ca="1" si="129"/>
        <v xml:space="preserve">Enter a date for 'Stabilization/Lease up' in cell B143.
</v>
      </c>
      <c r="B130">
        <f>ROW(Application!A143)</f>
        <v>143</v>
      </c>
      <c r="C130" t="str">
        <f t="shared" ca="1" si="130"/>
        <v>Stabilization/Lease up</v>
      </c>
      <c r="D130" t="str">
        <f t="shared" si="131"/>
        <v>B143</v>
      </c>
      <c r="E130" t="str">
        <f t="shared" ca="1" si="132"/>
        <v/>
      </c>
      <c r="F130" t="str">
        <f t="shared" ca="1" si="133"/>
        <v xml:space="preserve">Enter a date for 'Stabilization/Lease up' in cell B143.
</v>
      </c>
      <c r="G130" s="9" t="e">
        <f t="shared" ca="1" si="134"/>
        <v>#REF!</v>
      </c>
    </row>
    <row r="131" spans="1:7" ht="15" customHeight="1">
      <c r="A131" t="str">
        <f t="shared" ca="1" si="129"/>
        <v xml:space="preserve">Enter a date for 'Convert to Permanent Loan' in cell B144.
</v>
      </c>
      <c r="B131">
        <f>ROW(Application!A144)</f>
        <v>144</v>
      </c>
      <c r="C131" t="str">
        <f t="shared" ca="1" si="130"/>
        <v>Convert to Permanent Loan</v>
      </c>
      <c r="D131" t="str">
        <f t="shared" si="131"/>
        <v>B144</v>
      </c>
      <c r="E131" t="str">
        <f t="shared" ca="1" si="132"/>
        <v/>
      </c>
      <c r="F131" t="str">
        <f t="shared" ca="1" si="133"/>
        <v xml:space="preserve">Enter a date for 'Convert to Permanent Loan' in cell B144.
</v>
      </c>
      <c r="G131" s="9" t="e">
        <f t="shared" ca="1" si="134"/>
        <v>#REF!</v>
      </c>
    </row>
    <row r="132" spans="1:7" ht="15" customHeight="1">
      <c r="A132" t="str">
        <f t="shared" ref="A132" ca="1" si="135">IF(E132="",F132, "")</f>
        <v xml:space="preserve">Enter a date for 'Final Application to CHFA' in cell B145.
</v>
      </c>
      <c r="B132">
        <f>ROW(Application!A145)</f>
        <v>145</v>
      </c>
      <c r="C132" t="str">
        <f t="shared" ref="C132" ca="1" si="136">INDIRECT($F$3 &amp; ADDRESS(B132, 1,4  ))</f>
        <v>Final Application to CHFA</v>
      </c>
      <c r="D132" t="str">
        <f t="shared" ref="D132" si="137">ADDRESS(B132, 2,4  )</f>
        <v>B145</v>
      </c>
      <c r="E132" t="str">
        <f t="shared" ref="E132" ca="1" si="138">IF(ISBLANK( INDIRECT($F$3 &amp; D132)),"", INDIRECT($F$3 &amp; D132))</f>
        <v/>
      </c>
      <c r="F132" t="str">
        <f t="shared" ref="F132" ca="1" si="139">CONCATENATE("Enter a date for '", C132, "' in cell ", D132, ".", CHAR(10))</f>
        <v xml:space="preserve">Enter a date for 'Final Application to CHFA' in cell B145.
</v>
      </c>
      <c r="G132" s="9" t="e">
        <f t="shared" ref="G132" ca="1" si="140">OFFSET(G132, -1, 0) &amp; A132</f>
        <v>#REF!</v>
      </c>
    </row>
    <row r="133" spans="1:7" ht="15" customHeight="1">
      <c r="A133" s="55" t="s">
        <v>3805</v>
      </c>
      <c r="B133" s="53"/>
      <c r="C133" s="53"/>
      <c r="D133" s="53"/>
      <c r="E133" s="53"/>
      <c r="F133" s="53"/>
      <c r="G133" s="56" t="e">
        <f ca="1">OFFSET(G133, -1, 0)</f>
        <v>#REF!</v>
      </c>
    </row>
    <row r="134" spans="1:7" ht="15" customHeight="1">
      <c r="G134" t="s">
        <v>461</v>
      </c>
    </row>
    <row r="135" spans="1:7" ht="15" customHeight="1">
      <c r="A135" s="22" t="s">
        <v>91</v>
      </c>
      <c r="F135" s="49" t="s">
        <v>3806</v>
      </c>
    </row>
    <row r="136" spans="1:7" ht="15" customHeight="1">
      <c r="A136" s="53" t="s">
        <v>3792</v>
      </c>
      <c r="B136" s="53" t="s">
        <v>3793</v>
      </c>
      <c r="C136" s="53" t="s">
        <v>3794</v>
      </c>
      <c r="D136" s="53" t="s">
        <v>3795</v>
      </c>
      <c r="E136" s="53" t="s">
        <v>3796</v>
      </c>
      <c r="F136" s="53" t="s">
        <v>3797</v>
      </c>
      <c r="G136" s="54" t="s">
        <v>3798</v>
      </c>
    </row>
    <row r="137" spans="1:7" ht="15" customHeight="1">
      <c r="A137" t="str">
        <f t="shared" ref="A137:A144" ca="1" si="141">IF(E137="",F137, "")</f>
        <v xml:space="preserve">Enter a value for 'Total Number of Units' in cell B3.
</v>
      </c>
      <c r="B137">
        <f>ROW('Unit Mix &amp; Rents'!A3)</f>
        <v>3</v>
      </c>
      <c r="C137" t="str">
        <f t="shared" ref="C137:C144" ca="1" si="142">INDIRECT($F$135 &amp; ADDRESS(B137, 1,4  ))</f>
        <v>Total Number of Units</v>
      </c>
      <c r="D137" t="str">
        <f t="shared" ref="D137:D145" si="143">ADDRESS(B137, 2,4  )</f>
        <v>B3</v>
      </c>
      <c r="E137" t="str">
        <f t="shared" ref="E137:E144" ca="1" si="144">IF(ISBLANK( INDIRECT($F$135 &amp; D137)),"", INDIRECT($F$135 &amp; D137))</f>
        <v/>
      </c>
      <c r="F137" t="str">
        <f t="shared" ref="F137:F144" ca="1" si="145">CONCATENATE("Enter a value for '", C137, "' in cell ", D137, ".", CHAR(10))</f>
        <v xml:space="preserve">Enter a value for 'Total Number of Units' in cell B3.
</v>
      </c>
      <c r="G137" s="9" t="str">
        <f ca="1">A137</f>
        <v xml:space="preserve">Enter a value for 'Total Number of Units' in cell B3.
</v>
      </c>
    </row>
    <row r="138" spans="1:7" ht="15" customHeight="1">
      <c r="A138" t="str">
        <f t="shared" ca="1" si="141"/>
        <v/>
      </c>
      <c r="B138">
        <f>ROW('Unit Mix &amp; Rents'!A7)</f>
        <v>7</v>
      </c>
      <c r="C138" t="str">
        <f t="shared" ca="1" si="142"/>
        <v>0 bedroom</v>
      </c>
      <c r="D138" t="str">
        <f t="shared" si="143"/>
        <v>B7</v>
      </c>
      <c r="E138">
        <f t="shared" ca="1" si="144"/>
        <v>0</v>
      </c>
      <c r="F138" t="str">
        <f t="shared" ca="1" si="145"/>
        <v xml:space="preserve">Enter a value for '0 bedroom' in cell B7.
</v>
      </c>
      <c r="G138" s="9" t="str">
        <f t="shared" ref="G138:G169" ca="1" si="146">OFFSET(G138, -1, 0) &amp; A138</f>
        <v xml:space="preserve">Enter a value for 'Total Number of Units' in cell B3.
</v>
      </c>
    </row>
    <row r="139" spans="1:7" ht="15" customHeight="1">
      <c r="A139" t="str">
        <f t="shared" ca="1" si="141"/>
        <v/>
      </c>
      <c r="B139">
        <f>ROW('Unit Mix &amp; Rents'!A8)</f>
        <v>8</v>
      </c>
      <c r="C139" t="str">
        <f t="shared" ca="1" si="142"/>
        <v>1 bedroom</v>
      </c>
      <c r="D139" t="str">
        <f t="shared" si="143"/>
        <v>B8</v>
      </c>
      <c r="E139">
        <f t="shared" ca="1" si="144"/>
        <v>0</v>
      </c>
      <c r="F139" t="str">
        <f t="shared" ca="1" si="145"/>
        <v xml:space="preserve">Enter a value for '1 bedroom' in cell B8.
</v>
      </c>
      <c r="G139" s="9" t="str">
        <f t="shared" ca="1" si="146"/>
        <v xml:space="preserve">Enter a value for 'Total Number of Units' in cell B3.
</v>
      </c>
    </row>
    <row r="140" spans="1:7" ht="15" customHeight="1">
      <c r="A140" t="str">
        <f t="shared" ca="1" si="141"/>
        <v/>
      </c>
      <c r="B140">
        <f>ROW('Unit Mix &amp; Rents'!A9)</f>
        <v>9</v>
      </c>
      <c r="C140" t="str">
        <f t="shared" ca="1" si="142"/>
        <v>2 bedroom</v>
      </c>
      <c r="D140" t="str">
        <f t="shared" si="143"/>
        <v>B9</v>
      </c>
      <c r="E140">
        <f t="shared" ca="1" si="144"/>
        <v>0</v>
      </c>
      <c r="F140" t="str">
        <f t="shared" ca="1" si="145"/>
        <v xml:space="preserve">Enter a value for '2 bedroom' in cell B9.
</v>
      </c>
      <c r="G140" s="9" t="str">
        <f t="shared" ca="1" si="146"/>
        <v xml:space="preserve">Enter a value for 'Total Number of Units' in cell B3.
</v>
      </c>
    </row>
    <row r="141" spans="1:7" ht="15" customHeight="1">
      <c r="A141" t="str">
        <f t="shared" ca="1" si="141"/>
        <v/>
      </c>
      <c r="B141">
        <f>ROW('Unit Mix &amp; Rents'!A10)</f>
        <v>10</v>
      </c>
      <c r="C141" t="str">
        <f t="shared" ca="1" si="142"/>
        <v>3 bedroom</v>
      </c>
      <c r="D141" t="str">
        <f t="shared" si="143"/>
        <v>B10</v>
      </c>
      <c r="E141">
        <f t="shared" ca="1" si="144"/>
        <v>0</v>
      </c>
      <c r="F141" t="str">
        <f t="shared" ca="1" si="145"/>
        <v xml:space="preserve">Enter a value for '3 bedroom' in cell B10.
</v>
      </c>
      <c r="G141" s="9" t="str">
        <f t="shared" ca="1" si="146"/>
        <v xml:space="preserve">Enter a value for 'Total Number of Units' in cell B3.
</v>
      </c>
    </row>
    <row r="142" spans="1:7" ht="15" customHeight="1">
      <c r="A142" t="str">
        <f t="shared" ca="1" si="141"/>
        <v/>
      </c>
      <c r="B142">
        <f>ROW('Unit Mix &amp; Rents'!A11)</f>
        <v>11</v>
      </c>
      <c r="C142" t="str">
        <f t="shared" ca="1" si="142"/>
        <v>4 bedroom</v>
      </c>
      <c r="D142" t="str">
        <f t="shared" si="143"/>
        <v>B11</v>
      </c>
      <c r="E142">
        <f t="shared" ca="1" si="144"/>
        <v>0</v>
      </c>
      <c r="F142" t="str">
        <f t="shared" ca="1" si="145"/>
        <v xml:space="preserve">Enter a value for '4 bedroom' in cell B11.
</v>
      </c>
      <c r="G142" s="9" t="str">
        <f t="shared" ca="1" si="146"/>
        <v xml:space="preserve">Enter a value for 'Total Number of Units' in cell B3.
</v>
      </c>
    </row>
    <row r="143" spans="1:7" ht="15" customHeight="1">
      <c r="A143" t="str">
        <f t="shared" ca="1" si="141"/>
        <v/>
      </c>
      <c r="B143">
        <f>ROW('Unit Mix &amp; Rents'!A12)</f>
        <v>12</v>
      </c>
      <c r="C143" t="str">
        <f t="shared" ca="1" si="142"/>
        <v>5 bedroom</v>
      </c>
      <c r="D143" t="str">
        <f t="shared" si="143"/>
        <v>B12</v>
      </c>
      <c r="E143">
        <f t="shared" ca="1" si="144"/>
        <v>0</v>
      </c>
      <c r="F143" t="str">
        <f t="shared" ca="1" si="145"/>
        <v xml:space="preserve">Enter a value for '5 bedroom' in cell B12.
</v>
      </c>
      <c r="G143" s="9" t="str">
        <f t="shared" ca="1" si="146"/>
        <v xml:space="preserve">Enter a value for 'Total Number of Units' in cell B3.
</v>
      </c>
    </row>
    <row r="144" spans="1:7" ht="15" customHeight="1">
      <c r="A144" t="str">
        <f t="shared" ca="1" si="141"/>
        <v xml:space="preserve">Enter a value for 'Do Rents Include Utilities' in cell B4.
</v>
      </c>
      <c r="B144">
        <f>ROW('Unit Mix &amp; Rents'!A4)</f>
        <v>4</v>
      </c>
      <c r="C144" t="str">
        <f t="shared" ca="1" si="142"/>
        <v>Do Rents Include Utilities</v>
      </c>
      <c r="D144" t="str">
        <f t="shared" si="143"/>
        <v>B4</v>
      </c>
      <c r="E144" t="str">
        <f t="shared" ca="1" si="144"/>
        <v/>
      </c>
      <c r="F144" t="str">
        <f t="shared" ca="1" si="145"/>
        <v xml:space="preserve">Enter a value for 'Do Rents Include Utilities' in cell B4.
</v>
      </c>
      <c r="G144" s="9" t="str">
        <f t="shared" ca="1" si="146"/>
        <v xml:space="preserve">Enter a value for 'Total Number of Units' in cell B3.
Enter a value for 'Do Rents Include Utilities' in cell B4.
</v>
      </c>
    </row>
    <row r="145" spans="1:14" ht="15" customHeight="1">
      <c r="A145" s="52" t="str">
        <f ca="1">IF(AND(E137&lt;&gt;"", E145&lt;&gt;E137),F145, "")</f>
        <v/>
      </c>
      <c r="B145" s="52">
        <f>ROW('Unit Mix &amp; Rents'!A3)</f>
        <v>3</v>
      </c>
      <c r="C145" s="52"/>
      <c r="D145" s="52" t="str">
        <f t="shared" si="143"/>
        <v>B3</v>
      </c>
      <c r="E145" s="52">
        <f>Calculations!$H$45</f>
        <v>0</v>
      </c>
      <c r="F145" t="str">
        <f>CONCATENATE("Total number of units in the unit breakdown does not match the total units specified in cell ", D145, ".", CHAR(10))</f>
        <v xml:space="preserve">Total number of units in the unit breakdown does not match the total units specified in cell B3.
</v>
      </c>
      <c r="G145" s="9" t="str">
        <f t="shared" ca="1" si="146"/>
        <v xml:space="preserve">Enter a value for 'Total Number of Units' in cell B3.
Enter a value for 'Do Rents Include Utilities' in cell B4.
</v>
      </c>
    </row>
    <row r="146" spans="1:14" ht="15" customHeight="1">
      <c r="A146" s="52" t="str">
        <f>IF(E146=0, F146, "")</f>
        <v xml:space="preserve">Please enter at least one row of the Rental Income Table beginning on worksheet row 4.
</v>
      </c>
      <c r="B146" s="52">
        <f>ROW('Unit Mix &amp; Rents'!A17)</f>
        <v>17</v>
      </c>
      <c r="C146" s="52"/>
      <c r="D146" s="52"/>
      <c r="E146" s="52">
        <f>SUMPRODUCT(ISTEXT('Unit Mix &amp; Rents'!A17:E76) + ISNUMBER('Unit Mix &amp; Rents'!A17:E76))</f>
        <v>0</v>
      </c>
      <c r="F146" t="str">
        <f>CONCATENATE("Please enter at least one row of the Rental Income Table beginning on worksheet row ", B144, ".", CHAR(10))</f>
        <v xml:space="preserve">Please enter at least one row of the Rental Income Table beginning on worksheet row 4.
</v>
      </c>
      <c r="G146" s="9" t="str">
        <f t="shared" ca="1" si="146"/>
        <v xml:space="preserve">Enter a value for 'Total Number of Units' in cell B3.
Enter a value for 'Do Rents Include Utilities' in cell B4.
Please enter at least one row of the Rental Income Table beginning on worksheet row 4.
</v>
      </c>
    </row>
    <row r="147" spans="1:14" ht="15" customHeight="1">
      <c r="A147" s="52" t="str">
        <f>IF(AND(E147&gt;1,E147&lt;5), F147, "")</f>
        <v/>
      </c>
      <c r="B147" s="52">
        <f>ROW('Unit Mix &amp; Rents'!A17)</f>
        <v>17</v>
      </c>
      <c r="C147" s="52"/>
      <c r="D147" s="52"/>
      <c r="E147" s="52">
        <f>SUMPRODUCT(ISTEXT('Unit Mix &amp; Rents'!A17:E17) + ISNUMBER('Unit Mix &amp; Rents'!A17:E17))</f>
        <v>0</v>
      </c>
      <c r="F147" t="str">
        <f>CONCATENATE("Please enter all values in unit breakdown in worksheet row ", B145, ".", CHAR(10))</f>
        <v xml:space="preserve">Please enter all values in unit breakdown in worksheet row 3.
</v>
      </c>
      <c r="G147" s="9" t="str">
        <f t="shared" ca="1" si="146"/>
        <v xml:space="preserve">Enter a value for 'Total Number of Units' in cell B3.
Enter a value for 'Do Rents Include Utilities' in cell B4.
Please enter at least one row of the Rental Income Table beginning on worksheet row 4.
</v>
      </c>
    </row>
    <row r="148" spans="1:14" ht="15" customHeight="1">
      <c r="A148" t="str">
        <f ca="1">IF(AND(IF(ISNA(K148), FALSE, K148), E148 &gt; IF(ISNA(N148), E148, L148)), F148, "")</f>
        <v/>
      </c>
      <c r="B148">
        <f>B147</f>
        <v>17</v>
      </c>
      <c r="D148" s="52" t="str">
        <f>ADDRESS(B148,5,4)</f>
        <v>E17</v>
      </c>
      <c r="E148" t="str">
        <f ca="1">IF(ISBLANK( INDIRECT($F$135 &amp; D148)),"", INDIRECT($F$135 &amp; D148))</f>
        <v/>
      </c>
      <c r="F148" t="e">
        <f ca="1">CONCATENATE("Actual Rent per Unit exceeds maximum allowed rent of ", DOLLAR(N148), " in worksheet row ", B148, ".", CHAR(10))</f>
        <v>#N/A</v>
      </c>
      <c r="G148" s="9" t="str">
        <f t="shared" ca="1" si="146"/>
        <v xml:space="preserve">Enter a value for 'Total Number of Units' in cell B3.
Enter a value for 'Do Rents Include Utilities' in cell B4.
Please enter at least one row of the Rental Income Table beginning on worksheet row 4.
</v>
      </c>
      <c r="H148" s="52">
        <f ca="1">INDIRECT($F$135 &amp; ADDRESS(B148,1,4))</f>
        <v>0</v>
      </c>
      <c r="I148" s="52">
        <f ca="1">INDIRECT($F$135 &amp; ADDRESS(B148,2,4))</f>
        <v>0</v>
      </c>
      <c r="J148" s="52" t="e">
        <f ca="1">INDEX(Unit_Mix_Type_Table[Bedrooms], MATCH(Validation!I148,Unit_Mix_Type_Table[Unit Mix Type],0), 1)</f>
        <v>#N/A</v>
      </c>
      <c r="K148" s="52" t="e">
        <f ca="1">INDEX(Unit_Mix_Type_Table[Has Max Rent], MATCH(Validation!I148,Unit_Mix_Type_Table[Unit Mix Type],0), 1)</f>
        <v>#N/A</v>
      </c>
      <c r="L148" s="52" t="e">
        <f ca="1">INDEX(Calculations!$A$77:$G$84, MATCH(H148, Calculations!$A$77:$A$84),MATCH(J148,Calculations!$A$77:$G$77))</f>
        <v>#N/A</v>
      </c>
      <c r="M148" s="52" t="e">
        <f ca="1">INDEX(Calculations!$A$89:$G$96, MATCH(H148, Calculations!$A$77:$A$84),MATCH(J148,Calculations!$A$77:$G$77))</f>
        <v>#N/A</v>
      </c>
      <c r="N148" s="52" t="e">
        <f ca="1">IF('Unit Mix &amp; Rents'!B4="No", Validation!M148, Validation!L148)</f>
        <v>#N/A</v>
      </c>
    </row>
    <row r="149" spans="1:14" ht="15" customHeight="1">
      <c r="A149" s="52" t="str">
        <f>IF(AND(E149&gt;1,E149&lt;5), F149, "")</f>
        <v/>
      </c>
      <c r="B149" s="52">
        <f>ROW('Unit Mix &amp; Rents'!A18)</f>
        <v>18</v>
      </c>
      <c r="C149" s="52"/>
      <c r="D149" s="52"/>
      <c r="E149" s="52">
        <f>SUMPRODUCT(ISTEXT('Unit Mix &amp; Rents'!A18:E18) + ISNUMBER('Unit Mix &amp; Rents'!A18:E18))</f>
        <v>0</v>
      </c>
      <c r="F149" t="str">
        <f>CONCATENATE("Please enter all values in unit breakdown in worksheet row ", B147, ".", CHAR(10))</f>
        <v xml:space="preserve">Please enter all values in unit breakdown in worksheet row 17.
</v>
      </c>
      <c r="G149" s="9" t="str">
        <f t="shared" ca="1" si="146"/>
        <v xml:space="preserve">Enter a value for 'Total Number of Units' in cell B3.
Enter a value for 'Do Rents Include Utilities' in cell B4.
Please enter at least one row of the Rental Income Table beginning on worksheet row 4.
</v>
      </c>
    </row>
    <row r="150" spans="1:14" ht="15" customHeight="1">
      <c r="A150" t="str">
        <f ca="1">IF(AND(IF(ISNA(K150), FALSE, K150), E150 &gt; IF(ISNA(N150), E150, L150)), F150, "")</f>
        <v/>
      </c>
      <c r="B150">
        <f>B149</f>
        <v>18</v>
      </c>
      <c r="D150" s="52" t="str">
        <f>ADDRESS(B150,5,4)</f>
        <v>E18</v>
      </c>
      <c r="E150" t="str">
        <f ca="1">IF(ISBLANK( INDIRECT($F$135 &amp; D150)),"", INDIRECT($F$135 &amp; D150))</f>
        <v/>
      </c>
      <c r="F150" t="e">
        <f ca="1">CONCATENATE("Actual Rent per Unit exceeds maximum allowed rent of ", DOLLAR(N150), " in worksheet row ", B150, ".", CHAR(10))</f>
        <v>#N/A</v>
      </c>
      <c r="G150" s="9" t="str">
        <f t="shared" ref="G150" ca="1" si="147">OFFSET(G150, -1, 0) &amp; A150</f>
        <v xml:space="preserve">Enter a value for 'Total Number of Units' in cell B3.
Enter a value for 'Do Rents Include Utilities' in cell B4.
Please enter at least one row of the Rental Income Table beginning on worksheet row 4.
</v>
      </c>
      <c r="H150" s="52">
        <f ca="1">INDIRECT($F$135 &amp; ADDRESS(B150,1,4))</f>
        <v>0</v>
      </c>
      <c r="I150" s="52">
        <f ca="1">INDIRECT($F$135 &amp; ADDRESS(B150,2,4))</f>
        <v>0</v>
      </c>
      <c r="J150" s="52" t="e">
        <f ca="1">INDEX(Unit_Mix_Type_Table[Bedrooms], MATCH(Validation!I150,Unit_Mix_Type_Table[Unit Mix Type],0), 1)</f>
        <v>#N/A</v>
      </c>
      <c r="K150" s="52" t="e">
        <f ca="1">INDEX(Unit_Mix_Type_Table[Has Max Rent], MATCH(Validation!I150,Unit_Mix_Type_Table[Unit Mix Type],0), 1)</f>
        <v>#N/A</v>
      </c>
      <c r="L150" s="52" t="e">
        <f ca="1">INDEX(Calculations!$A$77:$G$84, MATCH(H150, Calculations!$A$77:$A$84),MATCH(J150,Calculations!$A$77:$G$77))</f>
        <v>#N/A</v>
      </c>
      <c r="M150" s="52" t="e">
        <f ca="1">INDEX(Calculations!$A$89:$G$94, MATCH(H150, Calculations!$A$77:$A$84),MATCH(J150,Calculations!$A$77:$G$77))</f>
        <v>#N/A</v>
      </c>
      <c r="N150" s="52" t="e">
        <f ca="1">IF('Unit Mix &amp; Rents'!B14="No", Validation!M150, Validation!L150)</f>
        <v>#N/A</v>
      </c>
    </row>
    <row r="151" spans="1:14" ht="15" customHeight="1">
      <c r="A151" s="52" t="str">
        <f>IF(AND(E151&gt;1,E151&lt;5), F151, "")</f>
        <v/>
      </c>
      <c r="B151" s="52">
        <f>ROW('Unit Mix &amp; Rents'!A39)</f>
        <v>39</v>
      </c>
      <c r="C151" s="52"/>
      <c r="D151" s="52"/>
      <c r="E151" s="52">
        <f>SUMPRODUCT(ISTEXT('Unit Mix &amp; Rents'!A39:E39) + ISNUMBER('Unit Mix &amp; Rents'!A39:E39))</f>
        <v>0</v>
      </c>
      <c r="F151" t="str">
        <f>CONCATENATE("Please enter all values in unit breakdown in worksheet row ", B149, ".", CHAR(10))</f>
        <v xml:space="preserve">Please enter all values in unit breakdown in worksheet row 18.
</v>
      </c>
      <c r="G151" s="9" t="str">
        <f t="shared" ca="1" si="146"/>
        <v xml:space="preserve">Enter a value for 'Total Number of Units' in cell B3.
Enter a value for 'Do Rents Include Utilities' in cell B4.
Please enter at least one row of the Rental Income Table beginning on worksheet row 4.
</v>
      </c>
    </row>
    <row r="152" spans="1:14" ht="15" customHeight="1">
      <c r="A152" t="str">
        <f ca="1">IF(AND(IF(ISNA(K152), FALSE, K152), E152 &gt; IF(ISNA(N152), E152, L152)), F152, "")</f>
        <v/>
      </c>
      <c r="B152">
        <f>B151</f>
        <v>39</v>
      </c>
      <c r="D152" s="52" t="str">
        <f>ADDRESS(B152,5,4)</f>
        <v>E39</v>
      </c>
      <c r="E152" t="str">
        <f ca="1">IF(ISBLANK( INDIRECT($F$135 &amp; D152)),"", INDIRECT($F$135 &amp; D152))</f>
        <v/>
      </c>
      <c r="F152" t="e">
        <f ca="1">CONCATENATE("Actual Rent per Unit exceeds maximum allowed rent of ", DOLLAR(N152), " in worksheet row ", B152, ".", CHAR(10))</f>
        <v>#N/A</v>
      </c>
      <c r="G152" s="9" t="str">
        <f t="shared" ref="G152" ca="1" si="148">OFFSET(G152, -1, 0) &amp; A152</f>
        <v xml:space="preserve">Enter a value for 'Total Number of Units' in cell B3.
Enter a value for 'Do Rents Include Utilities' in cell B4.
Please enter at least one row of the Rental Income Table beginning on worksheet row 4.
</v>
      </c>
      <c r="H152" s="52">
        <f ca="1">INDIRECT($F$135 &amp; ADDRESS(B152,1,4))</f>
        <v>0</v>
      </c>
      <c r="I152" s="52">
        <f ca="1">INDIRECT($F$135 &amp; ADDRESS(B152,2,4))</f>
        <v>0</v>
      </c>
      <c r="J152" s="52" t="e">
        <f ca="1">INDEX(Unit_Mix_Type_Table[Bedrooms], MATCH(Validation!I152,Unit_Mix_Type_Table[Unit Mix Type],0), 1)</f>
        <v>#N/A</v>
      </c>
      <c r="K152" s="52" t="e">
        <f ca="1">INDEX(Unit_Mix_Type_Table[Has Max Rent], MATCH(Validation!I152,Unit_Mix_Type_Table[Unit Mix Type],0), 1)</f>
        <v>#N/A</v>
      </c>
      <c r="L152" s="52" t="e">
        <f ca="1">INDEX(Calculations!$A$77:$G$84, MATCH(H152, Calculations!$A$77:$A$84),MATCH(J152,Calculations!$A$77:$G$77))</f>
        <v>#N/A</v>
      </c>
      <c r="M152" s="52" t="e">
        <f ca="1">INDEX(Calculations!$A$89:$G$94, MATCH(H152, Calculations!$A$77:$A$84),MATCH(J152,Calculations!$A$77:$G$77))</f>
        <v>#N/A</v>
      </c>
      <c r="N152" s="52" t="e">
        <f ca="1">IF('Unit Mix &amp; Rents'!B16="No", Validation!M152, Validation!L152)</f>
        <v>#N/A</v>
      </c>
    </row>
    <row r="153" spans="1:14" ht="15" customHeight="1">
      <c r="A153" s="52" t="str">
        <f>IF(AND(E153&gt;1,E153&lt;5), F153, "")</f>
        <v/>
      </c>
      <c r="B153" s="52">
        <f>ROW('Unit Mix &amp; Rents'!A40)</f>
        <v>40</v>
      </c>
      <c r="C153" s="52"/>
      <c r="D153" s="52"/>
      <c r="E153" s="52">
        <f>SUMPRODUCT(ISTEXT('Unit Mix &amp; Rents'!A40:E40) + ISNUMBER('Unit Mix &amp; Rents'!A40:E40))</f>
        <v>0</v>
      </c>
      <c r="F153" t="str">
        <f>CONCATENATE("Please enter all values in unit breakdown in worksheet row ", B151, ".", CHAR(10))</f>
        <v xml:space="preserve">Please enter all values in unit breakdown in worksheet row 39.
</v>
      </c>
      <c r="G153" s="9" t="str">
        <f t="shared" ca="1" si="146"/>
        <v xml:space="preserve">Enter a value for 'Total Number of Units' in cell B3.
Enter a value for 'Do Rents Include Utilities' in cell B4.
Please enter at least one row of the Rental Income Table beginning on worksheet row 4.
</v>
      </c>
    </row>
    <row r="154" spans="1:14" ht="15" customHeight="1">
      <c r="A154" t="str">
        <f ca="1">IF(AND(IF(ISNA(K154), FALSE, K154), E154 &gt; IF(ISNA(N154), E154, L154)), F154, "")</f>
        <v/>
      </c>
      <c r="B154">
        <f>B153</f>
        <v>40</v>
      </c>
      <c r="D154" s="52" t="str">
        <f>ADDRESS(B154,5,4)</f>
        <v>E40</v>
      </c>
      <c r="E154" t="str">
        <f ca="1">IF(ISBLANK( INDIRECT($F$135 &amp; D154)),"", INDIRECT($F$135 &amp; D154))</f>
        <v/>
      </c>
      <c r="F154" t="e">
        <f ca="1">CONCATENATE("Actual Rent per Unit exceeds maximum allowed rent of ", DOLLAR(N154), " in worksheet row ", B154, ".", CHAR(10))</f>
        <v>#N/A</v>
      </c>
      <c r="G154" s="9" t="str">
        <f t="shared" ref="G154" ca="1" si="149">OFFSET(G154, -1, 0) &amp; A154</f>
        <v xml:space="preserve">Enter a value for 'Total Number of Units' in cell B3.
Enter a value for 'Do Rents Include Utilities' in cell B4.
Please enter at least one row of the Rental Income Table beginning on worksheet row 4.
</v>
      </c>
      <c r="H154" s="52">
        <f ca="1">INDIRECT($F$135 &amp; ADDRESS(B154,1,4))</f>
        <v>0</v>
      </c>
      <c r="I154" s="52">
        <f ca="1">INDIRECT($F$135 &amp; ADDRESS(B154,2,4))</f>
        <v>0</v>
      </c>
      <c r="J154" s="52" t="e">
        <f ca="1">INDEX(Unit_Mix_Type_Table[Bedrooms], MATCH(Validation!I154,Unit_Mix_Type_Table[Unit Mix Type],0), 1)</f>
        <v>#N/A</v>
      </c>
      <c r="K154" s="52" t="e">
        <f ca="1">INDEX(Unit_Mix_Type_Table[Has Max Rent], MATCH(Validation!I154,Unit_Mix_Type_Table[Unit Mix Type],0), 1)</f>
        <v>#N/A</v>
      </c>
      <c r="L154" s="52" t="e">
        <f ca="1">INDEX(Calculations!$A$77:$G$84, MATCH(H154, Calculations!$A$77:$A$84),MATCH(J154,Calculations!$A$77:$G$77))</f>
        <v>#N/A</v>
      </c>
      <c r="M154" s="52" t="e">
        <f ca="1">INDEX(Calculations!$A$89:$G$94, MATCH(H154, Calculations!$A$77:$A$84),MATCH(J154,Calculations!$A$77:$G$77))</f>
        <v>#N/A</v>
      </c>
      <c r="N154" s="52" t="e">
        <f ca="1">IF('Unit Mix &amp; Rents'!B18="No", Validation!M154, Validation!L154)</f>
        <v>#N/A</v>
      </c>
    </row>
    <row r="155" spans="1:14" ht="15" customHeight="1">
      <c r="A155" s="52" t="str">
        <f>IF(AND(E155&gt;1,E155&lt;5), F155, "")</f>
        <v/>
      </c>
      <c r="B155" s="52">
        <f>ROW('Unit Mix &amp; Rents'!A41)</f>
        <v>41</v>
      </c>
      <c r="C155" s="52"/>
      <c r="D155" s="52"/>
      <c r="E155" s="52">
        <f>SUMPRODUCT(ISTEXT('Unit Mix &amp; Rents'!A41:E41) + ISNUMBER('Unit Mix &amp; Rents'!A41:E41))</f>
        <v>0</v>
      </c>
      <c r="F155" t="str">
        <f>CONCATENATE("Please enter all values in unit breakdown in worksheet row ", B153, ".", CHAR(10))</f>
        <v xml:space="preserve">Please enter all values in unit breakdown in worksheet row 40.
</v>
      </c>
      <c r="G155" s="9" t="str">
        <f t="shared" ca="1" si="146"/>
        <v xml:space="preserve">Enter a value for 'Total Number of Units' in cell B3.
Enter a value for 'Do Rents Include Utilities' in cell B4.
Please enter at least one row of the Rental Income Table beginning on worksheet row 4.
</v>
      </c>
    </row>
    <row r="156" spans="1:14" ht="15" customHeight="1">
      <c r="A156" t="str">
        <f ca="1">IF(AND(IF(ISNA(K156), FALSE, K156), E156 &gt; IF(ISNA(N156), E156, L156)), F156, "")</f>
        <v/>
      </c>
      <c r="B156">
        <f>B155</f>
        <v>41</v>
      </c>
      <c r="D156" s="52" t="str">
        <f>ADDRESS(B156,5,4)</f>
        <v>E41</v>
      </c>
      <c r="E156" t="str">
        <f ca="1">IF(ISBLANK( INDIRECT($F$135 &amp; D156)),"", INDIRECT($F$135 &amp; D156))</f>
        <v/>
      </c>
      <c r="F156" t="e">
        <f ca="1">CONCATENATE("Actual Rent per Unit exceeds maximum allowed rent of ", DOLLAR(N156), " in worksheet row ", B156, ".", CHAR(10))</f>
        <v>#N/A</v>
      </c>
      <c r="G156" s="9" t="str">
        <f t="shared" ref="G156" ca="1" si="150">OFFSET(G156, -1, 0) &amp; A156</f>
        <v xml:space="preserve">Enter a value for 'Total Number of Units' in cell B3.
Enter a value for 'Do Rents Include Utilities' in cell B4.
Please enter at least one row of the Rental Income Table beginning on worksheet row 4.
</v>
      </c>
      <c r="H156" s="52">
        <f ca="1">INDIRECT($F$135 &amp; ADDRESS(B156,1,4))</f>
        <v>0</v>
      </c>
      <c r="I156" s="52">
        <f ca="1">INDIRECT($F$135 &amp; ADDRESS(B156,2,4))</f>
        <v>0</v>
      </c>
      <c r="J156" s="52" t="e">
        <f ca="1">INDEX(Unit_Mix_Type_Table[Bedrooms], MATCH(Validation!I156,Unit_Mix_Type_Table[Unit Mix Type],0), 1)</f>
        <v>#N/A</v>
      </c>
      <c r="K156" s="52" t="e">
        <f ca="1">INDEX(Unit_Mix_Type_Table[Has Max Rent], MATCH(Validation!I156,Unit_Mix_Type_Table[Unit Mix Type],0), 1)</f>
        <v>#N/A</v>
      </c>
      <c r="L156" s="52" t="e">
        <f ca="1">INDEX(Calculations!$A$77:$G$84, MATCH(H156, Calculations!$A$77:$A$84),MATCH(J156,Calculations!$A$77:$G$77))</f>
        <v>#N/A</v>
      </c>
      <c r="M156" s="52" t="e">
        <f ca="1">INDEX(Calculations!$A$89:$G$94, MATCH(H156, Calculations!$A$77:$A$84),MATCH(J156,Calculations!$A$77:$G$77))</f>
        <v>#N/A</v>
      </c>
      <c r="N156" s="52" t="e">
        <f ca="1">IF('Unit Mix &amp; Rents'!B20="No", Validation!M156, Validation!L156)</f>
        <v>#N/A</v>
      </c>
    </row>
    <row r="157" spans="1:14" ht="15" customHeight="1">
      <c r="A157" s="52" t="str">
        <f>IF(AND(E157&gt;1,E157&lt;5), F157, "")</f>
        <v/>
      </c>
      <c r="B157" s="52">
        <f>ROW('Unit Mix &amp; Rents'!A42)</f>
        <v>42</v>
      </c>
      <c r="C157" s="52"/>
      <c r="D157" s="52"/>
      <c r="E157" s="52">
        <f>SUMPRODUCT(ISTEXT('Unit Mix &amp; Rents'!A42:E42) + ISNUMBER('Unit Mix &amp; Rents'!A42:E42))</f>
        <v>0</v>
      </c>
      <c r="F157" t="str">
        <f>CONCATENATE("Please enter all values in unit breakdown in worksheet row ", B155, ".", CHAR(10))</f>
        <v xml:space="preserve">Please enter all values in unit breakdown in worksheet row 41.
</v>
      </c>
      <c r="G157" s="9" t="str">
        <f t="shared" ca="1" si="146"/>
        <v xml:space="preserve">Enter a value for 'Total Number of Units' in cell B3.
Enter a value for 'Do Rents Include Utilities' in cell B4.
Please enter at least one row of the Rental Income Table beginning on worksheet row 4.
</v>
      </c>
    </row>
    <row r="158" spans="1:14" ht="15" customHeight="1">
      <c r="A158" t="str">
        <f ca="1">IF(AND(IF(ISNA(K158), FALSE, K158), E158 &gt; IF(ISNA(N158), E158, L158)), F158, "")</f>
        <v/>
      </c>
      <c r="B158">
        <f>B157</f>
        <v>42</v>
      </c>
      <c r="D158" s="52" t="str">
        <f>ADDRESS(B158,5,4)</f>
        <v>E42</v>
      </c>
      <c r="E158" t="str">
        <f ca="1">IF(ISBLANK( INDIRECT($F$135 &amp; D158)),"", INDIRECT($F$135 &amp; D158))</f>
        <v/>
      </c>
      <c r="F158" t="e">
        <f ca="1">CONCATENATE("Actual Rent per Unit exceeds maximum allowed rent of ", DOLLAR(N158), " in worksheet row ", B158, ".", CHAR(10))</f>
        <v>#N/A</v>
      </c>
      <c r="G158" s="9" t="str">
        <f t="shared" ref="G158" ca="1" si="151">OFFSET(G158, -1, 0) &amp; A158</f>
        <v xml:space="preserve">Enter a value for 'Total Number of Units' in cell B3.
Enter a value for 'Do Rents Include Utilities' in cell B4.
Please enter at least one row of the Rental Income Table beginning on worksheet row 4.
</v>
      </c>
      <c r="H158" s="52">
        <f ca="1">INDIRECT($F$135 &amp; ADDRESS(B158,1,4))</f>
        <v>0</v>
      </c>
      <c r="I158" s="52">
        <f ca="1">INDIRECT($F$135 &amp; ADDRESS(B158,2,4))</f>
        <v>0</v>
      </c>
      <c r="J158" s="52" t="e">
        <f ca="1">INDEX(Unit_Mix_Type_Table[Bedrooms], MATCH(Validation!I158,Unit_Mix_Type_Table[Unit Mix Type],0), 1)</f>
        <v>#N/A</v>
      </c>
      <c r="K158" s="52" t="e">
        <f ca="1">INDEX(Unit_Mix_Type_Table[Has Max Rent], MATCH(Validation!I158,Unit_Mix_Type_Table[Unit Mix Type],0), 1)</f>
        <v>#N/A</v>
      </c>
      <c r="L158" s="52" t="e">
        <f ca="1">INDEX(Calculations!$A$77:$G$84, MATCH(H158, Calculations!$A$77:$A$84),MATCH(J158,Calculations!$A$77:$G$77))</f>
        <v>#N/A</v>
      </c>
      <c r="M158" s="52" t="e">
        <f ca="1">INDEX(Calculations!$A$89:$G$94, MATCH(H158, Calculations!$A$77:$A$84),MATCH(J158,Calculations!$A$77:$G$77))</f>
        <v>#N/A</v>
      </c>
      <c r="N158" s="52" t="e">
        <f ca="1">IF('Unit Mix &amp; Rents'!B22="No", Validation!M158, Validation!L158)</f>
        <v>#N/A</v>
      </c>
    </row>
    <row r="159" spans="1:14" ht="15" customHeight="1">
      <c r="A159" s="52" t="str">
        <f>IF(AND(E159&gt;1,E159&lt;5), F159, "")</f>
        <v/>
      </c>
      <c r="B159" s="52">
        <f>ROW('Unit Mix &amp; Rents'!A43)</f>
        <v>43</v>
      </c>
      <c r="C159" s="52"/>
      <c r="D159" s="52"/>
      <c r="E159" s="52">
        <f>SUMPRODUCT(ISTEXT('Unit Mix &amp; Rents'!A43:E43) + ISNUMBER('Unit Mix &amp; Rents'!A43:E43))</f>
        <v>0</v>
      </c>
      <c r="F159" t="str">
        <f>CONCATENATE("Please enter all values in unit breakdown in worksheet row ", B157, ".", CHAR(10))</f>
        <v xml:space="preserve">Please enter all values in unit breakdown in worksheet row 42.
</v>
      </c>
      <c r="G159" s="9" t="str">
        <f t="shared" ca="1" si="146"/>
        <v xml:space="preserve">Enter a value for 'Total Number of Units' in cell B3.
Enter a value for 'Do Rents Include Utilities' in cell B4.
Please enter at least one row of the Rental Income Table beginning on worksheet row 4.
</v>
      </c>
    </row>
    <row r="160" spans="1:14" ht="15" customHeight="1">
      <c r="A160" t="str">
        <f ca="1">IF(AND(IF(ISNA(K160), FALSE, K160), E160 &gt; IF(ISNA(N160), E160, L160)), F160, "")</f>
        <v/>
      </c>
      <c r="B160">
        <f>B159</f>
        <v>43</v>
      </c>
      <c r="D160" s="52" t="str">
        <f>ADDRESS(B160,5,4)</f>
        <v>E43</v>
      </c>
      <c r="E160" t="str">
        <f ca="1">IF(ISBLANK( INDIRECT($F$135 &amp; D160)),"", INDIRECT($F$135 &amp; D160))</f>
        <v/>
      </c>
      <c r="F160" t="e">
        <f ca="1">CONCATENATE("Actual Rent per Unit exceeds maximum allowed rent of ", DOLLAR(N160), " in worksheet row ", B160, ".", CHAR(10))</f>
        <v>#N/A</v>
      </c>
      <c r="G160" s="9" t="str">
        <f t="shared" ref="G160" ca="1" si="152">OFFSET(G160, -1, 0) &amp; A160</f>
        <v xml:space="preserve">Enter a value for 'Total Number of Units' in cell B3.
Enter a value for 'Do Rents Include Utilities' in cell B4.
Please enter at least one row of the Rental Income Table beginning on worksheet row 4.
</v>
      </c>
      <c r="H160" s="52">
        <f ca="1">INDIRECT($F$135 &amp; ADDRESS(B160,1,4))</f>
        <v>0</v>
      </c>
      <c r="I160" s="52">
        <f ca="1">INDIRECT($F$135 &amp; ADDRESS(B160,2,4))</f>
        <v>0</v>
      </c>
      <c r="J160" s="52" t="e">
        <f ca="1">INDEX(Unit_Mix_Type_Table[Bedrooms], MATCH(Validation!I160,Unit_Mix_Type_Table[Unit Mix Type],0), 1)</f>
        <v>#N/A</v>
      </c>
      <c r="K160" s="52" t="e">
        <f ca="1">INDEX(Unit_Mix_Type_Table[Has Max Rent], MATCH(Validation!I160,Unit_Mix_Type_Table[Unit Mix Type],0), 1)</f>
        <v>#N/A</v>
      </c>
      <c r="L160" s="52" t="e">
        <f ca="1">INDEX(Calculations!$A$77:$G$84, MATCH(H160, Calculations!$A$77:$A$84),MATCH(J160,Calculations!$A$77:$G$77))</f>
        <v>#N/A</v>
      </c>
      <c r="M160" s="52" t="e">
        <f ca="1">INDEX(Calculations!$A$89:$G$94, MATCH(H160, Calculations!$A$77:$A$84),MATCH(J160,Calculations!$A$77:$G$77))</f>
        <v>#N/A</v>
      </c>
      <c r="N160" s="52" t="e">
        <f ca="1">IF('Unit Mix &amp; Rents'!B24="No", Validation!M160, Validation!L160)</f>
        <v>#N/A</v>
      </c>
    </row>
    <row r="161" spans="1:14" ht="15" customHeight="1">
      <c r="A161" s="52" t="str">
        <f>IF(AND(E161&gt;1,E161&lt;5), F161, "")</f>
        <v/>
      </c>
      <c r="B161" s="52">
        <f>ROW('Unit Mix &amp; Rents'!A44)</f>
        <v>44</v>
      </c>
      <c r="C161" s="52"/>
      <c r="D161" s="52"/>
      <c r="E161" s="52">
        <f>SUMPRODUCT(ISTEXT('Unit Mix &amp; Rents'!A44:E44) + ISNUMBER('Unit Mix &amp; Rents'!A44:E44))</f>
        <v>0</v>
      </c>
      <c r="F161" t="str">
        <f>CONCATENATE("Please enter all values in unit breakdown in worksheet row ", B159, ".", CHAR(10))</f>
        <v xml:space="preserve">Please enter all values in unit breakdown in worksheet row 43.
</v>
      </c>
      <c r="G161" s="9" t="str">
        <f t="shared" ca="1" si="146"/>
        <v xml:space="preserve">Enter a value for 'Total Number of Units' in cell B3.
Enter a value for 'Do Rents Include Utilities' in cell B4.
Please enter at least one row of the Rental Income Table beginning on worksheet row 4.
</v>
      </c>
    </row>
    <row r="162" spans="1:14" ht="15" customHeight="1">
      <c r="A162" t="str">
        <f ca="1">IF(AND(IF(ISNA(K162), FALSE, K162), E162 &gt; IF(ISNA(N162), E162, L162)), F162, "")</f>
        <v/>
      </c>
      <c r="B162">
        <f>B161</f>
        <v>44</v>
      </c>
      <c r="D162" s="52" t="str">
        <f>ADDRESS(B162,5,4)</f>
        <v>E44</v>
      </c>
      <c r="E162" t="str">
        <f ca="1">IF(ISBLANK( INDIRECT($F$135 &amp; D162)),"", INDIRECT($F$135 &amp; D162))</f>
        <v/>
      </c>
      <c r="F162" t="e">
        <f ca="1">CONCATENATE("Actual Rent per Unit exceeds maximum allowed rent of ", DOLLAR(N162), " in worksheet row ", B162, ".", CHAR(10))</f>
        <v>#N/A</v>
      </c>
      <c r="G162" s="9" t="str">
        <f t="shared" ref="G162" ca="1" si="153">OFFSET(G162, -1, 0) &amp; A162</f>
        <v xml:space="preserve">Enter a value for 'Total Number of Units' in cell B3.
Enter a value for 'Do Rents Include Utilities' in cell B4.
Please enter at least one row of the Rental Income Table beginning on worksheet row 4.
</v>
      </c>
      <c r="H162" s="52">
        <f ca="1">INDIRECT($F$135 &amp; ADDRESS(B162,1,4))</f>
        <v>0</v>
      </c>
      <c r="I162" s="52">
        <f ca="1">INDIRECT($F$135 &amp; ADDRESS(B162,2,4))</f>
        <v>0</v>
      </c>
      <c r="J162" s="52" t="e">
        <f ca="1">INDEX(Unit_Mix_Type_Table[Bedrooms], MATCH(Validation!I162,Unit_Mix_Type_Table[Unit Mix Type],0), 1)</f>
        <v>#N/A</v>
      </c>
      <c r="K162" s="52" t="e">
        <f ca="1">INDEX(Unit_Mix_Type_Table[Has Max Rent], MATCH(Validation!I162,Unit_Mix_Type_Table[Unit Mix Type],0), 1)</f>
        <v>#N/A</v>
      </c>
      <c r="L162" s="52" t="e">
        <f ca="1">INDEX(Calculations!$A$77:$G$84, MATCH(H162, Calculations!$A$77:$A$84),MATCH(J162,Calculations!$A$77:$G$77))</f>
        <v>#N/A</v>
      </c>
      <c r="M162" s="52" t="e">
        <f ca="1">INDEX(Calculations!$A$89:$G$94, MATCH(H162, Calculations!$A$77:$A$84),MATCH(J162,Calculations!$A$77:$G$77))</f>
        <v>#N/A</v>
      </c>
      <c r="N162" s="52" t="e">
        <f ca="1">IF('Unit Mix &amp; Rents'!B26="No", Validation!M162, Validation!L162)</f>
        <v>#N/A</v>
      </c>
    </row>
    <row r="163" spans="1:14" ht="15" customHeight="1">
      <c r="A163" s="52" t="str">
        <f>IF(AND(E163&gt;1,E163&lt;5), F163, "")</f>
        <v/>
      </c>
      <c r="B163" s="52">
        <f>ROW('Unit Mix &amp; Rents'!A45)</f>
        <v>45</v>
      </c>
      <c r="C163" s="52"/>
      <c r="D163" s="52"/>
      <c r="E163" s="52">
        <f>SUMPRODUCT(ISTEXT('Unit Mix &amp; Rents'!A45:E45) + ISNUMBER('Unit Mix &amp; Rents'!A45:E45))</f>
        <v>0</v>
      </c>
      <c r="F163" t="str">
        <f>CONCATENATE("Please enter all values in unit breakdown in worksheet row ", B161, ".", CHAR(10))</f>
        <v xml:space="preserve">Please enter all values in unit breakdown in worksheet row 44.
</v>
      </c>
      <c r="G163" s="9" t="str">
        <f t="shared" ca="1" si="146"/>
        <v xml:space="preserve">Enter a value for 'Total Number of Units' in cell B3.
Enter a value for 'Do Rents Include Utilities' in cell B4.
Please enter at least one row of the Rental Income Table beginning on worksheet row 4.
</v>
      </c>
    </row>
    <row r="164" spans="1:14" ht="15" customHeight="1">
      <c r="A164" t="str">
        <f ca="1">IF(AND(IF(ISNA(K164), FALSE, K164), E164 &gt; IF(ISNA(N164), E164, L164)), F164, "")</f>
        <v/>
      </c>
      <c r="B164">
        <f>B163</f>
        <v>45</v>
      </c>
      <c r="D164" s="52" t="str">
        <f>ADDRESS(B164,5,4)</f>
        <v>E45</v>
      </c>
      <c r="E164" t="str">
        <f ca="1">IF(ISBLANK( INDIRECT($F$135 &amp; D164)),"", INDIRECT($F$135 &amp; D164))</f>
        <v/>
      </c>
      <c r="F164" t="e">
        <f ca="1">CONCATENATE("Actual Rent per Unit exceeds maximum allowed rent of ", DOLLAR(N164), " in worksheet row ", B164, ".", CHAR(10))</f>
        <v>#N/A</v>
      </c>
      <c r="G164" s="9" t="str">
        <f t="shared" ref="G164" ca="1" si="154">OFFSET(G164, -1, 0) &amp; A164</f>
        <v xml:space="preserve">Enter a value for 'Total Number of Units' in cell B3.
Enter a value for 'Do Rents Include Utilities' in cell B4.
Please enter at least one row of the Rental Income Table beginning on worksheet row 4.
</v>
      </c>
      <c r="H164" s="52">
        <f ca="1">INDIRECT($F$135 &amp; ADDRESS(B164,1,4))</f>
        <v>0</v>
      </c>
      <c r="I164" s="52">
        <f ca="1">INDIRECT($F$135 &amp; ADDRESS(B164,2,4))</f>
        <v>0</v>
      </c>
      <c r="J164" s="52" t="e">
        <f ca="1">INDEX(Unit_Mix_Type_Table[Bedrooms], MATCH(Validation!I164,Unit_Mix_Type_Table[Unit Mix Type],0), 1)</f>
        <v>#N/A</v>
      </c>
      <c r="K164" s="52" t="e">
        <f ca="1">INDEX(Unit_Mix_Type_Table[Has Max Rent], MATCH(Validation!I164,Unit_Mix_Type_Table[Unit Mix Type],0), 1)</f>
        <v>#N/A</v>
      </c>
      <c r="L164" s="52" t="e">
        <f ca="1">INDEX(Calculations!$A$77:$G$84, MATCH(H164, Calculations!$A$77:$A$84),MATCH(J164,Calculations!$A$77:$G$77))</f>
        <v>#N/A</v>
      </c>
      <c r="M164" s="52" t="e">
        <f ca="1">INDEX(Calculations!$A$89:$G$94, MATCH(H164, Calculations!$A$77:$A$84),MATCH(J164,Calculations!$A$77:$G$77))</f>
        <v>#N/A</v>
      </c>
      <c r="N164" s="52" t="e">
        <f ca="1">IF('Unit Mix &amp; Rents'!B28="No", Validation!M164, Validation!L164)</f>
        <v>#N/A</v>
      </c>
    </row>
    <row r="165" spans="1:14" ht="15" customHeight="1">
      <c r="A165" s="52" t="str">
        <f>IF(AND(E165&gt;1,E165&lt;5), F165, "")</f>
        <v/>
      </c>
      <c r="B165" s="52">
        <f>ROW('Unit Mix &amp; Rents'!A46)</f>
        <v>46</v>
      </c>
      <c r="C165" s="52"/>
      <c r="D165" s="52"/>
      <c r="E165" s="52">
        <f>SUMPRODUCT(ISTEXT('Unit Mix &amp; Rents'!A46:E46) + ISNUMBER('Unit Mix &amp; Rents'!A46:E46))</f>
        <v>0</v>
      </c>
      <c r="F165" t="str">
        <f>CONCATENATE("Please enter all values in unit breakdown in worksheet row ", B163, ".", CHAR(10))</f>
        <v xml:space="preserve">Please enter all values in unit breakdown in worksheet row 45.
</v>
      </c>
      <c r="G165" s="9" t="str">
        <f t="shared" ca="1" si="146"/>
        <v xml:space="preserve">Enter a value for 'Total Number of Units' in cell B3.
Enter a value for 'Do Rents Include Utilities' in cell B4.
Please enter at least one row of the Rental Income Table beginning on worksheet row 4.
</v>
      </c>
    </row>
    <row r="166" spans="1:14" ht="15" customHeight="1">
      <c r="A166" t="str">
        <f ca="1">IF(AND(IF(ISNA(K166), FALSE, K166), E166 &gt; IF(ISNA(N166), E166, L166)), F166, "")</f>
        <v/>
      </c>
      <c r="B166">
        <f>B165</f>
        <v>46</v>
      </c>
      <c r="D166" s="52" t="str">
        <f>ADDRESS(B166,5,4)</f>
        <v>E46</v>
      </c>
      <c r="E166" t="str">
        <f ca="1">IF(ISBLANK( INDIRECT($F$135 &amp; D166)),"", INDIRECT($F$135 &amp; D166))</f>
        <v/>
      </c>
      <c r="F166" t="e">
        <f ca="1">CONCATENATE("Actual Rent per Unit exceeds maximum allowed rent of ", DOLLAR(N166), " in worksheet row ", B166, ".", CHAR(10))</f>
        <v>#N/A</v>
      </c>
      <c r="G166" s="9" t="str">
        <f t="shared" ref="G166" ca="1" si="155">OFFSET(G166, -1, 0) &amp; A166</f>
        <v xml:space="preserve">Enter a value for 'Total Number of Units' in cell B3.
Enter a value for 'Do Rents Include Utilities' in cell B4.
Please enter at least one row of the Rental Income Table beginning on worksheet row 4.
</v>
      </c>
      <c r="H166" s="52">
        <f ca="1">INDIRECT($F$135 &amp; ADDRESS(B166,1,4))</f>
        <v>0</v>
      </c>
      <c r="I166" s="52">
        <f ca="1">INDIRECT($F$135 &amp; ADDRESS(B166,2,4))</f>
        <v>0</v>
      </c>
      <c r="J166" s="52" t="e">
        <f ca="1">INDEX(Unit_Mix_Type_Table[Bedrooms], MATCH(Validation!I166,Unit_Mix_Type_Table[Unit Mix Type],0), 1)</f>
        <v>#N/A</v>
      </c>
      <c r="K166" s="52" t="e">
        <f ca="1">INDEX(Unit_Mix_Type_Table[Has Max Rent], MATCH(Validation!I166,Unit_Mix_Type_Table[Unit Mix Type],0), 1)</f>
        <v>#N/A</v>
      </c>
      <c r="L166" s="52" t="e">
        <f ca="1">INDEX(Calculations!$A$77:$G$84, MATCH(H166, Calculations!$A$77:$A$84),MATCH(J166,Calculations!$A$77:$G$77))</f>
        <v>#N/A</v>
      </c>
      <c r="M166" s="52" t="e">
        <f ca="1">INDEX(Calculations!$A$89:$G$94, MATCH(H166, Calculations!$A$77:$A$84),MATCH(J166,Calculations!$A$77:$G$77))</f>
        <v>#N/A</v>
      </c>
      <c r="N166" s="52" t="e">
        <f ca="1">IF('Unit Mix &amp; Rents'!B30="No", Validation!M166, Validation!L166)</f>
        <v>#N/A</v>
      </c>
    </row>
    <row r="167" spans="1:14" ht="15" customHeight="1">
      <c r="A167" s="52" t="str">
        <f>IF(AND(E167&gt;1,E167&lt;5), F167, "")</f>
        <v/>
      </c>
      <c r="B167" s="52">
        <f>ROW('Unit Mix &amp; Rents'!A47)</f>
        <v>47</v>
      </c>
      <c r="C167" s="52"/>
      <c r="D167" s="52"/>
      <c r="E167" s="52">
        <f>SUMPRODUCT(ISTEXT('Unit Mix &amp; Rents'!A47:E47) + ISNUMBER('Unit Mix &amp; Rents'!A47:E47))</f>
        <v>0</v>
      </c>
      <c r="F167" t="str">
        <f>CONCATENATE("Please enter all values in unit breakdown in worksheet row ", B165, ".", CHAR(10))</f>
        <v xml:space="preserve">Please enter all values in unit breakdown in worksheet row 46.
</v>
      </c>
      <c r="G167" s="9" t="str">
        <f t="shared" ca="1" si="146"/>
        <v xml:space="preserve">Enter a value for 'Total Number of Units' in cell B3.
Enter a value for 'Do Rents Include Utilities' in cell B4.
Please enter at least one row of the Rental Income Table beginning on worksheet row 4.
</v>
      </c>
    </row>
    <row r="168" spans="1:14" ht="15" customHeight="1">
      <c r="A168" t="str">
        <f ca="1">IF(AND(IF(ISNA(K168), FALSE, K168), E168 &gt; IF(ISNA(N168), E168, L168)), F168, "")</f>
        <v/>
      </c>
      <c r="B168">
        <f>B167</f>
        <v>47</v>
      </c>
      <c r="D168" s="52" t="str">
        <f>ADDRESS(B168,5,4)</f>
        <v>E47</v>
      </c>
      <c r="E168" t="str">
        <f ca="1">IF(ISBLANK( INDIRECT($F$135 &amp; D168)),"", INDIRECT($F$135 &amp; D168))</f>
        <v/>
      </c>
      <c r="F168" t="e">
        <f ca="1">CONCATENATE("Actual Rent per Unit exceeds maximum allowed rent of ", DOLLAR(N168), " in worksheet row ", B168, ".", CHAR(10))</f>
        <v>#N/A</v>
      </c>
      <c r="G168" s="9" t="str">
        <f t="shared" ref="G168" ca="1" si="156">OFFSET(G168, -1, 0) &amp; A168</f>
        <v xml:space="preserve">Enter a value for 'Total Number of Units' in cell B3.
Enter a value for 'Do Rents Include Utilities' in cell B4.
Please enter at least one row of the Rental Income Table beginning on worksheet row 4.
</v>
      </c>
      <c r="H168" s="52">
        <f ca="1">INDIRECT($F$135 &amp; ADDRESS(B168,1,4))</f>
        <v>0</v>
      </c>
      <c r="I168" s="52">
        <f ca="1">INDIRECT($F$135 &amp; ADDRESS(B168,2,4))</f>
        <v>0</v>
      </c>
      <c r="J168" s="52" t="e">
        <f ca="1">INDEX(Unit_Mix_Type_Table[Bedrooms], MATCH(Validation!I168,Unit_Mix_Type_Table[Unit Mix Type],0), 1)</f>
        <v>#N/A</v>
      </c>
      <c r="K168" s="52" t="e">
        <f ca="1">INDEX(Unit_Mix_Type_Table[Has Max Rent], MATCH(Validation!I168,Unit_Mix_Type_Table[Unit Mix Type],0), 1)</f>
        <v>#N/A</v>
      </c>
      <c r="L168" s="52" t="e">
        <f ca="1">INDEX(Calculations!$A$77:$G$84, MATCH(H168, Calculations!$A$77:$A$84),MATCH(J168,Calculations!$A$77:$G$77))</f>
        <v>#N/A</v>
      </c>
      <c r="M168" s="52" t="e">
        <f ca="1">INDEX(Calculations!$A$89:$G$94, MATCH(H168, Calculations!$A$77:$A$84),MATCH(J168,Calculations!$A$77:$G$77))</f>
        <v>#N/A</v>
      </c>
      <c r="N168" s="52" t="e">
        <f ca="1">IF('Unit Mix &amp; Rents'!B32="No", Validation!M168, Validation!L168)</f>
        <v>#N/A</v>
      </c>
    </row>
    <row r="169" spans="1:14" ht="15" customHeight="1">
      <c r="A169" s="52" t="str">
        <f>IF(AND(E169&gt;1,E169&lt;5), F169, "")</f>
        <v/>
      </c>
      <c r="B169" s="52">
        <f>ROW('Unit Mix &amp; Rents'!A48)</f>
        <v>48</v>
      </c>
      <c r="C169" s="52"/>
      <c r="D169" s="52"/>
      <c r="E169" s="52">
        <f>SUMPRODUCT(ISTEXT('Unit Mix &amp; Rents'!A48:E48) + ISNUMBER('Unit Mix &amp; Rents'!A48:E48))</f>
        <v>0</v>
      </c>
      <c r="F169" t="str">
        <f>CONCATENATE("Please enter all values in unit breakdown in worksheet row ", B167, ".", CHAR(10))</f>
        <v xml:space="preserve">Please enter all values in unit breakdown in worksheet row 47.
</v>
      </c>
      <c r="G169" s="9" t="str">
        <f t="shared" ca="1" si="146"/>
        <v xml:space="preserve">Enter a value for 'Total Number of Units' in cell B3.
Enter a value for 'Do Rents Include Utilities' in cell B4.
Please enter at least one row of the Rental Income Table beginning on worksheet row 4.
</v>
      </c>
    </row>
    <row r="170" spans="1:14" ht="15" customHeight="1">
      <c r="A170" t="str">
        <f ca="1">IF(AND(IF(ISNA(K170), FALSE, K170), E170 &gt; IF(ISNA(N170), E170, L170)), F170, "")</f>
        <v/>
      </c>
      <c r="B170">
        <f>B169</f>
        <v>48</v>
      </c>
      <c r="D170" s="52" t="str">
        <f>ADDRESS(B170,5,4)</f>
        <v>E48</v>
      </c>
      <c r="E170" t="str">
        <f ca="1">IF(ISBLANK( INDIRECT($F$135 &amp; D170)),"", INDIRECT($F$135 &amp; D170))</f>
        <v/>
      </c>
      <c r="F170" t="e">
        <f ca="1">CONCATENATE("Actual Rent per Unit exceeds maximum allowed rent of ", DOLLAR(N170), " in worksheet row ", B170, ".", CHAR(10))</f>
        <v>#N/A</v>
      </c>
      <c r="G170" s="9" t="str">
        <f t="shared" ref="G170" ca="1" si="157">OFFSET(G170, -1, 0) &amp; A170</f>
        <v xml:space="preserve">Enter a value for 'Total Number of Units' in cell B3.
Enter a value for 'Do Rents Include Utilities' in cell B4.
Please enter at least one row of the Rental Income Table beginning on worksheet row 4.
</v>
      </c>
      <c r="H170" s="52">
        <f ca="1">INDIRECT($F$135 &amp; ADDRESS(B170,1,4))</f>
        <v>0</v>
      </c>
      <c r="I170" s="52">
        <f ca="1">INDIRECT($F$135 &amp; ADDRESS(B170,2,4))</f>
        <v>0</v>
      </c>
      <c r="J170" s="52" t="e">
        <f ca="1">INDEX(Unit_Mix_Type_Table[Bedrooms], MATCH(Validation!I170,Unit_Mix_Type_Table[Unit Mix Type],0), 1)</f>
        <v>#N/A</v>
      </c>
      <c r="K170" s="52" t="e">
        <f ca="1">INDEX(Unit_Mix_Type_Table[Has Max Rent], MATCH(Validation!I170,Unit_Mix_Type_Table[Unit Mix Type],0), 1)</f>
        <v>#N/A</v>
      </c>
      <c r="L170" s="52" t="e">
        <f ca="1">INDEX(Calculations!$A$77:$G$84, MATCH(H170, Calculations!$A$77:$A$84),MATCH(J170,Calculations!$A$77:$G$77))</f>
        <v>#N/A</v>
      </c>
      <c r="M170" s="52" t="e">
        <f ca="1">INDEX(Calculations!$A$89:$G$94, MATCH(H170, Calculations!$A$77:$A$84),MATCH(J170,Calculations!$A$77:$G$77))</f>
        <v>#N/A</v>
      </c>
      <c r="N170" s="52" t="e">
        <f ca="1">IF('Unit Mix &amp; Rents'!B34="No", Validation!M170, Validation!L170)</f>
        <v>#N/A</v>
      </c>
    </row>
    <row r="171" spans="1:14" ht="15" customHeight="1">
      <c r="A171" s="52" t="str">
        <f>IF(AND(E171&gt;1,E171&lt;5), F171, "")</f>
        <v/>
      </c>
      <c r="B171" s="52">
        <f>ROW('Unit Mix &amp; Rents'!A49)</f>
        <v>49</v>
      </c>
      <c r="C171" s="52"/>
      <c r="D171" s="52"/>
      <c r="E171" s="52">
        <f>SUMPRODUCT(ISTEXT('Unit Mix &amp; Rents'!A49:E49) + ISNUMBER('Unit Mix &amp; Rents'!A49:E49))</f>
        <v>0</v>
      </c>
      <c r="F171" t="str">
        <f>CONCATENATE("Please enter all values in unit breakdown in worksheet row ", B169, ".", CHAR(10))</f>
        <v xml:space="preserve">Please enter all values in unit breakdown in worksheet row 48.
</v>
      </c>
      <c r="G171" s="9" t="str">
        <f t="shared" ref="G171:G202" ca="1" si="158">OFFSET(G171, -1, 0) &amp; A171</f>
        <v xml:space="preserve">Enter a value for 'Total Number of Units' in cell B3.
Enter a value for 'Do Rents Include Utilities' in cell B4.
Please enter at least one row of the Rental Income Table beginning on worksheet row 4.
</v>
      </c>
    </row>
    <row r="172" spans="1:14" ht="15" customHeight="1">
      <c r="A172" t="str">
        <f ca="1">IF(AND(IF(ISNA(K172), FALSE, K172), E172 &gt; IF(ISNA(N172), E172, L172)), F172, "")</f>
        <v/>
      </c>
      <c r="B172">
        <f>B171</f>
        <v>49</v>
      </c>
      <c r="D172" s="52" t="str">
        <f>ADDRESS(B172,5,4)</f>
        <v>E49</v>
      </c>
      <c r="E172" t="str">
        <f ca="1">IF(ISBLANK( INDIRECT($F$135 &amp; D172)),"", INDIRECT($F$135 &amp; D172))</f>
        <v/>
      </c>
      <c r="F172" t="e">
        <f ca="1">CONCATENATE("Actual Rent per Unit exceeds maximum allowed rent of ", DOLLAR(N172), " in worksheet row ", B172, ".", CHAR(10))</f>
        <v>#N/A</v>
      </c>
      <c r="G172" s="9" t="str">
        <f t="shared" ca="1" si="158"/>
        <v xml:space="preserve">Enter a value for 'Total Number of Units' in cell B3.
Enter a value for 'Do Rents Include Utilities' in cell B4.
Please enter at least one row of the Rental Income Table beginning on worksheet row 4.
</v>
      </c>
      <c r="H172" s="52">
        <f ca="1">INDIRECT($F$135 &amp; ADDRESS(B172,1,4))</f>
        <v>0</v>
      </c>
      <c r="I172" s="52">
        <f ca="1">INDIRECT($F$135 &amp; ADDRESS(B172,2,4))</f>
        <v>0</v>
      </c>
      <c r="J172" s="52" t="e">
        <f ca="1">INDEX(Unit_Mix_Type_Table[Bedrooms], MATCH(Validation!I172,Unit_Mix_Type_Table[Unit Mix Type],0), 1)</f>
        <v>#N/A</v>
      </c>
      <c r="K172" s="52" t="e">
        <f ca="1">INDEX(Unit_Mix_Type_Table[Has Max Rent], MATCH(Validation!I172,Unit_Mix_Type_Table[Unit Mix Type],0), 1)</f>
        <v>#N/A</v>
      </c>
      <c r="L172" s="52" t="e">
        <f ca="1">INDEX(Calculations!$A$77:$G$84, MATCH(H172, Calculations!$A$77:$A$84),MATCH(J172,Calculations!$A$77:$G$77))</f>
        <v>#N/A</v>
      </c>
      <c r="M172" s="52" t="e">
        <f ca="1">INDEX(Calculations!$A$89:$G$94, MATCH(H172, Calculations!$A$77:$A$84),MATCH(J172,Calculations!$A$77:$G$77))</f>
        <v>#N/A</v>
      </c>
      <c r="N172" s="52" t="e">
        <f ca="1">IF('Unit Mix &amp; Rents'!B36="No", Validation!M172, Validation!L172)</f>
        <v>#N/A</v>
      </c>
    </row>
    <row r="173" spans="1:14" ht="15" customHeight="1">
      <c r="A173" s="52" t="str">
        <f>IF(AND(E173&gt;1,E173&lt;5), F173, "")</f>
        <v/>
      </c>
      <c r="B173" s="52">
        <f>ROW('Unit Mix &amp; Rents'!A50)</f>
        <v>50</v>
      </c>
      <c r="C173" s="52"/>
      <c r="D173" s="52"/>
      <c r="E173" s="52">
        <f>SUMPRODUCT(ISTEXT('Unit Mix &amp; Rents'!A50:E50) + ISNUMBER('Unit Mix &amp; Rents'!A50:E50))</f>
        <v>0</v>
      </c>
      <c r="F173" t="str">
        <f>CONCATENATE("Please enter all values in unit breakdown in worksheet row ", B171, ".", CHAR(10))</f>
        <v xml:space="preserve">Please enter all values in unit breakdown in worksheet row 49.
</v>
      </c>
      <c r="G173" s="9" t="str">
        <f t="shared" ca="1" si="158"/>
        <v xml:space="preserve">Enter a value for 'Total Number of Units' in cell B3.
Enter a value for 'Do Rents Include Utilities' in cell B4.
Please enter at least one row of the Rental Income Table beginning on worksheet row 4.
</v>
      </c>
    </row>
    <row r="174" spans="1:14" ht="15" customHeight="1">
      <c r="A174" t="str">
        <f ca="1">IF(AND(IF(ISNA(K174), FALSE, K174), E174 &gt; IF(ISNA(N174), E174, L174)), F174, "")</f>
        <v/>
      </c>
      <c r="B174">
        <f>B173</f>
        <v>50</v>
      </c>
      <c r="D174" s="52" t="str">
        <f>ADDRESS(B174,5,4)</f>
        <v>E50</v>
      </c>
      <c r="E174" t="str">
        <f ca="1">IF(ISBLANK( INDIRECT($F$135 &amp; D174)),"", INDIRECT($F$135 &amp; D174))</f>
        <v/>
      </c>
      <c r="F174" t="e">
        <f ca="1">CONCATENATE("Actual Rent per Unit exceeds maximum allowed rent of ", DOLLAR(N174), " in worksheet row ", B174, ".", CHAR(10))</f>
        <v>#N/A</v>
      </c>
      <c r="G174" s="9" t="str">
        <f t="shared" ca="1" si="158"/>
        <v xml:space="preserve">Enter a value for 'Total Number of Units' in cell B3.
Enter a value for 'Do Rents Include Utilities' in cell B4.
Please enter at least one row of the Rental Income Table beginning on worksheet row 4.
</v>
      </c>
      <c r="H174" s="52">
        <f ca="1">INDIRECT($F$135 &amp; ADDRESS(B174,1,4))</f>
        <v>0</v>
      </c>
      <c r="I174" s="52">
        <f ca="1">INDIRECT($F$135 &amp; ADDRESS(B174,2,4))</f>
        <v>0</v>
      </c>
      <c r="J174" s="52" t="e">
        <f ca="1">INDEX(Unit_Mix_Type_Table[Bedrooms], MATCH(Validation!I174,Unit_Mix_Type_Table[Unit Mix Type],0), 1)</f>
        <v>#N/A</v>
      </c>
      <c r="K174" s="52" t="e">
        <f ca="1">INDEX(Unit_Mix_Type_Table[Has Max Rent], MATCH(Validation!I174,Unit_Mix_Type_Table[Unit Mix Type],0), 1)</f>
        <v>#N/A</v>
      </c>
      <c r="L174" s="52" t="e">
        <f ca="1">INDEX(Calculations!$A$77:$G$84, MATCH(H174, Calculations!$A$77:$A$84),MATCH(J174,Calculations!$A$77:$G$77))</f>
        <v>#N/A</v>
      </c>
      <c r="M174" s="52" t="e">
        <f ca="1">INDEX(Calculations!$A$89:$G$94, MATCH(H174, Calculations!$A$77:$A$84),MATCH(J174,Calculations!$A$77:$G$77))</f>
        <v>#N/A</v>
      </c>
      <c r="N174" s="52" t="e">
        <f ca="1">IF('Unit Mix &amp; Rents'!B38="No", Validation!M174, Validation!L174)</f>
        <v>#N/A</v>
      </c>
    </row>
    <row r="175" spans="1:14" ht="15" customHeight="1">
      <c r="A175" s="52" t="str">
        <f>IF(AND(E175&gt;1,E175&lt;5), F175, "")</f>
        <v/>
      </c>
      <c r="B175" s="52">
        <f>ROW('Unit Mix &amp; Rents'!A51)</f>
        <v>51</v>
      </c>
      <c r="C175" s="52"/>
      <c r="D175" s="52"/>
      <c r="E175" s="52">
        <f>SUMPRODUCT(ISTEXT('Unit Mix &amp; Rents'!A51:E51) + ISNUMBER('Unit Mix &amp; Rents'!A51:E51))</f>
        <v>0</v>
      </c>
      <c r="F175" t="str">
        <f>CONCATENATE("Please enter all values in unit breakdown in worksheet row ", B173, ".", CHAR(10))</f>
        <v xml:space="preserve">Please enter all values in unit breakdown in worksheet row 50.
</v>
      </c>
      <c r="G175" s="9" t="str">
        <f t="shared" ca="1" si="158"/>
        <v xml:space="preserve">Enter a value for 'Total Number of Units' in cell B3.
Enter a value for 'Do Rents Include Utilities' in cell B4.
Please enter at least one row of the Rental Income Table beginning on worksheet row 4.
</v>
      </c>
    </row>
    <row r="176" spans="1:14" ht="15" customHeight="1">
      <c r="A176" t="str">
        <f ca="1">IF(AND(IF(ISNA(K176), FALSE, K176), E176 &gt; IF(ISNA(N176), E176, L176)), F176, "")</f>
        <v/>
      </c>
      <c r="B176">
        <f>B175</f>
        <v>51</v>
      </c>
      <c r="D176" s="52" t="str">
        <f>ADDRESS(B176,5,4)</f>
        <v>E51</v>
      </c>
      <c r="E176" t="str">
        <f ca="1">IF(ISBLANK( INDIRECT($F$135 &amp; D176)),"", INDIRECT($F$135 &amp; D176))</f>
        <v/>
      </c>
      <c r="F176" t="e">
        <f ca="1">CONCATENATE("Actual Rent per Unit exceeds maximum allowed rent of ", DOLLAR(N176), " in worksheet row ", B176, ".", CHAR(10))</f>
        <v>#N/A</v>
      </c>
      <c r="G176" s="9" t="str">
        <f t="shared" ca="1" si="158"/>
        <v xml:space="preserve">Enter a value for 'Total Number of Units' in cell B3.
Enter a value for 'Do Rents Include Utilities' in cell B4.
Please enter at least one row of the Rental Income Table beginning on worksheet row 4.
</v>
      </c>
      <c r="H176" s="52">
        <f ca="1">INDIRECT($F$135 &amp; ADDRESS(B176,1,4))</f>
        <v>0</v>
      </c>
      <c r="I176" s="52">
        <f ca="1">INDIRECT($F$135 &amp; ADDRESS(B176,2,4))</f>
        <v>0</v>
      </c>
      <c r="J176" s="52" t="e">
        <f ca="1">INDEX(Unit_Mix_Type_Table[Bedrooms], MATCH(Validation!I176,Unit_Mix_Type_Table[Unit Mix Type],0), 1)</f>
        <v>#N/A</v>
      </c>
      <c r="K176" s="52" t="e">
        <f ca="1">INDEX(Unit_Mix_Type_Table[Has Max Rent], MATCH(Validation!I176,Unit_Mix_Type_Table[Unit Mix Type],0), 1)</f>
        <v>#N/A</v>
      </c>
      <c r="L176" s="52" t="e">
        <f ca="1">INDEX(Calculations!$A$77:$G$84, MATCH(H176, Calculations!$A$77:$A$84),MATCH(J176,Calculations!$A$77:$G$77))</f>
        <v>#N/A</v>
      </c>
      <c r="M176" s="52" t="e">
        <f ca="1">INDEX(Calculations!$A$89:$G$94, MATCH(H176, Calculations!$A$77:$A$84),MATCH(J176,Calculations!$A$77:$G$77))</f>
        <v>#N/A</v>
      </c>
      <c r="N176" s="52" t="e">
        <f ca="1">IF('Unit Mix &amp; Rents'!B40="No", Validation!M176, Validation!L176)</f>
        <v>#N/A</v>
      </c>
    </row>
    <row r="177" spans="1:14" ht="15" customHeight="1">
      <c r="A177" s="52" t="str">
        <f>IF(AND(E177&gt;1,E177&lt;5), F177, "")</f>
        <v/>
      </c>
      <c r="B177" s="52">
        <f>ROW('Unit Mix &amp; Rents'!A52)</f>
        <v>52</v>
      </c>
      <c r="C177" s="52"/>
      <c r="D177" s="52"/>
      <c r="E177" s="52">
        <f>SUMPRODUCT(ISTEXT('Unit Mix &amp; Rents'!A52:E52) + ISNUMBER('Unit Mix &amp; Rents'!A52:E52))</f>
        <v>0</v>
      </c>
      <c r="F177" t="str">
        <f>CONCATENATE("Please enter all values in unit breakdown in worksheet row ", B175, ".", CHAR(10))</f>
        <v xml:space="preserve">Please enter all values in unit breakdown in worksheet row 51.
</v>
      </c>
      <c r="G177" s="9" t="str">
        <f t="shared" ca="1" si="158"/>
        <v xml:space="preserve">Enter a value for 'Total Number of Units' in cell B3.
Enter a value for 'Do Rents Include Utilities' in cell B4.
Please enter at least one row of the Rental Income Table beginning on worksheet row 4.
</v>
      </c>
    </row>
    <row r="178" spans="1:14" ht="15" customHeight="1">
      <c r="A178" t="str">
        <f ca="1">IF(AND(IF(ISNA(K178), FALSE, K178), E178 &gt; IF(ISNA(N178), E178, L178)), F178, "")</f>
        <v/>
      </c>
      <c r="B178">
        <f>B177</f>
        <v>52</v>
      </c>
      <c r="D178" s="52" t="str">
        <f>ADDRESS(B178,5,4)</f>
        <v>E52</v>
      </c>
      <c r="E178" t="str">
        <f ca="1">IF(ISBLANK( INDIRECT($F$135 &amp; D178)),"", INDIRECT($F$135 &amp; D178))</f>
        <v/>
      </c>
      <c r="F178" t="e">
        <f ca="1">CONCATENATE("Actual Rent per Unit exceeds maximum allowed rent of ", DOLLAR(N178), " in worksheet row ", B178, ".", CHAR(10))</f>
        <v>#N/A</v>
      </c>
      <c r="G178" s="9" t="str">
        <f t="shared" ca="1" si="158"/>
        <v xml:space="preserve">Enter a value for 'Total Number of Units' in cell B3.
Enter a value for 'Do Rents Include Utilities' in cell B4.
Please enter at least one row of the Rental Income Table beginning on worksheet row 4.
</v>
      </c>
      <c r="H178" s="52">
        <f ca="1">INDIRECT($F$135 &amp; ADDRESS(B178,1,4))</f>
        <v>0</v>
      </c>
      <c r="I178" s="52">
        <f ca="1">INDIRECT($F$135 &amp; ADDRESS(B178,2,4))</f>
        <v>0</v>
      </c>
      <c r="J178" s="52" t="e">
        <f ca="1">INDEX(Unit_Mix_Type_Table[Bedrooms], MATCH(Validation!I178,Unit_Mix_Type_Table[Unit Mix Type],0), 1)</f>
        <v>#N/A</v>
      </c>
      <c r="K178" s="52" t="e">
        <f ca="1">INDEX(Unit_Mix_Type_Table[Has Max Rent], MATCH(Validation!I178,Unit_Mix_Type_Table[Unit Mix Type],0), 1)</f>
        <v>#N/A</v>
      </c>
      <c r="L178" s="52" t="e">
        <f ca="1">INDEX(Calculations!$A$77:$G$84, MATCH(H178, Calculations!$A$77:$A$84),MATCH(J178,Calculations!$A$77:$G$77))</f>
        <v>#N/A</v>
      </c>
      <c r="M178" s="52" t="e">
        <f ca="1">INDEX(Calculations!$A$89:$G$94, MATCH(H178, Calculations!$A$77:$A$84),MATCH(J178,Calculations!$A$77:$G$77))</f>
        <v>#N/A</v>
      </c>
      <c r="N178" s="52" t="e">
        <f ca="1">IF('Unit Mix &amp; Rents'!B42="No", Validation!M178, Validation!L178)</f>
        <v>#N/A</v>
      </c>
    </row>
    <row r="179" spans="1:14" ht="15" customHeight="1">
      <c r="A179" s="52" t="str">
        <f>IF(AND(E179&gt;1,E179&lt;5), F179, "")</f>
        <v/>
      </c>
      <c r="B179" s="52">
        <f>ROW('Unit Mix &amp; Rents'!A53)</f>
        <v>53</v>
      </c>
      <c r="C179" s="52"/>
      <c r="D179" s="52"/>
      <c r="E179" s="52">
        <f>SUMPRODUCT(ISTEXT('Unit Mix &amp; Rents'!A53:E53) + ISNUMBER('Unit Mix &amp; Rents'!A53:E53))</f>
        <v>0</v>
      </c>
      <c r="F179" t="str">
        <f>CONCATENATE("Please enter all values in unit breakdown in worksheet row ", B177, ".", CHAR(10))</f>
        <v xml:space="preserve">Please enter all values in unit breakdown in worksheet row 52.
</v>
      </c>
      <c r="G179" s="9" t="str">
        <f t="shared" ca="1" si="158"/>
        <v xml:space="preserve">Enter a value for 'Total Number of Units' in cell B3.
Enter a value for 'Do Rents Include Utilities' in cell B4.
Please enter at least one row of the Rental Income Table beginning on worksheet row 4.
</v>
      </c>
    </row>
    <row r="180" spans="1:14" ht="15" customHeight="1">
      <c r="A180" t="str">
        <f ca="1">IF(AND(IF(ISNA(K180), FALSE, K180), E180 &gt; IF(ISNA(N180), E180, L180)), F180, "")</f>
        <v/>
      </c>
      <c r="B180">
        <f>B179</f>
        <v>53</v>
      </c>
      <c r="D180" s="52" t="str">
        <f>ADDRESS(B180,5,4)</f>
        <v>E53</v>
      </c>
      <c r="E180" t="str">
        <f ca="1">IF(ISBLANK( INDIRECT($F$135 &amp; D180)),"", INDIRECT($F$135 &amp; D180))</f>
        <v/>
      </c>
      <c r="F180" t="e">
        <f ca="1">CONCATENATE("Actual Rent per Unit exceeds maximum allowed rent of ", DOLLAR(N180), " in worksheet row ", B180, ".", CHAR(10))</f>
        <v>#N/A</v>
      </c>
      <c r="G180" s="9" t="str">
        <f t="shared" ca="1" si="158"/>
        <v xml:space="preserve">Enter a value for 'Total Number of Units' in cell B3.
Enter a value for 'Do Rents Include Utilities' in cell B4.
Please enter at least one row of the Rental Income Table beginning on worksheet row 4.
</v>
      </c>
      <c r="H180" s="52">
        <f ca="1">INDIRECT($F$135 &amp; ADDRESS(B180,1,4))</f>
        <v>0</v>
      </c>
      <c r="I180" s="52">
        <f ca="1">INDIRECT($F$135 &amp; ADDRESS(B180,2,4))</f>
        <v>0</v>
      </c>
      <c r="J180" s="52" t="e">
        <f ca="1">INDEX(Unit_Mix_Type_Table[Bedrooms], MATCH(Validation!I180,Unit_Mix_Type_Table[Unit Mix Type],0), 1)</f>
        <v>#N/A</v>
      </c>
      <c r="K180" s="52" t="e">
        <f ca="1">INDEX(Unit_Mix_Type_Table[Has Max Rent], MATCH(Validation!I180,Unit_Mix_Type_Table[Unit Mix Type],0), 1)</f>
        <v>#N/A</v>
      </c>
      <c r="L180" s="52" t="e">
        <f ca="1">INDEX(Calculations!$A$77:$G$84, MATCH(H180, Calculations!$A$77:$A$84),MATCH(J180,Calculations!$A$77:$G$77))</f>
        <v>#N/A</v>
      </c>
      <c r="M180" s="52" t="e">
        <f ca="1">INDEX(Calculations!$A$89:$G$94, MATCH(H180, Calculations!$A$77:$A$84),MATCH(J180,Calculations!$A$77:$G$77))</f>
        <v>#N/A</v>
      </c>
      <c r="N180" s="52" t="e">
        <f ca="1">IF('Unit Mix &amp; Rents'!B44="No", Validation!M180, Validation!L180)</f>
        <v>#N/A</v>
      </c>
    </row>
    <row r="181" spans="1:14" ht="15" customHeight="1">
      <c r="A181" s="52" t="str">
        <f>IF(AND(E181&gt;1,E181&lt;5), F181, "")</f>
        <v/>
      </c>
      <c r="B181" s="52">
        <f>ROW('Unit Mix &amp; Rents'!A54)</f>
        <v>54</v>
      </c>
      <c r="C181" s="52"/>
      <c r="D181" s="52"/>
      <c r="E181" s="52">
        <f>SUMPRODUCT(ISTEXT('Unit Mix &amp; Rents'!A54:E54) + ISNUMBER('Unit Mix &amp; Rents'!A54:E54))</f>
        <v>0</v>
      </c>
      <c r="F181" t="str">
        <f>CONCATENATE("Please enter all values in unit breakdown in worksheet row ", B179, ".", CHAR(10))</f>
        <v xml:space="preserve">Please enter all values in unit breakdown in worksheet row 53.
</v>
      </c>
      <c r="G181" s="9" t="str">
        <f t="shared" ca="1" si="158"/>
        <v xml:space="preserve">Enter a value for 'Total Number of Units' in cell B3.
Enter a value for 'Do Rents Include Utilities' in cell B4.
Please enter at least one row of the Rental Income Table beginning on worksheet row 4.
</v>
      </c>
    </row>
    <row r="182" spans="1:14" ht="15" customHeight="1">
      <c r="A182" t="str">
        <f ca="1">IF(AND(IF(ISNA(K182), FALSE, K182), E182 &gt; IF(ISNA(N182), E182, L182)), F182, "")</f>
        <v/>
      </c>
      <c r="B182">
        <f>B181</f>
        <v>54</v>
      </c>
      <c r="D182" s="52" t="str">
        <f>ADDRESS(B182,5,4)</f>
        <v>E54</v>
      </c>
      <c r="E182" t="str">
        <f ca="1">IF(ISBLANK( INDIRECT($F$135 &amp; D182)),"", INDIRECT($F$135 &amp; D182))</f>
        <v/>
      </c>
      <c r="F182" t="e">
        <f ca="1">CONCATENATE("Actual Rent per Unit exceeds maximum allowed rent of ", DOLLAR(N182), " in worksheet row ", B182, ".", CHAR(10))</f>
        <v>#N/A</v>
      </c>
      <c r="G182" s="9" t="str">
        <f t="shared" ca="1" si="158"/>
        <v xml:space="preserve">Enter a value for 'Total Number of Units' in cell B3.
Enter a value for 'Do Rents Include Utilities' in cell B4.
Please enter at least one row of the Rental Income Table beginning on worksheet row 4.
</v>
      </c>
      <c r="H182" s="52">
        <f ca="1">INDIRECT($F$135 &amp; ADDRESS(B182,1,4))</f>
        <v>0</v>
      </c>
      <c r="I182" s="52">
        <f ca="1">INDIRECT($F$135 &amp; ADDRESS(B182,2,4))</f>
        <v>0</v>
      </c>
      <c r="J182" s="52" t="e">
        <f ca="1">INDEX(Unit_Mix_Type_Table[Bedrooms], MATCH(Validation!I182,Unit_Mix_Type_Table[Unit Mix Type],0), 1)</f>
        <v>#N/A</v>
      </c>
      <c r="K182" s="52" t="e">
        <f ca="1">INDEX(Unit_Mix_Type_Table[Has Max Rent], MATCH(Validation!I182,Unit_Mix_Type_Table[Unit Mix Type],0), 1)</f>
        <v>#N/A</v>
      </c>
      <c r="L182" s="52" t="e">
        <f ca="1">INDEX(Calculations!$A$77:$G$84, MATCH(H182, Calculations!$A$77:$A$84),MATCH(J182,Calculations!$A$77:$G$77))</f>
        <v>#N/A</v>
      </c>
      <c r="M182" s="52" t="e">
        <f ca="1">INDEX(Calculations!$A$89:$G$94, MATCH(H182, Calculations!$A$77:$A$84),MATCH(J182,Calculations!$A$77:$G$77))</f>
        <v>#N/A</v>
      </c>
      <c r="N182" s="52" t="e">
        <f ca="1">IF('Unit Mix &amp; Rents'!B46="No", Validation!M182, Validation!L182)</f>
        <v>#N/A</v>
      </c>
    </row>
    <row r="183" spans="1:14" ht="15" customHeight="1">
      <c r="A183" s="52" t="str">
        <f>IF(AND(E183&gt;1,E183&lt;5), F183, "")</f>
        <v/>
      </c>
      <c r="B183" s="52">
        <f>ROW('Unit Mix &amp; Rents'!A55)</f>
        <v>55</v>
      </c>
      <c r="C183" s="52"/>
      <c r="D183" s="52"/>
      <c r="E183" s="52">
        <f>SUMPRODUCT(ISTEXT('Unit Mix &amp; Rents'!A55:E55) + ISNUMBER('Unit Mix &amp; Rents'!A55:E55))</f>
        <v>0</v>
      </c>
      <c r="F183" t="str">
        <f>CONCATENATE("Please enter all values in unit breakdown in worksheet row ", B181, ".", CHAR(10))</f>
        <v xml:space="preserve">Please enter all values in unit breakdown in worksheet row 54.
</v>
      </c>
      <c r="G183" s="9" t="str">
        <f t="shared" ca="1" si="158"/>
        <v xml:space="preserve">Enter a value for 'Total Number of Units' in cell B3.
Enter a value for 'Do Rents Include Utilities' in cell B4.
Please enter at least one row of the Rental Income Table beginning on worksheet row 4.
</v>
      </c>
    </row>
    <row r="184" spans="1:14" ht="15" customHeight="1">
      <c r="A184" t="str">
        <f ca="1">IF(AND(IF(ISNA(K184), FALSE, K184), E184 &gt; IF(ISNA(N184), E184, L184)), F184, "")</f>
        <v/>
      </c>
      <c r="B184">
        <f>B183</f>
        <v>55</v>
      </c>
      <c r="D184" s="52" t="str">
        <f>ADDRESS(B184,5,4)</f>
        <v>E55</v>
      </c>
      <c r="E184" t="str">
        <f ca="1">IF(ISBLANK( INDIRECT($F$135 &amp; D184)),"", INDIRECT($F$135 &amp; D184))</f>
        <v/>
      </c>
      <c r="F184" t="e">
        <f ca="1">CONCATENATE("Actual Rent per Unit exceeds maximum allowed rent of ", DOLLAR(N184), " in worksheet row ", B184, ".", CHAR(10))</f>
        <v>#N/A</v>
      </c>
      <c r="G184" s="9" t="str">
        <f t="shared" ca="1" si="158"/>
        <v xml:space="preserve">Enter a value for 'Total Number of Units' in cell B3.
Enter a value for 'Do Rents Include Utilities' in cell B4.
Please enter at least one row of the Rental Income Table beginning on worksheet row 4.
</v>
      </c>
      <c r="H184" s="52">
        <f ca="1">INDIRECT($F$135 &amp; ADDRESS(B184,1,4))</f>
        <v>0</v>
      </c>
      <c r="I184" s="52">
        <f ca="1">INDIRECT($F$135 &amp; ADDRESS(B184,2,4))</f>
        <v>0</v>
      </c>
      <c r="J184" s="52" t="e">
        <f ca="1">INDEX(Unit_Mix_Type_Table[Bedrooms], MATCH(Validation!I184,Unit_Mix_Type_Table[Unit Mix Type],0), 1)</f>
        <v>#N/A</v>
      </c>
      <c r="K184" s="52" t="e">
        <f ca="1">INDEX(Unit_Mix_Type_Table[Has Max Rent], MATCH(Validation!I184,Unit_Mix_Type_Table[Unit Mix Type],0), 1)</f>
        <v>#N/A</v>
      </c>
      <c r="L184" s="52" t="e">
        <f ca="1">INDEX(Calculations!$A$77:$G$84, MATCH(H184, Calculations!$A$77:$A$84),MATCH(J184,Calculations!$A$77:$G$77))</f>
        <v>#N/A</v>
      </c>
      <c r="M184" s="52" t="e">
        <f ca="1">INDEX(Calculations!$A$89:$G$94, MATCH(H184, Calculations!$A$77:$A$84),MATCH(J184,Calculations!$A$77:$G$77))</f>
        <v>#N/A</v>
      </c>
      <c r="N184" s="52" t="e">
        <f ca="1">IF('Unit Mix &amp; Rents'!B48="No", Validation!M184, Validation!L184)</f>
        <v>#N/A</v>
      </c>
    </row>
    <row r="185" spans="1:14" ht="15" customHeight="1">
      <c r="A185" s="52" t="str">
        <f>IF(AND(E185&gt;1,E185&lt;5), F185, "")</f>
        <v/>
      </c>
      <c r="B185" s="52">
        <f>ROW('Unit Mix &amp; Rents'!A56)</f>
        <v>56</v>
      </c>
      <c r="C185" s="52"/>
      <c r="D185" s="52"/>
      <c r="E185" s="52">
        <f>SUMPRODUCT(ISTEXT('Unit Mix &amp; Rents'!A56:E56) + ISNUMBER('Unit Mix &amp; Rents'!A56:E56))</f>
        <v>0</v>
      </c>
      <c r="F185" t="str">
        <f>CONCATENATE("Please enter all values in unit breakdown in worksheet row ", B183, ".", CHAR(10))</f>
        <v xml:space="preserve">Please enter all values in unit breakdown in worksheet row 55.
</v>
      </c>
      <c r="G185" s="9" t="str">
        <f t="shared" ca="1" si="158"/>
        <v xml:space="preserve">Enter a value for 'Total Number of Units' in cell B3.
Enter a value for 'Do Rents Include Utilities' in cell B4.
Please enter at least one row of the Rental Income Table beginning on worksheet row 4.
</v>
      </c>
    </row>
    <row r="186" spans="1:14" ht="15" customHeight="1">
      <c r="A186" t="str">
        <f ca="1">IF(AND(IF(ISNA(K186), FALSE, K186), E186 &gt; IF(ISNA(N186), E186, L186)), F186, "")</f>
        <v/>
      </c>
      <c r="B186">
        <f>B185</f>
        <v>56</v>
      </c>
      <c r="D186" s="52" t="str">
        <f>ADDRESS(B186,5,4)</f>
        <v>E56</v>
      </c>
      <c r="E186" t="str">
        <f ca="1">IF(ISBLANK( INDIRECT($F$135 &amp; D186)),"", INDIRECT($F$135 &amp; D186))</f>
        <v/>
      </c>
      <c r="F186" t="e">
        <f ca="1">CONCATENATE("Actual Rent per Unit exceeds maximum allowed rent of ", DOLLAR(N186), " in worksheet row ", B186, ".", CHAR(10))</f>
        <v>#N/A</v>
      </c>
      <c r="G186" s="9" t="str">
        <f t="shared" ca="1" si="158"/>
        <v xml:space="preserve">Enter a value for 'Total Number of Units' in cell B3.
Enter a value for 'Do Rents Include Utilities' in cell B4.
Please enter at least one row of the Rental Income Table beginning on worksheet row 4.
</v>
      </c>
      <c r="H186" s="52">
        <f ca="1">INDIRECT($F$135 &amp; ADDRESS(B186,1,4))</f>
        <v>0</v>
      </c>
      <c r="I186" s="52">
        <f ca="1">INDIRECT($F$135 &amp; ADDRESS(B186,2,4))</f>
        <v>0</v>
      </c>
      <c r="J186" s="52" t="e">
        <f ca="1">INDEX(Unit_Mix_Type_Table[Bedrooms], MATCH(Validation!I186,Unit_Mix_Type_Table[Unit Mix Type],0), 1)</f>
        <v>#N/A</v>
      </c>
      <c r="K186" s="52" t="e">
        <f ca="1">INDEX(Unit_Mix_Type_Table[Has Max Rent], MATCH(Validation!I186,Unit_Mix_Type_Table[Unit Mix Type],0), 1)</f>
        <v>#N/A</v>
      </c>
      <c r="L186" s="52" t="e">
        <f ca="1">INDEX(Calculations!$A$77:$G$84, MATCH(H186, Calculations!$A$77:$A$84),MATCH(J186,Calculations!$A$77:$G$77))</f>
        <v>#N/A</v>
      </c>
      <c r="M186" s="52" t="e">
        <f ca="1">INDEX(Calculations!$A$89:$G$94, MATCH(H186, Calculations!$A$77:$A$84),MATCH(J186,Calculations!$A$77:$G$77))</f>
        <v>#N/A</v>
      </c>
      <c r="N186" s="52" t="e">
        <f ca="1">IF('Unit Mix &amp; Rents'!B50="No", Validation!M186, Validation!L186)</f>
        <v>#N/A</v>
      </c>
    </row>
    <row r="187" spans="1:14" ht="15" customHeight="1">
      <c r="A187" s="52" t="str">
        <f>IF(AND(E187&gt;1,E187&lt;5), F187, "")</f>
        <v/>
      </c>
      <c r="B187" s="52">
        <f>ROW('Unit Mix &amp; Rents'!A57)</f>
        <v>57</v>
      </c>
      <c r="C187" s="52"/>
      <c r="D187" s="52"/>
      <c r="E187" s="52">
        <f>SUMPRODUCT(ISTEXT('Unit Mix &amp; Rents'!A57:E57) + ISNUMBER('Unit Mix &amp; Rents'!A57:E57))</f>
        <v>0</v>
      </c>
      <c r="F187" t="str">
        <f>CONCATENATE("Please enter all values in unit breakdown in worksheet row ", B185, ".", CHAR(10))</f>
        <v xml:space="preserve">Please enter all values in unit breakdown in worksheet row 56.
</v>
      </c>
      <c r="G187" s="9" t="str">
        <f t="shared" ca="1" si="158"/>
        <v xml:space="preserve">Enter a value for 'Total Number of Units' in cell B3.
Enter a value for 'Do Rents Include Utilities' in cell B4.
Please enter at least one row of the Rental Income Table beginning on worksheet row 4.
</v>
      </c>
    </row>
    <row r="188" spans="1:14" ht="15" customHeight="1">
      <c r="A188" t="str">
        <f ca="1">IF(AND(IF(ISNA(K188), FALSE, K188), E188 &gt; IF(ISNA(N188), E188, L188)), F188, "")</f>
        <v/>
      </c>
      <c r="B188">
        <f>B187</f>
        <v>57</v>
      </c>
      <c r="D188" s="52" t="str">
        <f>ADDRESS(B188,5,4)</f>
        <v>E57</v>
      </c>
      <c r="E188" t="str">
        <f ca="1">IF(ISBLANK( INDIRECT($F$135 &amp; D188)),"", INDIRECT($F$135 &amp; D188))</f>
        <v/>
      </c>
      <c r="F188" t="e">
        <f ca="1">CONCATENATE("Actual Rent per Unit exceeds maximum allowed rent of ", DOLLAR(N188), " in worksheet row ", B188, ".", CHAR(10))</f>
        <v>#N/A</v>
      </c>
      <c r="G188" s="9" t="str">
        <f t="shared" ca="1" si="158"/>
        <v xml:space="preserve">Enter a value for 'Total Number of Units' in cell B3.
Enter a value for 'Do Rents Include Utilities' in cell B4.
Please enter at least one row of the Rental Income Table beginning on worksheet row 4.
</v>
      </c>
      <c r="H188" s="52">
        <f ca="1">INDIRECT($F$135 &amp; ADDRESS(B188,1,4))</f>
        <v>0</v>
      </c>
      <c r="I188" s="52">
        <f ca="1">INDIRECT($F$135 &amp; ADDRESS(B188,2,4))</f>
        <v>0</v>
      </c>
      <c r="J188" s="52" t="e">
        <f ca="1">INDEX(Unit_Mix_Type_Table[Bedrooms], MATCH(Validation!I188,Unit_Mix_Type_Table[Unit Mix Type],0), 1)</f>
        <v>#N/A</v>
      </c>
      <c r="K188" s="52" t="e">
        <f ca="1">INDEX(Unit_Mix_Type_Table[Has Max Rent], MATCH(Validation!I188,Unit_Mix_Type_Table[Unit Mix Type],0), 1)</f>
        <v>#N/A</v>
      </c>
      <c r="L188" s="52" t="e">
        <f ca="1">INDEX(Calculations!$A$77:$G$84, MATCH(H188, Calculations!$A$77:$A$84),MATCH(J188,Calculations!$A$77:$G$77))</f>
        <v>#N/A</v>
      </c>
      <c r="M188" s="52" t="e">
        <f ca="1">INDEX(Calculations!$A$89:$G$94, MATCH(H188, Calculations!$A$77:$A$84),MATCH(J188,Calculations!$A$77:$G$77))</f>
        <v>#N/A</v>
      </c>
      <c r="N188" s="52" t="e">
        <f ca="1">IF('Unit Mix &amp; Rents'!B52="No", Validation!M188, Validation!L188)</f>
        <v>#N/A</v>
      </c>
    </row>
    <row r="189" spans="1:14" ht="15" customHeight="1">
      <c r="A189" s="52" t="str">
        <f>IF(AND(E189&gt;1,E189&lt;5), F189, "")</f>
        <v/>
      </c>
      <c r="B189" s="52">
        <f>ROW('Unit Mix &amp; Rents'!A58)</f>
        <v>58</v>
      </c>
      <c r="C189" s="52"/>
      <c r="D189" s="52"/>
      <c r="E189" s="52">
        <f>SUMPRODUCT(ISTEXT('Unit Mix &amp; Rents'!A58:E58) + ISNUMBER('Unit Mix &amp; Rents'!A58:E58))</f>
        <v>0</v>
      </c>
      <c r="F189" t="str">
        <f>CONCATENATE("Please enter all values in unit breakdown in worksheet row ", B187, ".", CHAR(10))</f>
        <v xml:space="preserve">Please enter all values in unit breakdown in worksheet row 57.
</v>
      </c>
      <c r="G189" s="9" t="str">
        <f t="shared" ca="1" si="158"/>
        <v xml:space="preserve">Enter a value for 'Total Number of Units' in cell B3.
Enter a value for 'Do Rents Include Utilities' in cell B4.
Please enter at least one row of the Rental Income Table beginning on worksheet row 4.
</v>
      </c>
    </row>
    <row r="190" spans="1:14" ht="15" customHeight="1">
      <c r="A190" t="str">
        <f ca="1">IF(AND(IF(ISNA(K190), FALSE, K190), E190 &gt; IF(ISNA(N190), E190, L190)), F190, "")</f>
        <v/>
      </c>
      <c r="B190">
        <f>B189</f>
        <v>58</v>
      </c>
      <c r="D190" s="52" t="str">
        <f>ADDRESS(B190,5,4)</f>
        <v>E58</v>
      </c>
      <c r="E190" t="str">
        <f ca="1">IF(ISBLANK( INDIRECT($F$135 &amp; D190)),"", INDIRECT($F$135 &amp; D190))</f>
        <v/>
      </c>
      <c r="F190" t="e">
        <f ca="1">CONCATENATE("Actual Rent per Unit exceeds maximum allowed rent of ", DOLLAR(N190), " in worksheet row ", B190, ".", CHAR(10))</f>
        <v>#N/A</v>
      </c>
      <c r="G190" s="9" t="str">
        <f t="shared" ca="1" si="158"/>
        <v xml:space="preserve">Enter a value for 'Total Number of Units' in cell B3.
Enter a value for 'Do Rents Include Utilities' in cell B4.
Please enter at least one row of the Rental Income Table beginning on worksheet row 4.
</v>
      </c>
      <c r="H190" s="52">
        <f ca="1">INDIRECT($F$135 &amp; ADDRESS(B190,1,4))</f>
        <v>0</v>
      </c>
      <c r="I190" s="52">
        <f ca="1">INDIRECT($F$135 &amp; ADDRESS(B190,2,4))</f>
        <v>0</v>
      </c>
      <c r="J190" s="52" t="e">
        <f ca="1">INDEX(Unit_Mix_Type_Table[Bedrooms], MATCH(Validation!I190,Unit_Mix_Type_Table[Unit Mix Type],0), 1)</f>
        <v>#N/A</v>
      </c>
      <c r="K190" s="52" t="e">
        <f ca="1">INDEX(Unit_Mix_Type_Table[Has Max Rent], MATCH(Validation!I190,Unit_Mix_Type_Table[Unit Mix Type],0), 1)</f>
        <v>#N/A</v>
      </c>
      <c r="L190" s="52" t="e">
        <f ca="1">INDEX(Calculations!$A$77:$G$84, MATCH(H190, Calculations!$A$77:$A$84),MATCH(J190,Calculations!$A$77:$G$77))</f>
        <v>#N/A</v>
      </c>
      <c r="M190" s="52" t="e">
        <f ca="1">INDEX(Calculations!$A$89:$G$94, MATCH(H190, Calculations!$A$77:$A$84),MATCH(J190,Calculations!$A$77:$G$77))</f>
        <v>#N/A</v>
      </c>
      <c r="N190" s="52" t="e">
        <f ca="1">IF('Unit Mix &amp; Rents'!B54="No", Validation!M190, Validation!L190)</f>
        <v>#N/A</v>
      </c>
    </row>
    <row r="191" spans="1:14" ht="15" customHeight="1">
      <c r="A191" s="52" t="str">
        <f>IF(AND(E191&gt;1,E191&lt;5), F191, "")</f>
        <v/>
      </c>
      <c r="B191" s="52">
        <f>ROW('Unit Mix &amp; Rents'!A59)</f>
        <v>59</v>
      </c>
      <c r="C191" s="52"/>
      <c r="D191" s="52"/>
      <c r="E191" s="52">
        <f>SUMPRODUCT(ISTEXT('Unit Mix &amp; Rents'!A59:E59) + ISNUMBER('Unit Mix &amp; Rents'!A59:E59))</f>
        <v>0</v>
      </c>
      <c r="F191" t="str">
        <f>CONCATENATE("Please enter all values in unit breakdown in worksheet row ", B189, ".", CHAR(10))</f>
        <v xml:space="preserve">Please enter all values in unit breakdown in worksheet row 58.
</v>
      </c>
      <c r="G191" s="9" t="str">
        <f t="shared" ca="1" si="158"/>
        <v xml:space="preserve">Enter a value for 'Total Number of Units' in cell B3.
Enter a value for 'Do Rents Include Utilities' in cell B4.
Please enter at least one row of the Rental Income Table beginning on worksheet row 4.
</v>
      </c>
    </row>
    <row r="192" spans="1:14" ht="15" customHeight="1">
      <c r="A192" t="str">
        <f ca="1">IF(AND(IF(ISNA(K192), FALSE, K192), E192 &gt; IF(ISNA(N192), E192, L192)), F192, "")</f>
        <v/>
      </c>
      <c r="B192">
        <f>B191</f>
        <v>59</v>
      </c>
      <c r="D192" s="52" t="str">
        <f>ADDRESS(B192,5,4)</f>
        <v>E59</v>
      </c>
      <c r="E192" t="str">
        <f ca="1">IF(ISBLANK( INDIRECT($F$135 &amp; D192)),"", INDIRECT($F$135 &amp; D192))</f>
        <v/>
      </c>
      <c r="F192" t="e">
        <f ca="1">CONCATENATE("Actual Rent per Unit exceeds maximum allowed rent of ", DOLLAR(N192), " in worksheet row ", B192, ".", CHAR(10))</f>
        <v>#N/A</v>
      </c>
      <c r="G192" s="9" t="str">
        <f t="shared" ca="1" si="158"/>
        <v xml:space="preserve">Enter a value for 'Total Number of Units' in cell B3.
Enter a value for 'Do Rents Include Utilities' in cell B4.
Please enter at least one row of the Rental Income Table beginning on worksheet row 4.
</v>
      </c>
      <c r="H192" s="52">
        <f ca="1">INDIRECT($F$135 &amp; ADDRESS(B192,1,4))</f>
        <v>0</v>
      </c>
      <c r="I192" s="52">
        <f ca="1">INDIRECT($F$135 &amp; ADDRESS(B192,2,4))</f>
        <v>0</v>
      </c>
      <c r="J192" s="52" t="e">
        <f ca="1">INDEX(Unit_Mix_Type_Table[Bedrooms], MATCH(Validation!I192,Unit_Mix_Type_Table[Unit Mix Type],0), 1)</f>
        <v>#N/A</v>
      </c>
      <c r="K192" s="52" t="e">
        <f ca="1">INDEX(Unit_Mix_Type_Table[Has Max Rent], MATCH(Validation!I192,Unit_Mix_Type_Table[Unit Mix Type],0), 1)</f>
        <v>#N/A</v>
      </c>
      <c r="L192" s="52" t="e">
        <f ca="1">INDEX(Calculations!$A$77:$G$84, MATCH(H192, Calculations!$A$77:$A$84),MATCH(J192,Calculations!$A$77:$G$77))</f>
        <v>#N/A</v>
      </c>
      <c r="M192" s="52" t="e">
        <f ca="1">INDEX(Calculations!$A$89:$G$94, MATCH(H192, Calculations!$A$77:$A$84),MATCH(J192,Calculations!$A$77:$G$77))</f>
        <v>#N/A</v>
      </c>
      <c r="N192" s="52" t="e">
        <f ca="1">IF('Unit Mix &amp; Rents'!B56="No", Validation!M192, Validation!L192)</f>
        <v>#N/A</v>
      </c>
    </row>
    <row r="193" spans="1:14" ht="15" customHeight="1">
      <c r="A193" s="52" t="str">
        <f>IF(AND(E193&gt;1,E193&lt;5), F193, "")</f>
        <v/>
      </c>
      <c r="B193" s="52">
        <f>ROW('Unit Mix &amp; Rents'!A60)</f>
        <v>60</v>
      </c>
      <c r="C193" s="52"/>
      <c r="D193" s="52"/>
      <c r="E193" s="52">
        <f>SUMPRODUCT(ISTEXT('Unit Mix &amp; Rents'!A60:E60) + ISNUMBER('Unit Mix &amp; Rents'!A60:E60))</f>
        <v>0</v>
      </c>
      <c r="F193" t="str">
        <f>CONCATENATE("Please enter all values in unit breakdown in worksheet row ", B191, ".", CHAR(10))</f>
        <v xml:space="preserve">Please enter all values in unit breakdown in worksheet row 59.
</v>
      </c>
      <c r="G193" s="9" t="str">
        <f t="shared" ca="1" si="158"/>
        <v xml:space="preserve">Enter a value for 'Total Number of Units' in cell B3.
Enter a value for 'Do Rents Include Utilities' in cell B4.
Please enter at least one row of the Rental Income Table beginning on worksheet row 4.
</v>
      </c>
    </row>
    <row r="194" spans="1:14" ht="15" customHeight="1">
      <c r="A194" t="str">
        <f ca="1">IF(AND(IF(ISNA(K194), FALSE, K194), E194 &gt; IF(ISNA(N194), E194, L194)), F194, "")</f>
        <v/>
      </c>
      <c r="B194">
        <f>B193</f>
        <v>60</v>
      </c>
      <c r="D194" s="52" t="str">
        <f>ADDRESS(B194,5,4)</f>
        <v>E60</v>
      </c>
      <c r="E194" t="str">
        <f ca="1">IF(ISBLANK( INDIRECT($F$135 &amp; D194)),"", INDIRECT($F$135 &amp; D194))</f>
        <v/>
      </c>
      <c r="F194" t="e">
        <f ca="1">CONCATENATE("Actual Rent per Unit exceeds maximum allowed rent of ", DOLLAR(N194), " in worksheet row ", B194, ".", CHAR(10))</f>
        <v>#N/A</v>
      </c>
      <c r="G194" s="9" t="str">
        <f t="shared" ca="1" si="158"/>
        <v xml:space="preserve">Enter a value for 'Total Number of Units' in cell B3.
Enter a value for 'Do Rents Include Utilities' in cell B4.
Please enter at least one row of the Rental Income Table beginning on worksheet row 4.
</v>
      </c>
      <c r="H194" s="52">
        <f ca="1">INDIRECT($F$135 &amp; ADDRESS(B194,1,4))</f>
        <v>0</v>
      </c>
      <c r="I194" s="52">
        <f ca="1">INDIRECT($F$135 &amp; ADDRESS(B194,2,4))</f>
        <v>0</v>
      </c>
      <c r="J194" s="52" t="e">
        <f ca="1">INDEX(Unit_Mix_Type_Table[Bedrooms], MATCH(Validation!I194,Unit_Mix_Type_Table[Unit Mix Type],0), 1)</f>
        <v>#N/A</v>
      </c>
      <c r="K194" s="52" t="e">
        <f ca="1">INDEX(Unit_Mix_Type_Table[Has Max Rent], MATCH(Validation!I194,Unit_Mix_Type_Table[Unit Mix Type],0), 1)</f>
        <v>#N/A</v>
      </c>
      <c r="L194" s="52" t="e">
        <f ca="1">INDEX(Calculations!$A$77:$G$84, MATCH(H194, Calculations!$A$77:$A$84),MATCH(J194,Calculations!$A$77:$G$77))</f>
        <v>#N/A</v>
      </c>
      <c r="M194" s="52" t="e">
        <f ca="1">INDEX(Calculations!$A$89:$G$94, MATCH(H194, Calculations!$A$77:$A$84),MATCH(J194,Calculations!$A$77:$G$77))</f>
        <v>#N/A</v>
      </c>
      <c r="N194" s="52" t="e">
        <f ca="1">IF('Unit Mix &amp; Rents'!B58="No", Validation!M194, Validation!L194)</f>
        <v>#N/A</v>
      </c>
    </row>
    <row r="195" spans="1:14" ht="15" customHeight="1">
      <c r="A195" s="52" t="str">
        <f>IF(AND(E195&gt;1,E195&lt;5), F195, "")</f>
        <v/>
      </c>
      <c r="B195" s="52">
        <f>ROW('Unit Mix &amp; Rents'!A69)</f>
        <v>69</v>
      </c>
      <c r="C195" s="52"/>
      <c r="D195" s="52"/>
      <c r="E195" s="52">
        <f>SUMPRODUCT(ISTEXT('Unit Mix &amp; Rents'!A69:E69) + ISNUMBER('Unit Mix &amp; Rents'!A69:E69))</f>
        <v>0</v>
      </c>
      <c r="F195" t="str">
        <f>CONCATENATE("Please enter all values in unit breakdown in worksheet row ", B193, ".", CHAR(10))</f>
        <v xml:space="preserve">Please enter all values in unit breakdown in worksheet row 60.
</v>
      </c>
      <c r="G195" s="9" t="str">
        <f t="shared" ca="1" si="158"/>
        <v xml:space="preserve">Enter a value for 'Total Number of Units' in cell B3.
Enter a value for 'Do Rents Include Utilities' in cell B4.
Please enter at least one row of the Rental Income Table beginning on worksheet row 4.
</v>
      </c>
    </row>
    <row r="196" spans="1:14" ht="15" customHeight="1">
      <c r="A196" t="str">
        <f ca="1">IF(AND(IF(ISNA(K196), FALSE, K196), E196 &gt; IF(ISNA(N196), E196, L196)), F196, "")</f>
        <v/>
      </c>
      <c r="B196">
        <f>B195</f>
        <v>69</v>
      </c>
      <c r="D196" s="52" t="str">
        <f>ADDRESS(B196,5,4)</f>
        <v>E69</v>
      </c>
      <c r="E196" t="str">
        <f ca="1">IF(ISBLANK( INDIRECT($F$135 &amp; D196)),"", INDIRECT($F$135 &amp; D196))</f>
        <v/>
      </c>
      <c r="F196" t="e">
        <f ca="1">CONCATENATE("Actual Rent per Unit exceeds maximum allowed rent of ", DOLLAR(N196), " in worksheet row ", B196, ".", CHAR(10))</f>
        <v>#N/A</v>
      </c>
      <c r="G196" s="9" t="str">
        <f t="shared" ca="1" si="158"/>
        <v xml:space="preserve">Enter a value for 'Total Number of Units' in cell B3.
Enter a value for 'Do Rents Include Utilities' in cell B4.
Please enter at least one row of the Rental Income Table beginning on worksheet row 4.
</v>
      </c>
      <c r="H196" s="52">
        <f ca="1">INDIRECT($F$135 &amp; ADDRESS(B196,1,4))</f>
        <v>0</v>
      </c>
      <c r="I196" s="52">
        <f ca="1">INDIRECT($F$135 &amp; ADDRESS(B196,2,4))</f>
        <v>0</v>
      </c>
      <c r="J196" s="52" t="e">
        <f ca="1">INDEX(Unit_Mix_Type_Table[Bedrooms], MATCH(Validation!I196,Unit_Mix_Type_Table[Unit Mix Type],0), 1)</f>
        <v>#N/A</v>
      </c>
      <c r="K196" s="52" t="e">
        <f ca="1">INDEX(Unit_Mix_Type_Table[Has Max Rent], MATCH(Validation!I196,Unit_Mix_Type_Table[Unit Mix Type],0), 1)</f>
        <v>#N/A</v>
      </c>
      <c r="L196" s="52" t="e">
        <f ca="1">INDEX(Calculations!$A$77:$G$84, MATCH(H196, Calculations!$A$77:$A$84),MATCH(J196,Calculations!$A$77:$G$77))</f>
        <v>#N/A</v>
      </c>
      <c r="M196" s="52" t="e">
        <f ca="1">INDEX(Calculations!$A$89:$G$94, MATCH(H196, Calculations!$A$77:$A$84),MATCH(J196,Calculations!$A$77:$G$77))</f>
        <v>#N/A</v>
      </c>
      <c r="N196" s="52" t="e">
        <f ca="1">IF('Unit Mix &amp; Rents'!B60="No", Validation!M196, Validation!L196)</f>
        <v>#N/A</v>
      </c>
    </row>
    <row r="197" spans="1:14" ht="15" customHeight="1">
      <c r="A197" s="52" t="str">
        <f>IF(AND(E197&gt;1,E197&lt;5), F197, "")</f>
        <v/>
      </c>
      <c r="B197" s="52">
        <f>ROW('Unit Mix &amp; Rents'!A70)</f>
        <v>70</v>
      </c>
      <c r="C197" s="52"/>
      <c r="D197" s="52"/>
      <c r="E197" s="52">
        <f>SUMPRODUCT(ISTEXT('Unit Mix &amp; Rents'!A70:E70) + ISNUMBER('Unit Mix &amp; Rents'!A70:E70))</f>
        <v>0</v>
      </c>
      <c r="F197" t="str">
        <f>CONCATENATE("Please enter all values in unit breakdown in worksheet row ", B195, ".", CHAR(10))</f>
        <v xml:space="preserve">Please enter all values in unit breakdown in worksheet row 69.
</v>
      </c>
      <c r="G197" s="9" t="str">
        <f t="shared" ca="1" si="158"/>
        <v xml:space="preserve">Enter a value for 'Total Number of Units' in cell B3.
Enter a value for 'Do Rents Include Utilities' in cell B4.
Please enter at least one row of the Rental Income Table beginning on worksheet row 4.
</v>
      </c>
    </row>
    <row r="198" spans="1:14" ht="15" customHeight="1">
      <c r="A198" t="str">
        <f ca="1">IF(AND(IF(ISNA(K198), FALSE, K198), E198 &gt; IF(ISNA(N198), E198, L198)), F198, "")</f>
        <v/>
      </c>
      <c r="B198">
        <f>B197</f>
        <v>70</v>
      </c>
      <c r="D198" s="52" t="str">
        <f>ADDRESS(B198,5,4)</f>
        <v>E70</v>
      </c>
      <c r="E198" t="str">
        <f ca="1">IF(ISBLANK( INDIRECT($F$135 &amp; D198)),"", INDIRECT($F$135 &amp; D198))</f>
        <v/>
      </c>
      <c r="F198" t="e">
        <f ca="1">CONCATENATE("Actual Rent per Unit exceeds maximum allowed rent of ", DOLLAR(N198), " in worksheet row ", B198, ".", CHAR(10))</f>
        <v>#N/A</v>
      </c>
      <c r="G198" s="9" t="str">
        <f t="shared" ca="1" si="158"/>
        <v xml:space="preserve">Enter a value for 'Total Number of Units' in cell B3.
Enter a value for 'Do Rents Include Utilities' in cell B4.
Please enter at least one row of the Rental Income Table beginning on worksheet row 4.
</v>
      </c>
      <c r="H198" s="52">
        <f ca="1">INDIRECT($F$135 &amp; ADDRESS(B198,1,4))</f>
        <v>0</v>
      </c>
      <c r="I198" s="52">
        <f ca="1">INDIRECT($F$135 &amp; ADDRESS(B198,2,4))</f>
        <v>0</v>
      </c>
      <c r="J198" s="52" t="e">
        <f ca="1">INDEX(Unit_Mix_Type_Table[Bedrooms], MATCH(Validation!I198,Unit_Mix_Type_Table[Unit Mix Type],0), 1)</f>
        <v>#N/A</v>
      </c>
      <c r="K198" s="52" t="e">
        <f ca="1">INDEX(Unit_Mix_Type_Table[Has Max Rent], MATCH(Validation!I198,Unit_Mix_Type_Table[Unit Mix Type],0), 1)</f>
        <v>#N/A</v>
      </c>
      <c r="L198" s="52" t="e">
        <f ca="1">INDEX(Calculations!$A$77:$G$84, MATCH(H198, Calculations!$A$77:$A$84),MATCH(J198,Calculations!$A$77:$G$77))</f>
        <v>#N/A</v>
      </c>
      <c r="M198" s="52" t="e">
        <f ca="1">INDEX(Calculations!$A$89:$G$94, MATCH(H198, Calculations!$A$77:$A$84),MATCH(J198,Calculations!$A$77:$G$77))</f>
        <v>#N/A</v>
      </c>
      <c r="N198" s="52" t="e">
        <f ca="1">IF('Unit Mix &amp; Rents'!B62="No", Validation!M198, Validation!L198)</f>
        <v>#N/A</v>
      </c>
    </row>
    <row r="199" spans="1:14" ht="15" customHeight="1">
      <c r="A199" s="52" t="str">
        <f>IF(AND(E199&gt;1,E199&lt;5), F199, "")</f>
        <v/>
      </c>
      <c r="B199" s="52">
        <f>ROW('Unit Mix &amp; Rents'!A71)</f>
        <v>71</v>
      </c>
      <c r="C199" s="52"/>
      <c r="D199" s="52"/>
      <c r="E199" s="52">
        <f>SUMPRODUCT(ISTEXT('Unit Mix &amp; Rents'!A71:E71) + ISNUMBER('Unit Mix &amp; Rents'!A71:E71))</f>
        <v>0</v>
      </c>
      <c r="F199" t="str">
        <f>CONCATENATE("Please enter all values in unit breakdown in worksheet row ", B197, ".", CHAR(10))</f>
        <v xml:space="preserve">Please enter all values in unit breakdown in worksheet row 70.
</v>
      </c>
      <c r="G199" s="9" t="str">
        <f t="shared" ca="1" si="158"/>
        <v xml:space="preserve">Enter a value for 'Total Number of Units' in cell B3.
Enter a value for 'Do Rents Include Utilities' in cell B4.
Please enter at least one row of the Rental Income Table beginning on worksheet row 4.
</v>
      </c>
    </row>
    <row r="200" spans="1:14" ht="15" customHeight="1">
      <c r="A200" t="str">
        <f ca="1">IF(AND(IF(ISNA(K200), FALSE, K200), E200 &gt; IF(ISNA(N200), E200, L200)), F200, "")</f>
        <v/>
      </c>
      <c r="B200">
        <f>B199</f>
        <v>71</v>
      </c>
      <c r="D200" s="52" t="str">
        <f>ADDRESS(B200,5,4)</f>
        <v>E71</v>
      </c>
      <c r="E200" t="str">
        <f ca="1">IF(ISBLANK( INDIRECT($F$135 &amp; D200)),"", INDIRECT($F$135 &amp; D200))</f>
        <v/>
      </c>
      <c r="F200" t="e">
        <f ca="1">CONCATENATE("Actual Rent per Unit exceeds maximum allowed rent of ", DOLLAR(N200), " in worksheet row ", B200, ".", CHAR(10))</f>
        <v>#N/A</v>
      </c>
      <c r="G200" s="9" t="str">
        <f t="shared" ca="1" si="158"/>
        <v xml:space="preserve">Enter a value for 'Total Number of Units' in cell B3.
Enter a value for 'Do Rents Include Utilities' in cell B4.
Please enter at least one row of the Rental Income Table beginning on worksheet row 4.
</v>
      </c>
      <c r="H200" s="52">
        <f ca="1">INDIRECT($F$135 &amp; ADDRESS(B200,1,4))</f>
        <v>0</v>
      </c>
      <c r="I200" s="52">
        <f ca="1">INDIRECT($F$135 &amp; ADDRESS(B200,2,4))</f>
        <v>0</v>
      </c>
      <c r="J200" s="52" t="e">
        <f ca="1">INDEX(Unit_Mix_Type_Table[Bedrooms], MATCH(Validation!I200,Unit_Mix_Type_Table[Unit Mix Type],0), 1)</f>
        <v>#N/A</v>
      </c>
      <c r="K200" s="52" t="e">
        <f ca="1">INDEX(Unit_Mix_Type_Table[Has Max Rent], MATCH(Validation!I200,Unit_Mix_Type_Table[Unit Mix Type],0), 1)</f>
        <v>#N/A</v>
      </c>
      <c r="L200" s="52" t="e">
        <f ca="1">INDEX(Calculations!$A$77:$G$84, MATCH(H200, Calculations!$A$77:$A$84),MATCH(J200,Calculations!$A$77:$G$77))</f>
        <v>#N/A</v>
      </c>
      <c r="M200" s="52" t="e">
        <f ca="1">INDEX(Calculations!$A$89:$G$94, MATCH(H200, Calculations!$A$77:$A$84),MATCH(J200,Calculations!$A$77:$G$77))</f>
        <v>#N/A</v>
      </c>
      <c r="N200" s="52" t="e">
        <f ca="1">IF('Unit Mix &amp; Rents'!B64="No", Validation!M200, Validation!L200)</f>
        <v>#N/A</v>
      </c>
    </row>
    <row r="201" spans="1:14" ht="15" customHeight="1">
      <c r="A201" s="52" t="str">
        <f>IF(AND(E201&gt;1,E201&lt;5), F201, "")</f>
        <v/>
      </c>
      <c r="B201" s="52">
        <f>ROW('Unit Mix &amp; Rents'!A72)</f>
        <v>72</v>
      </c>
      <c r="C201" s="52"/>
      <c r="D201" s="52"/>
      <c r="E201" s="52">
        <f>SUMPRODUCT(ISTEXT('Unit Mix &amp; Rents'!A72:E72) + ISNUMBER('Unit Mix &amp; Rents'!A72:E72))</f>
        <v>0</v>
      </c>
      <c r="F201" t="str">
        <f>CONCATENATE("Please enter all values in unit breakdown in worksheet row ", B199, ".", CHAR(10))</f>
        <v xml:space="preserve">Please enter all values in unit breakdown in worksheet row 71.
</v>
      </c>
      <c r="G201" s="9" t="str">
        <f t="shared" ca="1" si="158"/>
        <v xml:space="preserve">Enter a value for 'Total Number of Units' in cell B3.
Enter a value for 'Do Rents Include Utilities' in cell B4.
Please enter at least one row of the Rental Income Table beginning on worksheet row 4.
</v>
      </c>
    </row>
    <row r="202" spans="1:14" ht="15" customHeight="1">
      <c r="A202" t="str">
        <f ca="1">IF(AND(IF(ISNA(K202), FALSE, K202), E202 &gt; IF(ISNA(N202), E202, L202)), F202, "")</f>
        <v/>
      </c>
      <c r="B202">
        <f>B201</f>
        <v>72</v>
      </c>
      <c r="D202" s="52" t="str">
        <f>ADDRESS(B202,5,4)</f>
        <v>E72</v>
      </c>
      <c r="E202" t="str">
        <f ca="1">IF(ISBLANK( INDIRECT($F$135 &amp; D202)),"", INDIRECT($F$135 &amp; D202))</f>
        <v/>
      </c>
      <c r="F202" t="e">
        <f ca="1">CONCATENATE("Actual Rent per Unit exceeds maximum allowed rent of ", DOLLAR(N202), " in worksheet row ", B202, ".", CHAR(10))</f>
        <v>#N/A</v>
      </c>
      <c r="G202" s="9" t="str">
        <f t="shared" ca="1" si="158"/>
        <v xml:space="preserve">Enter a value for 'Total Number of Units' in cell B3.
Enter a value for 'Do Rents Include Utilities' in cell B4.
Please enter at least one row of the Rental Income Table beginning on worksheet row 4.
</v>
      </c>
      <c r="H202" s="52">
        <f ca="1">INDIRECT($F$135 &amp; ADDRESS(B202,1,4))</f>
        <v>0</v>
      </c>
      <c r="I202" s="52">
        <f ca="1">INDIRECT($F$135 &amp; ADDRESS(B202,2,4))</f>
        <v>0</v>
      </c>
      <c r="J202" s="52" t="e">
        <f ca="1">INDEX(Unit_Mix_Type_Table[Bedrooms], MATCH(Validation!I202,Unit_Mix_Type_Table[Unit Mix Type],0), 1)</f>
        <v>#N/A</v>
      </c>
      <c r="K202" s="52" t="e">
        <f ca="1">INDEX(Unit_Mix_Type_Table[Has Max Rent], MATCH(Validation!I202,Unit_Mix_Type_Table[Unit Mix Type],0), 1)</f>
        <v>#N/A</v>
      </c>
      <c r="L202" s="52" t="e">
        <f ca="1">INDEX(Calculations!$A$77:$G$84, MATCH(H202, Calculations!$A$77:$A$84),MATCH(J202,Calculations!$A$77:$G$77))</f>
        <v>#N/A</v>
      </c>
      <c r="M202" s="52" t="e">
        <f ca="1">INDEX(Calculations!$A$89:$G$94, MATCH(H202, Calculations!$A$77:$A$84),MATCH(J202,Calculations!$A$77:$G$77))</f>
        <v>#N/A</v>
      </c>
      <c r="N202" s="52" t="e">
        <f ca="1">IF('Unit Mix &amp; Rents'!B66="No", Validation!M202, Validation!L202)</f>
        <v>#N/A</v>
      </c>
    </row>
    <row r="203" spans="1:14" ht="15" customHeight="1">
      <c r="A203" s="52" t="str">
        <f>IF(AND(E203&gt;1,E203&lt;5), F203, "")</f>
        <v/>
      </c>
      <c r="B203" s="52">
        <f>ROW('Unit Mix &amp; Rents'!A73)</f>
        <v>73</v>
      </c>
      <c r="C203" s="52"/>
      <c r="D203" s="52"/>
      <c r="E203" s="52">
        <f>SUMPRODUCT(ISTEXT('Unit Mix &amp; Rents'!A73:E73) + ISNUMBER('Unit Mix &amp; Rents'!A73:E73))</f>
        <v>0</v>
      </c>
      <c r="F203" t="str">
        <f>CONCATENATE("Please enter all values in unit breakdown in worksheet row ", B201, ".", CHAR(10))</f>
        <v xml:space="preserve">Please enter all values in unit breakdown in worksheet row 72.
</v>
      </c>
      <c r="G203" s="9" t="str">
        <f t="shared" ref="G203:G214" ca="1" si="159">OFFSET(G203, -1, 0) &amp; A203</f>
        <v xml:space="preserve">Enter a value for 'Total Number of Units' in cell B3.
Enter a value for 'Do Rents Include Utilities' in cell B4.
Please enter at least one row of the Rental Income Table beginning on worksheet row 4.
</v>
      </c>
    </row>
    <row r="204" spans="1:14" ht="15" customHeight="1">
      <c r="A204" t="str">
        <f ca="1">IF(AND(IF(ISNA(K204), FALSE, K204), E204 &gt; IF(ISNA(N204), E204, L204)), F204, "")</f>
        <v/>
      </c>
      <c r="B204">
        <f>B203</f>
        <v>73</v>
      </c>
      <c r="D204" s="52" t="str">
        <f>ADDRESS(B204,5,4)</f>
        <v>E73</v>
      </c>
      <c r="E204" t="str">
        <f ca="1">IF(ISBLANK( INDIRECT($F$135 &amp; D204)),"", INDIRECT($F$135 &amp; D204))</f>
        <v/>
      </c>
      <c r="F204" t="e">
        <f ca="1">CONCATENATE("Actual Rent per Unit exceeds maximum allowed rent of ", DOLLAR(N204), " in worksheet row ", B204, ".", CHAR(10))</f>
        <v>#N/A</v>
      </c>
      <c r="G204" s="9" t="str">
        <f t="shared" ca="1" si="159"/>
        <v xml:space="preserve">Enter a value for 'Total Number of Units' in cell B3.
Enter a value for 'Do Rents Include Utilities' in cell B4.
Please enter at least one row of the Rental Income Table beginning on worksheet row 4.
</v>
      </c>
      <c r="H204" s="52">
        <f ca="1">INDIRECT($F$135 &amp; ADDRESS(B204,1,4))</f>
        <v>0</v>
      </c>
      <c r="I204" s="52">
        <f ca="1">INDIRECT($F$135 &amp; ADDRESS(B204,2,4))</f>
        <v>0</v>
      </c>
      <c r="J204" s="52" t="e">
        <f ca="1">INDEX(Unit_Mix_Type_Table[Bedrooms], MATCH(Validation!I204,Unit_Mix_Type_Table[Unit Mix Type],0), 1)</f>
        <v>#N/A</v>
      </c>
      <c r="K204" s="52" t="e">
        <f ca="1">INDEX(Unit_Mix_Type_Table[Has Max Rent], MATCH(Validation!I204,Unit_Mix_Type_Table[Unit Mix Type],0), 1)</f>
        <v>#N/A</v>
      </c>
      <c r="L204" s="52" t="e">
        <f ca="1">INDEX(Calculations!$A$77:$G$84, MATCH(H204, Calculations!$A$77:$A$84),MATCH(J204,Calculations!$A$77:$G$77))</f>
        <v>#N/A</v>
      </c>
      <c r="M204" s="52" t="e">
        <f ca="1">INDEX(Calculations!$A$89:$G$94, MATCH(H204, Calculations!$A$77:$A$84),MATCH(J204,Calculations!$A$77:$G$77))</f>
        <v>#N/A</v>
      </c>
      <c r="N204" s="52" t="e">
        <f ca="1">IF('Unit Mix &amp; Rents'!B68="No", Validation!M204, Validation!L204)</f>
        <v>#N/A</v>
      </c>
    </row>
    <row r="205" spans="1:14" ht="15" customHeight="1">
      <c r="A205" s="52" t="str">
        <f>IF(AND(E205&gt;1,E205&lt;5), F205, "")</f>
        <v/>
      </c>
      <c r="B205" s="52">
        <f>ROW('Unit Mix &amp; Rents'!A74)</f>
        <v>74</v>
      </c>
      <c r="C205" s="52"/>
      <c r="D205" s="52"/>
      <c r="E205" s="52">
        <f>SUMPRODUCT(ISTEXT('Unit Mix &amp; Rents'!A74:E74) + ISNUMBER('Unit Mix &amp; Rents'!A74:E74))</f>
        <v>0</v>
      </c>
      <c r="F205" t="str">
        <f>CONCATENATE("Please enter all values in unit breakdown in worksheet row ", B203, ".", CHAR(10))</f>
        <v xml:space="preserve">Please enter all values in unit breakdown in worksheet row 73.
</v>
      </c>
      <c r="G205" s="9" t="str">
        <f t="shared" ca="1" si="159"/>
        <v xml:space="preserve">Enter a value for 'Total Number of Units' in cell B3.
Enter a value for 'Do Rents Include Utilities' in cell B4.
Please enter at least one row of the Rental Income Table beginning on worksheet row 4.
</v>
      </c>
    </row>
    <row r="206" spans="1:14" ht="15" customHeight="1">
      <c r="A206" t="str">
        <f ca="1">IF(AND(IF(ISNA(K206), FALSE, K206), E206 &gt; IF(ISNA(N206), E206, L206)), F206, "")</f>
        <v/>
      </c>
      <c r="B206">
        <f>B205</f>
        <v>74</v>
      </c>
      <c r="D206" s="52" t="str">
        <f>ADDRESS(B206,5,4)</f>
        <v>E74</v>
      </c>
      <c r="E206" t="str">
        <f ca="1">IF(ISBLANK( INDIRECT($F$135 &amp; D206)),"", INDIRECT($F$135 &amp; D206))</f>
        <v/>
      </c>
      <c r="F206" t="e">
        <f ca="1">CONCATENATE("Actual Rent per Unit exceeds maximum allowed rent of ", DOLLAR(N206), " in worksheet row ", B206, ".", CHAR(10))</f>
        <v>#N/A</v>
      </c>
      <c r="G206" s="9" t="str">
        <f t="shared" ca="1" si="159"/>
        <v xml:space="preserve">Enter a value for 'Total Number of Units' in cell B3.
Enter a value for 'Do Rents Include Utilities' in cell B4.
Please enter at least one row of the Rental Income Table beginning on worksheet row 4.
</v>
      </c>
      <c r="H206" s="52">
        <f ca="1">INDIRECT($F$135 &amp; ADDRESS(B206,1,4))</f>
        <v>0</v>
      </c>
      <c r="I206" s="52">
        <f ca="1">INDIRECT($F$135 &amp; ADDRESS(B206,2,4))</f>
        <v>0</v>
      </c>
      <c r="J206" s="52" t="e">
        <f ca="1">INDEX(Unit_Mix_Type_Table[Bedrooms], MATCH(Validation!I206,Unit_Mix_Type_Table[Unit Mix Type],0), 1)</f>
        <v>#N/A</v>
      </c>
      <c r="K206" s="52" t="e">
        <f ca="1">INDEX(Unit_Mix_Type_Table[Has Max Rent], MATCH(Validation!I206,Unit_Mix_Type_Table[Unit Mix Type],0), 1)</f>
        <v>#N/A</v>
      </c>
      <c r="L206" s="52" t="e">
        <f ca="1">INDEX(Calculations!$A$77:$G$84, MATCH(H206, Calculations!$A$77:$A$84),MATCH(J206,Calculations!$A$77:$G$77))</f>
        <v>#N/A</v>
      </c>
      <c r="M206" s="52" t="e">
        <f ca="1">INDEX(Calculations!$A$89:$G$94, MATCH(H206, Calculations!$A$77:$A$84),MATCH(J206,Calculations!$A$77:$G$77))</f>
        <v>#N/A</v>
      </c>
      <c r="N206" s="52" t="e">
        <f ca="1">IF('Unit Mix &amp; Rents'!B70="No", Validation!M206, Validation!L206)</f>
        <v>#N/A</v>
      </c>
    </row>
    <row r="207" spans="1:14" ht="15" customHeight="1">
      <c r="A207" s="52" t="str">
        <f>IF(AND(E207&gt;1,E207&lt;5), F207, "")</f>
        <v/>
      </c>
      <c r="B207" s="52">
        <f>ROW('Unit Mix &amp; Rents'!A75)</f>
        <v>75</v>
      </c>
      <c r="C207" s="52"/>
      <c r="D207" s="52"/>
      <c r="E207" s="52">
        <f>SUMPRODUCT(ISTEXT('Unit Mix &amp; Rents'!A75:E75) + ISNUMBER('Unit Mix &amp; Rents'!A75:E75))</f>
        <v>0</v>
      </c>
      <c r="F207" t="str">
        <f>CONCATENATE("Please enter all values in unit breakdown in worksheet row ", B205, ".", CHAR(10))</f>
        <v xml:space="preserve">Please enter all values in unit breakdown in worksheet row 74.
</v>
      </c>
      <c r="G207" s="9" t="str">
        <f t="shared" ca="1" si="159"/>
        <v xml:space="preserve">Enter a value for 'Total Number of Units' in cell B3.
Enter a value for 'Do Rents Include Utilities' in cell B4.
Please enter at least one row of the Rental Income Table beginning on worksheet row 4.
</v>
      </c>
    </row>
    <row r="208" spans="1:14" ht="15" customHeight="1">
      <c r="A208" t="str">
        <f ca="1">IF(AND(IF(ISNA(K208), FALSE, K208), E208 &gt; IF(ISNA(N208), E208, L208)), F208, "")</f>
        <v/>
      </c>
      <c r="B208">
        <f>B207</f>
        <v>75</v>
      </c>
      <c r="D208" s="52" t="str">
        <f>ADDRESS(B208,5,4)</f>
        <v>E75</v>
      </c>
      <c r="E208" t="str">
        <f ca="1">IF(ISBLANK( INDIRECT($F$135 &amp; D208)),"", INDIRECT($F$135 &amp; D208))</f>
        <v/>
      </c>
      <c r="F208" t="e">
        <f ca="1">CONCATENATE("Actual Rent per Unit exceeds maximum allowed rent of ", DOLLAR(N208), " in worksheet row ", B208, ".", CHAR(10))</f>
        <v>#N/A</v>
      </c>
      <c r="G208" s="9" t="str">
        <f t="shared" ca="1" si="159"/>
        <v xml:space="preserve">Enter a value for 'Total Number of Units' in cell B3.
Enter a value for 'Do Rents Include Utilities' in cell B4.
Please enter at least one row of the Rental Income Table beginning on worksheet row 4.
</v>
      </c>
      <c r="H208" s="52">
        <f ca="1">INDIRECT($F$135 &amp; ADDRESS(B208,1,4))</f>
        <v>0</v>
      </c>
      <c r="I208" s="52">
        <f ca="1">INDIRECT($F$135 &amp; ADDRESS(B208,2,4))</f>
        <v>0</v>
      </c>
      <c r="J208" s="52" t="e">
        <f ca="1">INDEX(Unit_Mix_Type_Table[Bedrooms], MATCH(Validation!I208,Unit_Mix_Type_Table[Unit Mix Type],0), 1)</f>
        <v>#N/A</v>
      </c>
      <c r="K208" s="52" t="e">
        <f ca="1">INDEX(Unit_Mix_Type_Table[Has Max Rent], MATCH(Validation!I208,Unit_Mix_Type_Table[Unit Mix Type],0), 1)</f>
        <v>#N/A</v>
      </c>
      <c r="L208" s="52" t="e">
        <f ca="1">INDEX(Calculations!$A$77:$G$84, MATCH(H208, Calculations!$A$77:$A$84),MATCH(J208,Calculations!$A$77:$G$77))</f>
        <v>#N/A</v>
      </c>
      <c r="M208" s="52" t="e">
        <f ca="1">INDEX(Calculations!$A$89:$G$94, MATCH(H208, Calculations!$A$77:$A$84),MATCH(J208,Calculations!$A$77:$G$77))</f>
        <v>#N/A</v>
      </c>
      <c r="N208" s="52" t="e">
        <f ca="1">IF('Unit Mix &amp; Rents'!B72="No", Validation!M208, Validation!L208)</f>
        <v>#N/A</v>
      </c>
    </row>
    <row r="209" spans="1:15" ht="15" customHeight="1">
      <c r="A209" s="52" t="str">
        <f>IF(AND(E209&gt;1,E209&lt;5), F209, "")</f>
        <v/>
      </c>
      <c r="B209" s="52">
        <f>ROW('Unit Mix &amp; Rents'!A76)</f>
        <v>76</v>
      </c>
      <c r="C209" s="52"/>
      <c r="D209" s="52"/>
      <c r="E209" s="52">
        <f>SUMPRODUCT(ISTEXT('Unit Mix &amp; Rents'!A76:E76) + ISNUMBER('Unit Mix &amp; Rents'!A76:E76))</f>
        <v>0</v>
      </c>
      <c r="F209" t="str">
        <f>CONCATENATE("Please enter all values in unit breakdown in worksheet row ", B207, ".", CHAR(10))</f>
        <v xml:space="preserve">Please enter all values in unit breakdown in worksheet row 75.
</v>
      </c>
      <c r="G209" s="9" t="str">
        <f t="shared" ca="1" si="159"/>
        <v xml:space="preserve">Enter a value for 'Total Number of Units' in cell B3.
Enter a value for 'Do Rents Include Utilities' in cell B4.
Please enter at least one row of the Rental Income Table beginning on worksheet row 4.
</v>
      </c>
    </row>
    <row r="210" spans="1:15" ht="15" customHeight="1">
      <c r="A210" t="str">
        <f ca="1">IF(AND(IF(ISNA(K210), FALSE, K210), E210 &gt; IF(ISNA(N210), E210, L210)), F210, "")</f>
        <v/>
      </c>
      <c r="B210">
        <f>B209</f>
        <v>76</v>
      </c>
      <c r="D210" s="52" t="str">
        <f>ADDRESS(B210,5,4)</f>
        <v>E76</v>
      </c>
      <c r="E210" t="str">
        <f ca="1">IF(ISBLANK( INDIRECT($F$135 &amp; D210)),"", INDIRECT($F$135 &amp; D210))</f>
        <v/>
      </c>
      <c r="F210" t="e">
        <f ca="1">CONCATENATE("Actual Rent per Unit exceeds maximum allowed rent of ", DOLLAR(N210), " in worksheet row ", B210, ".", CHAR(10))</f>
        <v>#N/A</v>
      </c>
      <c r="G210" s="9" t="str">
        <f t="shared" ca="1" si="159"/>
        <v xml:space="preserve">Enter a value for 'Total Number of Units' in cell B3.
Enter a value for 'Do Rents Include Utilities' in cell B4.
Please enter at least one row of the Rental Income Table beginning on worksheet row 4.
</v>
      </c>
      <c r="H210" s="52">
        <f ca="1">INDIRECT($F$135 &amp; ADDRESS(B210,1,4))</f>
        <v>0</v>
      </c>
      <c r="I210" s="52">
        <f ca="1">INDIRECT($F$135 &amp; ADDRESS(B210,2,4))</f>
        <v>0</v>
      </c>
      <c r="J210" s="52" t="e">
        <f ca="1">INDEX(Unit_Mix_Type_Table[Bedrooms], MATCH(Validation!I210,Unit_Mix_Type_Table[Unit Mix Type],0), 1)</f>
        <v>#N/A</v>
      </c>
      <c r="K210" s="52" t="e">
        <f ca="1">INDEX(Unit_Mix_Type_Table[Has Max Rent], MATCH(Validation!I210,Unit_Mix_Type_Table[Unit Mix Type],0), 1)</f>
        <v>#N/A</v>
      </c>
      <c r="L210" s="52" t="e">
        <f ca="1">INDEX(Calculations!$A$77:$G$84, MATCH(H210, Calculations!$A$77:$A$84),MATCH(J210,Calculations!$A$77:$G$77))</f>
        <v>#N/A</v>
      </c>
      <c r="M210" s="52" t="e">
        <f ca="1">INDEX(Calculations!$A$89:$G$94, MATCH(H210, Calculations!$A$77:$A$84),MATCH(J210,Calculations!$A$77:$G$77))</f>
        <v>#N/A</v>
      </c>
      <c r="N210" s="52" t="e">
        <f ca="1">IF('Unit Mix &amp; Rents'!B74="No", Validation!M210, Validation!L210)</f>
        <v>#N/A</v>
      </c>
    </row>
    <row r="211" spans="1:15" ht="15" customHeight="1">
      <c r="A211" s="16" t="str">
        <f>IF(E211,"",F211)</f>
        <v/>
      </c>
      <c r="B211" s="16"/>
      <c r="C211" s="16"/>
      <c r="D211" s="16"/>
      <c r="E211" s="16" t="b">
        <f>Calculations!L42</f>
        <v>1</v>
      </c>
      <c r="F211" s="16" t="str">
        <f>CONCATENATE("Income Averaging exceeds 60%.",CHAR(10))</f>
        <v xml:space="preserve">Income Averaging exceeds 60%.
</v>
      </c>
      <c r="G211" s="398" t="str">
        <f t="shared" ca="1" si="159"/>
        <v xml:space="preserve">Enter a value for 'Total Number of Units' in cell B3.
Enter a value for 'Do Rents Include Utilities' in cell B4.
Please enter at least one row of the Rental Income Table beginning on worksheet row 4.
</v>
      </c>
      <c r="H211" s="16"/>
      <c r="I211" s="16"/>
      <c r="J211" s="16"/>
      <c r="K211" s="16"/>
      <c r="L211" s="16"/>
      <c r="M211" s="16"/>
      <c r="N211" s="16"/>
      <c r="O211" t="s">
        <v>3807</v>
      </c>
    </row>
    <row r="212" spans="1:15" ht="15" customHeight="1">
      <c r="A212" t="str">
        <f>IF(E212,F212,"")</f>
        <v/>
      </c>
      <c r="E212" t="b">
        <f>IF(H212&gt;0,I212="Income Averaging")</f>
        <v>0</v>
      </c>
      <c r="F212" t="str">
        <f>CONCATENATE("Must be 100% Low Income when Income Averaging is selected on Scoring worksheet.",CHAR(10))</f>
        <v xml:space="preserve">Must be 100% Low Income when Income Averaging is selected on Scoring worksheet.
</v>
      </c>
      <c r="G212" s="9" t="str">
        <f t="shared" ca="1" si="159"/>
        <v xml:space="preserve">Enter a value for 'Total Number of Units' in cell B3.
Enter a value for 'Do Rents Include Utilities' in cell B4.
Please enter at least one row of the Rental Income Table beginning on worksheet row 4.
</v>
      </c>
      <c r="H212">
        <f>Calculations!H44</f>
        <v>0</v>
      </c>
      <c r="I212">
        <f>Scoring!B5</f>
        <v>0</v>
      </c>
    </row>
    <row r="213" spans="1:15" ht="15" customHeight="1">
      <c r="G213" s="9" t="str">
        <f t="shared" ca="1" si="159"/>
        <v xml:space="preserve">Enter a value for 'Total Number of Units' in cell B3.
Enter a value for 'Do Rents Include Utilities' in cell B4.
Please enter at least one row of the Rental Income Table beginning on worksheet row 4.
</v>
      </c>
    </row>
    <row r="214" spans="1:15" ht="15" customHeight="1">
      <c r="G214" s="9" t="str">
        <f t="shared" ca="1" si="159"/>
        <v xml:space="preserve">Enter a value for 'Total Number of Units' in cell B3.
Enter a value for 'Do Rents Include Utilities' in cell B4.
Please enter at least one row of the Rental Income Table beginning on worksheet row 4.
</v>
      </c>
    </row>
    <row r="215" spans="1:15" ht="15" customHeight="1">
      <c r="A215" s="55" t="s">
        <v>3808</v>
      </c>
      <c r="B215" s="53"/>
      <c r="C215" s="53"/>
      <c r="D215" s="53"/>
      <c r="E215" s="53"/>
      <c r="F215" s="53"/>
      <c r="G215" s="56" t="str">
        <f ca="1">OFFSET(G215, -1, 0)</f>
        <v xml:space="preserve">Enter a value for 'Total Number of Units' in cell B3.
Enter a value for 'Do Rents Include Utilities' in cell B4.
Please enter at least one row of the Rental Income Table beginning on worksheet row 4.
</v>
      </c>
    </row>
    <row r="216" spans="1:15" ht="15" customHeight="1">
      <c r="F216" s="9"/>
    </row>
    <row r="217" spans="1:15" ht="15" customHeight="1">
      <c r="F217" s="9"/>
    </row>
    <row r="218" spans="1:15" ht="15" customHeight="1">
      <c r="A218" s="22" t="s">
        <v>3809</v>
      </c>
      <c r="F218" s="49" t="s">
        <v>3810</v>
      </c>
    </row>
    <row r="219" spans="1:15" ht="15" customHeight="1">
      <c r="A219" s="53" t="s">
        <v>3792</v>
      </c>
      <c r="B219" s="53" t="s">
        <v>3793</v>
      </c>
      <c r="C219" s="53" t="s">
        <v>3794</v>
      </c>
      <c r="D219" s="53" t="s">
        <v>3795</v>
      </c>
      <c r="E219" s="53" t="s">
        <v>3796</v>
      </c>
      <c r="F219" s="53" t="s">
        <v>3797</v>
      </c>
      <c r="G219" s="54" t="s">
        <v>3798</v>
      </c>
    </row>
    <row r="220" spans="1:15" ht="15" customHeight="1">
      <c r="A220" t="str">
        <f t="shared" ref="A220:A232" ca="1" si="160">IF(E220="",F220, "")</f>
        <v xml:space="preserve">Enter a value for 'Threshold' in cell B5.
</v>
      </c>
      <c r="B220">
        <f>ROW(Scoring!A5)</f>
        <v>5</v>
      </c>
      <c r="C220" t="str">
        <f ca="1">INDIRECT($F$218 &amp; ADDRESS(B220, 1,4  ))</f>
        <v>Threshold</v>
      </c>
      <c r="D220" t="str">
        <f t="shared" ref="D220:D232" si="161">ADDRESS(B220, 2,4  )</f>
        <v>B5</v>
      </c>
      <c r="E220" t="str">
        <f t="shared" ref="E220:E232" ca="1" si="162">IF(ISBLANK( INDIRECT($F$218 &amp; D220)),"", INDIRECT($F$218 &amp; D220))</f>
        <v/>
      </c>
      <c r="F220" t="str">
        <f ca="1">CONCATENATE("Enter a value for '", C220, "' in cell ", D220, ".", CHAR(10))</f>
        <v xml:space="preserve">Enter a value for 'Threshold' in cell B5.
</v>
      </c>
      <c r="G220" s="9" t="str">
        <f ca="1">A220</f>
        <v xml:space="preserve">Enter a value for 'Threshold' in cell B5.
</v>
      </c>
    </row>
    <row r="221" spans="1:15" ht="15" customHeight="1">
      <c r="A221" t="str">
        <f t="shared" ca="1" si="160"/>
        <v xml:space="preserve">Enter a value for 'Very, Very Low-Income Targeting' in cell B8.
</v>
      </c>
      <c r="B221">
        <f>ROW(Scoring!A8)</f>
        <v>8</v>
      </c>
      <c r="C221" t="str">
        <f ca="1">INDIRECT($F$218 &amp; ADDRESS(B221, 1,4  ))</f>
        <v>Very, Very Low-Income Targeting</v>
      </c>
      <c r="D221" t="str">
        <f t="shared" si="161"/>
        <v>B8</v>
      </c>
      <c r="E221" t="str">
        <f t="shared" ca="1" si="162"/>
        <v/>
      </c>
      <c r="F221" t="str">
        <f ca="1">CONCATENATE("Enter a value for '", C221, "' in cell ", D221, ".", CHAR(10))</f>
        <v xml:space="preserve">Enter a value for 'Very, Very Low-Income Targeting' in cell B8.
</v>
      </c>
      <c r="G221" s="9" t="str">
        <f t="shared" ref="G221:G234" ca="1" si="163">OFFSET(G221, -1, 0) &amp; A221</f>
        <v xml:space="preserve">Enter a value for 'Threshold' in cell B5.
Enter a value for 'Very, Very Low-Income Targeting' in cell B8.
</v>
      </c>
    </row>
    <row r="222" spans="1:15" ht="15" customHeight="1">
      <c r="A222" t="str">
        <f t="shared" ca="1" si="160"/>
        <v xml:space="preserve">Enter a value for 'Extended Low-Income Use' in cell B11.
</v>
      </c>
      <c r="B222">
        <f>ROW(Scoring!A11)</f>
        <v>11</v>
      </c>
      <c r="C222" t="str">
        <f ca="1">INDIRECT($F$218 &amp; ADDRESS(B222, 1,4  ))</f>
        <v>Extended Low-Income Use</v>
      </c>
      <c r="D222" t="str">
        <f t="shared" si="161"/>
        <v>B11</v>
      </c>
      <c r="E222" t="str">
        <f t="shared" ca="1" si="162"/>
        <v/>
      </c>
      <c r="F222" t="str">
        <f ca="1">CONCATENATE("Enter a value for '", C222, "' in cell ", D222, ".", CHAR(10))</f>
        <v xml:space="preserve">Enter a value for 'Extended Low-Income Use' in cell B11.
</v>
      </c>
      <c r="G222" s="9" t="str">
        <f t="shared" ca="1" si="163"/>
        <v xml:space="preserve">Enter a value for 'Threshold' in cell B5.
Enter a value for 'Very, Very Low-Income Targeting' in cell B8.
Enter a value for 'Extended Low-Income Use' in cell B11.
</v>
      </c>
    </row>
    <row r="223" spans="1:15" ht="15" customHeight="1">
      <c r="A223" t="str">
        <f t="shared" ca="1" si="160"/>
        <v xml:space="preserve">Enter a value for 'Community Revitalization Plan' in cell B14.
</v>
      </c>
      <c r="B223">
        <f>ROW(Scoring!A14)</f>
        <v>14</v>
      </c>
      <c r="C223" s="52" t="s">
        <v>2134</v>
      </c>
      <c r="D223" t="str">
        <f t="shared" si="161"/>
        <v>B14</v>
      </c>
      <c r="E223" t="str">
        <f t="shared" ca="1" si="162"/>
        <v/>
      </c>
      <c r="F223" t="str">
        <f>CONCATENATE("Enter a value for '", C223, "' in cell ", D223, ".", CHAR(10))</f>
        <v xml:space="preserve">Enter a value for 'Community Revitalization Plan' in cell B14.
</v>
      </c>
      <c r="G223" s="9" t="str">
        <f t="shared" ca="1" si="163"/>
        <v xml:space="preserve">Enter a value for 'Threshold' in cell B5.
Enter a value for 'Very, Very Low-Income Targeting' in cell B8.
Enter a value for 'Extended Low-Income Use' in cell B11.
Enter a value for 'Community Revitalization Plan' in cell B14.
</v>
      </c>
    </row>
    <row r="224" spans="1:15" ht="15" customHeight="1">
      <c r="A224" t="str">
        <f t="shared" ca="1" si="160"/>
        <v xml:space="preserve">Select a value for 'Development Location' in cell B20.
</v>
      </c>
      <c r="B224">
        <f>ROW(Scoring!A20)</f>
        <v>20</v>
      </c>
      <c r="C224" s="52" t="s">
        <v>858</v>
      </c>
      <c r="D224" t="str">
        <f t="shared" si="161"/>
        <v>B20</v>
      </c>
      <c r="E224" t="str">
        <f t="shared" ca="1" si="162"/>
        <v/>
      </c>
      <c r="F224" t="str">
        <f t="shared" ref="F224:F232" si="164">CONCATENATE("Select a value for '", C224, "' in cell ", D224, ".", CHAR(10))</f>
        <v xml:space="preserve">Select a value for 'Development Location' in cell B20.
</v>
      </c>
      <c r="G224"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v>
      </c>
    </row>
    <row r="225" spans="1:11" ht="15" customHeight="1">
      <c r="A225" t="str">
        <f t="shared" ca="1" si="160"/>
        <v xml:space="preserve">Select a value for 'question 1 of Development Characteristics' in cell B24.
</v>
      </c>
      <c r="B225">
        <f>ROW(Scoring!A24)</f>
        <v>24</v>
      </c>
      <c r="C225" s="52" t="s">
        <v>3811</v>
      </c>
      <c r="D225" t="str">
        <f t="shared" si="161"/>
        <v>B24</v>
      </c>
      <c r="E225" t="str">
        <f t="shared" ca="1" si="162"/>
        <v/>
      </c>
      <c r="F225" t="str">
        <f t="shared" si="164"/>
        <v xml:space="preserve">Select a value for 'question 1 of Development Characteristics' in cell B24.
</v>
      </c>
      <c r="G225"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v>
      </c>
    </row>
    <row r="226" spans="1:11" ht="15" customHeight="1">
      <c r="A226" t="str">
        <f t="shared" ca="1" si="160"/>
        <v xml:space="preserve">Select a value for 'question 2 of Development Characteristics' in cell B25.
</v>
      </c>
      <c r="B226">
        <f>ROW(Scoring!A25)</f>
        <v>25</v>
      </c>
      <c r="C226" s="52" t="s">
        <v>3812</v>
      </c>
      <c r="D226" t="str">
        <f t="shared" si="161"/>
        <v>B25</v>
      </c>
      <c r="E226" t="str">
        <f t="shared" ca="1" si="162"/>
        <v/>
      </c>
      <c r="F226" t="str">
        <f t="shared" si="164"/>
        <v xml:space="preserve">Select a value for 'question 2 of Development Characteristics' in cell B25.
</v>
      </c>
      <c r="G226"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v>
      </c>
    </row>
    <row r="227" spans="1:11" ht="15" customHeight="1">
      <c r="A227" t="str">
        <f t="shared" ca="1" si="160"/>
        <v xml:space="preserve">Select a value for 'question 3 of Development Characteristics' in cell B26.
</v>
      </c>
      <c r="B227">
        <f>ROW(Scoring!A26)</f>
        <v>26</v>
      </c>
      <c r="C227" s="52" t="s">
        <v>3813</v>
      </c>
      <c r="D227" t="str">
        <f t="shared" si="161"/>
        <v>B26</v>
      </c>
      <c r="E227" t="str">
        <f t="shared" ca="1" si="162"/>
        <v/>
      </c>
      <c r="F227" t="str">
        <f t="shared" si="164"/>
        <v xml:space="preserve">Select a value for 'question 3 of Development Characteristics' in cell B26.
</v>
      </c>
      <c r="G227"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v>
      </c>
    </row>
    <row r="228" spans="1:11" ht="15" customHeight="1">
      <c r="A228" t="str">
        <f t="shared" ca="1" si="160"/>
        <v xml:space="preserve">Select a value for 'question 4 of Development Characteristics' in cell B27.
</v>
      </c>
      <c r="B228">
        <f>ROW(Scoring!A27)</f>
        <v>27</v>
      </c>
      <c r="C228" s="52" t="s">
        <v>3814</v>
      </c>
      <c r="D228" t="str">
        <f t="shared" si="161"/>
        <v>B27</v>
      </c>
      <c r="E228" t="str">
        <f t="shared" ca="1" si="162"/>
        <v/>
      </c>
      <c r="F228" t="str">
        <f t="shared" si="164"/>
        <v xml:space="preserve">Select a value for 'question 4 of Development Characteristics' in cell B27.
</v>
      </c>
      <c r="G228"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v>
      </c>
    </row>
    <row r="229" spans="1:11" ht="15" customHeight="1">
      <c r="A229" t="str">
        <f t="shared" ca="1" si="160"/>
        <v xml:space="preserve">Select a value for 'question 5 of Development Characteristics' in cell B28.
</v>
      </c>
      <c r="B229">
        <f>ROW(Scoring!A28)</f>
        <v>28</v>
      </c>
      <c r="C229" s="52" t="s">
        <v>3815</v>
      </c>
      <c r="D229" t="str">
        <f t="shared" si="161"/>
        <v>B28</v>
      </c>
      <c r="E229" t="str">
        <f t="shared" ca="1" si="162"/>
        <v/>
      </c>
      <c r="F229" t="str">
        <f t="shared" si="164"/>
        <v xml:space="preserve">Select a value for 'question 5 of Development Characteristics' in cell B28.
</v>
      </c>
      <c r="G229"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v>
      </c>
    </row>
    <row r="230" spans="1:11" ht="15" customHeight="1">
      <c r="A230" t="str">
        <f t="shared" ca="1" si="160"/>
        <v xml:space="preserve">Select a value for 'Applicant Characteristics' in cell B33.
</v>
      </c>
      <c r="B230">
        <f>ROW(Scoring!A33)</f>
        <v>33</v>
      </c>
      <c r="C230" s="52" t="s">
        <v>528</v>
      </c>
      <c r="D230" t="str">
        <f t="shared" si="161"/>
        <v>B33</v>
      </c>
      <c r="E230" t="str">
        <f t="shared" ca="1" si="162"/>
        <v/>
      </c>
      <c r="F230" t="str">
        <f t="shared" si="164"/>
        <v xml:space="preserve">Select a value for 'Applicant Characteristics' in cell B33.
</v>
      </c>
      <c r="G230"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B33.
</v>
      </c>
    </row>
    <row r="231" spans="1:11" ht="15" customHeight="1">
      <c r="A231" t="str">
        <f t="shared" ca="1" si="160"/>
        <v xml:space="preserve">Select a value for 'Projects serving Persons experiencing Homelessness or Special Populations. See Section 5.B.5 of the Allocation Plan for the definition and required documentation.' in cell B36.
</v>
      </c>
      <c r="B231">
        <f>ROW(Scoring!A36)</f>
        <v>36</v>
      </c>
      <c r="C231" t="str">
        <f ca="1">INDIRECT($F$218 &amp; ADDRESS(B231, 1,4  ))</f>
        <v>Projects serving Persons experiencing Homelessness or Special Populations. See Section 5.B.5 of the Allocation Plan for the definition and required documentation.</v>
      </c>
      <c r="D231" t="str">
        <f t="shared" si="161"/>
        <v>B36</v>
      </c>
      <c r="E231" t="str">
        <f t="shared" ca="1" si="162"/>
        <v/>
      </c>
      <c r="F231" t="str">
        <f t="shared" ca="1" si="164"/>
        <v xml:space="preserve">Select a value for 'Projects serving Persons experiencing Homelessness or Special Populations. See Section 5.B.5 of the Allocation Plan for the definition and required documentation.' in cell B36.
</v>
      </c>
      <c r="G231"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B33.
Select a value for 'Projects serving Persons experiencing Homelessness or Special Populations. See Section 5.B.5 of the Allocation Plan for the definition and required documentation.' in cell B36.
</v>
      </c>
    </row>
    <row r="232" spans="1:11" ht="15" customHeight="1">
      <c r="A232" t="str">
        <f t="shared" ca="1" si="160"/>
        <v xml:space="preserve">Select a value for 'Housing Authority Waitlist' in cell B39.
</v>
      </c>
      <c r="B232">
        <f>ROW(Scoring!A39)</f>
        <v>39</v>
      </c>
      <c r="C232" t="str">
        <f ca="1">INDIRECT($F$218 &amp; ADDRESS(B232, 1,4  ))</f>
        <v>Housing Authority Waitlist</v>
      </c>
      <c r="D232" t="str">
        <f t="shared" si="161"/>
        <v>B39</v>
      </c>
      <c r="E232" t="str">
        <f t="shared" ca="1" si="162"/>
        <v/>
      </c>
      <c r="F232" t="str">
        <f t="shared" ca="1" si="164"/>
        <v xml:space="preserve">Select a value for 'Housing Authority Waitlist' in cell B39.
</v>
      </c>
      <c r="G232"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B33.
Select a value for 'Projects serving Persons experiencing Homelessness or Special Populations. See Section 5.B.5 of the Allocation Plan for the definition and required documentation.' in cell B36.
Select a value for 'Housing Authority Waitlist' in cell B39.
</v>
      </c>
    </row>
    <row r="233" spans="1:11" ht="15" customHeight="1">
      <c r="A233" t="str">
        <f>IF(E233&lt;I233, F233, "")</f>
        <v xml:space="preserve">Minumum score of 95 has not been met.
</v>
      </c>
      <c r="B233" s="52"/>
      <c r="C233" s="52"/>
      <c r="D233" s="52"/>
      <c r="E233" s="52">
        <f>Calculations!$B323</f>
        <v>15</v>
      </c>
      <c r="F233" s="52" t="str">
        <f>CONCATENATE("Minumum score of ", I233, " has not been met.", CHAR(10))</f>
        <v xml:space="preserve">Minumum score of 95 has not been met.
</v>
      </c>
      <c r="G233" s="52"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B33.
Select a value for 'Projects serving Persons experiencing Homelessness or Special Populations. See Section 5.B.5 of the Allocation Plan for the definition and required documentation.' in cell B36.
Select a value for 'Housing Authority Waitlist' in cell B39.
Minumum score of 95 has not been met.
</v>
      </c>
      <c r="H233" s="52" t="s">
        <v>3816</v>
      </c>
      <c r="I233" s="52">
        <f>Calculations!$B$298</f>
        <v>95</v>
      </c>
    </row>
    <row r="234" spans="1:11" ht="15" customHeight="1">
      <c r="A234" t="str">
        <f ca="1">IF(E234,F234,"")</f>
        <v/>
      </c>
      <c r="E234" t="b">
        <f ca="1">AND(E221&lt;&gt;"",E221&lt;&gt;"None",E231&lt;&gt;"N/A")</f>
        <v>0</v>
      </c>
      <c r="F234" t="s">
        <v>3817</v>
      </c>
      <c r="G234"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B33.
Select a value for 'Projects serving Persons experiencing Homelessness or Special Populations. See Section 5.B.5 of the Allocation Plan for the definition and required documentation.' in cell B36.
Select a value for 'Housing Authority Waitlist' in cell B39.
Minumum score of 95 has not been met.
</v>
      </c>
    </row>
    <row r="235" spans="1:11" ht="15" customHeight="1">
      <c r="A235" t="str">
        <f>IF(E235,F235,"")</f>
        <v/>
      </c>
      <c r="E235" t="b">
        <f>AND(NOT(Calculations!M45), Calculations!L45&gt;0)</f>
        <v>0</v>
      </c>
      <c r="F235" t="str">
        <f>CONCATENATE("70% and 80% AMI units are not permitted unless Average Income is selected on Scoring worksheet.",CHAR(10))</f>
        <v xml:space="preserve">70% and 80% AMI units are not permitted unless Average Income is selected on Scoring worksheet.
</v>
      </c>
      <c r="G235" t="str">
        <f ca="1">OFFSET(G235, -1, 0) &amp; A235</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B33.
Select a value for 'Projects serving Persons experiencing Homelessness or Special Populations. See Section 5.B.5 of the Allocation Plan for the definition and required documentation.' in cell B36.
Select a value for 'Housing Authority Waitlist' in cell B39.
Minumum score of 95 has not been met.
</v>
      </c>
    </row>
    <row r="236" spans="1:11" ht="15" customHeight="1">
      <c r="A236" t="str">
        <f>IF(AND(H236,I236,NOT(OR(J236,K236))), F236,"")</f>
        <v/>
      </c>
      <c r="F236" t="str">
        <f>CONCATENATE("40% of the units must be less than or equal to 60% AMI OR 20% of the units MUST be less than or equal to 50% AMI when Average Income is selected on Scoring worksheet.",CHAR(10))</f>
        <v xml:space="preserve">40% of the units must be less than or equal to 60% AMI OR 20% of the units MUST be less than or equal to 50% AMI when Average Income is selected on Scoring worksheet.
</v>
      </c>
      <c r="G236" t="str">
        <f ca="1">OFFSET(G236, -1, 0) &amp; A236</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B33.
Select a value for 'Projects serving Persons experiencing Homelessness or Special Populations. See Section 5.B.5 of the Allocation Plan for the definition and required documentation.' in cell B36.
Select a value for 'Housing Authority Waitlist' in cell B39.
Minumum score of 95 has not been met.
</v>
      </c>
      <c r="H236" t="b">
        <f>Calculations!B5</f>
        <v>0</v>
      </c>
      <c r="I236" t="b">
        <f>Scoring!B5 = "Average Income"</f>
        <v>0</v>
      </c>
      <c r="J236" t="b">
        <f>IF(Calculations!H45 = 0, TRUE,  SUM(Calculations!H34:'Calculations'!H37)/Calculations!H45 &gt;= 0.2)</f>
        <v>1</v>
      </c>
      <c r="K236" t="b">
        <f>IF(Calculations!H45 = 0, TRUE,  SUM(Calculations!H34:'Calculations'!H38)/Calculations!H45 &gt;= 0.4)</f>
        <v>1</v>
      </c>
    </row>
    <row r="237" spans="1:11" ht="15" customHeight="1">
      <c r="A237" s="55" t="s">
        <v>3818</v>
      </c>
      <c r="B237" s="53"/>
      <c r="C237" s="53"/>
      <c r="D237" s="53"/>
      <c r="E237" s="53"/>
      <c r="F237" s="53"/>
      <c r="G237" s="56" t="str">
        <f ca="1">OFFSET(G237, -1, 0)</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B33.
Select a value for 'Projects serving Persons experiencing Homelessness or Special Populations. See Section 5.B.5 of the Allocation Plan for the definition and required documentation.' in cell B36.
Select a value for 'Housing Authority Waitlist' in cell B39.
Minumum score of 95 has not been met.
</v>
      </c>
    </row>
    <row r="238" spans="1:11" ht="15" customHeight="1"/>
    <row r="239" spans="1:11" ht="15" customHeight="1"/>
    <row r="240" spans="1:11" ht="15" customHeight="1">
      <c r="A240" s="22" t="s">
        <v>92</v>
      </c>
      <c r="F240" s="49" t="s">
        <v>3819</v>
      </c>
    </row>
    <row r="241" spans="1:8" ht="15" customHeight="1">
      <c r="A241" s="53" t="s">
        <v>3792</v>
      </c>
      <c r="B241" s="53" t="s">
        <v>3793</v>
      </c>
      <c r="C241" s="53" t="s">
        <v>3794</v>
      </c>
      <c r="D241" s="53" t="s">
        <v>3795</v>
      </c>
      <c r="E241" s="53" t="s">
        <v>3796</v>
      </c>
      <c r="F241" s="53" t="s">
        <v>3797</v>
      </c>
      <c r="G241" s="54" t="s">
        <v>3798</v>
      </c>
    </row>
    <row r="242" spans="1:8" ht="15" customHeight="1">
      <c r="A242" t="str">
        <f ca="1">IF(E242="",F242, "")</f>
        <v xml:space="preserve">Enter a value for 'Construction Loan Amount' in cell B3.
</v>
      </c>
      <c r="B242">
        <f>ROW(Financing!A3)</f>
        <v>3</v>
      </c>
      <c r="C242" t="str">
        <f ca="1">INDIRECT($F$240 &amp; ADDRESS(B242, 1,4  ))</f>
        <v>Construction Loan Amount</v>
      </c>
      <c r="D242" t="str">
        <f>ADDRESS(B242, 2,4  )</f>
        <v>B3</v>
      </c>
      <c r="E242" t="str">
        <f ca="1">IF(ISBLANK( INDIRECT($F$240 &amp; D242)),"", INDIRECT($F$240 &amp; D242))</f>
        <v/>
      </c>
      <c r="F242" t="str">
        <f ca="1">CONCATENATE("Enter a value for '", C242, "' in cell ", D242, ".", CHAR(10))</f>
        <v xml:space="preserve">Enter a value for 'Construction Loan Amount' in cell B3.
</v>
      </c>
      <c r="G242" s="9" t="str">
        <f ca="1">A242</f>
        <v xml:space="preserve">Enter a value for 'Construction Loan Amount' in cell B3.
</v>
      </c>
    </row>
    <row r="243" spans="1:8" ht="15" customHeight="1">
      <c r="A243" t="str">
        <f t="shared" ref="A243:A244" ca="1" si="165">IF(E243="",F243, "")</f>
        <v xml:space="preserve">Enter a value for 'Construction Loan Rate' in cell B4.
</v>
      </c>
      <c r="B243">
        <f>ROW(Financing!A4)</f>
        <v>4</v>
      </c>
      <c r="C243" t="str">
        <f ca="1">INDIRECT($F$240 &amp; ADDRESS(B243, 1,4  ))</f>
        <v>Construction Loan Rate</v>
      </c>
      <c r="D243" t="str">
        <f>ADDRESS(B243, 2,4  )</f>
        <v>B4</v>
      </c>
      <c r="E243" t="str">
        <f ca="1">IF(ISBLANK( INDIRECT($F$240 &amp; D243)),"", INDIRECT($F$240 &amp; D243))</f>
        <v/>
      </c>
      <c r="F243" t="str">
        <f ca="1">CONCATENATE("Enter a value for '", C243, "' in cell ", D243, ".", CHAR(10))</f>
        <v xml:space="preserve">Enter a value for 'Construction Loan Rate' in cell B4.
</v>
      </c>
      <c r="G243" s="9" t="str">
        <f t="shared" ref="G243:G288" ca="1" si="166">OFFSET(G243, -1, 0) &amp; A243</f>
        <v xml:space="preserve">Enter a value for 'Construction Loan Amount' in cell B3.
Enter a value for 'Construction Loan Rate' in cell B4.
</v>
      </c>
    </row>
    <row r="244" spans="1:8" ht="15" customHeight="1">
      <c r="A244" t="str">
        <f t="shared" ca="1" si="165"/>
        <v xml:space="preserve">Enter a value for 'Project Funded without Permanent Debt' in cell B5.
</v>
      </c>
      <c r="B244">
        <f>ROW(Financing!A5)</f>
        <v>5</v>
      </c>
      <c r="C244" t="str">
        <f ca="1">INDIRECT($F$240 &amp; ADDRESS(B244, 1,4  ))</f>
        <v>Project Funded without Permanent Debt</v>
      </c>
      <c r="D244" t="str">
        <f>ADDRESS(B244, 2,4  )</f>
        <v>B5</v>
      </c>
      <c r="E244" t="str">
        <f ca="1">IF(ISBLANK( INDIRECT($F$240 &amp; D244)),"", INDIRECT($F$240 &amp; D244))</f>
        <v/>
      </c>
      <c r="F244" t="str">
        <f ca="1">CONCATENATE("Enter a value for '", C244, "' in cell ", D244, ".", CHAR(10))</f>
        <v xml:space="preserve">Enter a value for 'Project Funded without Permanent Debt' in cell B5.
</v>
      </c>
      <c r="G244" s="9" t="str">
        <f t="shared" ref="G244" ca="1" si="167">OFFSET(G244, -1, 0) &amp; A244</f>
        <v xml:space="preserve">Enter a value for 'Construction Loan Amount' in cell B3.
Enter a value for 'Construction Loan Rate' in cell B4.
Enter a value for 'Project Funded without Permanent Debt' in cell B5.
</v>
      </c>
    </row>
    <row r="245" spans="1:8" ht="15" customHeight="1">
      <c r="A245" s="52" t="str">
        <f ca="1">IF(AND(E245&gt;0,E245&lt;6), F245, "")</f>
        <v/>
      </c>
      <c r="B245">
        <f>ROW(Financing!A9)</f>
        <v>9</v>
      </c>
      <c r="C245" s="52"/>
      <c r="D245" s="52" t="str">
        <f>CONCATENATE($F$240,ADDRESS(B245,1,4),":",ADDRESS(B245,6,4))</f>
        <v>'Financing'!A9:F9</v>
      </c>
      <c r="E245" s="52">
        <f t="shared" ref="E245:E261" ca="1" si="168">SUMPRODUCT(ISTEXT(INDIRECT(D245)) + ISNUMBER(INDIRECT(D245)))</f>
        <v>0</v>
      </c>
      <c r="F245" s="52" t="str">
        <f t="shared" ref="F245:F253" si="169">CONCATENATE("Please enter all values for the ", H245, " in worksheet row ", B245, ".", CHAR(10))</f>
        <v xml:space="preserve">Please enter all values for the Residential Loans (amortizing) in worksheet row 9.
</v>
      </c>
      <c r="G245" s="9" t="str">
        <f t="shared" ca="1" si="166"/>
        <v xml:space="preserve">Enter a value for 'Construction Loan Amount' in cell B3.
Enter a value for 'Construction Loan Rate' in cell B4.
Enter a value for 'Project Funded without Permanent Debt' in cell B5.
</v>
      </c>
      <c r="H245" t="str">
        <f>Financing!$A$7</f>
        <v>Residential Loans (amortizing)</v>
      </c>
    </row>
    <row r="246" spans="1:8" ht="15" customHeight="1">
      <c r="A246" s="52" t="str">
        <f ca="1">IF(AND(E246&gt;0,E246&lt;6), F246, "")</f>
        <v/>
      </c>
      <c r="B246">
        <f>ROW(Financing!A10)</f>
        <v>10</v>
      </c>
      <c r="C246" s="52"/>
      <c r="D246" s="52" t="str">
        <f>CONCATENATE($F$240,ADDRESS(B246,1,4),":",ADDRESS(B246,6,4))</f>
        <v>'Financing'!A10:F10</v>
      </c>
      <c r="E246" s="52">
        <f t="shared" ca="1" si="168"/>
        <v>0</v>
      </c>
      <c r="F246" s="52" t="str">
        <f t="shared" si="169"/>
        <v xml:space="preserve">Please enter all values for the Residential Loans (amortizing) in worksheet row 10.
</v>
      </c>
      <c r="G246" s="9" t="str">
        <f t="shared" ca="1" si="166"/>
        <v xml:space="preserve">Enter a value for 'Construction Loan Amount' in cell B3.
Enter a value for 'Construction Loan Rate' in cell B4.
Enter a value for 'Project Funded without Permanent Debt' in cell B5.
</v>
      </c>
      <c r="H246" t="str">
        <f>Financing!$A$7</f>
        <v>Residential Loans (amortizing)</v>
      </c>
    </row>
    <row r="247" spans="1:8" ht="15" customHeight="1">
      <c r="A247" s="52" t="str">
        <f ca="1">IF(AND(E247&gt;0,E247&lt;6), F247, "")</f>
        <v/>
      </c>
      <c r="B247">
        <f>ROW(Financing!A11)</f>
        <v>11</v>
      </c>
      <c r="C247" s="52"/>
      <c r="D247" s="52" t="str">
        <f>CONCATENATE($F$240,ADDRESS(B247,1,4),":",ADDRESS(B247,6,4))</f>
        <v>'Financing'!A11:F11</v>
      </c>
      <c r="E247" s="52">
        <f t="shared" ca="1" si="168"/>
        <v>0</v>
      </c>
      <c r="F247" s="52" t="str">
        <f t="shared" si="169"/>
        <v xml:space="preserve">Please enter all values for the Residential Loans (amortizing) in worksheet row 11.
</v>
      </c>
      <c r="G247" s="9" t="str">
        <f t="shared" ca="1" si="166"/>
        <v xml:space="preserve">Enter a value for 'Construction Loan Amount' in cell B3.
Enter a value for 'Construction Loan Rate' in cell B4.
Enter a value for 'Project Funded without Permanent Debt' in cell B5.
</v>
      </c>
      <c r="H247" t="str">
        <f>Financing!$A$7</f>
        <v>Residential Loans (amortizing)</v>
      </c>
    </row>
    <row r="248" spans="1:8" ht="15" customHeight="1">
      <c r="A248" s="52" t="str">
        <f t="shared" ref="A248:A253" ca="1" si="170">IF(AND(E248&gt;0,E248&lt;5), F248, "")</f>
        <v/>
      </c>
      <c r="B248">
        <f>ROW(Financing!A16)</f>
        <v>16</v>
      </c>
      <c r="C248" s="52"/>
      <c r="D248" s="52" t="str">
        <f t="shared" ref="D248:D253" si="171">CONCATENATE($F$240&amp;ADDRESS(B248,1,4)&amp;":"&amp;ADDRESS(B248,5,4))</f>
        <v>'Financing'!A16:E16</v>
      </c>
      <c r="E248" s="52">
        <f t="shared" ca="1" si="168"/>
        <v>0</v>
      </c>
      <c r="F248" s="52" t="str">
        <f t="shared" si="169"/>
        <v xml:space="preserve">Please enter all values for the Residential Loans (cash flow only) in worksheet row 16.
</v>
      </c>
      <c r="G248" s="9" t="str">
        <f t="shared" ca="1" si="166"/>
        <v xml:space="preserve">Enter a value for 'Construction Loan Amount' in cell B3.
Enter a value for 'Construction Loan Rate' in cell B4.
Enter a value for 'Project Funded without Permanent Debt' in cell B5.
</v>
      </c>
      <c r="H248" t="str">
        <f>Financing!$A$14</f>
        <v>Residential Loans (cash flow only)</v>
      </c>
    </row>
    <row r="249" spans="1:8" ht="15" customHeight="1">
      <c r="A249" s="52" t="str">
        <f t="shared" ca="1" si="170"/>
        <v/>
      </c>
      <c r="B249">
        <f>ROW(Financing!A17)</f>
        <v>17</v>
      </c>
      <c r="C249" s="52"/>
      <c r="D249" s="52" t="str">
        <f t="shared" si="171"/>
        <v>'Financing'!A17:E17</v>
      </c>
      <c r="E249" s="52">
        <f t="shared" ca="1" si="168"/>
        <v>0</v>
      </c>
      <c r="F249" s="52" t="str">
        <f t="shared" si="169"/>
        <v xml:space="preserve">Please enter all values for the Residential Loans (cash flow only) in worksheet row 17.
</v>
      </c>
      <c r="G249" s="9" t="str">
        <f t="shared" ca="1" si="166"/>
        <v xml:space="preserve">Enter a value for 'Construction Loan Amount' in cell B3.
Enter a value for 'Construction Loan Rate' in cell B4.
Enter a value for 'Project Funded without Permanent Debt' in cell B5.
</v>
      </c>
      <c r="H249" t="str">
        <f>Financing!$A$14</f>
        <v>Residential Loans (cash flow only)</v>
      </c>
    </row>
    <row r="250" spans="1:8" ht="15" customHeight="1">
      <c r="A250" s="52" t="str">
        <f t="shared" ca="1" si="170"/>
        <v/>
      </c>
      <c r="B250">
        <f>ROW(Financing!A18)</f>
        <v>18</v>
      </c>
      <c r="C250" s="52"/>
      <c r="D250" s="52" t="str">
        <f t="shared" si="171"/>
        <v>'Financing'!A18:E18</v>
      </c>
      <c r="E250" s="52">
        <f t="shared" ca="1" si="168"/>
        <v>0</v>
      </c>
      <c r="F250" s="52" t="str">
        <f t="shared" si="169"/>
        <v xml:space="preserve">Please enter all values for the Residential Loans (cash flow only) in worksheet row 18.
</v>
      </c>
      <c r="G250" s="9" t="str">
        <f t="shared" ca="1" si="166"/>
        <v xml:space="preserve">Enter a value for 'Construction Loan Amount' in cell B3.
Enter a value for 'Construction Loan Rate' in cell B4.
Enter a value for 'Project Funded without Permanent Debt' in cell B5.
</v>
      </c>
      <c r="H250" t="str">
        <f>Financing!$A$14</f>
        <v>Residential Loans (cash flow only)</v>
      </c>
    </row>
    <row r="251" spans="1:8" ht="15" customHeight="1">
      <c r="A251" s="52" t="str">
        <f t="shared" ca="1" si="170"/>
        <v/>
      </c>
      <c r="B251">
        <f>ROW(Financing!A19)</f>
        <v>19</v>
      </c>
      <c r="C251" s="52"/>
      <c r="D251" s="52" t="str">
        <f t="shared" si="171"/>
        <v>'Financing'!A19:E19</v>
      </c>
      <c r="E251" s="52">
        <f t="shared" ca="1" si="168"/>
        <v>0</v>
      </c>
      <c r="F251" s="52" t="str">
        <f t="shared" si="169"/>
        <v xml:space="preserve">Please enter all values for the Residential Loans (cash flow only) in worksheet row 19.
</v>
      </c>
      <c r="G251" s="9" t="str">
        <f t="shared" ca="1" si="166"/>
        <v xml:space="preserve">Enter a value for 'Construction Loan Amount' in cell B3.
Enter a value for 'Construction Loan Rate' in cell B4.
Enter a value for 'Project Funded without Permanent Debt' in cell B5.
</v>
      </c>
      <c r="H251" t="str">
        <f>Financing!$A$14</f>
        <v>Residential Loans (cash flow only)</v>
      </c>
    </row>
    <row r="252" spans="1:8" ht="15" customHeight="1">
      <c r="A252" s="52" t="str">
        <f t="shared" ca="1" si="170"/>
        <v/>
      </c>
      <c r="B252">
        <f>ROW(Financing!A20)</f>
        <v>20</v>
      </c>
      <c r="C252" s="52"/>
      <c r="D252" s="52" t="str">
        <f t="shared" si="171"/>
        <v>'Financing'!A20:E20</v>
      </c>
      <c r="E252" s="52">
        <f t="shared" ca="1" si="168"/>
        <v>0</v>
      </c>
      <c r="F252" s="52" t="str">
        <f t="shared" si="169"/>
        <v xml:space="preserve">Please enter all values for the Residential Loans (cash flow only) in worksheet row 20.
</v>
      </c>
      <c r="G252" s="9" t="str">
        <f t="shared" ca="1" si="166"/>
        <v xml:space="preserve">Enter a value for 'Construction Loan Amount' in cell B3.
Enter a value for 'Construction Loan Rate' in cell B4.
Enter a value for 'Project Funded without Permanent Debt' in cell B5.
</v>
      </c>
      <c r="H252" t="str">
        <f>Financing!$A$14</f>
        <v>Residential Loans (cash flow only)</v>
      </c>
    </row>
    <row r="253" spans="1:8" ht="15" customHeight="1">
      <c r="A253" s="52" t="str">
        <f t="shared" ca="1" si="170"/>
        <v/>
      </c>
      <c r="B253">
        <f>ROW(Financing!A21)</f>
        <v>21</v>
      </c>
      <c r="C253" s="52"/>
      <c r="D253" s="52" t="str">
        <f t="shared" si="171"/>
        <v>'Financing'!A21:E21</v>
      </c>
      <c r="E253" s="52">
        <f t="shared" ca="1" si="168"/>
        <v>0</v>
      </c>
      <c r="F253" s="52" t="str">
        <f t="shared" si="169"/>
        <v xml:space="preserve">Please enter all values for the Residential Loans (cash flow only) in worksheet row 21.
</v>
      </c>
      <c r="G253" s="9" t="str">
        <f t="shared" ca="1" si="166"/>
        <v xml:space="preserve">Enter a value for 'Construction Loan Amount' in cell B3.
Enter a value for 'Construction Loan Rate' in cell B4.
Enter a value for 'Project Funded without Permanent Debt' in cell B5.
</v>
      </c>
      <c r="H253" t="str">
        <f>Financing!$A$14</f>
        <v>Residential Loans (cash flow only)</v>
      </c>
    </row>
    <row r="254" spans="1:8" ht="15" customHeight="1">
      <c r="A254" s="52" t="str">
        <f t="shared" ref="A254:A261" ca="1" si="172">IF(AND(E254&gt;0,E254&lt;2), F254, "")</f>
        <v/>
      </c>
      <c r="B254">
        <f>ROW(Financing!A26)</f>
        <v>26</v>
      </c>
      <c r="C254" s="52"/>
      <c r="D254" s="52" t="str">
        <f t="shared" ref="D254:D261" si="173">CONCATENATE($F$240&amp;ADDRESS(B254,1,4)&amp;":"&amp;ADDRESS(B254,2,4))</f>
        <v>'Financing'!A26:B26</v>
      </c>
      <c r="E254" s="52">
        <f t="shared" ca="1" si="168"/>
        <v>0</v>
      </c>
      <c r="F254" s="52" t="str">
        <f t="shared" ref="F254:F261" si="174">CONCATENATE("Please enter all values for the residential grant in worksheet row ", B254, ".", CHAR(10))</f>
        <v xml:space="preserve">Please enter all values for the residential grant in worksheet row 26.
</v>
      </c>
      <c r="G254" s="9" t="str">
        <f t="shared" ca="1" si="166"/>
        <v xml:space="preserve">Enter a value for 'Construction Loan Amount' in cell B3.
Enter a value for 'Construction Loan Rate' in cell B4.
Enter a value for 'Project Funded without Permanent Debt' in cell B5.
</v>
      </c>
    </row>
    <row r="255" spans="1:8" ht="15" customHeight="1">
      <c r="A255" s="52" t="str">
        <f t="shared" ca="1" si="172"/>
        <v/>
      </c>
      <c r="B255">
        <f>ROW(Financing!A27)</f>
        <v>27</v>
      </c>
      <c r="C255" s="52"/>
      <c r="D255" s="52" t="str">
        <f t="shared" si="173"/>
        <v>'Financing'!A27:B27</v>
      </c>
      <c r="E255" s="52">
        <f t="shared" ca="1" si="168"/>
        <v>0</v>
      </c>
      <c r="F255" s="52" t="str">
        <f t="shared" si="174"/>
        <v xml:space="preserve">Please enter all values for the residential grant in worksheet row 27.
</v>
      </c>
      <c r="G255" s="9" t="str">
        <f t="shared" ca="1" si="166"/>
        <v xml:space="preserve">Enter a value for 'Construction Loan Amount' in cell B3.
Enter a value for 'Construction Loan Rate' in cell B4.
Enter a value for 'Project Funded without Permanent Debt' in cell B5.
</v>
      </c>
    </row>
    <row r="256" spans="1:8" ht="15" customHeight="1">
      <c r="A256" s="52" t="str">
        <f t="shared" ca="1" si="172"/>
        <v/>
      </c>
      <c r="B256">
        <f>ROW(Financing!A28)</f>
        <v>28</v>
      </c>
      <c r="C256" s="52"/>
      <c r="D256" s="52" t="str">
        <f t="shared" si="173"/>
        <v>'Financing'!A28:B28</v>
      </c>
      <c r="E256" s="52">
        <f t="shared" ca="1" si="168"/>
        <v>0</v>
      </c>
      <c r="F256" s="52" t="str">
        <f t="shared" si="174"/>
        <v xml:space="preserve">Please enter all values for the residential grant in worksheet row 28.
</v>
      </c>
      <c r="G256" s="9" t="str">
        <f t="shared" ca="1" si="166"/>
        <v xml:space="preserve">Enter a value for 'Construction Loan Amount' in cell B3.
Enter a value for 'Construction Loan Rate' in cell B4.
Enter a value for 'Project Funded without Permanent Debt' in cell B5.
</v>
      </c>
    </row>
    <row r="257" spans="1:8" ht="15" customHeight="1">
      <c r="A257" s="52" t="str">
        <f t="shared" ca="1" si="172"/>
        <v/>
      </c>
      <c r="B257">
        <f>ROW(Financing!A29)</f>
        <v>29</v>
      </c>
      <c r="C257" s="52"/>
      <c r="D257" s="52" t="str">
        <f t="shared" si="173"/>
        <v>'Financing'!A29:B29</v>
      </c>
      <c r="E257" s="52">
        <f t="shared" ca="1" si="168"/>
        <v>0</v>
      </c>
      <c r="F257" s="52" t="str">
        <f t="shared" si="174"/>
        <v xml:space="preserve">Please enter all values for the residential grant in worksheet row 29.
</v>
      </c>
      <c r="G257" s="9" t="str">
        <f t="shared" ca="1" si="166"/>
        <v xml:space="preserve">Enter a value for 'Construction Loan Amount' in cell B3.
Enter a value for 'Construction Loan Rate' in cell B4.
Enter a value for 'Project Funded without Permanent Debt' in cell B5.
</v>
      </c>
    </row>
    <row r="258" spans="1:8" ht="15" customHeight="1">
      <c r="A258" s="52" t="str">
        <f t="shared" ca="1" si="172"/>
        <v/>
      </c>
      <c r="B258">
        <f>ROW(Financing!A30)</f>
        <v>30</v>
      </c>
      <c r="C258" s="52"/>
      <c r="D258" s="52" t="str">
        <f t="shared" si="173"/>
        <v>'Financing'!A30:B30</v>
      </c>
      <c r="E258" s="52">
        <f t="shared" ca="1" si="168"/>
        <v>0</v>
      </c>
      <c r="F258" s="52" t="str">
        <f t="shared" si="174"/>
        <v xml:space="preserve">Please enter all values for the residential grant in worksheet row 30.
</v>
      </c>
      <c r="G258" s="9" t="str">
        <f t="shared" ca="1" si="166"/>
        <v xml:space="preserve">Enter a value for 'Construction Loan Amount' in cell B3.
Enter a value for 'Construction Loan Rate' in cell B4.
Enter a value for 'Project Funded without Permanent Debt' in cell B5.
</v>
      </c>
    </row>
    <row r="259" spans="1:8" ht="15" customHeight="1">
      <c r="A259" s="52" t="str">
        <f t="shared" ca="1" si="172"/>
        <v/>
      </c>
      <c r="B259">
        <f>ROW(Financing!A31)</f>
        <v>31</v>
      </c>
      <c r="C259" s="52"/>
      <c r="D259" s="52" t="str">
        <f t="shared" si="173"/>
        <v>'Financing'!A31:B31</v>
      </c>
      <c r="E259" s="52">
        <f t="shared" ca="1" si="168"/>
        <v>0</v>
      </c>
      <c r="F259" s="52" t="str">
        <f t="shared" si="174"/>
        <v xml:space="preserve">Please enter all values for the residential grant in worksheet row 31.
</v>
      </c>
      <c r="G259" s="9" t="str">
        <f t="shared" ca="1" si="166"/>
        <v xml:space="preserve">Enter a value for 'Construction Loan Amount' in cell B3.
Enter a value for 'Construction Loan Rate' in cell B4.
Enter a value for 'Project Funded without Permanent Debt' in cell B5.
</v>
      </c>
    </row>
    <row r="260" spans="1:8" ht="15" customHeight="1">
      <c r="A260" s="52" t="str">
        <f t="shared" ca="1" si="172"/>
        <v/>
      </c>
      <c r="B260">
        <f>ROW(Financing!A32)</f>
        <v>32</v>
      </c>
      <c r="C260" s="52"/>
      <c r="D260" s="52" t="str">
        <f t="shared" si="173"/>
        <v>'Financing'!A32:B32</v>
      </c>
      <c r="E260" s="52">
        <f t="shared" ca="1" si="168"/>
        <v>0</v>
      </c>
      <c r="F260" s="52" t="str">
        <f t="shared" si="174"/>
        <v xml:space="preserve">Please enter all values for the residential grant in worksheet row 32.
</v>
      </c>
      <c r="G260" s="9" t="str">
        <f t="shared" ca="1" si="166"/>
        <v xml:space="preserve">Enter a value for 'Construction Loan Amount' in cell B3.
Enter a value for 'Construction Loan Rate' in cell B4.
Enter a value for 'Project Funded without Permanent Debt' in cell B5.
</v>
      </c>
    </row>
    <row r="261" spans="1:8" ht="15" customHeight="1">
      <c r="A261" s="52" t="str">
        <f t="shared" ca="1" si="172"/>
        <v/>
      </c>
      <c r="B261">
        <f>ROW(Financing!A33)</f>
        <v>33</v>
      </c>
      <c r="C261" s="52"/>
      <c r="D261" s="52" t="str">
        <f t="shared" si="173"/>
        <v>'Financing'!A33:B33</v>
      </c>
      <c r="E261" s="52">
        <f t="shared" ca="1" si="168"/>
        <v>0</v>
      </c>
      <c r="F261" s="52" t="str">
        <f t="shared" si="174"/>
        <v xml:space="preserve">Please enter all values for the residential grant in worksheet row 33.
</v>
      </c>
      <c r="G261" s="9" t="str">
        <f t="shared" ca="1" si="166"/>
        <v xml:space="preserve">Enter a value for 'Construction Loan Amount' in cell B3.
Enter a value for 'Construction Loan Rate' in cell B4.
Enter a value for 'Project Funded without Permanent Debt' in cell B5.
</v>
      </c>
    </row>
    <row r="262" spans="1:8" ht="15" customHeight="1">
      <c r="A262" t="str">
        <f ca="1">IF(E262="",F262, "")</f>
        <v/>
      </c>
      <c r="B262">
        <f>ROW(Financing!A38)</f>
        <v>38</v>
      </c>
      <c r="C262" t="str">
        <f ca="1">INDIRECT($F$240 &amp; ADDRESS(B262, 1,4  ))</f>
        <v>Deferred Developer Fee</v>
      </c>
      <c r="D262" t="str">
        <f>ADDRESS(B262, 2,4  )</f>
        <v>B38</v>
      </c>
      <c r="E262">
        <f ca="1">IF(ISBLANK( INDIRECT($F$240 &amp; D262)),"", INDIRECT($F$240 &amp; D262))</f>
        <v>0</v>
      </c>
      <c r="F262" t="str">
        <f ca="1">CONCATENATE("Enter a value for '", C262, "' in cell ", D262, ".", CHAR(10))</f>
        <v xml:space="preserve">Enter a value for 'Deferred Developer Fee' in cell B38.
</v>
      </c>
      <c r="G262" s="9" t="str">
        <f t="shared" ca="1" si="166"/>
        <v xml:space="preserve">Enter a value for 'Construction Loan Amount' in cell B3.
Enter a value for 'Construction Loan Rate' in cell B4.
Enter a value for 'Project Funded without Permanent Debt' in cell B5.
</v>
      </c>
    </row>
    <row r="263" spans="1:8" ht="15" customHeight="1">
      <c r="A263" t="str">
        <f ca="1">IF(E263="",F263, "")</f>
        <v/>
      </c>
      <c r="B263">
        <f>ROW(Financing!A39)</f>
        <v>39</v>
      </c>
      <c r="C263" t="str">
        <f ca="1">INDIRECT($F$240 &amp; ADDRESS(B263, 1,4  ))</f>
        <v>Other Owner Equity</v>
      </c>
      <c r="D263" t="str">
        <f>ADDRESS(B263, 2,4  )</f>
        <v>B39</v>
      </c>
      <c r="E263">
        <f ca="1">IF(ISBLANK( INDIRECT($F$240 &amp; D263)),"", INDIRECT($F$240 &amp; D263))</f>
        <v>0</v>
      </c>
      <c r="F263" t="str">
        <f ca="1">CONCATENATE("Enter a value for '", C263, "' in cell ", D263, ".", CHAR(10))</f>
        <v xml:space="preserve">Enter a value for 'Other Owner Equity' in cell B39.
</v>
      </c>
      <c r="G263" s="9" t="str">
        <f t="shared" ca="1" si="166"/>
        <v xml:space="preserve">Enter a value for 'Construction Loan Amount' in cell B3.
Enter a value for 'Construction Loan Rate' in cell B4.
Enter a value for 'Project Funded without Permanent Debt' in cell B5.
</v>
      </c>
    </row>
    <row r="264" spans="1:8" ht="15" customHeight="1">
      <c r="A264" t="str">
        <f ca="1">IF(E264="",F264, "")</f>
        <v/>
      </c>
      <c r="B264">
        <f>ROW(Financing!A40)</f>
        <v>40</v>
      </c>
      <c r="C264" t="str">
        <f ca="1">INDIRECT($F$240 &amp; ADDRESS(B264, 1,4  ))</f>
        <v>Additional Amount to cover GAP</v>
      </c>
      <c r="D264" t="str">
        <f>ADDRESS(B264, 2,4  )</f>
        <v>B40</v>
      </c>
      <c r="E264">
        <f ca="1">IF(ISBLANK( INDIRECT($F$240 &amp; D264)),"", INDIRECT($F$240 &amp; D264))</f>
        <v>0</v>
      </c>
      <c r="F264" t="str">
        <f ca="1">CONCATENATE("Enter a value for '", C264, "' in cell ", D264, ".", CHAR(10))</f>
        <v xml:space="preserve">Enter a value for 'Additional Amount to cover GAP' in cell B40.
</v>
      </c>
      <c r="G264" s="9" t="str">
        <f t="shared" ca="1" si="166"/>
        <v xml:space="preserve">Enter a value for 'Construction Loan Amount' in cell B3.
Enter a value for 'Construction Loan Rate' in cell B4.
Enter a value for 'Project Funded without Permanent Debt' in cell B5.
</v>
      </c>
    </row>
    <row r="265" spans="1:8" ht="15" customHeight="1">
      <c r="A265" s="52" t="str">
        <f ca="1">IF(AND(E265&gt;0,E265&lt;5), F265, "")</f>
        <v/>
      </c>
      <c r="B265">
        <f>ROW(Financing!A46)</f>
        <v>46</v>
      </c>
      <c r="C265" s="52"/>
      <c r="D265" s="52" t="str">
        <f>CONCATENATE($F$240,ADDRESS(B265,1,4),":",ADDRESS(B265,5,4))</f>
        <v>'Financing'!A46:E46</v>
      </c>
      <c r="E265" s="52">
        <f t="shared" ref="E265:E281" ca="1" si="175">SUMPRODUCT(ISTEXT(INDIRECT(D265)) + ISNUMBER(INDIRECT(D265)))</f>
        <v>0</v>
      </c>
      <c r="F265" s="52" t="str">
        <f t="shared" ref="F265:F273" si="176">CONCATENATE("Please enter all values for the ", H265, " in worksheet row ", B265, ".", CHAR(10))</f>
        <v xml:space="preserve">Please enter all values for the Commercial Loans (amortizing) in worksheet row 46.
</v>
      </c>
      <c r="G265" s="9" t="str">
        <f t="shared" ca="1" si="166"/>
        <v xml:space="preserve">Enter a value for 'Construction Loan Amount' in cell B3.
Enter a value for 'Construction Loan Rate' in cell B4.
Enter a value for 'Project Funded without Permanent Debt' in cell B5.
</v>
      </c>
      <c r="H265" t="str">
        <f>Financing!$A$44</f>
        <v>Commercial Loans (amortizing)</v>
      </c>
    </row>
    <row r="266" spans="1:8" ht="15" customHeight="1">
      <c r="A266" s="52" t="str">
        <f ca="1">IF(AND(E266&gt;0,E266&lt;5), F266, "")</f>
        <v/>
      </c>
      <c r="B266">
        <f>ROW(Financing!A47)</f>
        <v>47</v>
      </c>
      <c r="C266" s="52"/>
      <c r="D266" s="52" t="str">
        <f>CONCATENATE($F$240,ADDRESS(B266,1,4),":",ADDRESS(B266,5,4))</f>
        <v>'Financing'!A47:E47</v>
      </c>
      <c r="E266" s="52">
        <f t="shared" ca="1" si="175"/>
        <v>0</v>
      </c>
      <c r="F266" s="52" t="str">
        <f t="shared" si="176"/>
        <v xml:space="preserve">Please enter all values for the Commercial Loans (amortizing) in worksheet row 47.
</v>
      </c>
      <c r="G266" s="9" t="str">
        <f t="shared" ca="1" si="166"/>
        <v xml:space="preserve">Enter a value for 'Construction Loan Amount' in cell B3.
Enter a value for 'Construction Loan Rate' in cell B4.
Enter a value for 'Project Funded without Permanent Debt' in cell B5.
</v>
      </c>
      <c r="H266" t="str">
        <f>Financing!$A$44</f>
        <v>Commercial Loans (amortizing)</v>
      </c>
    </row>
    <row r="267" spans="1:8" ht="15" customHeight="1">
      <c r="A267" s="52" t="str">
        <f ca="1">IF(AND(E267&gt;0,E267&lt;5), F267, "")</f>
        <v/>
      </c>
      <c r="B267">
        <f>ROW(Financing!A48)</f>
        <v>48</v>
      </c>
      <c r="C267" s="52"/>
      <c r="D267" s="52" t="str">
        <f>CONCATENATE($F$240,ADDRESS(B267,1,4),":",ADDRESS(B267,5,4))</f>
        <v>'Financing'!A48:E48</v>
      </c>
      <c r="E267" s="52">
        <f t="shared" ca="1" si="175"/>
        <v>0</v>
      </c>
      <c r="F267" s="52" t="str">
        <f t="shared" si="176"/>
        <v xml:space="preserve">Please enter all values for the Commercial Loans (amortizing) in worksheet row 48.
</v>
      </c>
      <c r="G267" s="9" t="str">
        <f t="shared" ca="1" si="166"/>
        <v xml:space="preserve">Enter a value for 'Construction Loan Amount' in cell B3.
Enter a value for 'Construction Loan Rate' in cell B4.
Enter a value for 'Project Funded without Permanent Debt' in cell B5.
</v>
      </c>
      <c r="H267" t="str">
        <f>Financing!$A$44</f>
        <v>Commercial Loans (amortizing)</v>
      </c>
    </row>
    <row r="268" spans="1:8" ht="15" customHeight="1">
      <c r="A268" s="52" t="str">
        <f t="shared" ref="A268:A273" ca="1" si="177">IF(AND(E268&gt;0,E268&lt;4), F268, "")</f>
        <v/>
      </c>
      <c r="B268">
        <f>ROW(Financing!A53)</f>
        <v>53</v>
      </c>
      <c r="C268" s="52"/>
      <c r="D268" s="52" t="str">
        <f t="shared" ref="D268:D273" si="178">CONCATENATE($F$240,ADDRESS(B268,1,4),":",ADDRESS(B268,4,4))</f>
        <v>'Financing'!A53:D53</v>
      </c>
      <c r="E268" s="52">
        <f t="shared" ca="1" si="175"/>
        <v>0</v>
      </c>
      <c r="F268" s="52" t="str">
        <f t="shared" si="176"/>
        <v xml:space="preserve">Please enter all values for the Commercial Loans (cash flow only) in worksheet row 53.
</v>
      </c>
      <c r="G268" s="9" t="str">
        <f t="shared" ca="1" si="166"/>
        <v xml:space="preserve">Enter a value for 'Construction Loan Amount' in cell B3.
Enter a value for 'Construction Loan Rate' in cell B4.
Enter a value for 'Project Funded without Permanent Debt' in cell B5.
</v>
      </c>
      <c r="H268" t="str">
        <f>Financing!$A$51</f>
        <v>Commercial Loans (cash flow only)</v>
      </c>
    </row>
    <row r="269" spans="1:8" ht="15" customHeight="1">
      <c r="A269" s="52" t="str">
        <f t="shared" ca="1" si="177"/>
        <v/>
      </c>
      <c r="B269">
        <f>ROW(Financing!A54)</f>
        <v>54</v>
      </c>
      <c r="C269" s="52"/>
      <c r="D269" s="52" t="str">
        <f t="shared" si="178"/>
        <v>'Financing'!A54:D54</v>
      </c>
      <c r="E269" s="52">
        <f t="shared" ca="1" si="175"/>
        <v>0</v>
      </c>
      <c r="F269" s="52" t="str">
        <f t="shared" si="176"/>
        <v xml:space="preserve">Please enter all values for the Commercial Loans (cash flow only) in worksheet row 54.
</v>
      </c>
      <c r="G269" s="9" t="str">
        <f t="shared" ca="1" si="166"/>
        <v xml:space="preserve">Enter a value for 'Construction Loan Amount' in cell B3.
Enter a value for 'Construction Loan Rate' in cell B4.
Enter a value for 'Project Funded without Permanent Debt' in cell B5.
</v>
      </c>
      <c r="H269" t="str">
        <f>Financing!$A$51</f>
        <v>Commercial Loans (cash flow only)</v>
      </c>
    </row>
    <row r="270" spans="1:8" ht="15" customHeight="1">
      <c r="A270" s="52" t="str">
        <f t="shared" ca="1" si="177"/>
        <v/>
      </c>
      <c r="B270">
        <f>ROW(Financing!A55)</f>
        <v>55</v>
      </c>
      <c r="C270" s="52"/>
      <c r="D270" s="52" t="str">
        <f t="shared" si="178"/>
        <v>'Financing'!A55:D55</v>
      </c>
      <c r="E270" s="52">
        <f t="shared" ca="1" si="175"/>
        <v>0</v>
      </c>
      <c r="F270" s="52" t="str">
        <f t="shared" si="176"/>
        <v xml:space="preserve">Please enter all values for the Commercial Loans (cash flow only) in worksheet row 55.
</v>
      </c>
      <c r="G270" s="9" t="str">
        <f t="shared" ca="1" si="166"/>
        <v xml:space="preserve">Enter a value for 'Construction Loan Amount' in cell B3.
Enter a value for 'Construction Loan Rate' in cell B4.
Enter a value for 'Project Funded without Permanent Debt' in cell B5.
</v>
      </c>
      <c r="H270" t="str">
        <f>Financing!$A$51</f>
        <v>Commercial Loans (cash flow only)</v>
      </c>
    </row>
    <row r="271" spans="1:8" ht="15" customHeight="1">
      <c r="A271" s="52" t="str">
        <f t="shared" ca="1" si="177"/>
        <v/>
      </c>
      <c r="B271">
        <f>ROW(Financing!A56)</f>
        <v>56</v>
      </c>
      <c r="C271" s="52"/>
      <c r="D271" s="52" t="str">
        <f t="shared" si="178"/>
        <v>'Financing'!A56:D56</v>
      </c>
      <c r="E271" s="52">
        <f t="shared" ca="1" si="175"/>
        <v>0</v>
      </c>
      <c r="F271" s="52" t="str">
        <f t="shared" si="176"/>
        <v xml:space="preserve">Please enter all values for the Commercial Loans (cash flow only) in worksheet row 56.
</v>
      </c>
      <c r="G271" s="9" t="str">
        <f t="shared" ca="1" si="166"/>
        <v xml:space="preserve">Enter a value for 'Construction Loan Amount' in cell B3.
Enter a value for 'Construction Loan Rate' in cell B4.
Enter a value for 'Project Funded without Permanent Debt' in cell B5.
</v>
      </c>
      <c r="H271" t="str">
        <f>Financing!$A$51</f>
        <v>Commercial Loans (cash flow only)</v>
      </c>
    </row>
    <row r="272" spans="1:8" ht="15" customHeight="1">
      <c r="A272" s="52" t="str">
        <f t="shared" ca="1" si="177"/>
        <v/>
      </c>
      <c r="B272">
        <f>ROW(Financing!A57)</f>
        <v>57</v>
      </c>
      <c r="C272" s="52"/>
      <c r="D272" s="52" t="str">
        <f t="shared" si="178"/>
        <v>'Financing'!A57:D57</v>
      </c>
      <c r="E272" s="52">
        <f t="shared" ca="1" si="175"/>
        <v>0</v>
      </c>
      <c r="F272" s="52" t="str">
        <f t="shared" si="176"/>
        <v xml:space="preserve">Please enter all values for the Commercial Loans (cash flow only) in worksheet row 57.
</v>
      </c>
      <c r="G272" s="9" t="str">
        <f t="shared" ca="1" si="166"/>
        <v xml:space="preserve">Enter a value for 'Construction Loan Amount' in cell B3.
Enter a value for 'Construction Loan Rate' in cell B4.
Enter a value for 'Project Funded without Permanent Debt' in cell B5.
</v>
      </c>
      <c r="H272" t="str">
        <f>Financing!$A$51</f>
        <v>Commercial Loans (cash flow only)</v>
      </c>
    </row>
    <row r="273" spans="1:8" ht="15" customHeight="1">
      <c r="A273" s="52" t="str">
        <f t="shared" ca="1" si="177"/>
        <v/>
      </c>
      <c r="B273">
        <f>ROW(Financing!A58)</f>
        <v>58</v>
      </c>
      <c r="C273" s="52"/>
      <c r="D273" s="52" t="str">
        <f t="shared" si="178"/>
        <v>'Financing'!A58:D58</v>
      </c>
      <c r="E273" s="52">
        <f t="shared" ca="1" si="175"/>
        <v>0</v>
      </c>
      <c r="F273" s="52" t="str">
        <f t="shared" si="176"/>
        <v xml:space="preserve">Please enter all values for the Commercial Loans (cash flow only) in worksheet row 58.
</v>
      </c>
      <c r="G273" s="9" t="str">
        <f t="shared" ca="1" si="166"/>
        <v xml:space="preserve">Enter a value for 'Construction Loan Amount' in cell B3.
Enter a value for 'Construction Loan Rate' in cell B4.
Enter a value for 'Project Funded without Permanent Debt' in cell B5.
</v>
      </c>
      <c r="H273" t="str">
        <f>Financing!$A$51</f>
        <v>Commercial Loans (cash flow only)</v>
      </c>
    </row>
    <row r="274" spans="1:8" ht="15" customHeight="1">
      <c r="A274" s="52" t="str">
        <f t="shared" ref="A274:A281" ca="1" si="179">IF(AND(E274&gt;0,E274&lt;2), F274, "")</f>
        <v/>
      </c>
      <c r="B274">
        <f>ROW(Financing!A63)</f>
        <v>63</v>
      </c>
      <c r="C274" s="52"/>
      <c r="D274" s="52" t="str">
        <f t="shared" ref="D274:D281" si="180">CONCATENATE($F$240&amp;ADDRESS(B274,1,4)&amp;":"&amp;ADDRESS(B274,2,4))</f>
        <v>'Financing'!A63:B63</v>
      </c>
      <c r="E274" s="52">
        <f t="shared" ca="1" si="175"/>
        <v>0</v>
      </c>
      <c r="F274" s="52" t="str">
        <f t="shared" ref="F274:F281" si="181">CONCATENATE("Please enter all values for the commercial grant in worksheet row ", B274, ".", CHAR(10))</f>
        <v xml:space="preserve">Please enter all values for the commercial grant in worksheet row 63.
</v>
      </c>
      <c r="G274" s="9" t="str">
        <f t="shared" ca="1" si="166"/>
        <v xml:space="preserve">Enter a value for 'Construction Loan Amount' in cell B3.
Enter a value for 'Construction Loan Rate' in cell B4.
Enter a value for 'Project Funded without Permanent Debt' in cell B5.
</v>
      </c>
    </row>
    <row r="275" spans="1:8" ht="15" customHeight="1">
      <c r="A275" s="52" t="str">
        <f t="shared" ca="1" si="179"/>
        <v/>
      </c>
      <c r="B275">
        <f>ROW(Financing!A64)</f>
        <v>64</v>
      </c>
      <c r="C275" s="52"/>
      <c r="D275" s="52" t="str">
        <f t="shared" si="180"/>
        <v>'Financing'!A64:B64</v>
      </c>
      <c r="E275" s="52">
        <f t="shared" ca="1" si="175"/>
        <v>0</v>
      </c>
      <c r="F275" s="52" t="str">
        <f t="shared" si="181"/>
        <v xml:space="preserve">Please enter all values for the commercial grant in worksheet row 64.
</v>
      </c>
      <c r="G275" s="9" t="str">
        <f t="shared" ca="1" si="166"/>
        <v xml:space="preserve">Enter a value for 'Construction Loan Amount' in cell B3.
Enter a value for 'Construction Loan Rate' in cell B4.
Enter a value for 'Project Funded without Permanent Debt' in cell B5.
</v>
      </c>
    </row>
    <row r="276" spans="1:8" ht="15" customHeight="1">
      <c r="A276" s="52" t="str">
        <f t="shared" ca="1" si="179"/>
        <v/>
      </c>
      <c r="B276">
        <f>ROW(Financing!A65)</f>
        <v>65</v>
      </c>
      <c r="C276" s="52"/>
      <c r="D276" s="52" t="str">
        <f t="shared" si="180"/>
        <v>'Financing'!A65:B65</v>
      </c>
      <c r="E276" s="52">
        <f t="shared" ca="1" si="175"/>
        <v>0</v>
      </c>
      <c r="F276" s="52" t="str">
        <f t="shared" si="181"/>
        <v xml:space="preserve">Please enter all values for the commercial grant in worksheet row 65.
</v>
      </c>
      <c r="G276" s="9" t="str">
        <f t="shared" ca="1" si="166"/>
        <v xml:space="preserve">Enter a value for 'Construction Loan Amount' in cell B3.
Enter a value for 'Construction Loan Rate' in cell B4.
Enter a value for 'Project Funded without Permanent Debt' in cell B5.
</v>
      </c>
    </row>
    <row r="277" spans="1:8" ht="15" customHeight="1">
      <c r="A277" s="52" t="str">
        <f t="shared" ca="1" si="179"/>
        <v/>
      </c>
      <c r="B277">
        <f>ROW(Financing!A66)</f>
        <v>66</v>
      </c>
      <c r="C277" s="52"/>
      <c r="D277" s="52" t="str">
        <f t="shared" si="180"/>
        <v>'Financing'!A66:B66</v>
      </c>
      <c r="E277" s="52">
        <f t="shared" ca="1" si="175"/>
        <v>0</v>
      </c>
      <c r="F277" s="52" t="str">
        <f t="shared" si="181"/>
        <v xml:space="preserve">Please enter all values for the commercial grant in worksheet row 66.
</v>
      </c>
      <c r="G277" s="9" t="str">
        <f t="shared" ca="1" si="166"/>
        <v xml:space="preserve">Enter a value for 'Construction Loan Amount' in cell B3.
Enter a value for 'Construction Loan Rate' in cell B4.
Enter a value for 'Project Funded without Permanent Debt' in cell B5.
</v>
      </c>
    </row>
    <row r="278" spans="1:8" ht="15" customHeight="1">
      <c r="A278" s="52" t="str">
        <f t="shared" ca="1" si="179"/>
        <v/>
      </c>
      <c r="B278">
        <f>ROW(Financing!A67)</f>
        <v>67</v>
      </c>
      <c r="C278" s="52"/>
      <c r="D278" s="52" t="str">
        <f t="shared" si="180"/>
        <v>'Financing'!A67:B67</v>
      </c>
      <c r="E278" s="52">
        <f t="shared" ca="1" si="175"/>
        <v>0</v>
      </c>
      <c r="F278" s="52" t="str">
        <f t="shared" si="181"/>
        <v xml:space="preserve">Please enter all values for the commercial grant in worksheet row 67.
</v>
      </c>
      <c r="G278" s="9" t="str">
        <f t="shared" ca="1" si="166"/>
        <v xml:space="preserve">Enter a value for 'Construction Loan Amount' in cell B3.
Enter a value for 'Construction Loan Rate' in cell B4.
Enter a value for 'Project Funded without Permanent Debt' in cell B5.
</v>
      </c>
    </row>
    <row r="279" spans="1:8" ht="15" customHeight="1">
      <c r="A279" s="52" t="str">
        <f t="shared" ca="1" si="179"/>
        <v/>
      </c>
      <c r="B279">
        <f>ROW(Financing!A68)</f>
        <v>68</v>
      </c>
      <c r="C279" s="52"/>
      <c r="D279" s="52" t="str">
        <f t="shared" si="180"/>
        <v>'Financing'!A68:B68</v>
      </c>
      <c r="E279" s="52">
        <f t="shared" ca="1" si="175"/>
        <v>0</v>
      </c>
      <c r="F279" s="52" t="str">
        <f t="shared" si="181"/>
        <v xml:space="preserve">Please enter all values for the commercial grant in worksheet row 68.
</v>
      </c>
      <c r="G279" s="9" t="str">
        <f t="shared" ca="1" si="166"/>
        <v xml:space="preserve">Enter a value for 'Construction Loan Amount' in cell B3.
Enter a value for 'Construction Loan Rate' in cell B4.
Enter a value for 'Project Funded without Permanent Debt' in cell B5.
</v>
      </c>
    </row>
    <row r="280" spans="1:8" ht="15" customHeight="1">
      <c r="A280" s="52" t="str">
        <f t="shared" ca="1" si="179"/>
        <v/>
      </c>
      <c r="B280">
        <f>ROW(Financing!A69)</f>
        <v>69</v>
      </c>
      <c r="C280" s="52"/>
      <c r="D280" s="52" t="str">
        <f t="shared" si="180"/>
        <v>'Financing'!A69:B69</v>
      </c>
      <c r="E280" s="52">
        <f t="shared" ca="1" si="175"/>
        <v>0</v>
      </c>
      <c r="F280" s="52" t="str">
        <f t="shared" si="181"/>
        <v xml:space="preserve">Please enter all values for the commercial grant in worksheet row 69.
</v>
      </c>
      <c r="G280" s="9" t="str">
        <f t="shared" ca="1" si="166"/>
        <v xml:space="preserve">Enter a value for 'Construction Loan Amount' in cell B3.
Enter a value for 'Construction Loan Rate' in cell B4.
Enter a value for 'Project Funded without Permanent Debt' in cell B5.
</v>
      </c>
    </row>
    <row r="281" spans="1:8" ht="15" customHeight="1">
      <c r="A281" s="52" t="str">
        <f t="shared" ca="1" si="179"/>
        <v/>
      </c>
      <c r="B281">
        <f>ROW(Financing!A70)</f>
        <v>70</v>
      </c>
      <c r="C281" s="52"/>
      <c r="D281" s="52" t="str">
        <f t="shared" si="180"/>
        <v>'Financing'!A70:B70</v>
      </c>
      <c r="E281" s="52">
        <f t="shared" ca="1" si="175"/>
        <v>0</v>
      </c>
      <c r="F281" s="52" t="str">
        <f t="shared" si="181"/>
        <v xml:space="preserve">Please enter all values for the commercial grant in worksheet row 70.
</v>
      </c>
      <c r="G281" s="9" t="str">
        <f t="shared" ca="1" si="166"/>
        <v xml:space="preserve">Enter a value for 'Construction Loan Amount' in cell B3.
Enter a value for 'Construction Loan Rate' in cell B4.
Enter a value for 'Project Funded without Permanent Debt' in cell B5.
</v>
      </c>
    </row>
    <row r="282" spans="1:8" ht="15" customHeight="1">
      <c r="A282" t="str">
        <f ca="1">IF(E282="",F282, "")</f>
        <v/>
      </c>
      <c r="B282">
        <f>ROW(Financing!A76)</f>
        <v>76</v>
      </c>
      <c r="C282" t="str">
        <f ca="1">INDIRECT($F$240 &amp; ADDRESS(B282, 1,4  ))</f>
        <v>Other Owner Equity</v>
      </c>
      <c r="D282" t="str">
        <f>ADDRESS(B282, 2,4  )</f>
        <v>B76</v>
      </c>
      <c r="E282">
        <f ca="1">IF(ISBLANK( INDIRECT($F$240 &amp; D282)),"", INDIRECT($F$240 &amp; D282))</f>
        <v>0</v>
      </c>
      <c r="F282" t="str">
        <f ca="1">CONCATENATE("Enter a value for '", C282, "' in cell ", D282, ".", CHAR(10))</f>
        <v xml:space="preserve">Enter a value for 'Other Owner Equity' in cell B76.
</v>
      </c>
      <c r="G282" s="9" t="str">
        <f t="shared" ca="1" si="166"/>
        <v xml:space="preserve">Enter a value for 'Construction Loan Amount' in cell B3.
Enter a value for 'Construction Loan Rate' in cell B4.
Enter a value for 'Project Funded without Permanent Debt' in cell B5.
</v>
      </c>
    </row>
    <row r="283" spans="1:8" ht="15" customHeight="1">
      <c r="A283" s="52" t="str">
        <f>IF(E283&lt;= 0, F283, "")</f>
        <v xml:space="preserve">Total residential financing must be greater than 0.
</v>
      </c>
      <c r="E283" s="65">
        <f>Calculations!B138 + Calculations!B139</f>
        <v>0</v>
      </c>
      <c r="F283" s="52" t="str">
        <f>CONCATENATE("Total residential financing must be greater than 0.", CHAR(10))</f>
        <v xml:space="preserve">Total residential financing must be greater than 0.
</v>
      </c>
      <c r="G283" s="9" t="str">
        <f t="shared" ca="1" si="166"/>
        <v xml:space="preserve">Enter a value for 'Construction Loan Amount' in cell B3.
Enter a value for 'Construction Loan Rate' in cell B4.
Enter a value for 'Project Funded without Permanent Debt' in cell B5.
Total residential financing must be greater than 0.
</v>
      </c>
      <c r="H283" t="s">
        <v>3820</v>
      </c>
    </row>
    <row r="284" spans="1:8" ht="15" customHeight="1">
      <c r="A284" s="52" t="str">
        <f>IF(AND(Calculations!B25, E284&lt;= 0), F284, "")</f>
        <v/>
      </c>
      <c r="E284" s="65">
        <f>Calculations!B166</f>
        <v>0</v>
      </c>
      <c r="F284" s="52" t="str">
        <f>CONCATENATE("Total commercial financing must be greater than 0 for projects that contain commercial square footage.",CHAR(10))</f>
        <v xml:space="preserve">Total commercial financing must be greater than 0 for projects that contain commercial square footage.
</v>
      </c>
      <c r="G284" s="9" t="str">
        <f t="shared" ca="1" si="166"/>
        <v xml:space="preserve">Enter a value for 'Construction Loan Amount' in cell B3.
Enter a value for 'Construction Loan Rate' in cell B4.
Enter a value for 'Project Funded without Permanent Debt' in cell B5.
Total residential financing must be greater than 0.
</v>
      </c>
      <c r="H284" t="s">
        <v>3821</v>
      </c>
    </row>
    <row r="285" spans="1:8" ht="15" customHeight="1">
      <c r="G285" s="9" t="str">
        <f t="shared" ca="1" si="166"/>
        <v xml:space="preserve">Enter a value for 'Construction Loan Amount' in cell B3.
Enter a value for 'Construction Loan Rate' in cell B4.
Enter a value for 'Project Funded without Permanent Debt' in cell B5.
Total residential financing must be greater than 0.
</v>
      </c>
      <c r="H285" s="64" t="s">
        <v>3822</v>
      </c>
    </row>
    <row r="286" spans="1:8" ht="15" customHeight="1">
      <c r="G286" s="9" t="str">
        <f t="shared" ca="1" si="166"/>
        <v xml:space="preserve">Enter a value for 'Construction Loan Amount' in cell B3.
Enter a value for 'Construction Loan Rate' in cell B4.
Enter a value for 'Project Funded without Permanent Debt' in cell B5.
Total residential financing must be greater than 0.
</v>
      </c>
      <c r="H286" s="64" t="s">
        <v>3823</v>
      </c>
    </row>
    <row r="287" spans="1:8" ht="15" customHeight="1">
      <c r="G287" s="9" t="str">
        <f t="shared" ca="1" si="166"/>
        <v xml:space="preserve">Enter a value for 'Construction Loan Amount' in cell B3.
Enter a value for 'Construction Loan Rate' in cell B4.
Enter a value for 'Project Funded without Permanent Debt' in cell B5.
Total residential financing must be greater than 0.
</v>
      </c>
    </row>
    <row r="288" spans="1:8" ht="15" customHeight="1">
      <c r="G288" s="9" t="str">
        <f t="shared" ca="1" si="166"/>
        <v xml:space="preserve">Enter a value for 'Construction Loan Amount' in cell B3.
Enter a value for 'Construction Loan Rate' in cell B4.
Enter a value for 'Project Funded without Permanent Debt' in cell B5.
Total residential financing must be greater than 0.
</v>
      </c>
    </row>
    <row r="289" spans="1:19" ht="15" customHeight="1">
      <c r="A289" s="55" t="s">
        <v>3824</v>
      </c>
      <c r="B289" s="53"/>
      <c r="C289" s="53"/>
      <c r="D289" s="53"/>
      <c r="E289" s="53"/>
      <c r="F289" s="53"/>
      <c r="G289" s="56" t="str">
        <f ca="1">OFFSET(G289, -1, 0)</f>
        <v xml:space="preserve">Enter a value for 'Construction Loan Amount' in cell B3.
Enter a value for 'Construction Loan Rate' in cell B4.
Enter a value for 'Project Funded without Permanent Debt' in cell B5.
Total residential financing must be greater than 0.
</v>
      </c>
    </row>
    <row r="290" spans="1:19" ht="15" customHeight="1"/>
    <row r="291" spans="1:19" ht="15" customHeight="1"/>
    <row r="292" spans="1:19" ht="15" customHeight="1">
      <c r="A292" s="22" t="s">
        <v>93</v>
      </c>
      <c r="F292" s="49" t="s">
        <v>3825</v>
      </c>
    </row>
    <row r="293" spans="1:19" ht="15" customHeight="1">
      <c r="A293" s="53" t="s">
        <v>3792</v>
      </c>
      <c r="B293" s="53" t="s">
        <v>3793</v>
      </c>
      <c r="C293" s="53" t="s">
        <v>3794</v>
      </c>
      <c r="D293" s="53" t="s">
        <v>3795</v>
      </c>
      <c r="E293" s="53" t="s">
        <v>3796</v>
      </c>
      <c r="F293" s="53" t="s">
        <v>3797</v>
      </c>
      <c r="G293" s="54" t="s">
        <v>3798</v>
      </c>
    </row>
    <row r="294" spans="1:19" ht="15" customHeight="1">
      <c r="A294" s="52" t="str">
        <f>IF(E294&gt;0, F294, "")</f>
        <v/>
      </c>
      <c r="B294" s="52" t="s">
        <v>3826</v>
      </c>
      <c r="C294" s="52"/>
      <c r="D294" s="52"/>
      <c r="E294" s="52">
        <f>IFERROR(SUM(J294:S294), 0)</f>
        <v>0</v>
      </c>
      <c r="F294" s="52" t="str">
        <f>CONCATENATE("Formulas are not permitted in the Amount column (column B).", CHAR(10))</f>
        <v xml:space="preserve">Formulas are not permitted in the Amount column (column B).
</v>
      </c>
      <c r="G294" s="9" t="str">
        <f>A294</f>
        <v/>
      </c>
      <c r="H294" s="316" t="s">
        <v>3827</v>
      </c>
      <c r="I294" s="316" t="s">
        <v>3828</v>
      </c>
      <c r="J294">
        <f>SUMPRODUCT(--_xlfn.ISFORMULA('Development Budget'!B4:B6))</f>
        <v>0</v>
      </c>
      <c r="K294">
        <f>SUMPRODUCT(--_xlfn.ISFORMULA('Development Budget'!B9:B10))</f>
        <v>0</v>
      </c>
      <c r="L294">
        <f>SUMPRODUCT(--_xlfn.ISFORMULA('Development Budget'!B13:B26))</f>
        <v>0</v>
      </c>
      <c r="M294">
        <f>SUMPRODUCT(--_xlfn.ISFORMULA('Development Budget'!B29:B42))</f>
        <v>0</v>
      </c>
      <c r="N294">
        <f>SUMPRODUCT(--_xlfn.ISFORMULA('Development Budget'!B45:B62))</f>
        <v>0</v>
      </c>
      <c r="O294">
        <f>SUMPRODUCT(--_xlfn.ISFORMULA('Development Budget'!B65:B78))</f>
        <v>0</v>
      </c>
      <c r="P294">
        <f>SUMPRODUCT(--_xlfn.ISFORMULA('Development Budget'!B81:B97))</f>
        <v>0</v>
      </c>
      <c r="Q294">
        <f>SUMPRODUCT(--_xlfn.ISFORMULA('Development Budget'!B100:B105))</f>
        <v>0</v>
      </c>
      <c r="R294">
        <f>SUMPRODUCT(--_xlfn.ISFORMULA('Development Budget'!B108:B114))</f>
        <v>0</v>
      </c>
      <c r="S294">
        <f>SUMPRODUCT(--_xlfn.ISFORMULA('Development Budget'!B117:B122))</f>
        <v>0</v>
      </c>
    </row>
    <row r="295" spans="1:19" ht="15" customHeight="1">
      <c r="A295" s="52" t="str">
        <f>IF(E295&gt;0, F295, "")</f>
        <v/>
      </c>
      <c r="B295" s="52" t="s">
        <v>3829</v>
      </c>
      <c r="C295" s="52"/>
      <c r="D295" s="52"/>
      <c r="E295" s="52">
        <f t="shared" ref="E295:E298" si="182">IFERROR(SUM(J295:S295), 0)</f>
        <v>0</v>
      </c>
      <c r="F295" s="52" t="str">
        <f>CONCATENATE("Formulas are not permitted in the 4% LIHTC Basis Calculation column (column C).", CHAR(10))</f>
        <v xml:space="preserve">Formulas are not permitted in the 4% LIHTC Basis Calculation column (column C).
</v>
      </c>
      <c r="G295" s="9" t="str">
        <f t="shared" ref="G295:G356" ca="1" si="183">OFFSET(G295, -1, 0) &amp; A295</f>
        <v/>
      </c>
      <c r="H295" s="9"/>
      <c r="I295" s="9"/>
      <c r="J295">
        <f>SUMPRODUCT(--_xlfn.ISFORMULA('Development Budget'!C4:C6))</f>
        <v>0</v>
      </c>
      <c r="K295">
        <f>SUMPRODUCT(--_xlfn.ISFORMULA('Development Budget'!C9:C10))</f>
        <v>0</v>
      </c>
      <c r="L295">
        <f>SUMPRODUCT(--_xlfn.ISFORMULA('Development Budget'!C13:C26))</f>
        <v>0</v>
      </c>
      <c r="M295">
        <f>SUMPRODUCT(--_xlfn.ISFORMULA('Development Budget'!C29:C42))</f>
        <v>0</v>
      </c>
      <c r="N295">
        <f>SUMPRODUCT(--_xlfn.ISFORMULA('Development Budget'!C45:C62))</f>
        <v>0</v>
      </c>
      <c r="O295">
        <f>SUMPRODUCT(--_xlfn.ISFORMULA('Development Budget'!C65:C78))</f>
        <v>0</v>
      </c>
      <c r="P295">
        <f>SUMPRODUCT(--_xlfn.ISFORMULA('Development Budget'!C81:C97))</f>
        <v>0</v>
      </c>
      <c r="Q295">
        <f>SUMPRODUCT(--_xlfn.ISFORMULA('Development Budget'!C100:C105))</f>
        <v>0</v>
      </c>
      <c r="R295">
        <f>SUMPRODUCT(--_xlfn.ISFORMULA('Development Budget'!C108:C114))</f>
        <v>0</v>
      </c>
      <c r="S295">
        <f>SUMPRODUCT(--_xlfn.ISFORMULA('Development Budget'!C117:C122))</f>
        <v>0</v>
      </c>
    </row>
    <row r="296" spans="1:19" ht="15" customHeight="1">
      <c r="A296" s="52" t="str">
        <f>IF(E296&gt;0, F296, "")</f>
        <v/>
      </c>
      <c r="B296" s="52" t="s">
        <v>3830</v>
      </c>
      <c r="C296" s="52"/>
      <c r="D296" s="52"/>
      <c r="E296" s="52">
        <f t="shared" si="182"/>
        <v>0</v>
      </c>
      <c r="F296" s="52" t="str">
        <f>CONCATENATE("Formulas are not permitted in the 9% LIHTC Basis Calculation column (column D).", CHAR(10))</f>
        <v xml:space="preserve">Formulas are not permitted in the 9% LIHTC Basis Calculation column (column D).
</v>
      </c>
      <c r="G296" s="9" t="str">
        <f t="shared" ca="1" si="183"/>
        <v/>
      </c>
      <c r="H296" s="9"/>
      <c r="I296" s="9"/>
      <c r="J296">
        <f>SUMPRODUCT(--_xlfn.ISFORMULA('Development Budget'!D4:D6))</f>
        <v>0</v>
      </c>
      <c r="K296">
        <f>SUMPRODUCT(--_xlfn.ISFORMULA('Development Budget'!D9:D10))</f>
        <v>0</v>
      </c>
      <c r="L296">
        <f>SUMPRODUCT(--_xlfn.ISFORMULA('Development Budget'!D13:D26))</f>
        <v>0</v>
      </c>
      <c r="M296">
        <f>SUMPRODUCT(--_xlfn.ISFORMULA('Development Budget'!D29:D42))</f>
        <v>0</v>
      </c>
      <c r="N296">
        <f>SUMPRODUCT(--_xlfn.ISFORMULA('Development Budget'!D45:D62))</f>
        <v>0</v>
      </c>
      <c r="O296">
        <f>SUMPRODUCT(--_xlfn.ISFORMULA('Development Budget'!D65:D78))</f>
        <v>0</v>
      </c>
      <c r="P296">
        <f>SUMPRODUCT(--_xlfn.ISFORMULA('Development Budget'!D81:D97))</f>
        <v>0</v>
      </c>
      <c r="Q296">
        <f>SUMPRODUCT(--_xlfn.ISFORMULA('Development Budget'!D100:D105))</f>
        <v>0</v>
      </c>
      <c r="R296">
        <f>SUMPRODUCT(--_xlfn.ISFORMULA('Development Budget'!D108:D114))</f>
        <v>0</v>
      </c>
      <c r="S296">
        <f>SUMPRODUCT(--_xlfn.ISFORMULA('Development Budget'!D117:D122))</f>
        <v>0</v>
      </c>
    </row>
    <row r="297" spans="1:19" ht="15" customHeight="1">
      <c r="A297" s="52" t="str">
        <f>IF(E297&gt;0, F297, "")</f>
        <v/>
      </c>
      <c r="B297" s="52" t="s">
        <v>3831</v>
      </c>
      <c r="C297" s="52"/>
      <c r="D297" s="52"/>
      <c r="E297" s="52">
        <f t="shared" si="182"/>
        <v>0</v>
      </c>
      <c r="F297" s="52" t="str">
        <f>CONCATENATE("Formulas are not permitted in the Amount Last Provided to CHFA column (column E).", CHAR(10))</f>
        <v xml:space="preserve">Formulas are not permitted in the Amount Last Provided to CHFA column (column E).
</v>
      </c>
      <c r="G297" s="9" t="str">
        <f t="shared" ca="1" si="183"/>
        <v/>
      </c>
      <c r="H297" s="9"/>
      <c r="I297" s="9"/>
      <c r="J297">
        <f>SUMPRODUCT(--_xlfn.ISFORMULA('Development Budget'!E4:E6))</f>
        <v>0</v>
      </c>
      <c r="K297">
        <f>SUMPRODUCT(--_xlfn.ISFORMULA('Development Budget'!E9:E10))</f>
        <v>0</v>
      </c>
      <c r="L297">
        <f>SUMPRODUCT(--_xlfn.ISFORMULA('Development Budget'!E13:E26))</f>
        <v>0</v>
      </c>
      <c r="M297">
        <f>SUMPRODUCT(--_xlfn.ISFORMULA('Development Budget'!E29:E42))</f>
        <v>0</v>
      </c>
      <c r="N297">
        <f>SUMPRODUCT(--_xlfn.ISFORMULA('Development Budget'!E45:E62))</f>
        <v>0</v>
      </c>
      <c r="O297">
        <f>SUMPRODUCT(--_xlfn.ISFORMULA('Development Budget'!E65:E78))</f>
        <v>0</v>
      </c>
      <c r="P297">
        <f>SUMPRODUCT(--_xlfn.ISFORMULA('Development Budget'!E81:E97))</f>
        <v>0</v>
      </c>
      <c r="Q297">
        <f>SUMPRODUCT(--_xlfn.ISFORMULA('Development Budget'!E100:E105))</f>
        <v>0</v>
      </c>
      <c r="R297">
        <f>SUMPRODUCT(--_xlfn.ISFORMULA('Development Budget'!E108:E114))</f>
        <v>0</v>
      </c>
      <c r="S297">
        <f>SUMPRODUCT(--_xlfn.ISFORMULA('Development Budget'!E117:E122))</f>
        <v>0</v>
      </c>
    </row>
    <row r="298" spans="1:19" ht="15" customHeight="1">
      <c r="A298" s="52" t="str">
        <f>IF(E298&gt;0, F298, "")</f>
        <v/>
      </c>
      <c r="B298" s="52" t="s">
        <v>3832</v>
      </c>
      <c r="C298" s="52"/>
      <c r="D298" s="52"/>
      <c r="E298" s="52">
        <f t="shared" si="182"/>
        <v>0</v>
      </c>
      <c r="F298" s="52" t="str">
        <f>CONCATENATE("Formulas are not permitted in the 10% Carryover Actual Incurred Costs column (column F).", CHAR(10))</f>
        <v xml:space="preserve">Formulas are not permitted in the 10% Carryover Actual Incurred Costs column (column F).
</v>
      </c>
      <c r="G298" s="9" t="str">
        <f t="shared" ca="1" si="183"/>
        <v/>
      </c>
      <c r="H298" s="9"/>
      <c r="I298" s="9"/>
      <c r="J298">
        <f>SUMPRODUCT(--_xlfn.ISFORMULA('Development Budget'!F4:F6))</f>
        <v>0</v>
      </c>
      <c r="K298">
        <f>SUMPRODUCT(--_xlfn.ISFORMULA('Development Budget'!F9:F10))</f>
        <v>0</v>
      </c>
      <c r="L298">
        <f>SUMPRODUCT(--_xlfn.ISFORMULA('Development Budget'!F13:F26))</f>
        <v>0</v>
      </c>
      <c r="M298">
        <f>SUMPRODUCT(--_xlfn.ISFORMULA('Development Budget'!F29:F42))</f>
        <v>0</v>
      </c>
      <c r="N298">
        <f>SUMPRODUCT(--_xlfn.ISFORMULA('Development Budget'!F45:F62))</f>
        <v>0</v>
      </c>
      <c r="O298">
        <f>SUMPRODUCT(--_xlfn.ISFORMULA('Development Budget'!F65:F78))</f>
        <v>0</v>
      </c>
      <c r="P298">
        <f>SUMPRODUCT(--_xlfn.ISFORMULA('Development Budget'!F81:F97))</f>
        <v>0</v>
      </c>
      <c r="Q298">
        <f>SUMPRODUCT(--_xlfn.ISFORMULA('Development Budget'!F100:F105))</f>
        <v>0</v>
      </c>
      <c r="R298">
        <f>SUMPRODUCT(--_xlfn.ISFORMULA('Development Budget'!F108:F114))</f>
        <v>0</v>
      </c>
      <c r="S298">
        <f>SUMPRODUCT(--_xlfn.ISFORMULA('Development Budget'!F117:F122))</f>
        <v>0</v>
      </c>
    </row>
    <row r="299" spans="1:19" ht="15" customHeight="1">
      <c r="A299" s="52" t="str">
        <f>IF(E299=0, F299, "")</f>
        <v xml:space="preserve">The total of development budget in column B must be greater than zero.
</v>
      </c>
      <c r="B299" s="52">
        <f>ROW('Development Budget'!A4)</f>
        <v>4</v>
      </c>
      <c r="C299" s="52"/>
      <c r="D299" s="52" t="str">
        <f>SUBSTITUTE(ADDRESS(B299, COLUMN('Development Budget'!B4),4), B299, "")</f>
        <v>B</v>
      </c>
      <c r="E299" s="252">
        <f>Calculations!B292</f>
        <v>0</v>
      </c>
      <c r="F299" s="52" t="str">
        <f>CONCATENATE("The total of development budget in column ", D299, " must be greater than zero.", CHAR(10))</f>
        <v xml:space="preserve">The total of development budget in column B must be greater than zero.
</v>
      </c>
      <c r="G299" s="9" t="str">
        <f t="shared" ca="1" si="183"/>
        <v xml:space="preserve">The total of development budget in column B must be greater than zero.
</v>
      </c>
    </row>
    <row r="300" spans="1:19" ht="15" customHeight="1">
      <c r="A300" t="str">
        <f ca="1">IF(E300="", F300, "")</f>
        <v/>
      </c>
      <c r="B300">
        <f>ROW('Development Budget'!A4)</f>
        <v>4</v>
      </c>
      <c r="C300" t="str">
        <f ca="1">INDIRECT($F$292 &amp; ADDRESS(B300, 1,4  ))</f>
        <v>Land</v>
      </c>
      <c r="D300" t="str">
        <f>ADDRESS(B300, 2,4  )</f>
        <v>B4</v>
      </c>
      <c r="E300">
        <f t="shared" ref="E300:E329" ca="1" si="184">IF(ISBLANK( INDIRECT($F$292 &amp; D300)),"", INDIRECT($F$292 &amp; D300))</f>
        <v>0</v>
      </c>
      <c r="F300" t="str">
        <f ca="1">CONCATENATE("Enter a value for '", C300, "' in cell ", D300, ".", CHAR(10))</f>
        <v xml:space="preserve">Enter a value for 'Land' in cell B4.
</v>
      </c>
      <c r="G300" s="9" t="str">
        <f t="shared" ca="1" si="183"/>
        <v xml:space="preserve">The total of development budget in column B must be greater than zero.
</v>
      </c>
    </row>
    <row r="301" spans="1:19" ht="15" customHeight="1">
      <c r="A301" t="str">
        <f ca="1">IF(AND(OR(Calculations!$B$3:$B$4), E301=""), F301, "")</f>
        <v/>
      </c>
      <c r="B301" t="s">
        <v>461</v>
      </c>
      <c r="C301" t="str">
        <f ca="1">INDIRECT($F$292 &amp; ADDRESS(B300, 1,4  ))</f>
        <v>Land</v>
      </c>
      <c r="D301" t="str">
        <f>ADDRESS(B300, 5,4  )</f>
        <v>E4</v>
      </c>
      <c r="E301">
        <f t="shared" ca="1" si="184"/>
        <v>0</v>
      </c>
      <c r="F301" t="str">
        <f ca="1">CONCATENATE("Enter an 'Amount Last Provided to CHFA' value for '", C301, "' in cell ", D301, ".", CHAR(10))</f>
        <v xml:space="preserve">Enter an 'Amount Last Provided to CHFA' value for 'Land' in cell E4.
</v>
      </c>
      <c r="G301" s="9" t="str">
        <f t="shared" ca="1" si="183"/>
        <v xml:space="preserve">The total of development budget in column B must be greater than zero.
</v>
      </c>
    </row>
    <row r="302" spans="1:19" ht="15" customHeight="1">
      <c r="A302" t="str">
        <f ca="1">IF(AND(Calculations!$B$3, E302=""), F302, "")</f>
        <v/>
      </c>
      <c r="B302" t="s">
        <v>461</v>
      </c>
      <c r="C302" t="str">
        <f ca="1">INDIRECT($F$292 &amp; ADDRESS(B300, 1,4  ))</f>
        <v>Land</v>
      </c>
      <c r="D302" t="str">
        <f>ADDRESS(B300, 6,4  )</f>
        <v>F4</v>
      </c>
      <c r="E302">
        <f t="shared" ca="1" si="184"/>
        <v>0</v>
      </c>
      <c r="F302" t="str">
        <f ca="1">CONCATENATE("Enter a '10% Carryover Actual Incurred Costs' value for '", C302, "' in cell ", D302, ".", CHAR(10))</f>
        <v xml:space="preserve">Enter a '10% Carryover Actual Incurred Costs' value for 'Land' in cell F4.
</v>
      </c>
      <c r="G302" s="9" t="str">
        <f t="shared" ca="1" si="183"/>
        <v xml:space="preserve">The total of development budget in column B must be greater than zero.
</v>
      </c>
    </row>
    <row r="303" spans="1:19" ht="15" customHeight="1">
      <c r="A303" t="str">
        <f ca="1">IF(E303="", F303, "")</f>
        <v/>
      </c>
      <c r="B303" s="52">
        <f>B300+1</f>
        <v>5</v>
      </c>
      <c r="C303" t="str">
        <f ca="1">INDIRECT($F$292 &amp; ADDRESS(B303, 1,4  ))</f>
        <v>Existing Structures</v>
      </c>
      <c r="D303" t="str">
        <f>ADDRESS(B303, 2,4  )</f>
        <v>B5</v>
      </c>
      <c r="E303">
        <f t="shared" ca="1" si="184"/>
        <v>0</v>
      </c>
      <c r="F303" t="str">
        <f ca="1">CONCATENATE("Enter a value for '", C303, "' in cell ", D303, ".", CHAR(10))</f>
        <v xml:space="preserve">Enter a value for 'Existing Structures' in cell B5.
</v>
      </c>
      <c r="G303" s="9" t="str">
        <f t="shared" ca="1" si="183"/>
        <v xml:space="preserve">The total of development budget in column B must be greater than zero.
</v>
      </c>
    </row>
    <row r="304" spans="1:19" ht="15" customHeight="1">
      <c r="A304" t="str">
        <f ca="1">IF(AND(Calculations!$B$5, E304=""), F304, "")</f>
        <v/>
      </c>
      <c r="B304" t="s">
        <v>461</v>
      </c>
      <c r="C304" t="str">
        <f ca="1">INDIRECT($F$292 &amp; ADDRESS(B303, 1,4  ))</f>
        <v>Existing Structures</v>
      </c>
      <c r="D304" t="str">
        <f>ADDRESS(B303, 3,4  )</f>
        <v>C5</v>
      </c>
      <c r="E304">
        <f t="shared" ca="1" si="184"/>
        <v>0</v>
      </c>
      <c r="F304" t="str">
        <f ca="1">CONCATENATE("Enter an '4% LIHTC Basis Calculation' value for '", C304, "' in cell ", D304, ".", CHAR(10))</f>
        <v xml:space="preserve">Enter an '4% LIHTC Basis Calculation' value for 'Existing Structures' in cell C5.
</v>
      </c>
      <c r="G304" s="9" t="str">
        <f t="shared" ca="1" si="183"/>
        <v xml:space="preserve">The total of development budget in column B must be greater than zero.
</v>
      </c>
    </row>
    <row r="305" spans="1:7" ht="15" customHeight="1">
      <c r="A305" t="str">
        <f ca="1">IF(AND(OR(Calculations!$B$3:$B$4), E305=""), F305, "")</f>
        <v/>
      </c>
      <c r="B305" t="s">
        <v>461</v>
      </c>
      <c r="C305" t="str">
        <f ca="1">INDIRECT($F$292 &amp; ADDRESS(B303, 1,4  ))</f>
        <v>Existing Structures</v>
      </c>
      <c r="D305" t="str">
        <f>ADDRESS(B303, 5,4  )</f>
        <v>E5</v>
      </c>
      <c r="E305">
        <f t="shared" ca="1" si="184"/>
        <v>0</v>
      </c>
      <c r="F305" t="str">
        <f ca="1">CONCATENATE("Enter an 'Amount Last Provided to CHFA' value for '", C305, "' in cell ", D305, ".", CHAR(10))</f>
        <v xml:space="preserve">Enter an 'Amount Last Provided to CHFA' value for 'Existing Structures' in cell E5.
</v>
      </c>
      <c r="G305" s="9" t="str">
        <f t="shared" ca="1" si="183"/>
        <v xml:space="preserve">The total of development budget in column B must be greater than zero.
</v>
      </c>
    </row>
    <row r="306" spans="1:7" ht="15" customHeight="1">
      <c r="A306" t="str">
        <f ca="1">IF(AND(Calculations!$B$3, E306=""), F306, "")</f>
        <v/>
      </c>
      <c r="B306" t="s">
        <v>461</v>
      </c>
      <c r="C306" t="str">
        <f ca="1">INDIRECT($F$292 &amp; ADDRESS(B303, 1,4  ))</f>
        <v>Existing Structures</v>
      </c>
      <c r="D306" t="str">
        <f>ADDRESS(B303, 6,4  )</f>
        <v>F5</v>
      </c>
      <c r="E306">
        <f t="shared" ca="1" si="184"/>
        <v>0</v>
      </c>
      <c r="F306" t="str">
        <f ca="1">CONCATENATE("Enter a '10% Carryover Actual Incurred Costs' value for '", C306, "' in cell ", D306, ".", CHAR(10))</f>
        <v xml:space="preserve">Enter a '10% Carryover Actual Incurred Costs' value for 'Existing Structures' in cell F5.
</v>
      </c>
      <c r="G306" s="9" t="str">
        <f t="shared" ca="1" si="183"/>
        <v xml:space="preserve">The total of development budget in column B must be greater than zero.
</v>
      </c>
    </row>
    <row r="307" spans="1:7" ht="15" customHeight="1">
      <c r="A307" t="str">
        <f ca="1">IF(E307="", F307, "")</f>
        <v/>
      </c>
      <c r="B307" s="52">
        <f>B303+1</f>
        <v>6</v>
      </c>
      <c r="C307" t="str">
        <f ca="1">INDIRECT($F$292 &amp; ADDRESS(B307, 1,4  ))</f>
        <v>Demolition</v>
      </c>
      <c r="D307" t="str">
        <f>ADDRESS(B307, 2,4  )</f>
        <v>B6</v>
      </c>
      <c r="E307">
        <f t="shared" ca="1" si="184"/>
        <v>0</v>
      </c>
      <c r="F307" t="str">
        <f ca="1">CONCATENATE("Enter a value for '", C307, "' in cell ", D307, ".", CHAR(10))</f>
        <v xml:space="preserve">Enter a value for 'Demolition' in cell B6.
</v>
      </c>
      <c r="G307" s="9" t="str">
        <f t="shared" ca="1" si="183"/>
        <v xml:space="preserve">The total of development budget in column B must be greater than zero.
</v>
      </c>
    </row>
    <row r="308" spans="1:7" ht="15" customHeight="1">
      <c r="A308" t="str">
        <f ca="1">IF(AND(OR(Calculations!$B$3:$B$4), E308=""), F308, "")</f>
        <v/>
      </c>
      <c r="B308" t="s">
        <v>461</v>
      </c>
      <c r="C308" t="str">
        <f ca="1">INDIRECT($F$292 &amp; ADDRESS(B307, 1,4  ))</f>
        <v>Demolition</v>
      </c>
      <c r="D308" t="str">
        <f>ADDRESS(B307, 5,4  )</f>
        <v>E6</v>
      </c>
      <c r="E308">
        <f t="shared" ca="1" si="184"/>
        <v>0</v>
      </c>
      <c r="F308" t="str">
        <f ca="1">CONCATENATE("Enter an 'Amount Last Provided to CHFA' value for '", C308, "' in cell ", D308, ".", CHAR(10))</f>
        <v xml:space="preserve">Enter an 'Amount Last Provided to CHFA' value for 'Demolition' in cell E6.
</v>
      </c>
      <c r="G308" s="9" t="str">
        <f t="shared" ca="1" si="183"/>
        <v xml:space="preserve">The total of development budget in column B must be greater than zero.
</v>
      </c>
    </row>
    <row r="309" spans="1:7" ht="15" customHeight="1">
      <c r="A309" t="str">
        <f ca="1">IF(E309="", F309, "")</f>
        <v/>
      </c>
      <c r="B309">
        <f>ROW('Development Budget'!A9)</f>
        <v>9</v>
      </c>
      <c r="C309" t="str">
        <f ca="1">INDIRECT($F$292 &amp; ADDRESS(B309, 1,4  ))</f>
        <v>On Site Work</v>
      </c>
      <c r="D309" t="str">
        <f>ADDRESS(B309, 2,4  )</f>
        <v>B9</v>
      </c>
      <c r="E309">
        <f t="shared" ca="1" si="184"/>
        <v>0</v>
      </c>
      <c r="F309" t="str">
        <f ca="1">CONCATENATE("Enter a value for '", C309, "' in cell ", D309, ".", CHAR(10))</f>
        <v xml:space="preserve">Enter a value for 'On Site Work' in cell B9.
</v>
      </c>
      <c r="G309" s="9" t="str">
        <f t="shared" ca="1" si="183"/>
        <v xml:space="preserve">The total of development budget in column B must be greater than zero.
</v>
      </c>
    </row>
    <row r="310" spans="1:7" ht="15" customHeight="1">
      <c r="A310" t="str">
        <f ca="1">IF(AND(Calculations!$B$5, E310=""), F310, "")</f>
        <v/>
      </c>
      <c r="B310" t="s">
        <v>461</v>
      </c>
      <c r="C310" t="str">
        <f ca="1">INDIRECT($F$292 &amp; ADDRESS(B309, 1,4  ))</f>
        <v>On Site Work</v>
      </c>
      <c r="D310" t="str">
        <f>ADDRESS(B309, 3,4  )</f>
        <v>C9</v>
      </c>
      <c r="E310">
        <f t="shared" ca="1" si="184"/>
        <v>0</v>
      </c>
      <c r="F310" t="str">
        <f ca="1">CONCATENATE("Enter an '4% LIHTC Basis Calculation' value for '", C310, "' in cell ", D310, ".", CHAR(10))</f>
        <v xml:space="preserve">Enter an '4% LIHTC Basis Calculation' value for 'On Site Work' in cell C9.
</v>
      </c>
      <c r="G310" s="9" t="str">
        <f t="shared" ca="1" si="183"/>
        <v xml:space="preserve">The total of development budget in column B must be greater than zero.
</v>
      </c>
    </row>
    <row r="311" spans="1:7" ht="15" customHeight="1">
      <c r="A311" t="str">
        <f ca="1">IF(AND(Calculations!$B$6, E311=""), F311, "")</f>
        <v/>
      </c>
      <c r="B311" t="s">
        <v>461</v>
      </c>
      <c r="C311" t="str">
        <f ca="1">INDIRECT($F$292 &amp; ADDRESS(B309, 1,4  ))</f>
        <v>On Site Work</v>
      </c>
      <c r="D311" t="str">
        <f>ADDRESS(B309, 4,4  )</f>
        <v>D9</v>
      </c>
      <c r="E311">
        <f t="shared" ca="1" si="184"/>
        <v>0</v>
      </c>
      <c r="F311" t="str">
        <f ca="1">CONCATENATE("Enter an '9% LIHTC Basis Calculation' value for '", C311, "' in cell ", D311, ".", CHAR(10))</f>
        <v xml:space="preserve">Enter an '9% LIHTC Basis Calculation' value for 'On Site Work' in cell D9.
</v>
      </c>
      <c r="G311" s="9" t="str">
        <f t="shared" ca="1" si="183"/>
        <v xml:space="preserve">The total of development budget in column B must be greater than zero.
</v>
      </c>
    </row>
    <row r="312" spans="1:7" ht="15" customHeight="1">
      <c r="A312" t="str">
        <f ca="1">IF(AND(OR(Calculations!$B$3:$B$4), E312=""), F312, "")</f>
        <v/>
      </c>
      <c r="B312" t="s">
        <v>461</v>
      </c>
      <c r="C312" t="str">
        <f ca="1">INDIRECT($F$292 &amp; ADDRESS(B309, 1,4  ))</f>
        <v>On Site Work</v>
      </c>
      <c r="D312" t="str">
        <f>ADDRESS(B309, 5,4  )</f>
        <v>E9</v>
      </c>
      <c r="E312">
        <f t="shared" ca="1" si="184"/>
        <v>0</v>
      </c>
      <c r="F312" t="str">
        <f ca="1">CONCATENATE("Enter an 'Amount Last Provided to CHFA' value for '", C312, "' in cell ", D312, ".", CHAR(10))</f>
        <v xml:space="preserve">Enter an 'Amount Last Provided to CHFA' value for 'On Site Work' in cell E9.
</v>
      </c>
      <c r="G312" s="9" t="str">
        <f t="shared" ca="1" si="183"/>
        <v xml:space="preserve">The total of development budget in column B must be greater than zero.
</v>
      </c>
    </row>
    <row r="313" spans="1:7" ht="15" customHeight="1">
      <c r="A313" t="str">
        <f ca="1">IF(AND(Calculations!$B$3, E313=""), F313, "")</f>
        <v/>
      </c>
      <c r="B313" t="s">
        <v>461</v>
      </c>
      <c r="C313" t="str">
        <f ca="1">INDIRECT($F$292 &amp; ADDRESS(B309, 1,4  ))</f>
        <v>On Site Work</v>
      </c>
      <c r="D313" t="str">
        <f>ADDRESS(B309, 6,4  )</f>
        <v>F9</v>
      </c>
      <c r="E313">
        <f t="shared" ca="1" si="184"/>
        <v>0</v>
      </c>
      <c r="F313" t="str">
        <f ca="1">CONCATENATE("Enter a '10% Carryover Actual Incurred Costs' value for '", C313, "' in cell ", D313, ".", CHAR(10))</f>
        <v xml:space="preserve">Enter a '10% Carryover Actual Incurred Costs' value for 'On Site Work' in cell F9.
</v>
      </c>
      <c r="G313" s="9" t="str">
        <f t="shared" ca="1" si="183"/>
        <v xml:space="preserve">The total of development budget in column B must be greater than zero.
</v>
      </c>
    </row>
    <row r="314" spans="1:7" ht="15" customHeight="1">
      <c r="A314" t="str">
        <f ca="1">IF(E314="", F314, "")</f>
        <v/>
      </c>
      <c r="B314" s="52">
        <f>B309+1</f>
        <v>10</v>
      </c>
      <c r="C314" t="str">
        <f ca="1">INDIRECT($F$292 &amp; ADDRESS(B314, 1,4  ))</f>
        <v>Off Site Work</v>
      </c>
      <c r="D314" t="str">
        <f>ADDRESS(B314, 2,4  )</f>
        <v>B10</v>
      </c>
      <c r="E314">
        <f t="shared" ca="1" si="184"/>
        <v>0</v>
      </c>
      <c r="F314" t="str">
        <f ca="1">CONCATENATE("Enter a value for '", C314, "' in cell ", D314, ".", CHAR(10))</f>
        <v xml:space="preserve">Enter a value for 'Off Site Work' in cell B10.
</v>
      </c>
      <c r="G314" s="9" t="str">
        <f t="shared" ca="1" si="183"/>
        <v xml:space="preserve">The total of development budget in column B must be greater than zero.
</v>
      </c>
    </row>
    <row r="315" spans="1:7" ht="15" customHeight="1">
      <c r="A315" t="str">
        <f ca="1">IF(AND(OR(Calculations!$B$3:$B$4), E315=""), F315, "")</f>
        <v/>
      </c>
      <c r="B315" t="s">
        <v>461</v>
      </c>
      <c r="C315" t="str">
        <f ca="1">INDIRECT($F$292 &amp; ADDRESS(B314, 1,4  ))</f>
        <v>Off Site Work</v>
      </c>
      <c r="D315" t="str">
        <f>ADDRESS(B314, 5,4  )</f>
        <v>E10</v>
      </c>
      <c r="E315">
        <f t="shared" ca="1" si="184"/>
        <v>0</v>
      </c>
      <c r="F315" t="str">
        <f ca="1">CONCATENATE("Enter an 'Amount Last Provided to CHFA' value for '", C315, "' in cell ", D315, ".", CHAR(10))</f>
        <v xml:space="preserve">Enter an 'Amount Last Provided to CHFA' value for 'Off Site Work' in cell E10.
</v>
      </c>
      <c r="G315" s="9" t="str">
        <f t="shared" ca="1" si="183"/>
        <v xml:space="preserve">The total of development budget in column B must be greater than zero.
</v>
      </c>
    </row>
    <row r="316" spans="1:7" ht="15" customHeight="1">
      <c r="A316" t="str">
        <f ca="1">IF(E316="", F316, "")</f>
        <v/>
      </c>
      <c r="B316" s="52">
        <f>13</f>
        <v>13</v>
      </c>
      <c r="C316" t="str">
        <f ca="1">INDIRECT($F$292 &amp; ADDRESS(B316, 1,4  ))</f>
        <v>New Structures</v>
      </c>
      <c r="D316" t="str">
        <f>ADDRESS(B316, 2,4  )</f>
        <v>B13</v>
      </c>
      <c r="E316">
        <f t="shared" ca="1" si="184"/>
        <v>0</v>
      </c>
      <c r="F316" t="str">
        <f ca="1">CONCATENATE("Enter a value for '", C316, "' in cell ", D316, ".", CHAR(10))</f>
        <v xml:space="preserve">Enter a value for 'New Structures' in cell B13.
</v>
      </c>
      <c r="G316" s="9" t="str">
        <f t="shared" ca="1" si="183"/>
        <v xml:space="preserve">The total of development budget in column B must be greater than zero.
</v>
      </c>
    </row>
    <row r="317" spans="1:7" ht="15" customHeight="1">
      <c r="A317" t="str">
        <f ca="1">IF(AND(Calculations!$B$5, E317=""), F317, "")</f>
        <v/>
      </c>
      <c r="B317" t="s">
        <v>461</v>
      </c>
      <c r="C317" t="str">
        <f ca="1">INDIRECT($F$292 &amp; ADDRESS(B316, 1,4  ))</f>
        <v>New Structures</v>
      </c>
      <c r="D317" t="str">
        <f>ADDRESS(B316, 3,4  )</f>
        <v>C13</v>
      </c>
      <c r="E317">
        <f t="shared" ca="1" si="184"/>
        <v>0</v>
      </c>
      <c r="F317" t="str">
        <f ca="1">CONCATENATE("Enter an '4% LIHTC Basis Calculation' value for '", C317, "' in cell ", D317, ".", CHAR(10))</f>
        <v xml:space="preserve">Enter an '4% LIHTC Basis Calculation' value for 'New Structures' in cell C13.
</v>
      </c>
      <c r="G317" s="9" t="str">
        <f t="shared" ca="1" si="183"/>
        <v xml:space="preserve">The total of development budget in column B must be greater than zero.
</v>
      </c>
    </row>
    <row r="318" spans="1:7" ht="15" customHeight="1">
      <c r="A318" t="str">
        <f ca="1">IF(AND(Calculations!$B$6, E318=""), F318, "")</f>
        <v/>
      </c>
      <c r="B318" t="s">
        <v>461</v>
      </c>
      <c r="C318" t="str">
        <f ca="1">INDIRECT($F$292 &amp; ADDRESS(B316, 1,4  ))</f>
        <v>New Structures</v>
      </c>
      <c r="D318" t="str">
        <f>ADDRESS(B316, 4,4  )</f>
        <v>D13</v>
      </c>
      <c r="E318">
        <f t="shared" ca="1" si="184"/>
        <v>0</v>
      </c>
      <c r="F318" t="str">
        <f ca="1">CONCATENATE("Enter an '9% LIHTC Basis Calculation' value for '", C318, "' in cell ", D318, ".", CHAR(10))</f>
        <v xml:space="preserve">Enter an '9% LIHTC Basis Calculation' value for 'New Structures' in cell D13.
</v>
      </c>
      <c r="G318" s="9" t="str">
        <f t="shared" ca="1" si="183"/>
        <v xml:space="preserve">The total of development budget in column B must be greater than zero.
</v>
      </c>
    </row>
    <row r="319" spans="1:7" ht="15" customHeight="1">
      <c r="A319" t="str">
        <f ca="1">IF(AND(OR(Calculations!$B$3:$B$4), E319=""), F319, "")</f>
        <v/>
      </c>
      <c r="B319" t="s">
        <v>461</v>
      </c>
      <c r="C319" t="str">
        <f ca="1">INDIRECT($F$292 &amp; ADDRESS(B316, 1,4  ))</f>
        <v>New Structures</v>
      </c>
      <c r="D319" t="str">
        <f>ADDRESS(B316, 5,4  )</f>
        <v>E13</v>
      </c>
      <c r="E319">
        <f t="shared" ca="1" si="184"/>
        <v>0</v>
      </c>
      <c r="F319" t="str">
        <f ca="1">CONCATENATE("Enter an 'Amount Last Provided to CHFA' value for '", C319, "' in cell ", D319, ".", CHAR(10))</f>
        <v xml:space="preserve">Enter an 'Amount Last Provided to CHFA' value for 'New Structures' in cell E13.
</v>
      </c>
      <c r="G319" s="9" t="str">
        <f t="shared" ca="1" si="183"/>
        <v xml:space="preserve">The total of development budget in column B must be greater than zero.
</v>
      </c>
    </row>
    <row r="320" spans="1:7" ht="15" customHeight="1">
      <c r="A320" t="str">
        <f ca="1">IF(AND(Calculations!$B$3, E320=""), F320, "")</f>
        <v/>
      </c>
      <c r="B320" t="s">
        <v>461</v>
      </c>
      <c r="C320" t="str">
        <f ca="1">INDIRECT($F$292 &amp; ADDRESS(B316, 1,4  ))</f>
        <v>New Structures</v>
      </c>
      <c r="D320" t="str">
        <f>ADDRESS(B316, 6,4  )</f>
        <v>F13</v>
      </c>
      <c r="E320">
        <f t="shared" ca="1" si="184"/>
        <v>0</v>
      </c>
      <c r="F320" t="str">
        <f ca="1">CONCATENATE("Enter a '10% Carryover Actual Incurred Costs' value for '", C320, "' in cell ", D320, ".", CHAR(10))</f>
        <v xml:space="preserve">Enter a '10% Carryover Actual Incurred Costs' value for 'New Structures' in cell F13.
</v>
      </c>
      <c r="G320" s="9" t="str">
        <f t="shared" ca="1" si="183"/>
        <v xml:space="preserve">The total of development budget in column B must be greater than zero.
</v>
      </c>
    </row>
    <row r="321" spans="1:7" ht="15" customHeight="1">
      <c r="A321" t="str">
        <f ca="1">IF(E321="", F321, "")</f>
        <v/>
      </c>
      <c r="B321" s="52">
        <f>B316+1</f>
        <v>14</v>
      </c>
      <c r="C321" t="str">
        <f ca="1">INDIRECT($F$292 &amp; ADDRESS(B321, 1,4  ))</f>
        <v>Rehabilitation</v>
      </c>
      <c r="D321" t="str">
        <f>ADDRESS(B321, 2,4  )</f>
        <v>B14</v>
      </c>
      <c r="E321">
        <f t="shared" ca="1" si="184"/>
        <v>0</v>
      </c>
      <c r="F321" t="str">
        <f ca="1">CONCATENATE("Enter a value for '", C321, "' in cell ", D321, ".", CHAR(10))</f>
        <v xml:space="preserve">Enter a value for 'Rehabilitation' in cell B14.
</v>
      </c>
      <c r="G321" s="9" t="str">
        <f t="shared" ca="1" si="183"/>
        <v xml:space="preserve">The total of development budget in column B must be greater than zero.
</v>
      </c>
    </row>
    <row r="322" spans="1:7" ht="15" customHeight="1">
      <c r="A322" t="str">
        <f ca="1">IF(AND(Calculations!$B$5, E322=""), F322, "")</f>
        <v/>
      </c>
      <c r="B322" t="s">
        <v>461</v>
      </c>
      <c r="C322" t="str">
        <f ca="1">INDIRECT($F$292 &amp; ADDRESS(B321, 1,4  ))</f>
        <v>Rehabilitation</v>
      </c>
      <c r="D322" t="str">
        <f>ADDRESS(B321, 3,4  )</f>
        <v>C14</v>
      </c>
      <c r="E322">
        <f t="shared" ca="1" si="184"/>
        <v>0</v>
      </c>
      <c r="F322" t="str">
        <f ca="1">CONCATENATE("Enter an '4% LIHTC Basis Calculation' value for '", C322, "' in cell ", D322, ".", CHAR(10))</f>
        <v xml:space="preserve">Enter an '4% LIHTC Basis Calculation' value for 'Rehabilitation' in cell C14.
</v>
      </c>
      <c r="G322" s="9" t="str">
        <f t="shared" ca="1" si="183"/>
        <v xml:space="preserve">The total of development budget in column B must be greater than zero.
</v>
      </c>
    </row>
    <row r="323" spans="1:7" ht="15" customHeight="1">
      <c r="A323" t="str">
        <f ca="1">IF(AND(Calculations!$B$6, E323=""), F323, "")</f>
        <v/>
      </c>
      <c r="B323" t="s">
        <v>461</v>
      </c>
      <c r="C323" t="str">
        <f ca="1">INDIRECT($F$292 &amp; ADDRESS(B321, 1,4  ))</f>
        <v>Rehabilitation</v>
      </c>
      <c r="D323" t="str">
        <f>ADDRESS(B321, 4,4  )</f>
        <v>D14</v>
      </c>
      <c r="E323">
        <f t="shared" ca="1" si="184"/>
        <v>0</v>
      </c>
      <c r="F323" t="str">
        <f ca="1">CONCATENATE("Enter an '9% LIHTC Basis Calculation' value for '", C323, "' in cell ", D323, ".", CHAR(10))</f>
        <v xml:space="preserve">Enter an '9% LIHTC Basis Calculation' value for 'Rehabilitation' in cell D14.
</v>
      </c>
      <c r="G323" s="9" t="str">
        <f t="shared" ca="1" si="183"/>
        <v xml:space="preserve">The total of development budget in column B must be greater than zero.
</v>
      </c>
    </row>
    <row r="324" spans="1:7" ht="15" customHeight="1">
      <c r="A324" t="str">
        <f ca="1">IF(AND(OR(Calculations!$B$3:$B$4), E324=""), F324, "")</f>
        <v/>
      </c>
      <c r="B324" t="s">
        <v>461</v>
      </c>
      <c r="C324" t="str">
        <f ca="1">INDIRECT($F$292 &amp; ADDRESS(B321, 1,4  ))</f>
        <v>Rehabilitation</v>
      </c>
      <c r="D324" t="str">
        <f>ADDRESS(B321, 5,4  )</f>
        <v>E14</v>
      </c>
      <c r="E324">
        <f t="shared" ca="1" si="184"/>
        <v>0</v>
      </c>
      <c r="F324" t="str">
        <f ca="1">CONCATENATE("Enter an 'Amount Last Provided to CHFA' value for '", C324, "' in cell ", D324, ".", CHAR(10))</f>
        <v xml:space="preserve">Enter an 'Amount Last Provided to CHFA' value for 'Rehabilitation' in cell E14.
</v>
      </c>
      <c r="G324" s="9" t="str">
        <f t="shared" ca="1" si="183"/>
        <v xml:space="preserve">The total of development budget in column B must be greater than zero.
</v>
      </c>
    </row>
    <row r="325" spans="1:7" ht="15" customHeight="1">
      <c r="A325" t="str">
        <f ca="1">IF(AND(Calculations!$B$3, E325=""), F325, "")</f>
        <v/>
      </c>
      <c r="B325" t="s">
        <v>461</v>
      </c>
      <c r="C325" t="str">
        <f ca="1">INDIRECT($F$292 &amp; ADDRESS(B321, 1,4  ))</f>
        <v>Rehabilitation</v>
      </c>
      <c r="D325" t="str">
        <f>ADDRESS(B321, 6,4  )</f>
        <v>F14</v>
      </c>
      <c r="E325">
        <f t="shared" ca="1" si="184"/>
        <v>0</v>
      </c>
      <c r="F325" t="str">
        <f ca="1">CONCATENATE("Enter a '10% Carryover Actual Incurred Costs' value for '", C325, "' in cell ", D325, ".", CHAR(10))</f>
        <v xml:space="preserve">Enter a '10% Carryover Actual Incurred Costs' value for 'Rehabilitation' in cell F14.
</v>
      </c>
      <c r="G325" s="9" t="str">
        <f t="shared" ca="1" si="183"/>
        <v xml:space="preserve">The total of development budget in column B must be greater than zero.
</v>
      </c>
    </row>
    <row r="326" spans="1:7" ht="15" customHeight="1">
      <c r="A326" t="str">
        <f ca="1">IF(E326="", F326, "")</f>
        <v/>
      </c>
      <c r="B326" s="52">
        <f>B321+1</f>
        <v>15</v>
      </c>
      <c r="C326" t="str">
        <f ca="1">INDIRECT($F$292 &amp; ADDRESS(B326, 1,4  ))</f>
        <v>Accessory Structures (CSF, storage, garage(s))</v>
      </c>
      <c r="D326" t="str">
        <f>ADDRESS(B326, 2,4  )</f>
        <v>B15</v>
      </c>
      <c r="E326">
        <f t="shared" ca="1" si="184"/>
        <v>0</v>
      </c>
      <c r="F326" t="str">
        <f ca="1">CONCATENATE("Enter a value for '", C326, "' in cell ", D326, ".", CHAR(10))</f>
        <v xml:space="preserve">Enter a value for 'Accessory Structures (CSF, storage, garage(s))' in cell B15.
</v>
      </c>
      <c r="G326" s="9" t="str">
        <f t="shared" ca="1" si="183"/>
        <v xml:space="preserve">The total of development budget in column B must be greater than zero.
</v>
      </c>
    </row>
    <row r="327" spans="1:7" ht="15" customHeight="1">
      <c r="A327" t="str">
        <f ca="1">IF(AND(Calculations!$B$5, E327=""), F327, "")</f>
        <v/>
      </c>
      <c r="B327" t="s">
        <v>461</v>
      </c>
      <c r="C327" t="str">
        <f ca="1">INDIRECT($F$292 &amp; ADDRESS(B326, 1,4  ))</f>
        <v>Accessory Structures (CSF, storage, garage(s))</v>
      </c>
      <c r="D327" t="str">
        <f>ADDRESS(B326, 3,4  )</f>
        <v>C15</v>
      </c>
      <c r="E327">
        <f t="shared" ca="1" si="184"/>
        <v>0</v>
      </c>
      <c r="F327" t="str">
        <f ca="1">CONCATENATE("Enter an '4% LIHTC Basis Calculation' value for '", C327, "' in cell ", D327, ".", CHAR(10))</f>
        <v xml:space="preserve">Enter an '4% LIHTC Basis Calculation' value for 'Accessory Structures (CSF, storage, garage(s))' in cell C15.
</v>
      </c>
      <c r="G327" s="9" t="str">
        <f t="shared" ca="1" si="183"/>
        <v xml:space="preserve">The total of development budget in column B must be greater than zero.
</v>
      </c>
    </row>
    <row r="328" spans="1:7" ht="15" customHeight="1">
      <c r="A328" t="str">
        <f ca="1">IF(AND(Calculations!$B$6, E328=""), F328, "")</f>
        <v/>
      </c>
      <c r="B328" t="s">
        <v>461</v>
      </c>
      <c r="C328" t="str">
        <f ca="1">INDIRECT($F$292 &amp; ADDRESS(B326, 1,4  ))</f>
        <v>Accessory Structures (CSF, storage, garage(s))</v>
      </c>
      <c r="D328" t="str">
        <f>ADDRESS(B326, 4,4  )</f>
        <v>D15</v>
      </c>
      <c r="E328">
        <f t="shared" ca="1" si="184"/>
        <v>0</v>
      </c>
      <c r="F328" t="str">
        <f ca="1">CONCATENATE("Enter an '9% LIHTC Basis Calculation' value for '", C328, "' in cell ", D328, ".", CHAR(10))</f>
        <v xml:space="preserve">Enter an '9% LIHTC Basis Calculation' value for 'Accessory Structures (CSF, storage, garage(s))' in cell D15.
</v>
      </c>
      <c r="G328" s="9" t="str">
        <f t="shared" ca="1" si="183"/>
        <v xml:space="preserve">The total of development budget in column B must be greater than zero.
</v>
      </c>
    </row>
    <row r="329" spans="1:7" ht="15" customHeight="1">
      <c r="A329" t="str">
        <f ca="1">IF(AND(OR(Calculations!$B$3:$B$4), E329=""), F329, "")</f>
        <v/>
      </c>
      <c r="B329" t="s">
        <v>461</v>
      </c>
      <c r="C329" t="str">
        <f ca="1">INDIRECT($F$292 &amp; ADDRESS(B326, 1,4  ))</f>
        <v>Accessory Structures (CSF, storage, garage(s))</v>
      </c>
      <c r="D329" t="str">
        <f>ADDRESS(B326, 5,4  )</f>
        <v>E15</v>
      </c>
      <c r="E329">
        <f t="shared" ca="1" si="184"/>
        <v>0</v>
      </c>
      <c r="F329" t="str">
        <f ca="1">CONCATENATE("Enter an 'Amount Last Provided to CHFA' value for '", C329, "' in cell ", D329, ".", CHAR(10))</f>
        <v xml:space="preserve">Enter an 'Amount Last Provided to CHFA' value for 'Accessory Structures (CSF, storage, garage(s))' in cell E15.
</v>
      </c>
      <c r="G329" s="9" t="str">
        <f t="shared" ca="1" si="183"/>
        <v xml:space="preserve">The total of development budget in column B must be greater than zero.
</v>
      </c>
    </row>
    <row r="330" spans="1:7" ht="15" customHeight="1">
      <c r="A330" t="str">
        <f ca="1">IF(AND(Calculations!$B$3, E330=""), F330, "")</f>
        <v/>
      </c>
      <c r="B330" t="s">
        <v>461</v>
      </c>
      <c r="C330" t="str">
        <f ca="1">INDIRECT($F$292 &amp; ADDRESS(B326, 1,4  ))</f>
        <v>Accessory Structures (CSF, storage, garage(s))</v>
      </c>
      <c r="D330" t="str">
        <f>ADDRESS(B326, 6,4  )</f>
        <v>F15</v>
      </c>
      <c r="E330">
        <f t="shared" ref="E330:E361" ca="1" si="185">IF(ISBLANK( INDIRECT($F$292 &amp; D330)),"", INDIRECT($F$292 &amp; D330))</f>
        <v>0</v>
      </c>
      <c r="F330" t="str">
        <f ca="1">CONCATENATE("Enter a '10% Carryover Actual Incurred Costs' value for '", C330, "' in cell ", D330, ".", CHAR(10))</f>
        <v xml:space="preserve">Enter a '10% Carryover Actual Incurred Costs' value for 'Accessory Structures (CSF, storage, garage(s))' in cell F15.
</v>
      </c>
      <c r="G330" s="9" t="str">
        <f t="shared" ca="1" si="183"/>
        <v xml:space="preserve">The total of development budget in column B must be greater than zero.
</v>
      </c>
    </row>
    <row r="331" spans="1:7" ht="15" customHeight="1">
      <c r="A331" t="str">
        <f ca="1">IF(E331="", F331, "")</f>
        <v/>
      </c>
      <c r="B331" s="52">
        <f>B326+1</f>
        <v>16</v>
      </c>
      <c r="C331" t="str">
        <f ca="1">INDIRECT($F$292 &amp; ADDRESS(B331, 1,4  ))</f>
        <v>Green Systems (Solar, Geothermal, Other, etc.)</v>
      </c>
      <c r="D331" t="str">
        <f>ADDRESS(B331, 2,4  )</f>
        <v>B16</v>
      </c>
      <c r="E331">
        <f t="shared" ca="1" si="185"/>
        <v>0</v>
      </c>
      <c r="F331" t="str">
        <f ca="1">CONCATENATE("Enter a value for '", C331, "' in cell ", D331, ".", CHAR(10))</f>
        <v xml:space="preserve">Enter a value for 'Green Systems (Solar, Geothermal, Other, etc.)' in cell B16.
</v>
      </c>
      <c r="G331" s="9" t="str">
        <f t="shared" ca="1" si="183"/>
        <v xml:space="preserve">The total of development budget in column B must be greater than zero.
</v>
      </c>
    </row>
    <row r="332" spans="1:7" ht="15" customHeight="1">
      <c r="A332" t="str">
        <f ca="1">IF(AND(Calculations!$B$5, E332=""), F332, "")</f>
        <v/>
      </c>
      <c r="B332" t="s">
        <v>461</v>
      </c>
      <c r="C332" t="str">
        <f ca="1">INDIRECT($F$292 &amp; ADDRESS(B331, 1,4  ))</f>
        <v>Green Systems (Solar, Geothermal, Other, etc.)</v>
      </c>
      <c r="D332" t="str">
        <f>ADDRESS(B331, 3,4  )</f>
        <v>C16</v>
      </c>
      <c r="E332">
        <f t="shared" ca="1" si="185"/>
        <v>0</v>
      </c>
      <c r="F332" t="str">
        <f ca="1">CONCATENATE("Enter an '4% LIHTC Basis Calculation' value for '", C332, "' in cell ", D332, ".", CHAR(10))</f>
        <v xml:space="preserve">Enter an '4% LIHTC Basis Calculation' value for 'Green Systems (Solar, Geothermal, Other, etc.)' in cell C16.
</v>
      </c>
      <c r="G332" s="9" t="str">
        <f t="shared" ca="1" si="183"/>
        <v xml:space="preserve">The total of development budget in column B must be greater than zero.
</v>
      </c>
    </row>
    <row r="333" spans="1:7" ht="15" customHeight="1">
      <c r="A333" t="str">
        <f ca="1">IF(AND(Calculations!$B$6, E333=""), F333, "")</f>
        <v/>
      </c>
      <c r="B333" t="s">
        <v>461</v>
      </c>
      <c r="C333" t="str">
        <f ca="1">INDIRECT($F$292 &amp; ADDRESS(B331, 1,4  ))</f>
        <v>Green Systems (Solar, Geothermal, Other, etc.)</v>
      </c>
      <c r="D333" t="str">
        <f>ADDRESS(B331, 4,4  )</f>
        <v>D16</v>
      </c>
      <c r="E333">
        <f t="shared" ca="1" si="185"/>
        <v>0</v>
      </c>
      <c r="F333" t="str">
        <f ca="1">CONCATENATE("Enter an '9% LIHTC Basis Calculation' value for '", C333, "' in cell ", D333, ".", CHAR(10))</f>
        <v xml:space="preserve">Enter an '9% LIHTC Basis Calculation' value for 'Green Systems (Solar, Geothermal, Other, etc.)' in cell D16.
</v>
      </c>
      <c r="G333" s="9" t="str">
        <f t="shared" ca="1" si="183"/>
        <v xml:space="preserve">The total of development budget in column B must be greater than zero.
</v>
      </c>
    </row>
    <row r="334" spans="1:7" ht="15" customHeight="1">
      <c r="A334" t="str">
        <f ca="1">IF(AND(OR(Calculations!$B$3:$B$4), E334=""), F334, "")</f>
        <v/>
      </c>
      <c r="B334" t="s">
        <v>461</v>
      </c>
      <c r="C334" t="str">
        <f ca="1">INDIRECT($F$292 &amp; ADDRESS(B331, 1,4  ))</f>
        <v>Green Systems (Solar, Geothermal, Other, etc.)</v>
      </c>
      <c r="D334" t="str">
        <f>ADDRESS(B331, 5,4  )</f>
        <v>E16</v>
      </c>
      <c r="E334">
        <f t="shared" ca="1" si="185"/>
        <v>0</v>
      </c>
      <c r="F334" t="str">
        <f ca="1">CONCATENATE("Enter an 'Amount Last Provided to CHFA' value for '", C334, "' in cell ", D334, ".", CHAR(10))</f>
        <v xml:space="preserve">Enter an 'Amount Last Provided to CHFA' value for 'Green Systems (Solar, Geothermal, Other, etc.)' in cell E16.
</v>
      </c>
      <c r="G334" s="9" t="str">
        <f t="shared" ca="1" si="183"/>
        <v xml:space="preserve">The total of development budget in column B must be greater than zero.
</v>
      </c>
    </row>
    <row r="335" spans="1:7" ht="15" customHeight="1">
      <c r="A335" t="str">
        <f ca="1">IF(AND(Calculations!$B$3, E335=""), F335, "")</f>
        <v/>
      </c>
      <c r="B335" t="s">
        <v>461</v>
      </c>
      <c r="C335" t="str">
        <f ca="1">INDIRECT($F$292 &amp; ADDRESS(B331, 1,4  ))</f>
        <v>Green Systems (Solar, Geothermal, Other, etc.)</v>
      </c>
      <c r="D335" t="str">
        <f>ADDRESS(B331, 6,4  )</f>
        <v>F16</v>
      </c>
      <c r="E335">
        <f t="shared" ca="1" si="185"/>
        <v>0</v>
      </c>
      <c r="F335" t="str">
        <f ca="1">CONCATENATE("Enter a '10% Carryover Actual Incurred Costs' value for '", C335, "' in cell ", D335, ".", CHAR(10))</f>
        <v xml:space="preserve">Enter a '10% Carryover Actual Incurred Costs' value for 'Green Systems (Solar, Geothermal, Other, etc.)' in cell F16.
</v>
      </c>
      <c r="G335" s="9" t="str">
        <f t="shared" ca="1" si="183"/>
        <v xml:space="preserve">The total of development budget in column B must be greater than zero.
</v>
      </c>
    </row>
    <row r="336" spans="1:7" ht="15" customHeight="1">
      <c r="A336" t="str">
        <f ca="1">IF(E336="", F336, "")</f>
        <v/>
      </c>
      <c r="B336" s="52">
        <f>B331+1</f>
        <v>17</v>
      </c>
      <c r="C336" t="str">
        <f ca="1">INDIRECT($F$292 &amp; ADDRESS(B336, 1,4  ))</f>
        <v>General Requirements</v>
      </c>
      <c r="D336" t="str">
        <f>ADDRESS(B336, 2,4  )</f>
        <v>B17</v>
      </c>
      <c r="E336">
        <f t="shared" ca="1" si="185"/>
        <v>0</v>
      </c>
      <c r="F336" t="str">
        <f ca="1">CONCATENATE("Enter a value for '", C336, "' in cell ", D336, ".", CHAR(10))</f>
        <v xml:space="preserve">Enter a value for 'General Requirements' in cell B17.
</v>
      </c>
      <c r="G336" s="9" t="str">
        <f t="shared" ca="1" si="183"/>
        <v xml:space="preserve">The total of development budget in column B must be greater than zero.
</v>
      </c>
    </row>
    <row r="337" spans="1:7" ht="15" customHeight="1">
      <c r="A337" t="str">
        <f ca="1">IF(AND(Calculations!$B$5, E337=""), F337, "")</f>
        <v/>
      </c>
      <c r="B337" t="s">
        <v>461</v>
      </c>
      <c r="C337" t="str">
        <f ca="1">INDIRECT($F$292 &amp; ADDRESS(B336, 1,4  ))</f>
        <v>General Requirements</v>
      </c>
      <c r="D337" t="str">
        <f>ADDRESS(B336, 3,4  )</f>
        <v>C17</v>
      </c>
      <c r="E337">
        <f t="shared" ca="1" si="185"/>
        <v>0</v>
      </c>
      <c r="F337" t="str">
        <f ca="1">CONCATENATE("Enter an '4% LIHTC Basis Calculation' value for '", C337, "' in cell ", D337, ".", CHAR(10))</f>
        <v xml:space="preserve">Enter an '4% LIHTC Basis Calculation' value for 'General Requirements' in cell C17.
</v>
      </c>
      <c r="G337" s="9" t="str">
        <f t="shared" ca="1" si="183"/>
        <v xml:space="preserve">The total of development budget in column B must be greater than zero.
</v>
      </c>
    </row>
    <row r="338" spans="1:7" ht="15" customHeight="1">
      <c r="A338" t="str">
        <f ca="1">IF(AND(Calculations!$B$6, E338=""), F338, "")</f>
        <v/>
      </c>
      <c r="B338" t="s">
        <v>461</v>
      </c>
      <c r="C338" t="str">
        <f ca="1">INDIRECT($F$292 &amp; ADDRESS(B336, 1,4  ))</f>
        <v>General Requirements</v>
      </c>
      <c r="D338" t="str">
        <f>ADDRESS(B336, 4,4  )</f>
        <v>D17</v>
      </c>
      <c r="E338">
        <f t="shared" ca="1" si="185"/>
        <v>0</v>
      </c>
      <c r="F338" t="str">
        <f ca="1">CONCATENATE("Enter an '9% LIHTC Basis Calculation' value for '", C338, "' in cell ", D338, ".", CHAR(10))</f>
        <v xml:space="preserve">Enter an '9% LIHTC Basis Calculation' value for 'General Requirements' in cell D17.
</v>
      </c>
      <c r="G338" s="9" t="str">
        <f t="shared" ca="1" si="183"/>
        <v xml:space="preserve">The total of development budget in column B must be greater than zero.
</v>
      </c>
    </row>
    <row r="339" spans="1:7" ht="15" customHeight="1">
      <c r="A339" t="str">
        <f ca="1">IF(AND(OR(Calculations!$B$3:$B$4), E339=""), F339, "")</f>
        <v/>
      </c>
      <c r="B339" t="s">
        <v>461</v>
      </c>
      <c r="C339" t="str">
        <f ca="1">INDIRECT($F$292 &amp; ADDRESS(B336, 1,4  ))</f>
        <v>General Requirements</v>
      </c>
      <c r="D339" t="str">
        <f>ADDRESS(B336, 5,4  )</f>
        <v>E17</v>
      </c>
      <c r="E339">
        <f t="shared" ca="1" si="185"/>
        <v>0</v>
      </c>
      <c r="F339" t="str">
        <f ca="1">CONCATENATE("Enter an 'Amount Last Provided to CHFA' value for '", C339, "' in cell ", D339, ".", CHAR(10))</f>
        <v xml:space="preserve">Enter an 'Amount Last Provided to CHFA' value for 'General Requirements' in cell E17.
</v>
      </c>
      <c r="G339" s="9" t="str">
        <f t="shared" ca="1" si="183"/>
        <v xml:space="preserve">The total of development budget in column B must be greater than zero.
</v>
      </c>
    </row>
    <row r="340" spans="1:7" ht="15" customHeight="1">
      <c r="A340" t="str">
        <f ca="1">IF(AND(Calculations!$B$3, E340=""), F340, "")</f>
        <v/>
      </c>
      <c r="B340" t="s">
        <v>461</v>
      </c>
      <c r="C340" t="str">
        <f ca="1">INDIRECT($F$292 &amp; ADDRESS(B336, 1,4  ))</f>
        <v>General Requirements</v>
      </c>
      <c r="D340" t="str">
        <f>ADDRESS(B336, 6,4  )</f>
        <v>F17</v>
      </c>
      <c r="E340">
        <f t="shared" ca="1" si="185"/>
        <v>0</v>
      </c>
      <c r="F340" t="str">
        <f ca="1">CONCATENATE("Enter a '10% Carryover Actual Incurred Costs' value for '", C340, "' in cell ", D340, ".", CHAR(10))</f>
        <v xml:space="preserve">Enter a '10% Carryover Actual Incurred Costs' value for 'General Requirements' in cell F17.
</v>
      </c>
      <c r="G340" s="9" t="str">
        <f t="shared" ca="1" si="183"/>
        <v xml:space="preserve">The total of development budget in column B must be greater than zero.
</v>
      </c>
    </row>
    <row r="341" spans="1:7" ht="15" customHeight="1">
      <c r="A341" t="str">
        <f ca="1">IF(E341="", F341, "")</f>
        <v/>
      </c>
      <c r="B341" s="52">
        <f>B336+1</f>
        <v>18</v>
      </c>
      <c r="C341" t="str">
        <f ca="1">INDIRECT($F$292 &amp; ADDRESS(B341, 1,4  ))</f>
        <v>Contractor Overhead</v>
      </c>
      <c r="D341" t="str">
        <f>ADDRESS(B341, 2,4  )</f>
        <v>B18</v>
      </c>
      <c r="E341">
        <f t="shared" ca="1" si="185"/>
        <v>0</v>
      </c>
      <c r="F341" t="str">
        <f ca="1">CONCATENATE("Enter a value for '", C341, "' in cell ", D341, ".", CHAR(10))</f>
        <v xml:space="preserve">Enter a value for 'Contractor Overhead' in cell B18.
</v>
      </c>
      <c r="G341" s="9" t="str">
        <f t="shared" ca="1" si="183"/>
        <v xml:space="preserve">The total of development budget in column B must be greater than zero.
</v>
      </c>
    </row>
    <row r="342" spans="1:7" ht="15" customHeight="1">
      <c r="A342" t="str">
        <f ca="1">IF(AND(Calculations!$B$5, E342=""), F342, "")</f>
        <v/>
      </c>
      <c r="B342" t="s">
        <v>461</v>
      </c>
      <c r="C342" t="str">
        <f ca="1">INDIRECT($F$292 &amp; ADDRESS(B341, 1,4  ))</f>
        <v>Contractor Overhead</v>
      </c>
      <c r="D342" t="str">
        <f>ADDRESS(B341, 3,4  )</f>
        <v>C18</v>
      </c>
      <c r="E342">
        <f t="shared" ca="1" si="185"/>
        <v>0</v>
      </c>
      <c r="F342" t="str">
        <f ca="1">CONCATENATE("Enter an '4% LIHTC Basis Calculation' value for '", C342, "' in cell ", D342, ".", CHAR(10))</f>
        <v xml:space="preserve">Enter an '4% LIHTC Basis Calculation' value for 'Contractor Overhead' in cell C18.
</v>
      </c>
      <c r="G342" s="9" t="str">
        <f t="shared" ca="1" si="183"/>
        <v xml:space="preserve">The total of development budget in column B must be greater than zero.
</v>
      </c>
    </row>
    <row r="343" spans="1:7" ht="15" customHeight="1">
      <c r="A343" t="str">
        <f ca="1">IF(AND(Calculations!$B$6, E343=""), F343, "")</f>
        <v/>
      </c>
      <c r="B343" t="s">
        <v>461</v>
      </c>
      <c r="C343" t="str">
        <f ca="1">INDIRECT($F$292 &amp; ADDRESS(B341, 1,4  ))</f>
        <v>Contractor Overhead</v>
      </c>
      <c r="D343" t="str">
        <f>ADDRESS(B341, 4,4  )</f>
        <v>D18</v>
      </c>
      <c r="E343">
        <f t="shared" ca="1" si="185"/>
        <v>0</v>
      </c>
      <c r="F343" t="str">
        <f ca="1">CONCATENATE("Enter an '9% LIHTC Basis Calculation' value for '", C343, "' in cell ", D343, ".", CHAR(10))</f>
        <v xml:space="preserve">Enter an '9% LIHTC Basis Calculation' value for 'Contractor Overhead' in cell D18.
</v>
      </c>
      <c r="G343" s="9" t="str">
        <f t="shared" ca="1" si="183"/>
        <v xml:space="preserve">The total of development budget in column B must be greater than zero.
</v>
      </c>
    </row>
    <row r="344" spans="1:7" ht="15" customHeight="1">
      <c r="A344" t="str">
        <f ca="1">IF(AND(OR(Calculations!$B$3:$B$4), E344=""), F344, "")</f>
        <v/>
      </c>
      <c r="B344" t="s">
        <v>461</v>
      </c>
      <c r="C344" t="str">
        <f ca="1">INDIRECT($F$292 &amp; ADDRESS(B341, 1,4  ))</f>
        <v>Contractor Overhead</v>
      </c>
      <c r="D344" t="str">
        <f>ADDRESS(B341, 5,4  )</f>
        <v>E18</v>
      </c>
      <c r="E344">
        <f t="shared" ca="1" si="185"/>
        <v>0</v>
      </c>
      <c r="F344" t="str">
        <f ca="1">CONCATENATE("Enter an 'Amount Last Provided to CHFA' value for '", C344, "' in cell ", D344, ".", CHAR(10))</f>
        <v xml:space="preserve">Enter an 'Amount Last Provided to CHFA' value for 'Contractor Overhead' in cell E18.
</v>
      </c>
      <c r="G344" s="9" t="str">
        <f t="shared" ca="1" si="183"/>
        <v xml:space="preserve">The total of development budget in column B must be greater than zero.
</v>
      </c>
    </row>
    <row r="345" spans="1:7" ht="15" customHeight="1">
      <c r="A345" t="str">
        <f ca="1">IF(AND(Calculations!$B$3, E345=""), F345, "")</f>
        <v/>
      </c>
      <c r="B345" t="s">
        <v>461</v>
      </c>
      <c r="C345" t="str">
        <f ca="1">INDIRECT($F$292 &amp; ADDRESS(B341, 1,4  ))</f>
        <v>Contractor Overhead</v>
      </c>
      <c r="D345" t="str">
        <f>ADDRESS(B341, 6,4  )</f>
        <v>F18</v>
      </c>
      <c r="E345">
        <f t="shared" ca="1" si="185"/>
        <v>0</v>
      </c>
      <c r="F345" t="str">
        <f ca="1">CONCATENATE("Enter a '10% Carryover Actual Incurred Costs' value for '", C345, "' in cell ", D345, ".", CHAR(10))</f>
        <v xml:space="preserve">Enter a '10% Carryover Actual Incurred Costs' value for 'Contractor Overhead' in cell F18.
</v>
      </c>
      <c r="G345" s="9" t="str">
        <f t="shared" ca="1" si="183"/>
        <v xml:space="preserve">The total of development budget in column B must be greater than zero.
</v>
      </c>
    </row>
    <row r="346" spans="1:7" ht="15" customHeight="1">
      <c r="A346" t="str">
        <f ca="1">IF(E346="", F346, "")</f>
        <v/>
      </c>
      <c r="B346" s="52">
        <f>B341+1</f>
        <v>19</v>
      </c>
      <c r="C346" t="str">
        <f ca="1">INDIRECT($F$292 &amp; ADDRESS(B346, 1,4  ))</f>
        <v>Contractor Profit</v>
      </c>
      <c r="D346" t="str">
        <f>ADDRESS(B346, 2,4  )</f>
        <v>B19</v>
      </c>
      <c r="E346">
        <f t="shared" ca="1" si="185"/>
        <v>0</v>
      </c>
      <c r="F346" t="str">
        <f ca="1">CONCATENATE("Enter a value for '", C346, "' in cell ", D346, ".", CHAR(10))</f>
        <v xml:space="preserve">Enter a value for 'Contractor Profit' in cell B19.
</v>
      </c>
      <c r="G346" s="9" t="str">
        <f t="shared" ca="1" si="183"/>
        <v xml:space="preserve">The total of development budget in column B must be greater than zero.
</v>
      </c>
    </row>
    <row r="347" spans="1:7" ht="15" customHeight="1">
      <c r="A347" t="str">
        <f ca="1">IF(AND(Calculations!$B$5, E347=""), F347, "")</f>
        <v/>
      </c>
      <c r="B347" t="s">
        <v>461</v>
      </c>
      <c r="C347" t="str">
        <f ca="1">INDIRECT($F$292 &amp; ADDRESS(B346, 1,4  ))</f>
        <v>Contractor Profit</v>
      </c>
      <c r="D347" t="str">
        <f>ADDRESS(B346, 3,4  )</f>
        <v>C19</v>
      </c>
      <c r="E347">
        <f t="shared" ca="1" si="185"/>
        <v>0</v>
      </c>
      <c r="F347" t="str">
        <f ca="1">CONCATENATE("Enter an '4% LIHTC Basis Calculation' value for '", C347, "' in cell ", D347, ".", CHAR(10))</f>
        <v xml:space="preserve">Enter an '4% LIHTC Basis Calculation' value for 'Contractor Profit' in cell C19.
</v>
      </c>
      <c r="G347" s="9" t="str">
        <f t="shared" ca="1" si="183"/>
        <v xml:space="preserve">The total of development budget in column B must be greater than zero.
</v>
      </c>
    </row>
    <row r="348" spans="1:7" ht="15" customHeight="1">
      <c r="A348" t="str">
        <f ca="1">IF(AND(Calculations!$B$6, E348=""), F348, "")</f>
        <v/>
      </c>
      <c r="B348" t="s">
        <v>461</v>
      </c>
      <c r="C348" t="str">
        <f ca="1">INDIRECT($F$292 &amp; ADDRESS(B346, 1,4  ))</f>
        <v>Contractor Profit</v>
      </c>
      <c r="D348" t="str">
        <f>ADDRESS(B346, 4,4  )</f>
        <v>D19</v>
      </c>
      <c r="E348">
        <f t="shared" ca="1" si="185"/>
        <v>0</v>
      </c>
      <c r="F348" t="str">
        <f ca="1">CONCATENATE("Enter an '9% LIHTC Basis Calculation' value for '", C348, "' in cell ", D348, ".", CHAR(10))</f>
        <v xml:space="preserve">Enter an '9% LIHTC Basis Calculation' value for 'Contractor Profit' in cell D19.
</v>
      </c>
      <c r="G348" s="9" t="str">
        <f t="shared" ca="1" si="183"/>
        <v xml:space="preserve">The total of development budget in column B must be greater than zero.
</v>
      </c>
    </row>
    <row r="349" spans="1:7" ht="15" customHeight="1">
      <c r="A349" t="str">
        <f ca="1">IF(AND(OR(Calculations!$B$3:$B$4), E349=""), F349, "")</f>
        <v/>
      </c>
      <c r="B349" t="s">
        <v>461</v>
      </c>
      <c r="C349" t="str">
        <f ca="1">INDIRECT($F$292 &amp; ADDRESS(B346, 1,4  ))</f>
        <v>Contractor Profit</v>
      </c>
      <c r="D349" t="str">
        <f>ADDRESS(B346, 5,4  )</f>
        <v>E19</v>
      </c>
      <c r="E349">
        <f t="shared" ca="1" si="185"/>
        <v>0</v>
      </c>
      <c r="F349" t="str">
        <f ca="1">CONCATENATE("Enter an 'Amount Last Provided to CHFA' value for '", C349, "' in cell ", D349, ".", CHAR(10))</f>
        <v xml:space="preserve">Enter an 'Amount Last Provided to CHFA' value for 'Contractor Profit' in cell E19.
</v>
      </c>
      <c r="G349" s="9" t="str">
        <f t="shared" ca="1" si="183"/>
        <v xml:space="preserve">The total of development budget in column B must be greater than zero.
</v>
      </c>
    </row>
    <row r="350" spans="1:7" ht="15" customHeight="1">
      <c r="A350" t="str">
        <f ca="1">IF(AND(Calculations!$B$3, E350=""), F350, "")</f>
        <v/>
      </c>
      <c r="B350" t="s">
        <v>461</v>
      </c>
      <c r="C350" t="str">
        <f ca="1">INDIRECT($F$292 &amp; ADDRESS(B346, 1,4  ))</f>
        <v>Contractor Profit</v>
      </c>
      <c r="D350" t="str">
        <f>ADDRESS(B346, 6,4  )</f>
        <v>F19</v>
      </c>
      <c r="E350">
        <f t="shared" ca="1" si="185"/>
        <v>0</v>
      </c>
      <c r="F350" t="str">
        <f ca="1">CONCATENATE("Enter a '10% Carryover Actual Incurred Costs' value for '", C350, "' in cell ", D350, ".", CHAR(10))</f>
        <v xml:space="preserve">Enter a '10% Carryover Actual Incurred Costs' value for 'Contractor Profit' in cell F19.
</v>
      </c>
      <c r="G350" s="9" t="str">
        <f t="shared" ca="1" si="183"/>
        <v xml:space="preserve">The total of development budget in column B must be greater than zero.
</v>
      </c>
    </row>
    <row r="351" spans="1:7" ht="15" customHeight="1">
      <c r="A351" t="str">
        <f ca="1">IF(E351="", F351, "")</f>
        <v/>
      </c>
      <c r="B351" s="52">
        <f>B346+1</f>
        <v>20</v>
      </c>
      <c r="C351" t="str">
        <f ca="1">INDIRECT($F$292 &amp; ADDRESS(B351, 1,4  ))</f>
        <v>Contractor Construction Contingency</v>
      </c>
      <c r="D351" t="str">
        <f>ADDRESS(B351, 2,4  )</f>
        <v>B20</v>
      </c>
      <c r="E351">
        <f t="shared" ca="1" si="185"/>
        <v>0</v>
      </c>
      <c r="F351" t="str">
        <f ca="1">CONCATENATE("Enter a value for '", C351, "' in cell ", D351, ".", CHAR(10))</f>
        <v xml:space="preserve">Enter a value for 'Contractor Construction Contingency' in cell B20.
</v>
      </c>
      <c r="G351" s="9" t="str">
        <f t="shared" ca="1" si="183"/>
        <v xml:space="preserve">The total of development budget in column B must be greater than zero.
</v>
      </c>
    </row>
    <row r="352" spans="1:7" ht="15" customHeight="1">
      <c r="A352" t="str">
        <f ca="1">IF(AND(Calculations!$B$5, E352=""), F352, "")</f>
        <v/>
      </c>
      <c r="B352" t="s">
        <v>461</v>
      </c>
      <c r="C352" t="str">
        <f ca="1">INDIRECT($F$292 &amp; ADDRESS(B351, 1,4  ))</f>
        <v>Contractor Construction Contingency</v>
      </c>
      <c r="D352" t="str">
        <f>ADDRESS(B351, 3,4  )</f>
        <v>C20</v>
      </c>
      <c r="E352">
        <f t="shared" ca="1" si="185"/>
        <v>0</v>
      </c>
      <c r="F352" t="str">
        <f ca="1">CONCATENATE("Enter an '4% LIHTC Basis Calculation' value for '", C352, "' in cell ", D352, ".", CHAR(10))</f>
        <v xml:space="preserve">Enter an '4% LIHTC Basis Calculation' value for 'Contractor Construction Contingency' in cell C20.
</v>
      </c>
      <c r="G352" s="9" t="str">
        <f t="shared" ca="1" si="183"/>
        <v xml:space="preserve">The total of development budget in column B must be greater than zero.
</v>
      </c>
    </row>
    <row r="353" spans="1:8" ht="15" customHeight="1">
      <c r="A353" t="str">
        <f ca="1">IF(AND(Calculations!$B$6, E353=""), F353, "")</f>
        <v/>
      </c>
      <c r="B353" t="s">
        <v>461</v>
      </c>
      <c r="C353" t="str">
        <f ca="1">INDIRECT($F$292 &amp; ADDRESS(B351, 1,4  ))</f>
        <v>Contractor Construction Contingency</v>
      </c>
      <c r="D353" t="str">
        <f>ADDRESS(B351, 4,4  )</f>
        <v>D20</v>
      </c>
      <c r="E353">
        <f t="shared" ca="1" si="185"/>
        <v>0</v>
      </c>
      <c r="F353" t="str">
        <f ca="1">CONCATENATE("Enter an '9% LIHTC Basis Calculation' value for '", C353, "' in cell ", D353, ".", CHAR(10))</f>
        <v xml:space="preserve">Enter an '9% LIHTC Basis Calculation' value for 'Contractor Construction Contingency' in cell D20.
</v>
      </c>
      <c r="G353" s="9" t="str">
        <f t="shared" ca="1" si="183"/>
        <v xml:space="preserve">The total of development budget in column B must be greater than zero.
</v>
      </c>
    </row>
    <row r="354" spans="1:8" ht="15" customHeight="1">
      <c r="A354" t="str">
        <f ca="1">IF(AND(OR(Calculations!$B$3:$B$4), E354=""), F354, "")</f>
        <v/>
      </c>
      <c r="B354" t="s">
        <v>461</v>
      </c>
      <c r="C354" t="str">
        <f ca="1">INDIRECT($F$292 &amp; ADDRESS(B351, 1,4  ))</f>
        <v>Contractor Construction Contingency</v>
      </c>
      <c r="D354" t="str">
        <f>ADDRESS(B351, 5,4  )</f>
        <v>E20</v>
      </c>
      <c r="E354">
        <f t="shared" ca="1" si="185"/>
        <v>0</v>
      </c>
      <c r="F354" t="str">
        <f ca="1">CONCATENATE("Enter an 'Amount Last Provided to CHFA' value for '", C354, "' in cell ", D354, ".", CHAR(10))</f>
        <v xml:space="preserve">Enter an 'Amount Last Provided to CHFA' value for 'Contractor Construction Contingency' in cell E20.
</v>
      </c>
      <c r="G354" s="9" t="str">
        <f t="shared" ca="1" si="183"/>
        <v xml:space="preserve">The total of development budget in column B must be greater than zero.
</v>
      </c>
    </row>
    <row r="355" spans="1:8" ht="15" customHeight="1">
      <c r="A355" t="str">
        <f ca="1">IF(AND(Calculations!$B$3, E355=""), F355, "")</f>
        <v/>
      </c>
      <c r="B355" t="s">
        <v>461</v>
      </c>
      <c r="C355" t="str">
        <f ca="1">INDIRECT($F$292 &amp; ADDRESS(B351, 1,4  ))</f>
        <v>Contractor Construction Contingency</v>
      </c>
      <c r="D355" t="str">
        <f>ADDRESS(B351, 6,4  )</f>
        <v>F20</v>
      </c>
      <c r="E355">
        <f t="shared" ca="1" si="185"/>
        <v>0</v>
      </c>
      <c r="F355" t="str">
        <f ca="1">CONCATENATE("Enter a '10% Carryover Actual Incurred Costs' value for '", C355, "' in cell ", D355, ".", CHAR(10))</f>
        <v xml:space="preserve">Enter a '10% Carryover Actual Incurred Costs' value for 'Contractor Construction Contingency' in cell F20.
</v>
      </c>
      <c r="G355" s="9" t="str">
        <f t="shared" ca="1" si="183"/>
        <v xml:space="preserve">The total of development budget in column B must be greater than zero.
</v>
      </c>
    </row>
    <row r="356" spans="1:8" ht="15" customHeight="1">
      <c r="A356" t="str">
        <f ca="1">IF(E356="", F356, "")</f>
        <v/>
      </c>
      <c r="B356" s="52">
        <f>B351+1</f>
        <v>21</v>
      </c>
      <c r="C356" t="str">
        <f ca="1">INDIRECT($F$292 &amp; ADDRESS(B356, 1,4  ))</f>
        <v>Owner Hard Cost Contingency</v>
      </c>
      <c r="D356" t="str">
        <f>ADDRESS(B356, 2,4  )</f>
        <v>B21</v>
      </c>
      <c r="E356">
        <f t="shared" ca="1" si="185"/>
        <v>0</v>
      </c>
      <c r="F356" t="str">
        <f ca="1">CONCATENATE("Enter a value for '", C356, "' in cell ", D356, ".", CHAR(10))</f>
        <v xml:space="preserve">Enter a value for 'Owner Hard Cost Contingency' in cell B21.
</v>
      </c>
      <c r="G356" s="9" t="str">
        <f t="shared" ca="1" si="183"/>
        <v xml:space="preserve">The total of development budget in column B must be greater than zero.
</v>
      </c>
    </row>
    <row r="357" spans="1:8" ht="15" customHeight="1">
      <c r="A357" t="str">
        <f ca="1">IF(AND(Calculations!$B$5, E357=""), F357, "")</f>
        <v/>
      </c>
      <c r="B357" t="s">
        <v>461</v>
      </c>
      <c r="C357" t="str">
        <f ca="1">INDIRECT($F$292 &amp; ADDRESS(B356, 1,4  ))</f>
        <v>Owner Hard Cost Contingency</v>
      </c>
      <c r="D357" t="str">
        <f>ADDRESS(B356, 3,4  )</f>
        <v>C21</v>
      </c>
      <c r="E357">
        <f t="shared" ca="1" si="185"/>
        <v>0</v>
      </c>
      <c r="F357" t="str">
        <f ca="1">CONCATENATE("Enter an '4% LIHTC Basis Calculation' value for '", C357, "' in cell ", D357, ".", CHAR(10))</f>
        <v xml:space="preserve">Enter an '4% LIHTC Basis Calculation' value for 'Owner Hard Cost Contingency' in cell C21.
</v>
      </c>
      <c r="G357" s="9" t="str">
        <f t="shared" ref="G357:G420" ca="1" si="186">OFFSET(G357, -1, 0) &amp; A357</f>
        <v xml:space="preserve">The total of development budget in column B must be greater than zero.
</v>
      </c>
    </row>
    <row r="358" spans="1:8" ht="15" customHeight="1">
      <c r="A358" t="str">
        <f ca="1">IF(AND(Calculations!$B$6, E358=""), F358, "")</f>
        <v/>
      </c>
      <c r="B358" t="s">
        <v>461</v>
      </c>
      <c r="C358" t="str">
        <f ca="1">INDIRECT($F$292 &amp; ADDRESS(B356, 1,4  ))</f>
        <v>Owner Hard Cost Contingency</v>
      </c>
      <c r="D358" t="str">
        <f>ADDRESS(B356, 4,4  )</f>
        <v>D21</v>
      </c>
      <c r="E358">
        <f t="shared" ca="1" si="185"/>
        <v>0</v>
      </c>
      <c r="F358" t="str">
        <f ca="1">CONCATENATE("Enter an '9% LIHTC Basis Calculation' value for '", C358, "' in cell ", D358, ".", CHAR(10))</f>
        <v xml:space="preserve">Enter an '9% LIHTC Basis Calculation' value for 'Owner Hard Cost Contingency' in cell D21.
</v>
      </c>
      <c r="G358" s="9" t="str">
        <f t="shared" ca="1" si="186"/>
        <v xml:space="preserve">The total of development budget in column B must be greater than zero.
</v>
      </c>
    </row>
    <row r="359" spans="1:8" ht="15" customHeight="1">
      <c r="A359" t="str">
        <f ca="1">IF(AND(OR(Calculations!$B$3:$B$4), E359=""), F359, "")</f>
        <v/>
      </c>
      <c r="B359" t="s">
        <v>461</v>
      </c>
      <c r="C359" t="str">
        <f ca="1">INDIRECT($F$292 &amp; ADDRESS(B356, 1,4  ))</f>
        <v>Owner Hard Cost Contingency</v>
      </c>
      <c r="D359" t="str">
        <f>ADDRESS(B356, 5,4  )</f>
        <v>E21</v>
      </c>
      <c r="E359">
        <f t="shared" ca="1" si="185"/>
        <v>0</v>
      </c>
      <c r="F359" t="str">
        <f ca="1">CONCATENATE("Enter an 'Amount Last Provided to CHFA' value for '", C359, "' in cell ", D359, ".", CHAR(10))</f>
        <v xml:space="preserve">Enter an 'Amount Last Provided to CHFA' value for 'Owner Hard Cost Contingency' in cell E21.
</v>
      </c>
      <c r="G359" s="9" t="str">
        <f t="shared" ca="1" si="186"/>
        <v xml:space="preserve">The total of development budget in column B must be greater than zero.
</v>
      </c>
    </row>
    <row r="360" spans="1:8" ht="15" customHeight="1">
      <c r="A360" t="str">
        <f ca="1">IF(AND(Calculations!$B$3, E360=""), F360, "")</f>
        <v/>
      </c>
      <c r="B360" t="s">
        <v>461</v>
      </c>
      <c r="C360" t="str">
        <f ca="1">INDIRECT($F$292 &amp; ADDRESS(B356, 1,4  ))</f>
        <v>Owner Hard Cost Contingency</v>
      </c>
      <c r="D360" t="str">
        <f>ADDRESS(B356, 6,4  )</f>
        <v>F21</v>
      </c>
      <c r="E360">
        <f t="shared" ca="1" si="185"/>
        <v>0</v>
      </c>
      <c r="F360" t="str">
        <f ca="1">CONCATENATE("Enter a '10% Carryover Actual Incurred Costs' value for '", C360, "' in cell ", D360, ".", CHAR(10))</f>
        <v xml:space="preserve">Enter a '10% Carryover Actual Incurred Costs' value for 'Owner Hard Cost Contingency' in cell F21.
</v>
      </c>
      <c r="G360" s="9" t="str">
        <f t="shared" ca="1" si="186"/>
        <v xml:space="preserve">The total of development budget in column B must be greater than zero.
</v>
      </c>
    </row>
    <row r="361" spans="1:8" ht="15" customHeight="1">
      <c r="A361" t="str">
        <f ca="1">IF(E361="", F361, "")</f>
        <v/>
      </c>
      <c r="B361" s="52">
        <f>B356+1</f>
        <v>22</v>
      </c>
      <c r="C361" t="str">
        <f ca="1">INDIRECT($F$292 &amp; ADDRESS(B361, 1,4  ))</f>
        <v>Furniture, Fixtures, &amp; Equipment</v>
      </c>
      <c r="D361" t="str">
        <f>ADDRESS(B361, 2,4  )</f>
        <v>B22</v>
      </c>
      <c r="E361">
        <f t="shared" ca="1" si="185"/>
        <v>0</v>
      </c>
      <c r="F361" t="str">
        <f ca="1">CONCATENATE("Enter a value for '", C361, "' in cell ", D361, ".", CHAR(10))</f>
        <v xml:space="preserve">Enter a value for 'Furniture, Fixtures, &amp; Equipment' in cell B22.
</v>
      </c>
      <c r="G361" s="9" t="str">
        <f t="shared" ca="1" si="186"/>
        <v xml:space="preserve">The total of development budget in column B must be greater than zero.
</v>
      </c>
    </row>
    <row r="362" spans="1:8" ht="15" customHeight="1">
      <c r="A362" t="str">
        <f ca="1">IF(AND(Calculations!$B$5, E362=""), F362, "")</f>
        <v/>
      </c>
      <c r="B362" t="s">
        <v>461</v>
      </c>
      <c r="C362" t="str">
        <f ca="1">INDIRECT($F$292 &amp; ADDRESS(B361, 1,4  ))</f>
        <v>Furniture, Fixtures, &amp; Equipment</v>
      </c>
      <c r="D362" t="str">
        <f>ADDRESS(B361, 3,4  )</f>
        <v>C22</v>
      </c>
      <c r="E362">
        <f t="shared" ref="E362:E375" ca="1" si="187">IF(ISBLANK( INDIRECT($F$292 &amp; D362)),"", INDIRECT($F$292 &amp; D362))</f>
        <v>0</v>
      </c>
      <c r="F362" t="str">
        <f ca="1">CONCATENATE("Enter an '4% LIHTC Basis Calculation' value for '", C362, "' in cell ", D362, ".", CHAR(10))</f>
        <v xml:space="preserve">Enter an '4% LIHTC Basis Calculation' value for 'Furniture, Fixtures, &amp; Equipment' in cell C22.
</v>
      </c>
      <c r="G362" s="9" t="str">
        <f t="shared" ca="1" si="186"/>
        <v xml:space="preserve">The total of development budget in column B must be greater than zero.
</v>
      </c>
    </row>
    <row r="363" spans="1:8" ht="15" customHeight="1">
      <c r="A363" t="str">
        <f ca="1">IF(AND(Calculations!$B$6, E363=""), F363, "")</f>
        <v/>
      </c>
      <c r="B363" t="s">
        <v>461</v>
      </c>
      <c r="C363" t="str">
        <f ca="1">INDIRECT($F$292 &amp; ADDRESS(B361, 1,4  ))</f>
        <v>Furniture, Fixtures, &amp; Equipment</v>
      </c>
      <c r="D363" t="str">
        <f>ADDRESS(B361, 4,4  )</f>
        <v>D22</v>
      </c>
      <c r="E363">
        <f t="shared" ca="1" si="187"/>
        <v>0</v>
      </c>
      <c r="F363" t="str">
        <f ca="1">CONCATENATE("Enter an '9% LIHTC Basis Calculation' value for '", C363, "' in cell ", D363, ".", CHAR(10))</f>
        <v xml:space="preserve">Enter an '9% LIHTC Basis Calculation' value for 'Furniture, Fixtures, &amp; Equipment' in cell D22.
</v>
      </c>
      <c r="G363" s="9" t="str">
        <f t="shared" ca="1" si="186"/>
        <v xml:space="preserve">The total of development budget in column B must be greater than zero.
</v>
      </c>
    </row>
    <row r="364" spans="1:8" ht="15" customHeight="1">
      <c r="A364" t="str">
        <f ca="1">IF(AND(OR(Calculations!$B$3:$B$4), E364=""), F364, "")</f>
        <v/>
      </c>
      <c r="B364" t="s">
        <v>461</v>
      </c>
      <c r="C364" t="str">
        <f ca="1">INDIRECT($F$292 &amp; ADDRESS(B361, 1,4  ))</f>
        <v>Furniture, Fixtures, &amp; Equipment</v>
      </c>
      <c r="D364" t="str">
        <f>ADDRESS(B361, 5,4  )</f>
        <v>E22</v>
      </c>
      <c r="E364">
        <f t="shared" ca="1" si="187"/>
        <v>0</v>
      </c>
      <c r="F364" t="str">
        <f ca="1">CONCATENATE("Enter an 'Amount Last Provided to CHFA' value for '", C364, "' in cell ", D364, ".", CHAR(10))</f>
        <v xml:space="preserve">Enter an 'Amount Last Provided to CHFA' value for 'Furniture, Fixtures, &amp; Equipment' in cell E22.
</v>
      </c>
      <c r="G364" s="9" t="str">
        <f t="shared" ca="1" si="186"/>
        <v xml:space="preserve">The total of development budget in column B must be greater than zero.
</v>
      </c>
    </row>
    <row r="365" spans="1:8" ht="15" customHeight="1">
      <c r="A365" t="str">
        <f ca="1">IF(AND(Calculations!$B$3, E365=""), F365, "")</f>
        <v/>
      </c>
      <c r="B365" t="s">
        <v>461</v>
      </c>
      <c r="C365" t="str">
        <f ca="1">INDIRECT($F$292 &amp; ADDRESS(B361, 1,4  ))</f>
        <v>Furniture, Fixtures, &amp; Equipment</v>
      </c>
      <c r="D365" t="str">
        <f>ADDRESS(B361, 6,4  )</f>
        <v>F22</v>
      </c>
      <c r="E365">
        <f t="shared" ca="1" si="187"/>
        <v>0</v>
      </c>
      <c r="F365" t="str">
        <f ca="1">CONCATENATE("Enter a '10% Carryover Actual Incurred Costs' value for '", C365, "' in cell ", D365, ".", CHAR(10))</f>
        <v xml:space="preserve">Enter a '10% Carryover Actual Incurred Costs' value for 'Furniture, Fixtures, &amp; Equipment' in cell F22.
</v>
      </c>
      <c r="G365" s="9" t="str">
        <f t="shared" ca="1" si="186"/>
        <v xml:space="preserve">The total of development budget in column B must be greater than zero.
</v>
      </c>
    </row>
    <row r="366" spans="1:8" ht="15" customHeight="1">
      <c r="A366" t="str">
        <f ca="1">IF(E366="", F366, "")</f>
        <v/>
      </c>
      <c r="B366" s="52">
        <f>B361+1</f>
        <v>23</v>
      </c>
      <c r="C366" t="str">
        <f ca="1">INDIRECT($F$292 &amp; ADDRESS(B366, 1,4  ))</f>
        <v>Building Permits</v>
      </c>
      <c r="D366" t="str">
        <f>ADDRESS(B366, 2,4  )</f>
        <v>B23</v>
      </c>
      <c r="E366">
        <f t="shared" ca="1" si="187"/>
        <v>0</v>
      </c>
      <c r="F366" t="str">
        <f ca="1">CONCATENATE("Enter a value for '", C366, "' in cell ", D366, ".", CHAR(10))</f>
        <v xml:space="preserve">Enter a value for 'Building Permits' in cell B23.
</v>
      </c>
      <c r="G366" s="9" t="str">
        <f t="shared" ca="1" si="186"/>
        <v xml:space="preserve">The total of development budget in column B must be greater than zero.
</v>
      </c>
      <c r="H366" t="s">
        <v>3833</v>
      </c>
    </row>
    <row r="367" spans="1:8" ht="15" customHeight="1">
      <c r="A367" t="str">
        <f ca="1">IF(AND(Calculations!$B$5, E367=""), F367, "")</f>
        <v/>
      </c>
      <c r="B367" t="s">
        <v>461</v>
      </c>
      <c r="C367" t="str">
        <f ca="1">INDIRECT($F$292 &amp; ADDRESS(B366, 1,4  ))</f>
        <v>Building Permits</v>
      </c>
      <c r="D367" t="str">
        <f>ADDRESS(B366, 3,4  )</f>
        <v>C23</v>
      </c>
      <c r="E367">
        <f t="shared" ca="1" si="187"/>
        <v>0</v>
      </c>
      <c r="F367" t="str">
        <f ca="1">CONCATENATE("Enter an '4% LIHTC Basis Calculation' value for '", C367, "' in cell ", D367, ".", CHAR(10))</f>
        <v xml:space="preserve">Enter an '4% LIHTC Basis Calculation' value for 'Building Permits' in cell C23.
</v>
      </c>
      <c r="G367" s="9" t="str">
        <f t="shared" ca="1" si="186"/>
        <v xml:space="preserve">The total of development budget in column B must be greater than zero.
</v>
      </c>
    </row>
    <row r="368" spans="1:8" ht="15" customHeight="1">
      <c r="A368" t="str">
        <f ca="1">IF(AND(Calculations!$B$6, E368=""), F368, "")</f>
        <v/>
      </c>
      <c r="B368" t="s">
        <v>461</v>
      </c>
      <c r="C368" t="str">
        <f ca="1">INDIRECT($F$292 &amp; ADDRESS(B366, 1,4  ))</f>
        <v>Building Permits</v>
      </c>
      <c r="D368" t="str">
        <f>ADDRESS(B366, 4,4  )</f>
        <v>D23</v>
      </c>
      <c r="E368">
        <f t="shared" ca="1" si="187"/>
        <v>0</v>
      </c>
      <c r="F368" t="str">
        <f ca="1">CONCATENATE("Enter an '9% LIHTC Basis Calculation' value for '", C368, "' in cell ", D368, ".", CHAR(10))</f>
        <v xml:space="preserve">Enter an '9% LIHTC Basis Calculation' value for 'Building Permits' in cell D23.
</v>
      </c>
      <c r="G368" s="9" t="str">
        <f t="shared" ca="1" si="186"/>
        <v xml:space="preserve">The total of development budget in column B must be greater than zero.
</v>
      </c>
    </row>
    <row r="369" spans="1:7" ht="15" customHeight="1">
      <c r="A369" t="str">
        <f ca="1">IF(AND(OR(Calculations!$B$3:$B$4), E369=""), F369, "")</f>
        <v/>
      </c>
      <c r="B369" t="s">
        <v>461</v>
      </c>
      <c r="C369" t="str">
        <f ca="1">INDIRECT($F$292 &amp; ADDRESS(B366, 1,4  ))</f>
        <v>Building Permits</v>
      </c>
      <c r="D369" t="str">
        <f>ADDRESS(B366, 5,4  )</f>
        <v>E23</v>
      </c>
      <c r="E369">
        <f t="shared" ca="1" si="187"/>
        <v>0</v>
      </c>
      <c r="F369" t="str">
        <f ca="1">CONCATENATE("Enter an 'Amount Last Provided to CHFA' value for '", C369, "' in cell ", D369, ".", CHAR(10))</f>
        <v xml:space="preserve">Enter an 'Amount Last Provided to CHFA' value for 'Building Permits' in cell E23.
</v>
      </c>
      <c r="G369" s="9" t="str">
        <f t="shared" ca="1" si="186"/>
        <v xml:space="preserve">The total of development budget in column B must be greater than zero.
</v>
      </c>
    </row>
    <row r="370" spans="1:7" ht="15" customHeight="1">
      <c r="A370" t="str">
        <f ca="1">IF(AND(Calculations!$B$3, E370=""), F370, "")</f>
        <v/>
      </c>
      <c r="B370" t="s">
        <v>461</v>
      </c>
      <c r="C370" t="str">
        <f ca="1">INDIRECT($F$292 &amp; ADDRESS(B366, 1,4  ))</f>
        <v>Building Permits</v>
      </c>
      <c r="D370" t="str">
        <f>ADDRESS(B366, 6,4  )</f>
        <v>F23</v>
      </c>
      <c r="E370">
        <f t="shared" ca="1" si="187"/>
        <v>0</v>
      </c>
      <c r="F370" t="str">
        <f ca="1">CONCATENATE("Enter a '10% Carryover Actual Incurred Costs' value for '", C370, "' in cell ", D370, ".", CHAR(10))</f>
        <v xml:space="preserve">Enter a '10% Carryover Actual Incurred Costs' value for 'Building Permits' in cell F23.
</v>
      </c>
      <c r="G370" s="9" t="str">
        <f t="shared" ca="1" si="186"/>
        <v xml:space="preserve">The total of development budget in column B must be greater than zero.
</v>
      </c>
    </row>
    <row r="371" spans="1:7" ht="15" customHeight="1">
      <c r="A371" t="str">
        <f ca="1">IF(E371="", F371, "")</f>
        <v/>
      </c>
      <c r="B371" s="52">
        <f>B366+1</f>
        <v>24</v>
      </c>
      <c r="C371" t="str">
        <f ca="1">INDIRECT($F$292 &amp; ADDRESS(B371, 1,4  ))</f>
        <v>Other (Specify)</v>
      </c>
      <c r="D371" t="str">
        <f>ADDRESS(B371, 2,4  )</f>
        <v>B24</v>
      </c>
      <c r="E371">
        <f t="shared" ca="1" si="187"/>
        <v>0</v>
      </c>
      <c r="F371" t="str">
        <f ca="1">CONCATENATE("Enter a value for '", C371, "' in cell ", D371, ".", CHAR(10))</f>
        <v xml:space="preserve">Enter a value for 'Other (Specify)' in cell B24.
</v>
      </c>
      <c r="G371" s="9" t="str">
        <f t="shared" ca="1" si="186"/>
        <v xml:space="preserve">The total of development budget in column B must be greater than zero.
</v>
      </c>
    </row>
    <row r="372" spans="1:7" ht="15" customHeight="1">
      <c r="A372" t="str">
        <f ca="1">IF(AND(Calculations!$B$5, E372=""), F372, "")</f>
        <v/>
      </c>
      <c r="B372" t="s">
        <v>461</v>
      </c>
      <c r="C372" t="str">
        <f ca="1">INDIRECT($F$292 &amp; ADDRESS(B371, 1,4  ))</f>
        <v>Other (Specify)</v>
      </c>
      <c r="D372" t="str">
        <f>ADDRESS(B371, 3,4  )</f>
        <v>C24</v>
      </c>
      <c r="E372">
        <f t="shared" ca="1" si="187"/>
        <v>0</v>
      </c>
      <c r="F372" t="str">
        <f ca="1">CONCATENATE("Enter an '4% LIHTC Basis Calculation' value for '", C372, "' in cell ", D372, ".", CHAR(10))</f>
        <v xml:space="preserve">Enter an '4% LIHTC Basis Calculation' value for 'Other (Specify)' in cell C24.
</v>
      </c>
      <c r="G372" s="9" t="str">
        <f t="shared" ca="1" si="186"/>
        <v xml:space="preserve">The total of development budget in column B must be greater than zero.
</v>
      </c>
    </row>
    <row r="373" spans="1:7" ht="15" customHeight="1">
      <c r="A373" t="str">
        <f ca="1">IF(AND(Calculations!$B$6, E373=""), F373, "")</f>
        <v/>
      </c>
      <c r="B373" t="s">
        <v>461</v>
      </c>
      <c r="C373" t="str">
        <f ca="1">INDIRECT($F$292 &amp; ADDRESS(B371, 1,4  ))</f>
        <v>Other (Specify)</v>
      </c>
      <c r="D373" t="str">
        <f>ADDRESS(B371, 4,4  )</f>
        <v>D24</v>
      </c>
      <c r="E373">
        <f t="shared" ca="1" si="187"/>
        <v>0</v>
      </c>
      <c r="F373" t="str">
        <f ca="1">CONCATENATE("Enter an '9% LIHTC Basis Calculation' value for '", C373, "' in cell ", D373, ".", CHAR(10))</f>
        <v xml:space="preserve">Enter an '9% LIHTC Basis Calculation' value for 'Other (Specify)' in cell D24.
</v>
      </c>
      <c r="G373" s="9" t="str">
        <f t="shared" ca="1" si="186"/>
        <v xml:space="preserve">The total of development budget in column B must be greater than zero.
</v>
      </c>
    </row>
    <row r="374" spans="1:7" ht="15" customHeight="1">
      <c r="A374" t="str">
        <f ca="1">IF(AND(OR(Calculations!$B$3:$B$4), E374=""), F374, "")</f>
        <v/>
      </c>
      <c r="B374" t="s">
        <v>461</v>
      </c>
      <c r="C374" t="str">
        <f ca="1">INDIRECT($F$292 &amp; ADDRESS(B371, 1,4  ))</f>
        <v>Other (Specify)</v>
      </c>
      <c r="D374" t="str">
        <f>ADDRESS(B371, 5,4  )</f>
        <v>E24</v>
      </c>
      <c r="E374">
        <f t="shared" ca="1" si="187"/>
        <v>0</v>
      </c>
      <c r="F374" t="str">
        <f ca="1">CONCATENATE("Enter an 'Amount Last Provided to CHFA' value for '", C374, "' in cell ", D374, ".", CHAR(10))</f>
        <v xml:space="preserve">Enter an 'Amount Last Provided to CHFA' value for 'Other (Specify)' in cell E24.
</v>
      </c>
      <c r="G374" s="9" t="str">
        <f t="shared" ca="1" si="186"/>
        <v xml:space="preserve">The total of development budget in column B must be greater than zero.
</v>
      </c>
    </row>
    <row r="375" spans="1:7" ht="15" customHeight="1">
      <c r="A375" t="str">
        <f ca="1">IF(AND(Calculations!$B$3, E375=""), F375, "")</f>
        <v/>
      </c>
      <c r="B375" t="s">
        <v>461</v>
      </c>
      <c r="C375" t="str">
        <f ca="1">INDIRECT($F$292 &amp; ADDRESS(B371, 1,4  ))</f>
        <v>Other (Specify)</v>
      </c>
      <c r="D375" t="str">
        <f>ADDRESS(B371, 6,4  )</f>
        <v>F24</v>
      </c>
      <c r="E375">
        <f t="shared" ca="1" si="187"/>
        <v>0</v>
      </c>
      <c r="F375" t="str">
        <f ca="1">CONCATENATE("Enter a '10% Carryover Actual Incurred Costs' value for '", C375, "' in cell ", D375, ".", CHAR(10))</f>
        <v xml:space="preserve">Enter a '10% Carryover Actual Incurred Costs' value for 'Other (Specify)' in cell F24.
</v>
      </c>
      <c r="G375" s="9" t="str">
        <f t="shared" ca="1" si="186"/>
        <v xml:space="preserve">The total of development budget in column B must be greater than zero.
</v>
      </c>
    </row>
    <row r="376" spans="1:7" ht="15" customHeight="1">
      <c r="A376" t="str">
        <f ca="1">IF(AND(E376, SUM(E371:E375) &gt; 0), F376, "")</f>
        <v/>
      </c>
      <c r="C376" t="str">
        <f ca="1">INDIRECT($F$292 &amp; ADDRESS(B371, 1,4  ))</f>
        <v>Other (Specify)</v>
      </c>
      <c r="D376" t="str">
        <f>ADDRESS(B371, 1,4  )</f>
        <v>A24</v>
      </c>
      <c r="E376" t="b">
        <f ca="1">INDIRECT($F$292 &amp; D376)="Other (specify)"</f>
        <v>1</v>
      </c>
      <c r="F376" t="str">
        <f ca="1">CONCATENATE("Please specify value for '", C376, "' in cell ", D376, ".", CHAR(10))</f>
        <v xml:space="preserve">Please specify value for 'Other (Specify)' in cell A24.
</v>
      </c>
      <c r="G376" s="9" t="str">
        <f t="shared" ca="1" si="186"/>
        <v xml:space="preserve">The total of development budget in column B must be greater than zero.
</v>
      </c>
    </row>
    <row r="377" spans="1:7" ht="15" customHeight="1">
      <c r="A377" t="str">
        <f ca="1">IF(E377="", F377, "")</f>
        <v/>
      </c>
      <c r="B377" s="52">
        <f>B371+1</f>
        <v>25</v>
      </c>
      <c r="C377" t="str">
        <f ca="1">INDIRECT($F$292 &amp; ADDRESS(B377, 1,4  ))</f>
        <v>Other (Specify)</v>
      </c>
      <c r="D377" t="str">
        <f>ADDRESS(B377, 2,4  )</f>
        <v>B25</v>
      </c>
      <c r="E377">
        <f ca="1">IF(ISBLANK( INDIRECT($F$292 &amp; D377)),"", INDIRECT($F$292 &amp; D377))</f>
        <v>0</v>
      </c>
      <c r="F377" t="str">
        <f ca="1">CONCATENATE("Enter a value for '", C377, "' in cell ", D377, ".", CHAR(10))</f>
        <v xml:space="preserve">Enter a value for 'Other (Specify)' in cell B25.
</v>
      </c>
      <c r="G377" s="9" t="str">
        <f t="shared" ca="1" si="186"/>
        <v xml:space="preserve">The total of development budget in column B must be greater than zero.
</v>
      </c>
    </row>
    <row r="378" spans="1:7" ht="15" customHeight="1">
      <c r="A378" t="str">
        <f ca="1">IF(AND(Calculations!$B$5, E378=""), F378, "")</f>
        <v/>
      </c>
      <c r="B378" t="s">
        <v>461</v>
      </c>
      <c r="C378" t="str">
        <f ca="1">INDIRECT($F$292 &amp; ADDRESS(B377, 1,4  ))</f>
        <v>Other (Specify)</v>
      </c>
      <c r="D378" t="str">
        <f>ADDRESS(B377, 3,4  )</f>
        <v>C25</v>
      </c>
      <c r="E378">
        <f ca="1">IF(ISBLANK( INDIRECT($F$292 &amp; D378)),"", INDIRECT($F$292 &amp; D378))</f>
        <v>0</v>
      </c>
      <c r="F378" t="str">
        <f ca="1">CONCATENATE("Enter an '4% LIHTC Basis Calculation' value for '", C378, "' in cell ", D378, ".", CHAR(10))</f>
        <v xml:space="preserve">Enter an '4% LIHTC Basis Calculation' value for 'Other (Specify)' in cell C25.
</v>
      </c>
      <c r="G378" s="9" t="str">
        <f t="shared" ca="1" si="186"/>
        <v xml:space="preserve">The total of development budget in column B must be greater than zero.
</v>
      </c>
    </row>
    <row r="379" spans="1:7" ht="15" customHeight="1">
      <c r="A379" t="str">
        <f ca="1">IF(AND(Calculations!$B$6, E379=""), F379, "")</f>
        <v/>
      </c>
      <c r="B379" t="s">
        <v>461</v>
      </c>
      <c r="C379" t="str">
        <f ca="1">INDIRECT($F$292 &amp; ADDRESS(B377, 1,4  ))</f>
        <v>Other (Specify)</v>
      </c>
      <c r="D379" t="str">
        <f>ADDRESS(B377, 4,4  )</f>
        <v>D25</v>
      </c>
      <c r="E379">
        <f ca="1">IF(ISBLANK( INDIRECT($F$292 &amp; D379)),"", INDIRECT($F$292 &amp; D379))</f>
        <v>0</v>
      </c>
      <c r="F379" t="str">
        <f ca="1">CONCATENATE("Enter an '9% LIHTC Basis Calculation' value for '", C379, "' in cell ", D379, ".", CHAR(10))</f>
        <v xml:space="preserve">Enter an '9% LIHTC Basis Calculation' value for 'Other (Specify)' in cell D25.
</v>
      </c>
      <c r="G379" s="9" t="str">
        <f t="shared" ca="1" si="186"/>
        <v xml:space="preserve">The total of development budget in column B must be greater than zero.
</v>
      </c>
    </row>
    <row r="380" spans="1:7" ht="15" customHeight="1">
      <c r="A380" t="str">
        <f ca="1">IF(AND(OR(Calculations!$B$3:$B$4), E380=""), F380, "")</f>
        <v/>
      </c>
      <c r="B380" t="s">
        <v>461</v>
      </c>
      <c r="C380" t="str">
        <f ca="1">INDIRECT($F$292 &amp; ADDRESS(B377, 1,4  ))</f>
        <v>Other (Specify)</v>
      </c>
      <c r="D380" t="str">
        <f>ADDRESS(B377, 5,4  )</f>
        <v>E25</v>
      </c>
      <c r="E380">
        <f ca="1">IF(ISBLANK( INDIRECT($F$292 &amp; D380)),"", INDIRECT($F$292 &amp; D380))</f>
        <v>0</v>
      </c>
      <c r="F380" t="str">
        <f ca="1">CONCATENATE("Enter an 'Amount Last Provided to CHFA' value for '", C380, "' in cell ", D380, ".", CHAR(10))</f>
        <v xml:space="preserve">Enter an 'Amount Last Provided to CHFA' value for 'Other (Specify)' in cell E25.
</v>
      </c>
      <c r="G380" s="9" t="str">
        <f t="shared" ca="1" si="186"/>
        <v xml:space="preserve">The total of development budget in column B must be greater than zero.
</v>
      </c>
    </row>
    <row r="381" spans="1:7" ht="15" customHeight="1">
      <c r="A381" t="str">
        <f ca="1">IF(AND(Calculations!$B$3, E381=""), F381, "")</f>
        <v/>
      </c>
      <c r="B381" t="s">
        <v>461</v>
      </c>
      <c r="C381" t="str">
        <f ca="1">INDIRECT($F$292 &amp; ADDRESS(B377, 1,4  ))</f>
        <v>Other (Specify)</v>
      </c>
      <c r="D381" t="str">
        <f>ADDRESS(B377, 6,4  )</f>
        <v>F25</v>
      </c>
      <c r="E381">
        <f ca="1">IF(ISBLANK( INDIRECT($F$292 &amp; D381)),"", INDIRECT($F$292 &amp; D381))</f>
        <v>0</v>
      </c>
      <c r="F381" t="str">
        <f ca="1">CONCATENATE("Enter a '10% Carryover Actual Incurred Costs' value for '", C381, "' in cell ", D381, ".", CHAR(10))</f>
        <v xml:space="preserve">Enter a '10% Carryover Actual Incurred Costs' value for 'Other (Specify)' in cell F25.
</v>
      </c>
      <c r="G381" s="9" t="str">
        <f t="shared" ca="1" si="186"/>
        <v xml:space="preserve">The total of development budget in column B must be greater than zero.
</v>
      </c>
    </row>
    <row r="382" spans="1:7" ht="15" customHeight="1">
      <c r="A382" t="str">
        <f ca="1">IF(AND(E382, SUM(E377:E381) &gt; 0), F382, "")</f>
        <v/>
      </c>
      <c r="C382" t="str">
        <f ca="1">INDIRECT($F$292 &amp; ADDRESS(B377, 1,4  ))</f>
        <v>Other (Specify)</v>
      </c>
      <c r="D382" t="str">
        <f>ADDRESS(B377, 1,4  )</f>
        <v>A25</v>
      </c>
      <c r="E382" t="b">
        <f ca="1">INDIRECT($F$292 &amp; D382)="Other (specify)"</f>
        <v>1</v>
      </c>
      <c r="F382" t="str">
        <f ca="1">CONCATENATE("Please specify value for '", C382, "' in cell ", D382, ".", CHAR(10))</f>
        <v xml:space="preserve">Please specify value for 'Other (Specify)' in cell A25.
</v>
      </c>
      <c r="G382" s="9" t="str">
        <f t="shared" ca="1" si="186"/>
        <v xml:space="preserve">The total of development budget in column B must be greater than zero.
</v>
      </c>
    </row>
    <row r="383" spans="1:7" ht="15" customHeight="1">
      <c r="A383" t="str">
        <f ca="1">IF(E383="", F383, "")</f>
        <v/>
      </c>
      <c r="B383" s="52">
        <f>B377+1</f>
        <v>26</v>
      </c>
      <c r="C383" t="str">
        <f ca="1">INDIRECT($F$292 &amp; ADDRESS(B383, 1,4  ))</f>
        <v>Other (Specify)</v>
      </c>
      <c r="D383" t="str">
        <f>ADDRESS(B383, 2,4  )</f>
        <v>B26</v>
      </c>
      <c r="E383">
        <f ca="1">IF(ISBLANK( INDIRECT($F$292 &amp; D383)),"", INDIRECT($F$292 &amp; D383))</f>
        <v>0</v>
      </c>
      <c r="F383" t="str">
        <f ca="1">CONCATENATE("Enter a value for '", C383, "' in cell ", D383, ".", CHAR(10))</f>
        <v xml:space="preserve">Enter a value for 'Other (Specify)' in cell B26.
</v>
      </c>
      <c r="G383" s="9" t="str">
        <f t="shared" ca="1" si="186"/>
        <v xml:space="preserve">The total of development budget in column B must be greater than zero.
</v>
      </c>
    </row>
    <row r="384" spans="1:7" ht="15" customHeight="1">
      <c r="A384" t="str">
        <f ca="1">IF(AND(Calculations!$B$5, E384=""), F384, "")</f>
        <v/>
      </c>
      <c r="B384" t="s">
        <v>461</v>
      </c>
      <c r="C384" t="str">
        <f ca="1">INDIRECT($F$292 &amp; ADDRESS(B383, 1,4  ))</f>
        <v>Other (Specify)</v>
      </c>
      <c r="D384" t="str">
        <f>ADDRESS(B383, 3,4  )</f>
        <v>C26</v>
      </c>
      <c r="E384">
        <f ca="1">IF(ISBLANK( INDIRECT($F$292 &amp; D384)),"", INDIRECT($F$292 &amp; D384))</f>
        <v>0</v>
      </c>
      <c r="F384" t="str">
        <f ca="1">CONCATENATE("Enter an '4% LIHTC Basis Calculation' value for '", C384, "' in cell ", D384, ".", CHAR(10))</f>
        <v xml:space="preserve">Enter an '4% LIHTC Basis Calculation' value for 'Other (Specify)' in cell C26.
</v>
      </c>
      <c r="G384" s="9" t="str">
        <f t="shared" ca="1" si="186"/>
        <v xml:space="preserve">The total of development budget in column B must be greater than zero.
</v>
      </c>
    </row>
    <row r="385" spans="1:7" ht="15" customHeight="1">
      <c r="A385" t="str">
        <f ca="1">IF(AND(Calculations!$B$6, E385=""), F385, "")</f>
        <v/>
      </c>
      <c r="B385" t="s">
        <v>461</v>
      </c>
      <c r="C385" t="str">
        <f ca="1">INDIRECT($F$292 &amp; ADDRESS(B383, 1,4  ))</f>
        <v>Other (Specify)</v>
      </c>
      <c r="D385" t="str">
        <f>ADDRESS(B383, 4,4  )</f>
        <v>D26</v>
      </c>
      <c r="E385">
        <f ca="1">IF(ISBLANK( INDIRECT($F$292 &amp; D385)),"", INDIRECT($F$292 &amp; D385))</f>
        <v>0</v>
      </c>
      <c r="F385" t="str">
        <f ca="1">CONCATENATE("Enter an '9% LIHTC Basis Calculation' value for '", C385, "' in cell ", D385, ".", CHAR(10))</f>
        <v xml:space="preserve">Enter an '9% LIHTC Basis Calculation' value for 'Other (Specify)' in cell D26.
</v>
      </c>
      <c r="G385" s="9" t="str">
        <f t="shared" ca="1" si="186"/>
        <v xml:space="preserve">The total of development budget in column B must be greater than zero.
</v>
      </c>
    </row>
    <row r="386" spans="1:7" ht="15" customHeight="1">
      <c r="A386" t="str">
        <f ca="1">IF(AND(OR(Calculations!$B$3:$B$4), E386=""), F386, "")</f>
        <v/>
      </c>
      <c r="B386" t="s">
        <v>461</v>
      </c>
      <c r="C386" t="str">
        <f ca="1">INDIRECT($F$292 &amp; ADDRESS(B383, 1,4  ))</f>
        <v>Other (Specify)</v>
      </c>
      <c r="D386" t="str">
        <f>ADDRESS(B383, 5,4  )</f>
        <v>E26</v>
      </c>
      <c r="E386">
        <f ca="1">IF(ISBLANK( INDIRECT($F$292 &amp; D386)),"", INDIRECT($F$292 &amp; D386))</f>
        <v>0</v>
      </c>
      <c r="F386" t="str">
        <f ca="1">CONCATENATE("Enter an 'Amount Last Provided to CHFA' value for '", C386, "' in cell ", D386, ".", CHAR(10))</f>
        <v xml:space="preserve">Enter an 'Amount Last Provided to CHFA' value for 'Other (Specify)' in cell E26.
</v>
      </c>
      <c r="G386" s="9" t="str">
        <f t="shared" ca="1" si="186"/>
        <v xml:space="preserve">The total of development budget in column B must be greater than zero.
</v>
      </c>
    </row>
    <row r="387" spans="1:7" ht="15" customHeight="1">
      <c r="A387" t="str">
        <f ca="1">IF(AND(Calculations!$B$3, E387=""), F387, "")</f>
        <v/>
      </c>
      <c r="B387" t="s">
        <v>461</v>
      </c>
      <c r="C387" t="str">
        <f ca="1">INDIRECT($F$292 &amp; ADDRESS(B383, 1,4  ))</f>
        <v>Other (Specify)</v>
      </c>
      <c r="D387" t="str">
        <f>ADDRESS(B383, 6,4  )</f>
        <v>F26</v>
      </c>
      <c r="E387">
        <f ca="1">IF(ISBLANK( INDIRECT($F$292 &amp; D387)),"", INDIRECT($F$292 &amp; D387))</f>
        <v>0</v>
      </c>
      <c r="F387" t="str">
        <f ca="1">CONCATENATE("Enter a '10% Carryover Actual Incurred Costs' value for '", C387, "' in cell ", D387, ".", CHAR(10))</f>
        <v xml:space="preserve">Enter a '10% Carryover Actual Incurred Costs' value for 'Other (Specify)' in cell F26.
</v>
      </c>
      <c r="G387" s="9" t="str">
        <f t="shared" ca="1" si="186"/>
        <v xml:space="preserve">The total of development budget in column B must be greater than zero.
</v>
      </c>
    </row>
    <row r="388" spans="1:7" ht="15" customHeight="1">
      <c r="A388" t="str">
        <f ca="1">IF(AND(E388, SUM(E383:E387) &gt; 0), F388, "")</f>
        <v/>
      </c>
      <c r="C388" t="str">
        <f ca="1">INDIRECT($F$292 &amp; ADDRESS(B383, 1,4  ))</f>
        <v>Other (Specify)</v>
      </c>
      <c r="D388" t="str">
        <f>ADDRESS(B383, 1,4  )</f>
        <v>A26</v>
      </c>
      <c r="E388" t="b">
        <f ca="1">INDIRECT($F$292 &amp; D388)="Other (specify)"</f>
        <v>1</v>
      </c>
      <c r="F388" t="str">
        <f ca="1">CONCATENATE("Please specify value for '", C388, "' in cell ", D388, ".", CHAR(10))</f>
        <v xml:space="preserve">Please specify value for 'Other (Specify)' in cell A26.
</v>
      </c>
      <c r="G388" s="9" t="str">
        <f t="shared" ca="1" si="186"/>
        <v xml:space="preserve">The total of development budget in column B must be greater than zero.
</v>
      </c>
    </row>
    <row r="389" spans="1:7" ht="15" customHeight="1">
      <c r="A389" t="str">
        <f ca="1">IF(E389="", F389, "")</f>
        <v/>
      </c>
      <c r="B389" s="52">
        <v>29</v>
      </c>
      <c r="C389" t="str">
        <f ca="1">INDIRECT($F$292 &amp; ADDRESS(B389, 1,4  ))</f>
        <v>Architect, Design</v>
      </c>
      <c r="D389" t="str">
        <f>ADDRESS(B389, 2,4  )</f>
        <v>B29</v>
      </c>
      <c r="E389">
        <f t="shared" ref="E389:E420" ca="1" si="188">IF(ISBLANK( INDIRECT($F$292 &amp; D389)),"", INDIRECT($F$292 &amp; D389))</f>
        <v>0</v>
      </c>
      <c r="F389" t="str">
        <f ca="1">CONCATENATE("Enter a value for '", C389, "' in cell ", D389, ".", CHAR(10))</f>
        <v xml:space="preserve">Enter a value for 'Architect, Design' in cell B29.
</v>
      </c>
      <c r="G389" s="9" t="str">
        <f t="shared" ca="1" si="186"/>
        <v xml:space="preserve">The total of development budget in column B must be greater than zero.
</v>
      </c>
    </row>
    <row r="390" spans="1:7" ht="15" customHeight="1">
      <c r="A390" t="str">
        <f ca="1">IF(AND(Calculations!$B$5, E390=""), F390, "")</f>
        <v/>
      </c>
      <c r="B390" t="s">
        <v>461</v>
      </c>
      <c r="C390" t="str">
        <f ca="1">INDIRECT($F$292 &amp; ADDRESS(B389, 1,4  ))</f>
        <v>Architect, Design</v>
      </c>
      <c r="D390" t="str">
        <f>ADDRESS(B389, 3,4  )</f>
        <v>C29</v>
      </c>
      <c r="E390">
        <f t="shared" ca="1" si="188"/>
        <v>0</v>
      </c>
      <c r="F390" t="str">
        <f ca="1">CONCATENATE("Enter an '4% LIHTC Basis Calculation' value for '", C390, "' in cell ", D390, ".", CHAR(10))</f>
        <v xml:space="preserve">Enter an '4% LIHTC Basis Calculation' value for 'Architect, Design' in cell C29.
</v>
      </c>
      <c r="G390" s="9" t="str">
        <f t="shared" ca="1" si="186"/>
        <v xml:space="preserve">The total of development budget in column B must be greater than zero.
</v>
      </c>
    </row>
    <row r="391" spans="1:7" ht="15" customHeight="1">
      <c r="A391" t="str">
        <f ca="1">IF(AND(Calculations!$B$6, E391=""), F391, "")</f>
        <v/>
      </c>
      <c r="B391" t="s">
        <v>461</v>
      </c>
      <c r="C391" t="str">
        <f ca="1">INDIRECT($F$292 &amp; ADDRESS(B389, 1,4  ))</f>
        <v>Architect, Design</v>
      </c>
      <c r="D391" t="str">
        <f>ADDRESS(B389, 4,4  )</f>
        <v>D29</v>
      </c>
      <c r="E391">
        <f t="shared" ca="1" si="188"/>
        <v>0</v>
      </c>
      <c r="F391" t="str">
        <f ca="1">CONCATENATE("Enter an '9% LIHTC Basis Calculation' value for '", C391, "' in cell ", D391, ".", CHAR(10))</f>
        <v xml:space="preserve">Enter an '9% LIHTC Basis Calculation' value for 'Architect, Design' in cell D29.
</v>
      </c>
      <c r="G391" s="9" t="str">
        <f t="shared" ca="1" si="186"/>
        <v xml:space="preserve">The total of development budget in column B must be greater than zero.
</v>
      </c>
    </row>
    <row r="392" spans="1:7" ht="15" customHeight="1">
      <c r="A392" t="str">
        <f ca="1">IF(AND(OR(Calculations!$B$3:$B$4), E392=""), F392, "")</f>
        <v/>
      </c>
      <c r="B392" t="s">
        <v>461</v>
      </c>
      <c r="C392" t="str">
        <f ca="1">INDIRECT($F$292 &amp; ADDRESS(B389, 1,4  ))</f>
        <v>Architect, Design</v>
      </c>
      <c r="D392" t="str">
        <f>ADDRESS(B389, 5,4  )</f>
        <v>E29</v>
      </c>
      <c r="E392">
        <f t="shared" ca="1" si="188"/>
        <v>0</v>
      </c>
      <c r="F392" t="str">
        <f ca="1">CONCATENATE("Enter an 'Amount Last Provided to CHFA' value for '", C392, "' in cell ", D392, ".", CHAR(10))</f>
        <v xml:space="preserve">Enter an 'Amount Last Provided to CHFA' value for 'Architect, Design' in cell E29.
</v>
      </c>
      <c r="G392" s="9" t="str">
        <f t="shared" ca="1" si="186"/>
        <v xml:space="preserve">The total of development budget in column B must be greater than zero.
</v>
      </c>
    </row>
    <row r="393" spans="1:7" ht="15" customHeight="1">
      <c r="A393" t="str">
        <f ca="1">IF(AND(Calculations!$B$3, E393=""), F393, "")</f>
        <v/>
      </c>
      <c r="B393" t="s">
        <v>461</v>
      </c>
      <c r="C393" t="str">
        <f ca="1">INDIRECT($F$292 &amp; ADDRESS(B389, 1,4  ))</f>
        <v>Architect, Design</v>
      </c>
      <c r="D393" t="str">
        <f>ADDRESS(B389, 6,4  )</f>
        <v>F29</v>
      </c>
      <c r="E393">
        <f t="shared" ca="1" si="188"/>
        <v>0</v>
      </c>
      <c r="F393" t="str">
        <f ca="1">CONCATENATE("Enter a '10% Carryover Actual Incurred Costs' value for '", C393, "' in cell ", D393, ".", CHAR(10))</f>
        <v xml:space="preserve">Enter a '10% Carryover Actual Incurred Costs' value for 'Architect, Design' in cell F29.
</v>
      </c>
      <c r="G393" s="9" t="str">
        <f t="shared" ca="1" si="186"/>
        <v xml:space="preserve">The total of development budget in column B must be greater than zero.
</v>
      </c>
    </row>
    <row r="394" spans="1:7" ht="15" customHeight="1">
      <c r="A394" t="str">
        <f ca="1">IF(E394="", F394, "")</f>
        <v/>
      </c>
      <c r="B394" s="52">
        <f>B389+1</f>
        <v>30</v>
      </c>
      <c r="C394" t="str">
        <f ca="1">INDIRECT($F$292 &amp; ADDRESS(B394, 1,4  ))</f>
        <v>Architect Construction Management/Admin</v>
      </c>
      <c r="D394" t="str">
        <f>ADDRESS(B394, 2,4  )</f>
        <v>B30</v>
      </c>
      <c r="E394">
        <f t="shared" ca="1" si="188"/>
        <v>0</v>
      </c>
      <c r="F394" t="str">
        <f ca="1">CONCATENATE("Enter a value for '", C394, "' in cell ", D394, ".", CHAR(10))</f>
        <v xml:space="preserve">Enter a value for 'Architect Construction Management/Admin' in cell B30.
</v>
      </c>
      <c r="G394" s="9" t="str">
        <f t="shared" ca="1" si="186"/>
        <v xml:space="preserve">The total of development budget in column B must be greater than zero.
</v>
      </c>
    </row>
    <row r="395" spans="1:7" ht="15" customHeight="1">
      <c r="A395" t="str">
        <f ca="1">IF(AND(Calculations!$B$5, E395=""), F395, "")</f>
        <v/>
      </c>
      <c r="B395" t="s">
        <v>461</v>
      </c>
      <c r="C395" t="str">
        <f ca="1">INDIRECT($F$292 &amp; ADDRESS(B394, 1,4  ))</f>
        <v>Architect Construction Management/Admin</v>
      </c>
      <c r="D395" t="str">
        <f>ADDRESS(B394, 3,4  )</f>
        <v>C30</v>
      </c>
      <c r="E395">
        <f t="shared" ca="1" si="188"/>
        <v>0</v>
      </c>
      <c r="F395" t="str">
        <f ca="1">CONCATENATE("Enter an '4% LIHTC Basis Calculation' value for '", C395, "' in cell ", D395, ".", CHAR(10))</f>
        <v xml:space="preserve">Enter an '4% LIHTC Basis Calculation' value for 'Architect Construction Management/Admin' in cell C30.
</v>
      </c>
      <c r="G395" s="9" t="str">
        <f t="shared" ca="1" si="186"/>
        <v xml:space="preserve">The total of development budget in column B must be greater than zero.
</v>
      </c>
    </row>
    <row r="396" spans="1:7" ht="15" customHeight="1">
      <c r="A396" t="str">
        <f ca="1">IF(AND(Calculations!$B$6, E396=""), F396, "")</f>
        <v/>
      </c>
      <c r="B396" t="s">
        <v>461</v>
      </c>
      <c r="C396" t="str">
        <f ca="1">INDIRECT($F$292 &amp; ADDRESS(B394, 1,4  ))</f>
        <v>Architect Construction Management/Admin</v>
      </c>
      <c r="D396" t="str">
        <f>ADDRESS(B394, 4,4  )</f>
        <v>D30</v>
      </c>
      <c r="E396">
        <f t="shared" ca="1" si="188"/>
        <v>0</v>
      </c>
      <c r="F396" t="str">
        <f ca="1">CONCATENATE("Enter an '9% LIHTC Basis Calculation' value for '", C396, "' in cell ", D396, ".", CHAR(10))</f>
        <v xml:space="preserve">Enter an '9% LIHTC Basis Calculation' value for 'Architect Construction Management/Admin' in cell D30.
</v>
      </c>
      <c r="G396" s="9" t="str">
        <f t="shared" ca="1" si="186"/>
        <v xml:space="preserve">The total of development budget in column B must be greater than zero.
</v>
      </c>
    </row>
    <row r="397" spans="1:7" ht="15" customHeight="1">
      <c r="A397" t="str">
        <f ca="1">IF(AND(OR(Calculations!$B$3:$B$4), E397=""), F397, "")</f>
        <v/>
      </c>
      <c r="B397" t="s">
        <v>461</v>
      </c>
      <c r="C397" t="str">
        <f ca="1">INDIRECT($F$292 &amp; ADDRESS(B394, 1,4  ))</f>
        <v>Architect Construction Management/Admin</v>
      </c>
      <c r="D397" t="str">
        <f>ADDRESS(B394, 5,4  )</f>
        <v>E30</v>
      </c>
      <c r="E397">
        <f t="shared" ca="1" si="188"/>
        <v>0</v>
      </c>
      <c r="F397" t="str">
        <f ca="1">CONCATENATE("Enter an 'Amount Last Provided to CHFA' value for '", C397, "' in cell ", D397, ".", CHAR(10))</f>
        <v xml:space="preserve">Enter an 'Amount Last Provided to CHFA' value for 'Architect Construction Management/Admin' in cell E30.
</v>
      </c>
      <c r="G397" s="9" t="str">
        <f t="shared" ca="1" si="186"/>
        <v xml:space="preserve">The total of development budget in column B must be greater than zero.
</v>
      </c>
    </row>
    <row r="398" spans="1:7" ht="15" customHeight="1">
      <c r="A398" t="str">
        <f ca="1">IF(AND(Calculations!$B$3, E398=""), F398, "")</f>
        <v/>
      </c>
      <c r="B398" t="s">
        <v>461</v>
      </c>
      <c r="C398" t="str">
        <f ca="1">INDIRECT($F$292 &amp; ADDRESS(B394, 1,4  ))</f>
        <v>Architect Construction Management/Admin</v>
      </c>
      <c r="D398" t="str">
        <f>ADDRESS(B394, 6,4  )</f>
        <v>F30</v>
      </c>
      <c r="E398">
        <f t="shared" ca="1" si="188"/>
        <v>0</v>
      </c>
      <c r="F398" t="str">
        <f ca="1">CONCATENATE("Enter a '10% Carryover Actual Incurred Costs' value for '", C398, "' in cell ", D398, ".", CHAR(10))</f>
        <v xml:space="preserve">Enter a '10% Carryover Actual Incurred Costs' value for 'Architect Construction Management/Admin' in cell F30.
</v>
      </c>
      <c r="G398" s="9" t="str">
        <f t="shared" ca="1" si="186"/>
        <v xml:space="preserve">The total of development budget in column B must be greater than zero.
</v>
      </c>
    </row>
    <row r="399" spans="1:7" ht="15" customHeight="1">
      <c r="A399" t="str">
        <f ca="1">IF(E399="", F399, "")</f>
        <v/>
      </c>
      <c r="B399">
        <f>ROW('Development Budget'!A29)</f>
        <v>29</v>
      </c>
      <c r="C399" t="str">
        <f ca="1">INDIRECT($F$292 &amp; ADDRESS(B399, 1,4  ))</f>
        <v>Architect, Design</v>
      </c>
      <c r="D399" t="str">
        <f>ADDRESS(B399, 2,4  )</f>
        <v>B29</v>
      </c>
      <c r="E399">
        <f t="shared" ca="1" si="188"/>
        <v>0</v>
      </c>
      <c r="F399" t="str">
        <f ca="1">CONCATENATE("Enter a value for '", C399, "' in cell ", D399, ".", CHAR(10))</f>
        <v xml:space="preserve">Enter a value for 'Architect, Design' in cell B29.
</v>
      </c>
      <c r="G399" s="9" t="str">
        <f t="shared" ca="1" si="186"/>
        <v xml:space="preserve">The total of development budget in column B must be greater than zero.
</v>
      </c>
    </row>
    <row r="400" spans="1:7" ht="15" customHeight="1">
      <c r="A400" t="str">
        <f ca="1">IF(AND(Calculations!$B$5, E400=""), F400, "")</f>
        <v/>
      </c>
      <c r="B400" t="s">
        <v>461</v>
      </c>
      <c r="C400" t="str">
        <f ca="1">INDIRECT($F$292 &amp; ADDRESS(B399, 1,4  ))</f>
        <v>Architect, Design</v>
      </c>
      <c r="D400" t="str">
        <f>ADDRESS(B399, 3,4  )</f>
        <v>C29</v>
      </c>
      <c r="E400">
        <f t="shared" ca="1" si="188"/>
        <v>0</v>
      </c>
      <c r="F400" t="str">
        <f ca="1">CONCATENATE("Enter an '4% LIHTC Basis Calculation' value for '", C400, "' in cell ", D400, ".", CHAR(10))</f>
        <v xml:space="preserve">Enter an '4% LIHTC Basis Calculation' value for 'Architect, Design' in cell C29.
</v>
      </c>
      <c r="G400" s="9" t="str">
        <f t="shared" ca="1" si="186"/>
        <v xml:space="preserve">The total of development budget in column B must be greater than zero.
</v>
      </c>
    </row>
    <row r="401" spans="1:7" ht="15" customHeight="1">
      <c r="A401" t="str">
        <f ca="1">IF(AND(Calculations!$B$6, E401=""), F401, "")</f>
        <v/>
      </c>
      <c r="B401" t="s">
        <v>461</v>
      </c>
      <c r="C401" t="str">
        <f ca="1">INDIRECT($F$292 &amp; ADDRESS(B399, 1,4  ))</f>
        <v>Architect, Design</v>
      </c>
      <c r="D401" t="str">
        <f>ADDRESS(B399, 4,4  )</f>
        <v>D29</v>
      </c>
      <c r="E401">
        <f t="shared" ca="1" si="188"/>
        <v>0</v>
      </c>
      <c r="F401" t="str">
        <f ca="1">CONCATENATE("Enter an '9% LIHTC Basis Calculation' value for '", C401, "' in cell ", D401, ".", CHAR(10))</f>
        <v xml:space="preserve">Enter an '9% LIHTC Basis Calculation' value for 'Architect, Design' in cell D29.
</v>
      </c>
      <c r="G401" s="9" t="str">
        <f t="shared" ca="1" si="186"/>
        <v xml:space="preserve">The total of development budget in column B must be greater than zero.
</v>
      </c>
    </row>
    <row r="402" spans="1:7" ht="15" customHeight="1">
      <c r="A402" t="str">
        <f ca="1">IF(AND(OR(Calculations!$B$3:$B$4), E402=""), F402, "")</f>
        <v/>
      </c>
      <c r="B402" t="s">
        <v>461</v>
      </c>
      <c r="C402" t="str">
        <f ca="1">INDIRECT($F$292 &amp; ADDRESS(B399, 1,4  ))</f>
        <v>Architect, Design</v>
      </c>
      <c r="D402" t="str">
        <f>ADDRESS(B399, 5,4  )</f>
        <v>E29</v>
      </c>
      <c r="E402">
        <f t="shared" ca="1" si="188"/>
        <v>0</v>
      </c>
      <c r="F402" t="str">
        <f ca="1">CONCATENATE("Enter an 'Amount Last Provided to CHFA' value for '", C402, "' in cell ", D402, ".", CHAR(10))</f>
        <v xml:space="preserve">Enter an 'Amount Last Provided to CHFA' value for 'Architect, Design' in cell E29.
</v>
      </c>
      <c r="G402" s="9" t="str">
        <f t="shared" ca="1" si="186"/>
        <v xml:space="preserve">The total of development budget in column B must be greater than zero.
</v>
      </c>
    </row>
    <row r="403" spans="1:7" ht="15" customHeight="1">
      <c r="A403" t="str">
        <f ca="1">IF(AND(Calculations!$B$3, E403=""), F403, "")</f>
        <v/>
      </c>
      <c r="B403" t="s">
        <v>461</v>
      </c>
      <c r="C403" t="str">
        <f ca="1">INDIRECT($F$292 &amp; ADDRESS(B399, 1,4  ))</f>
        <v>Architect, Design</v>
      </c>
      <c r="D403" t="str">
        <f>ADDRESS(B399, 6,4  )</f>
        <v>F29</v>
      </c>
      <c r="E403">
        <f t="shared" ca="1" si="188"/>
        <v>0</v>
      </c>
      <c r="F403" t="str">
        <f ca="1">CONCATENATE("Enter a '10% Carryover Actual Incurred Costs' value for '", C403, "' in cell ", D403, ".", CHAR(10))</f>
        <v xml:space="preserve">Enter a '10% Carryover Actual Incurred Costs' value for 'Architect, Design' in cell F29.
</v>
      </c>
      <c r="G403" s="9" t="str">
        <f t="shared" ca="1" si="186"/>
        <v xml:space="preserve">The total of development budget in column B must be greater than zero.
</v>
      </c>
    </row>
    <row r="404" spans="1:7" ht="15" customHeight="1">
      <c r="A404" t="str">
        <f ca="1">IF(E404="", F404, "")</f>
        <v/>
      </c>
      <c r="B404" s="52">
        <f>B399+1</f>
        <v>30</v>
      </c>
      <c r="C404" t="str">
        <f ca="1">INDIRECT($F$292 &amp; ADDRESS(B404, 1,4  ))</f>
        <v>Architect Construction Management/Admin</v>
      </c>
      <c r="D404" t="str">
        <f>ADDRESS(B404, 2,4  )</f>
        <v>B30</v>
      </c>
      <c r="E404">
        <f t="shared" ca="1" si="188"/>
        <v>0</v>
      </c>
      <c r="F404" t="str">
        <f ca="1">CONCATENATE("Enter a value for '", C404, "' in cell ", D404, ".", CHAR(10))</f>
        <v xml:space="preserve">Enter a value for 'Architect Construction Management/Admin' in cell B30.
</v>
      </c>
      <c r="G404" s="9" t="str">
        <f t="shared" ca="1" si="186"/>
        <v xml:space="preserve">The total of development budget in column B must be greater than zero.
</v>
      </c>
    </row>
    <row r="405" spans="1:7" ht="15" customHeight="1">
      <c r="A405" t="str">
        <f ca="1">IF(AND(Calculations!$B$5, E405=""), F405, "")</f>
        <v/>
      </c>
      <c r="B405" t="s">
        <v>461</v>
      </c>
      <c r="C405" t="str">
        <f ca="1">INDIRECT($F$292 &amp; ADDRESS(B404, 1,4  ))</f>
        <v>Architect Construction Management/Admin</v>
      </c>
      <c r="D405" t="str">
        <f>ADDRESS(B404, 3,4  )</f>
        <v>C30</v>
      </c>
      <c r="E405">
        <f t="shared" ca="1" si="188"/>
        <v>0</v>
      </c>
      <c r="F405" t="str">
        <f ca="1">CONCATENATE("Enter an '4% LIHTC Basis Calculation' value for '", C405, "' in cell ", D405, ".", CHAR(10))</f>
        <v xml:space="preserve">Enter an '4% LIHTC Basis Calculation' value for 'Architect Construction Management/Admin' in cell C30.
</v>
      </c>
      <c r="G405" s="9" t="str">
        <f t="shared" ca="1" si="186"/>
        <v xml:space="preserve">The total of development budget in column B must be greater than zero.
</v>
      </c>
    </row>
    <row r="406" spans="1:7" ht="15" customHeight="1">
      <c r="A406" t="str">
        <f ca="1">IF(AND(Calculations!$B$6, E406=""), F406, "")</f>
        <v/>
      </c>
      <c r="B406" t="s">
        <v>461</v>
      </c>
      <c r="C406" t="str">
        <f ca="1">INDIRECT($F$292 &amp; ADDRESS(B404, 1,4  ))</f>
        <v>Architect Construction Management/Admin</v>
      </c>
      <c r="D406" t="str">
        <f>ADDRESS(B404, 4,4  )</f>
        <v>D30</v>
      </c>
      <c r="E406">
        <f t="shared" ca="1" si="188"/>
        <v>0</v>
      </c>
      <c r="F406" t="str">
        <f ca="1">CONCATENATE("Enter an '9% LIHTC Basis Calculation' value for '", C406, "' in cell ", D406, ".", CHAR(10))</f>
        <v xml:space="preserve">Enter an '9% LIHTC Basis Calculation' value for 'Architect Construction Management/Admin' in cell D30.
</v>
      </c>
      <c r="G406" s="9" t="str">
        <f t="shared" ca="1" si="186"/>
        <v xml:space="preserve">The total of development budget in column B must be greater than zero.
</v>
      </c>
    </row>
    <row r="407" spans="1:7" ht="15" customHeight="1">
      <c r="A407" t="str">
        <f ca="1">IF(AND(OR(Calculations!$B$3:$B$4), E407=""), F407, "")</f>
        <v/>
      </c>
      <c r="B407" t="s">
        <v>461</v>
      </c>
      <c r="C407" t="str">
        <f ca="1">INDIRECT($F$292 &amp; ADDRESS(B404, 1,4  ))</f>
        <v>Architect Construction Management/Admin</v>
      </c>
      <c r="D407" t="str">
        <f>ADDRESS(B404, 5,4  )</f>
        <v>E30</v>
      </c>
      <c r="E407">
        <f t="shared" ca="1" si="188"/>
        <v>0</v>
      </c>
      <c r="F407" t="str">
        <f ca="1">CONCATENATE("Enter an 'Amount Last Provided to CHFA' value for '", C407, "' in cell ", D407, ".", CHAR(10))</f>
        <v xml:space="preserve">Enter an 'Amount Last Provided to CHFA' value for 'Architect Construction Management/Admin' in cell E30.
</v>
      </c>
      <c r="G407" s="9" t="str">
        <f t="shared" ca="1" si="186"/>
        <v xml:space="preserve">The total of development budget in column B must be greater than zero.
</v>
      </c>
    </row>
    <row r="408" spans="1:7" ht="15" customHeight="1">
      <c r="A408" t="str">
        <f ca="1">IF(AND(Calculations!$B$3, E408=""), F408, "")</f>
        <v/>
      </c>
      <c r="B408" t="s">
        <v>461</v>
      </c>
      <c r="C408" t="str">
        <f ca="1">INDIRECT($F$292 &amp; ADDRESS(B404, 1,4  ))</f>
        <v>Architect Construction Management/Admin</v>
      </c>
      <c r="D408" t="str">
        <f>ADDRESS(B404, 6,4  )</f>
        <v>F30</v>
      </c>
      <c r="E408">
        <f t="shared" ca="1" si="188"/>
        <v>0</v>
      </c>
      <c r="F408" t="str">
        <f ca="1">CONCATENATE("Enter a '10% Carryover Actual Incurred Costs' value for '", C408, "' in cell ", D408, ".", CHAR(10))</f>
        <v xml:space="preserve">Enter a '10% Carryover Actual Incurred Costs' value for 'Architect Construction Management/Admin' in cell F30.
</v>
      </c>
      <c r="G408" s="9" t="str">
        <f t="shared" ca="1" si="186"/>
        <v xml:space="preserve">The total of development budget in column B must be greater than zero.
</v>
      </c>
    </row>
    <row r="409" spans="1:7" ht="15" customHeight="1">
      <c r="A409" t="str">
        <f ca="1">IF(E409="", F409, "")</f>
        <v/>
      </c>
      <c r="B409" s="52">
        <f>B404+1</f>
        <v>31</v>
      </c>
      <c r="C409" t="str">
        <f ca="1">INDIRECT($F$292 &amp; ADDRESS(B409, 1,4  ))</f>
        <v>Landscape Design</v>
      </c>
      <c r="D409" t="str">
        <f>ADDRESS(B409, 2,4  )</f>
        <v>B31</v>
      </c>
      <c r="E409">
        <f t="shared" ca="1" si="188"/>
        <v>0</v>
      </c>
      <c r="F409" t="str">
        <f ca="1">CONCATENATE("Enter a value for '", C409, "' in cell ", D409, ".", CHAR(10))</f>
        <v xml:space="preserve">Enter a value for 'Landscape Design' in cell B31.
</v>
      </c>
      <c r="G409" s="9" t="str">
        <f t="shared" ca="1" si="186"/>
        <v xml:space="preserve">The total of development budget in column B must be greater than zero.
</v>
      </c>
    </row>
    <row r="410" spans="1:7" ht="15" customHeight="1">
      <c r="A410" t="str">
        <f ca="1">IF(AND(Calculations!$B$5, E410=""), F410, "")</f>
        <v/>
      </c>
      <c r="B410" t="s">
        <v>461</v>
      </c>
      <c r="C410" t="str">
        <f ca="1">INDIRECT($F$292 &amp; ADDRESS(B409, 1,4  ))</f>
        <v>Landscape Design</v>
      </c>
      <c r="D410" t="str">
        <f>ADDRESS(B409, 3,4  )</f>
        <v>C31</v>
      </c>
      <c r="E410">
        <f t="shared" ca="1" si="188"/>
        <v>0</v>
      </c>
      <c r="F410" t="str">
        <f ca="1">CONCATENATE("Enter an '4% LIHTC Basis Calculation' value for '", C410, "' in cell ", D410, ".", CHAR(10))</f>
        <v xml:space="preserve">Enter an '4% LIHTC Basis Calculation' value for 'Landscape Design' in cell C31.
</v>
      </c>
      <c r="G410" s="9" t="str">
        <f t="shared" ca="1" si="186"/>
        <v xml:space="preserve">The total of development budget in column B must be greater than zero.
</v>
      </c>
    </row>
    <row r="411" spans="1:7" ht="15" customHeight="1">
      <c r="A411" t="str">
        <f ca="1">IF(AND(Calculations!$B$6, E411=""), F411, "")</f>
        <v/>
      </c>
      <c r="B411" t="s">
        <v>461</v>
      </c>
      <c r="C411" t="str">
        <f ca="1">INDIRECT($F$292 &amp; ADDRESS(B409, 1,4  ))</f>
        <v>Landscape Design</v>
      </c>
      <c r="D411" t="str">
        <f>ADDRESS(B409, 4,4  )</f>
        <v>D31</v>
      </c>
      <c r="E411">
        <f t="shared" ca="1" si="188"/>
        <v>0</v>
      </c>
      <c r="F411" t="str">
        <f ca="1">CONCATENATE("Enter an '9% LIHTC Basis Calculation' value for '", C411, "' in cell ", D411, ".", CHAR(10))</f>
        <v xml:space="preserve">Enter an '9% LIHTC Basis Calculation' value for 'Landscape Design' in cell D31.
</v>
      </c>
      <c r="G411" s="9" t="str">
        <f t="shared" ca="1" si="186"/>
        <v xml:space="preserve">The total of development budget in column B must be greater than zero.
</v>
      </c>
    </row>
    <row r="412" spans="1:7" ht="15" customHeight="1">
      <c r="A412" t="str">
        <f ca="1">IF(AND(OR(Calculations!$B$3:$B$4), E412=""), F412, "")</f>
        <v/>
      </c>
      <c r="B412" t="s">
        <v>461</v>
      </c>
      <c r="C412" t="str">
        <f ca="1">INDIRECT($F$292 &amp; ADDRESS(B409, 1,4  ))</f>
        <v>Landscape Design</v>
      </c>
      <c r="D412" t="str">
        <f>ADDRESS(B409, 5,4  )</f>
        <v>E31</v>
      </c>
      <c r="E412">
        <f t="shared" ca="1" si="188"/>
        <v>0</v>
      </c>
      <c r="F412" t="str">
        <f ca="1">CONCATENATE("Enter an 'Amount Last Provided to CHFA' value for '", C412, "' in cell ", D412, ".", CHAR(10))</f>
        <v xml:space="preserve">Enter an 'Amount Last Provided to CHFA' value for 'Landscape Design' in cell E31.
</v>
      </c>
      <c r="G412" s="9" t="str">
        <f t="shared" ca="1" si="186"/>
        <v xml:space="preserve">The total of development budget in column B must be greater than zero.
</v>
      </c>
    </row>
    <row r="413" spans="1:7" ht="15" customHeight="1">
      <c r="A413" t="str">
        <f ca="1">IF(AND(Calculations!$B$3, E413=""), F413, "")</f>
        <v/>
      </c>
      <c r="B413" t="s">
        <v>461</v>
      </c>
      <c r="C413" t="str">
        <f ca="1">INDIRECT($F$292 &amp; ADDRESS(B409, 1,4  ))</f>
        <v>Landscape Design</v>
      </c>
      <c r="D413" t="str">
        <f>ADDRESS(B409, 6,4  )</f>
        <v>F31</v>
      </c>
      <c r="E413">
        <f t="shared" ca="1" si="188"/>
        <v>0</v>
      </c>
      <c r="F413" t="str">
        <f ca="1">CONCATENATE("Enter a '10% Carryover Actual Incurred Costs' value for '", C413, "' in cell ", D413, ".", CHAR(10))</f>
        <v xml:space="preserve">Enter a '10% Carryover Actual Incurred Costs' value for 'Landscape Design' in cell F31.
</v>
      </c>
      <c r="G413" s="9" t="str">
        <f t="shared" ca="1" si="186"/>
        <v xml:space="preserve">The total of development budget in column B must be greater than zero.
</v>
      </c>
    </row>
    <row r="414" spans="1:7" ht="15" customHeight="1">
      <c r="A414" t="str">
        <f ca="1">IF(E414="", F414, "")</f>
        <v/>
      </c>
      <c r="B414" s="52">
        <f>B409+1</f>
        <v>32</v>
      </c>
      <c r="C414" t="str">
        <f ca="1">INDIRECT($F$292 &amp; ADDRESS(B414, 1,4  ))</f>
        <v>Structural Engineering</v>
      </c>
      <c r="D414" t="str">
        <f>ADDRESS(B414, 2,4  )</f>
        <v>B32</v>
      </c>
      <c r="E414">
        <f t="shared" ca="1" si="188"/>
        <v>0</v>
      </c>
      <c r="F414" t="str">
        <f ca="1">CONCATENATE("Enter a value for '", C414, "' in cell ", D414, ".", CHAR(10))</f>
        <v xml:space="preserve">Enter a value for 'Structural Engineering' in cell B32.
</v>
      </c>
      <c r="G414" s="9" t="str">
        <f t="shared" ca="1" si="186"/>
        <v xml:space="preserve">The total of development budget in column B must be greater than zero.
</v>
      </c>
    </row>
    <row r="415" spans="1:7" ht="15" customHeight="1">
      <c r="A415" t="str">
        <f ca="1">IF(AND(Calculations!$B$5, E415=""), F415, "")</f>
        <v/>
      </c>
      <c r="B415" t="s">
        <v>461</v>
      </c>
      <c r="C415" t="str">
        <f ca="1">INDIRECT($F$292 &amp; ADDRESS(B414, 1,4  ))</f>
        <v>Structural Engineering</v>
      </c>
      <c r="D415" t="str">
        <f>ADDRESS(B414, 3,4  )</f>
        <v>C32</v>
      </c>
      <c r="E415">
        <f t="shared" ca="1" si="188"/>
        <v>0</v>
      </c>
      <c r="F415" t="str">
        <f ca="1">CONCATENATE("Enter an '4% LIHTC Basis Calculation' value for '", C415, "' in cell ", D415, ".", CHAR(10))</f>
        <v xml:space="preserve">Enter an '4% LIHTC Basis Calculation' value for 'Structural Engineering' in cell C32.
</v>
      </c>
      <c r="G415" s="9" t="str">
        <f t="shared" ca="1" si="186"/>
        <v xml:space="preserve">The total of development budget in column B must be greater than zero.
</v>
      </c>
    </row>
    <row r="416" spans="1:7" ht="15" customHeight="1">
      <c r="A416" t="str">
        <f ca="1">IF(AND(Calculations!$B$6, E416=""), F416, "")</f>
        <v/>
      </c>
      <c r="B416" t="s">
        <v>461</v>
      </c>
      <c r="C416" t="str">
        <f ca="1">INDIRECT($F$292 &amp; ADDRESS(B414, 1,4  ))</f>
        <v>Structural Engineering</v>
      </c>
      <c r="D416" t="str">
        <f>ADDRESS(B414, 4,4  )</f>
        <v>D32</v>
      </c>
      <c r="E416">
        <f t="shared" ca="1" si="188"/>
        <v>0</v>
      </c>
      <c r="F416" t="str">
        <f ca="1">CONCATENATE("Enter an '9% LIHTC Basis Calculation' value for '", C416, "' in cell ", D416, ".", CHAR(10))</f>
        <v xml:space="preserve">Enter an '9% LIHTC Basis Calculation' value for 'Structural Engineering' in cell D32.
</v>
      </c>
      <c r="G416" s="9" t="str">
        <f t="shared" ca="1" si="186"/>
        <v xml:space="preserve">The total of development budget in column B must be greater than zero.
</v>
      </c>
    </row>
    <row r="417" spans="1:7" ht="15" customHeight="1">
      <c r="A417" t="str">
        <f ca="1">IF(AND(OR(Calculations!$B$3:$B$4), E417=""), F417, "")</f>
        <v/>
      </c>
      <c r="B417" t="s">
        <v>461</v>
      </c>
      <c r="C417" t="str">
        <f ca="1">INDIRECT($F$292 &amp; ADDRESS(B414, 1,4  ))</f>
        <v>Structural Engineering</v>
      </c>
      <c r="D417" t="str">
        <f>ADDRESS(B414, 5,4  )</f>
        <v>E32</v>
      </c>
      <c r="E417">
        <f t="shared" ca="1" si="188"/>
        <v>0</v>
      </c>
      <c r="F417" t="str">
        <f ca="1">CONCATENATE("Enter an 'Amount Last Provided to CHFA' value for '", C417, "' in cell ", D417, ".", CHAR(10))</f>
        <v xml:space="preserve">Enter an 'Amount Last Provided to CHFA' value for 'Structural Engineering' in cell E32.
</v>
      </c>
      <c r="G417" s="9" t="str">
        <f t="shared" ca="1" si="186"/>
        <v xml:space="preserve">The total of development budget in column B must be greater than zero.
</v>
      </c>
    </row>
    <row r="418" spans="1:7" ht="15" customHeight="1">
      <c r="A418" t="str">
        <f ca="1">IF(AND(Calculations!$B$3, E418=""), F418, "")</f>
        <v/>
      </c>
      <c r="B418" t="s">
        <v>461</v>
      </c>
      <c r="C418" t="str">
        <f ca="1">INDIRECT($F$292 &amp; ADDRESS(B414, 1,4  ))</f>
        <v>Structural Engineering</v>
      </c>
      <c r="D418" t="str">
        <f>ADDRESS(B414, 6,4  )</f>
        <v>F32</v>
      </c>
      <c r="E418">
        <f t="shared" ca="1" si="188"/>
        <v>0</v>
      </c>
      <c r="F418" t="str">
        <f ca="1">CONCATENATE("Enter a '10% Carryover Actual Incurred Costs' value for '", C418, "' in cell ", D418, ".", CHAR(10))</f>
        <v xml:space="preserve">Enter a '10% Carryover Actual Incurred Costs' value for 'Structural Engineering' in cell F32.
</v>
      </c>
      <c r="G418" s="9" t="str">
        <f t="shared" ca="1" si="186"/>
        <v xml:space="preserve">The total of development budget in column B must be greater than zero.
</v>
      </c>
    </row>
    <row r="419" spans="1:7" ht="15" customHeight="1">
      <c r="A419" t="str">
        <f ca="1">IF(E419="", F419, "")</f>
        <v/>
      </c>
      <c r="B419" s="52">
        <f>B414+1</f>
        <v>33</v>
      </c>
      <c r="C419" t="str">
        <f ca="1">INDIRECT($F$292 &amp; ADDRESS(B419, 1,4  ))</f>
        <v>Civil Engineering</v>
      </c>
      <c r="D419" t="str">
        <f>ADDRESS(B419, 2,4  )</f>
        <v>B33</v>
      </c>
      <c r="E419">
        <f t="shared" ca="1" si="188"/>
        <v>0</v>
      </c>
      <c r="F419" t="str">
        <f ca="1">CONCATENATE("Enter a value for '", C419, "' in cell ", D419, ".", CHAR(10))</f>
        <v xml:space="preserve">Enter a value for 'Civil Engineering' in cell B33.
</v>
      </c>
      <c r="G419" s="9" t="str">
        <f t="shared" ca="1" si="186"/>
        <v xml:space="preserve">The total of development budget in column B must be greater than zero.
</v>
      </c>
    </row>
    <row r="420" spans="1:7" ht="15" customHeight="1">
      <c r="A420" t="str">
        <f ca="1">IF(AND(Calculations!$B$5, E420=""), F420, "")</f>
        <v/>
      </c>
      <c r="B420" t="s">
        <v>461</v>
      </c>
      <c r="C420" t="str">
        <f ca="1">INDIRECT($F$292 &amp; ADDRESS(B419, 1,4  ))</f>
        <v>Civil Engineering</v>
      </c>
      <c r="D420" t="str">
        <f>ADDRESS(B419, 3,4  )</f>
        <v>C33</v>
      </c>
      <c r="E420">
        <f t="shared" ca="1" si="188"/>
        <v>0</v>
      </c>
      <c r="F420" t="str">
        <f ca="1">CONCATENATE("Enter an '4% LIHTC Basis Calculation' value for '", C420, "' in cell ", D420, ".", CHAR(10))</f>
        <v xml:space="preserve">Enter an '4% LIHTC Basis Calculation' value for 'Civil Engineering' in cell C33.
</v>
      </c>
      <c r="G420" s="9" t="str">
        <f t="shared" ca="1" si="186"/>
        <v xml:space="preserve">The total of development budget in column B must be greater than zero.
</v>
      </c>
    </row>
    <row r="421" spans="1:7" ht="15" customHeight="1">
      <c r="A421" t="str">
        <f ca="1">IF(AND(Calculations!$B$6, E421=""), F421, "")</f>
        <v/>
      </c>
      <c r="B421" t="s">
        <v>461</v>
      </c>
      <c r="C421" t="str">
        <f ca="1">INDIRECT($F$292 &amp; ADDRESS(B419, 1,4  ))</f>
        <v>Civil Engineering</v>
      </c>
      <c r="D421" t="str">
        <f>ADDRESS(B419, 4,4  )</f>
        <v>D33</v>
      </c>
      <c r="E421">
        <f t="shared" ref="E421:E452" ca="1" si="189">IF(ISBLANK( INDIRECT($F$292 &amp; D421)),"", INDIRECT($F$292 &amp; D421))</f>
        <v>0</v>
      </c>
      <c r="F421" t="str">
        <f ca="1">CONCATENATE("Enter an '9% LIHTC Basis Calculation' value for '", C421, "' in cell ", D421, ".", CHAR(10))</f>
        <v xml:space="preserve">Enter an '9% LIHTC Basis Calculation' value for 'Civil Engineering' in cell D33.
</v>
      </c>
      <c r="G421" s="9" t="str">
        <f t="shared" ref="G421:G484" ca="1" si="190">OFFSET(G421, -1, 0) &amp; A421</f>
        <v xml:space="preserve">The total of development budget in column B must be greater than zero.
</v>
      </c>
    </row>
    <row r="422" spans="1:7" ht="15" customHeight="1">
      <c r="A422" t="str">
        <f ca="1">IF(AND(OR(Calculations!$B$3:$B$4), E422=""), F422, "")</f>
        <v/>
      </c>
      <c r="B422" t="s">
        <v>461</v>
      </c>
      <c r="C422" t="str">
        <f ca="1">INDIRECT($F$292 &amp; ADDRESS(B419, 1,4  ))</f>
        <v>Civil Engineering</v>
      </c>
      <c r="D422" t="str">
        <f>ADDRESS(B419, 5,4  )</f>
        <v>E33</v>
      </c>
      <c r="E422">
        <f t="shared" ca="1" si="189"/>
        <v>0</v>
      </c>
      <c r="F422" t="str">
        <f ca="1">CONCATENATE("Enter an 'Amount Last Provided to CHFA' value for '", C422, "' in cell ", D422, ".", CHAR(10))</f>
        <v xml:space="preserve">Enter an 'Amount Last Provided to CHFA' value for 'Civil Engineering' in cell E33.
</v>
      </c>
      <c r="G422" s="9" t="str">
        <f t="shared" ca="1" si="190"/>
        <v xml:space="preserve">The total of development budget in column B must be greater than zero.
</v>
      </c>
    </row>
    <row r="423" spans="1:7" ht="15" customHeight="1">
      <c r="A423" t="str">
        <f ca="1">IF(AND(Calculations!$B$3, E423=""), F423, "")</f>
        <v/>
      </c>
      <c r="B423" t="s">
        <v>461</v>
      </c>
      <c r="C423" t="str">
        <f ca="1">INDIRECT($F$292 &amp; ADDRESS(B419, 1,4  ))</f>
        <v>Civil Engineering</v>
      </c>
      <c r="D423" t="str">
        <f>ADDRESS(B419, 6,4  )</f>
        <v>F33</v>
      </c>
      <c r="E423">
        <f t="shared" ca="1" si="189"/>
        <v>0</v>
      </c>
      <c r="F423" t="str">
        <f ca="1">CONCATENATE("Enter a '10% Carryover Actual Incurred Costs' value for '", C423, "' in cell ", D423, ".", CHAR(10))</f>
        <v xml:space="preserve">Enter a '10% Carryover Actual Incurred Costs' value for 'Civil Engineering' in cell F33.
</v>
      </c>
      <c r="G423" s="9" t="str">
        <f t="shared" ca="1" si="190"/>
        <v xml:space="preserve">The total of development budget in column B must be greater than zero.
</v>
      </c>
    </row>
    <row r="424" spans="1:7" ht="15" customHeight="1">
      <c r="A424" t="str">
        <f ca="1">IF(E424="", F424, "")</f>
        <v/>
      </c>
      <c r="B424" s="52">
        <f>B419+1</f>
        <v>34</v>
      </c>
      <c r="C424" t="str">
        <f ca="1">INDIRECT($F$292 &amp; ADDRESS(B424, 1,4  ))</f>
        <v>Other Engineering</v>
      </c>
      <c r="D424" t="str">
        <f>ADDRESS(B424, 2,4  )</f>
        <v>B34</v>
      </c>
      <c r="E424">
        <f t="shared" ca="1" si="189"/>
        <v>0</v>
      </c>
      <c r="F424" t="str">
        <f ca="1">CONCATENATE("Enter a value for '", C424, "' in cell ", D424, ".", CHAR(10))</f>
        <v xml:space="preserve">Enter a value for 'Other Engineering' in cell B34.
</v>
      </c>
      <c r="G424" s="9" t="str">
        <f t="shared" ca="1" si="190"/>
        <v xml:space="preserve">The total of development budget in column B must be greater than zero.
</v>
      </c>
    </row>
    <row r="425" spans="1:7" ht="15" customHeight="1">
      <c r="A425" t="str">
        <f ca="1">IF(AND(Calculations!$B$5, E425=""), F425, "")</f>
        <v/>
      </c>
      <c r="B425" t="s">
        <v>461</v>
      </c>
      <c r="C425" t="str">
        <f ca="1">INDIRECT($F$292 &amp; ADDRESS(B424, 1,4  ))</f>
        <v>Other Engineering</v>
      </c>
      <c r="D425" t="str">
        <f>ADDRESS(B424, 3,4  )</f>
        <v>C34</v>
      </c>
      <c r="E425">
        <f t="shared" ca="1" si="189"/>
        <v>0</v>
      </c>
      <c r="F425" t="str">
        <f ca="1">CONCATENATE("Enter an '4% LIHTC Basis Calculation' value for '", C425, "' in cell ", D425, ".", CHAR(10))</f>
        <v xml:space="preserve">Enter an '4% LIHTC Basis Calculation' value for 'Other Engineering' in cell C34.
</v>
      </c>
      <c r="G425" s="9" t="str">
        <f t="shared" ca="1" si="190"/>
        <v xml:space="preserve">The total of development budget in column B must be greater than zero.
</v>
      </c>
    </row>
    <row r="426" spans="1:7" ht="15" customHeight="1">
      <c r="A426" t="str">
        <f ca="1">IF(AND(Calculations!$B$6, E426=""), F426, "")</f>
        <v/>
      </c>
      <c r="B426" t="s">
        <v>461</v>
      </c>
      <c r="C426" t="str">
        <f ca="1">INDIRECT($F$292 &amp; ADDRESS(B424, 1,4  ))</f>
        <v>Other Engineering</v>
      </c>
      <c r="D426" t="str">
        <f>ADDRESS(B424, 4,4  )</f>
        <v>D34</v>
      </c>
      <c r="E426">
        <f t="shared" ca="1" si="189"/>
        <v>0</v>
      </c>
      <c r="F426" t="str">
        <f ca="1">CONCATENATE("Enter an '9% LIHTC Basis Calculation' value for '", C426, "' in cell ", D426, ".", CHAR(10))</f>
        <v xml:space="preserve">Enter an '9% LIHTC Basis Calculation' value for 'Other Engineering' in cell D34.
</v>
      </c>
      <c r="G426" s="9" t="str">
        <f t="shared" ca="1" si="190"/>
        <v xml:space="preserve">The total of development budget in column B must be greater than zero.
</v>
      </c>
    </row>
    <row r="427" spans="1:7" ht="15" customHeight="1">
      <c r="A427" t="str">
        <f ca="1">IF(AND(OR(Calculations!$B$3:$B$4), E427=""), F427, "")</f>
        <v/>
      </c>
      <c r="B427" t="s">
        <v>461</v>
      </c>
      <c r="C427" t="str">
        <f ca="1">INDIRECT($F$292 &amp; ADDRESS(B424, 1,4  ))</f>
        <v>Other Engineering</v>
      </c>
      <c r="D427" t="str">
        <f>ADDRESS(B424, 5,4  )</f>
        <v>E34</v>
      </c>
      <c r="E427">
        <f t="shared" ca="1" si="189"/>
        <v>0</v>
      </c>
      <c r="F427" t="str">
        <f ca="1">CONCATENATE("Enter an 'Amount Last Provided to CHFA' value for '", C427, "' in cell ", D427, ".", CHAR(10))</f>
        <v xml:space="preserve">Enter an 'Amount Last Provided to CHFA' value for 'Other Engineering' in cell E34.
</v>
      </c>
      <c r="G427" s="9" t="str">
        <f t="shared" ca="1" si="190"/>
        <v xml:space="preserve">The total of development budget in column B must be greater than zero.
</v>
      </c>
    </row>
    <row r="428" spans="1:7" ht="15" customHeight="1">
      <c r="A428" t="str">
        <f ca="1">IF(AND(Calculations!$B$3, E428=""), F428, "")</f>
        <v/>
      </c>
      <c r="B428" t="s">
        <v>461</v>
      </c>
      <c r="C428" t="str">
        <f ca="1">INDIRECT($F$292 &amp; ADDRESS(B424, 1,4  ))</f>
        <v>Other Engineering</v>
      </c>
      <c r="D428" t="str">
        <f>ADDRESS(B424, 6,4  )</f>
        <v>F34</v>
      </c>
      <c r="E428">
        <f t="shared" ca="1" si="189"/>
        <v>0</v>
      </c>
      <c r="F428" t="str">
        <f ca="1">CONCATENATE("Enter a '10% Carryover Actual Incurred Costs' value for '", C428, "' in cell ", D428, ".", CHAR(10))</f>
        <v xml:space="preserve">Enter a '10% Carryover Actual Incurred Costs' value for 'Other Engineering' in cell F34.
</v>
      </c>
      <c r="G428" s="9" t="str">
        <f t="shared" ca="1" si="190"/>
        <v xml:space="preserve">The total of development budget in column B must be greater than zero.
</v>
      </c>
    </row>
    <row r="429" spans="1:7" ht="15" customHeight="1">
      <c r="A429" t="str">
        <f ca="1">IF(E429="", F429, "")</f>
        <v/>
      </c>
      <c r="B429" s="52">
        <f>B424+1</f>
        <v>35</v>
      </c>
      <c r="C429" t="str">
        <f ca="1">INDIRECT($F$292 &amp; ADDRESS(B429, 1,4  ))</f>
        <v>Surveyor</v>
      </c>
      <c r="D429" t="str">
        <f>ADDRESS(B429, 2,4  )</f>
        <v>B35</v>
      </c>
      <c r="E429">
        <f t="shared" ca="1" si="189"/>
        <v>0</v>
      </c>
      <c r="F429" t="str">
        <f ca="1">CONCATENATE("Enter a value for '", C429, "' in cell ", D429, ".", CHAR(10))</f>
        <v xml:space="preserve">Enter a value for 'Surveyor' in cell B35.
</v>
      </c>
      <c r="G429" s="9" t="str">
        <f t="shared" ca="1" si="190"/>
        <v xml:space="preserve">The total of development budget in column B must be greater than zero.
</v>
      </c>
    </row>
    <row r="430" spans="1:7" ht="15" customHeight="1">
      <c r="A430" t="str">
        <f ca="1">IF(AND(Calculations!$B$5, E430=""), F430, "")</f>
        <v/>
      </c>
      <c r="B430" t="s">
        <v>461</v>
      </c>
      <c r="C430" t="str">
        <f ca="1">INDIRECT($F$292 &amp; ADDRESS(B429, 1,4  ))</f>
        <v>Surveyor</v>
      </c>
      <c r="D430" t="str">
        <f>ADDRESS(B429, 3,4  )</f>
        <v>C35</v>
      </c>
      <c r="E430">
        <f t="shared" ca="1" si="189"/>
        <v>0</v>
      </c>
      <c r="F430" t="str">
        <f ca="1">CONCATENATE("Enter an '4% LIHTC Basis Calculation' value for '", C430, "' in cell ", D430, ".", CHAR(10))</f>
        <v xml:space="preserve">Enter an '4% LIHTC Basis Calculation' value for 'Surveyor' in cell C35.
</v>
      </c>
      <c r="G430" s="9" t="str">
        <f t="shared" ca="1" si="190"/>
        <v xml:space="preserve">The total of development budget in column B must be greater than zero.
</v>
      </c>
    </row>
    <row r="431" spans="1:7" ht="15" customHeight="1">
      <c r="A431" t="str">
        <f ca="1">IF(AND(Calculations!$B$6, E431=""), F431, "")</f>
        <v/>
      </c>
      <c r="B431" t="s">
        <v>461</v>
      </c>
      <c r="C431" t="str">
        <f ca="1">INDIRECT($F$292 &amp; ADDRESS(B429, 1,4  ))</f>
        <v>Surveyor</v>
      </c>
      <c r="D431" t="str">
        <f>ADDRESS(B429, 4,4  )</f>
        <v>D35</v>
      </c>
      <c r="E431">
        <f t="shared" ca="1" si="189"/>
        <v>0</v>
      </c>
      <c r="F431" t="str">
        <f ca="1">CONCATENATE("Enter an '9% LIHTC Basis Calculation' value for '", C431, "' in cell ", D431, ".", CHAR(10))</f>
        <v xml:space="preserve">Enter an '9% LIHTC Basis Calculation' value for 'Surveyor' in cell D35.
</v>
      </c>
      <c r="G431" s="9" t="str">
        <f t="shared" ca="1" si="190"/>
        <v xml:space="preserve">The total of development budget in column B must be greater than zero.
</v>
      </c>
    </row>
    <row r="432" spans="1:7" ht="15" customHeight="1">
      <c r="A432" t="str">
        <f ca="1">IF(AND(OR(Calculations!$B$3:$B$4), E432=""), F432, "")</f>
        <v/>
      </c>
      <c r="B432" t="s">
        <v>461</v>
      </c>
      <c r="C432" t="str">
        <f ca="1">INDIRECT($F$292 &amp; ADDRESS(B429, 1,4  ))</f>
        <v>Surveyor</v>
      </c>
      <c r="D432" t="str">
        <f>ADDRESS(B429, 5,4  )</f>
        <v>E35</v>
      </c>
      <c r="E432">
        <f t="shared" ca="1" si="189"/>
        <v>0</v>
      </c>
      <c r="F432" t="str">
        <f ca="1">CONCATENATE("Enter an 'Amount Last Provided to CHFA' value for '", C432, "' in cell ", D432, ".", CHAR(10))</f>
        <v xml:space="preserve">Enter an 'Amount Last Provided to CHFA' value for 'Surveyor' in cell E35.
</v>
      </c>
      <c r="G432" s="9" t="str">
        <f t="shared" ca="1" si="190"/>
        <v xml:space="preserve">The total of development budget in column B must be greater than zero.
</v>
      </c>
    </row>
    <row r="433" spans="1:7" ht="15" customHeight="1">
      <c r="A433" t="str">
        <f ca="1">IF(AND(Calculations!$B$3, E433=""), F433, "")</f>
        <v/>
      </c>
      <c r="B433" t="s">
        <v>461</v>
      </c>
      <c r="C433" t="str">
        <f ca="1">INDIRECT($F$292 &amp; ADDRESS(B429, 1,4  ))</f>
        <v>Surveyor</v>
      </c>
      <c r="D433" t="str">
        <f>ADDRESS(B429, 6,4  )</f>
        <v>F35</v>
      </c>
      <c r="E433">
        <f t="shared" ca="1" si="189"/>
        <v>0</v>
      </c>
      <c r="F433" t="str">
        <f ca="1">CONCATENATE("Enter a '10% Carryover Actual Incurred Costs' value for '", C433, "' in cell ", D433, ".", CHAR(10))</f>
        <v xml:space="preserve">Enter a '10% Carryover Actual Incurred Costs' value for 'Surveyor' in cell F35.
</v>
      </c>
      <c r="G433" s="9" t="str">
        <f t="shared" ca="1" si="190"/>
        <v xml:space="preserve">The total of development budget in column B must be greater than zero.
</v>
      </c>
    </row>
    <row r="434" spans="1:7" ht="15" customHeight="1">
      <c r="A434" t="str">
        <f ca="1">IF(E434="", F434, "")</f>
        <v/>
      </c>
      <c r="B434" s="52">
        <f>B429+1</f>
        <v>36</v>
      </c>
      <c r="C434" t="str">
        <f ca="1">INDIRECT($F$292 &amp; ADDRESS(B434, 1,4  ))</f>
        <v>Attorney, Real Estate</v>
      </c>
      <c r="D434" t="str">
        <f>ADDRESS(B434, 2,4  )</f>
        <v>B36</v>
      </c>
      <c r="E434">
        <f t="shared" ca="1" si="189"/>
        <v>0</v>
      </c>
      <c r="F434" t="str">
        <f ca="1">CONCATENATE("Enter a value for '", C434, "' in cell ", D434, ".", CHAR(10))</f>
        <v xml:space="preserve">Enter a value for 'Attorney, Real Estate' in cell B36.
</v>
      </c>
      <c r="G434" s="9" t="str">
        <f t="shared" ca="1" si="190"/>
        <v xml:space="preserve">The total of development budget in column B must be greater than zero.
</v>
      </c>
    </row>
    <row r="435" spans="1:7" ht="15" customHeight="1">
      <c r="A435" t="str">
        <f ca="1">IF(AND(Calculations!$B$5, E435=""), F435, "")</f>
        <v/>
      </c>
      <c r="B435" t="s">
        <v>461</v>
      </c>
      <c r="C435" t="str">
        <f ca="1">INDIRECT($F$292 &amp; ADDRESS(B434, 1,4  ))</f>
        <v>Attorney, Real Estate</v>
      </c>
      <c r="D435" t="str">
        <f>ADDRESS(B434, 3,4  )</f>
        <v>C36</v>
      </c>
      <c r="E435">
        <f t="shared" ca="1" si="189"/>
        <v>0</v>
      </c>
      <c r="F435" t="str">
        <f ca="1">CONCATENATE("Enter an '4% LIHTC Basis Calculation' value for '", C435, "' in cell ", D435, ".", CHAR(10))</f>
        <v xml:space="preserve">Enter an '4% LIHTC Basis Calculation' value for 'Attorney, Real Estate' in cell C36.
</v>
      </c>
      <c r="G435" s="9" t="str">
        <f t="shared" ca="1" si="190"/>
        <v xml:space="preserve">The total of development budget in column B must be greater than zero.
</v>
      </c>
    </row>
    <row r="436" spans="1:7" ht="15" customHeight="1">
      <c r="A436" t="str">
        <f ca="1">IF(AND(Calculations!$B$6, E436=""), F436, "")</f>
        <v/>
      </c>
      <c r="B436" t="s">
        <v>461</v>
      </c>
      <c r="C436" t="str">
        <f ca="1">INDIRECT($F$292 &amp; ADDRESS(B434, 1,4  ))</f>
        <v>Attorney, Real Estate</v>
      </c>
      <c r="D436" t="str">
        <f>ADDRESS(B434, 4,4  )</f>
        <v>D36</v>
      </c>
      <c r="E436">
        <f t="shared" ca="1" si="189"/>
        <v>0</v>
      </c>
      <c r="F436" t="str">
        <f ca="1">CONCATENATE("Enter an '9% LIHTC Basis Calculation' value for '", C436, "' in cell ", D436, ".", CHAR(10))</f>
        <v xml:space="preserve">Enter an '9% LIHTC Basis Calculation' value for 'Attorney, Real Estate' in cell D36.
</v>
      </c>
      <c r="G436" s="9" t="str">
        <f t="shared" ca="1" si="190"/>
        <v xml:space="preserve">The total of development budget in column B must be greater than zero.
</v>
      </c>
    </row>
    <row r="437" spans="1:7" ht="15" customHeight="1">
      <c r="A437" t="str">
        <f ca="1">IF(AND(OR(Calculations!$B$3:$B$4), E437=""), F437, "")</f>
        <v/>
      </c>
      <c r="B437" t="s">
        <v>461</v>
      </c>
      <c r="C437" t="str">
        <f ca="1">INDIRECT($F$292 &amp; ADDRESS(B434, 1,4  ))</f>
        <v>Attorney, Real Estate</v>
      </c>
      <c r="D437" t="str">
        <f>ADDRESS(B434, 5,4  )</f>
        <v>E36</v>
      </c>
      <c r="E437">
        <f t="shared" ca="1" si="189"/>
        <v>0</v>
      </c>
      <c r="F437" t="str">
        <f ca="1">CONCATENATE("Enter an 'Amount Last Provided to CHFA' value for '", C437, "' in cell ", D437, ".", CHAR(10))</f>
        <v xml:space="preserve">Enter an 'Amount Last Provided to CHFA' value for 'Attorney, Real Estate' in cell E36.
</v>
      </c>
      <c r="G437" s="9" t="str">
        <f t="shared" ca="1" si="190"/>
        <v xml:space="preserve">The total of development budget in column B must be greater than zero.
</v>
      </c>
    </row>
    <row r="438" spans="1:7" ht="15" customHeight="1">
      <c r="A438" t="str">
        <f ca="1">IF(AND(Calculations!$B$3, E438=""), F438, "")</f>
        <v/>
      </c>
      <c r="B438" t="s">
        <v>461</v>
      </c>
      <c r="C438" t="str">
        <f ca="1">INDIRECT($F$292 &amp; ADDRESS(B434, 1,4  ))</f>
        <v>Attorney, Real Estate</v>
      </c>
      <c r="D438" t="str">
        <f>ADDRESS(B434, 6,4  )</f>
        <v>F36</v>
      </c>
      <c r="E438">
        <f t="shared" ca="1" si="189"/>
        <v>0</v>
      </c>
      <c r="F438" t="str">
        <f ca="1">CONCATENATE("Enter a '10% Carryover Actual Incurred Costs' value for '", C438, "' in cell ", D438, ".", CHAR(10))</f>
        <v xml:space="preserve">Enter a '10% Carryover Actual Incurred Costs' value for 'Attorney, Real Estate' in cell F36.
</v>
      </c>
      <c r="G438" s="9" t="str">
        <f t="shared" ca="1" si="190"/>
        <v xml:space="preserve">The total of development budget in column B must be greater than zero.
</v>
      </c>
    </row>
    <row r="439" spans="1:7" ht="15" customHeight="1">
      <c r="A439" t="str">
        <f ca="1">IF(E439="", F439, "")</f>
        <v/>
      </c>
      <c r="B439" s="52">
        <f>B434+1</f>
        <v>37</v>
      </c>
      <c r="C439" t="str">
        <f ca="1">INDIRECT($F$292 &amp; ADDRESS(B439, 1,4  ))</f>
        <v>Green Consultant</v>
      </c>
      <c r="D439" t="str">
        <f>ADDRESS(B439, 2,4  )</f>
        <v>B37</v>
      </c>
      <c r="E439">
        <f t="shared" ca="1" si="189"/>
        <v>0</v>
      </c>
      <c r="F439" t="str">
        <f ca="1">CONCATENATE("Enter a value for '", C439, "' in cell ", D439, ".", CHAR(10))</f>
        <v xml:space="preserve">Enter a value for 'Green Consultant' in cell B37.
</v>
      </c>
      <c r="G439" s="9" t="str">
        <f t="shared" ca="1" si="190"/>
        <v xml:space="preserve">The total of development budget in column B must be greater than zero.
</v>
      </c>
    </row>
    <row r="440" spans="1:7" ht="15" customHeight="1">
      <c r="A440" t="str">
        <f ca="1">IF(AND(Calculations!$B$5, E440=""), F440, "")</f>
        <v/>
      </c>
      <c r="B440" t="s">
        <v>461</v>
      </c>
      <c r="C440" t="str">
        <f ca="1">INDIRECT($F$292 &amp; ADDRESS(B439, 1,4  ))</f>
        <v>Green Consultant</v>
      </c>
      <c r="D440" t="str">
        <f>ADDRESS(B439, 3,4  )</f>
        <v>C37</v>
      </c>
      <c r="E440">
        <f t="shared" ca="1" si="189"/>
        <v>0</v>
      </c>
      <c r="F440" t="str">
        <f ca="1">CONCATENATE("Enter an '4% LIHTC Basis Calculation' value for '", C440, "' in cell ", D440, ".", CHAR(10))</f>
        <v xml:space="preserve">Enter an '4% LIHTC Basis Calculation' value for 'Green Consultant' in cell C37.
</v>
      </c>
      <c r="G440" s="9" t="str">
        <f t="shared" ca="1" si="190"/>
        <v xml:space="preserve">The total of development budget in column B must be greater than zero.
</v>
      </c>
    </row>
    <row r="441" spans="1:7" ht="15" customHeight="1">
      <c r="A441" t="str">
        <f ca="1">IF(AND(Calculations!$B$6, E441=""), F441, "")</f>
        <v/>
      </c>
      <c r="B441" t="s">
        <v>461</v>
      </c>
      <c r="C441" t="str">
        <f ca="1">INDIRECT($F$292 &amp; ADDRESS(B439, 1,4  ))</f>
        <v>Green Consultant</v>
      </c>
      <c r="D441" t="str">
        <f>ADDRESS(B439, 4,4  )</f>
        <v>D37</v>
      </c>
      <c r="E441">
        <f t="shared" ca="1" si="189"/>
        <v>0</v>
      </c>
      <c r="F441" t="str">
        <f ca="1">CONCATENATE("Enter an '9% LIHTC Basis Calculation' value for '", C441, "' in cell ", D441, ".", CHAR(10))</f>
        <v xml:space="preserve">Enter an '9% LIHTC Basis Calculation' value for 'Green Consultant' in cell D37.
</v>
      </c>
      <c r="G441" s="9" t="str">
        <f t="shared" ca="1" si="190"/>
        <v xml:space="preserve">The total of development budget in column B must be greater than zero.
</v>
      </c>
    </row>
    <row r="442" spans="1:7" ht="15" customHeight="1">
      <c r="A442" t="str">
        <f ca="1">IF(AND(OR(Calculations!$B$3:$B$4), E442=""), F442, "")</f>
        <v/>
      </c>
      <c r="B442" t="s">
        <v>461</v>
      </c>
      <c r="C442" t="str">
        <f ca="1">INDIRECT($F$292 &amp; ADDRESS(B439, 1,4  ))</f>
        <v>Green Consultant</v>
      </c>
      <c r="D442" t="str">
        <f>ADDRESS(B439, 5,4  )</f>
        <v>E37</v>
      </c>
      <c r="E442">
        <f t="shared" ca="1" si="189"/>
        <v>0</v>
      </c>
      <c r="F442" t="str">
        <f ca="1">CONCATENATE("Enter an 'Amount Last Provided to CHFA' value for '", C442, "' in cell ", D442, ".", CHAR(10))</f>
        <v xml:space="preserve">Enter an 'Amount Last Provided to CHFA' value for 'Green Consultant' in cell E37.
</v>
      </c>
      <c r="G442" s="9" t="str">
        <f t="shared" ca="1" si="190"/>
        <v xml:space="preserve">The total of development budget in column B must be greater than zero.
</v>
      </c>
    </row>
    <row r="443" spans="1:7" ht="15" customHeight="1">
      <c r="A443" t="str">
        <f ca="1">IF(AND(Calculations!$B$3, E443=""), F443, "")</f>
        <v/>
      </c>
      <c r="B443" t="s">
        <v>461</v>
      </c>
      <c r="C443" t="str">
        <f ca="1">INDIRECT($F$292 &amp; ADDRESS(B439, 1,4  ))</f>
        <v>Green Consultant</v>
      </c>
      <c r="D443" t="str">
        <f>ADDRESS(B439, 6,4  )</f>
        <v>F37</v>
      </c>
      <c r="E443">
        <f t="shared" ca="1" si="189"/>
        <v>0</v>
      </c>
      <c r="F443" t="str">
        <f ca="1">CONCATENATE("Enter a '10% Carryover Actual Incurred Costs' value for '", C443, "' in cell ", D443, ".", CHAR(10))</f>
        <v xml:space="preserve">Enter a '10% Carryover Actual Incurred Costs' value for 'Green Consultant' in cell F37.
</v>
      </c>
      <c r="G443" s="9" t="str">
        <f t="shared" ca="1" si="190"/>
        <v xml:space="preserve">The total of development budget in column B must be greater than zero.
</v>
      </c>
    </row>
    <row r="444" spans="1:7" ht="15" customHeight="1">
      <c r="A444" t="str">
        <f ca="1">IF(E444="", F444, "")</f>
        <v/>
      </c>
      <c r="B444" s="52">
        <f>B439+1</f>
        <v>38</v>
      </c>
      <c r="C444" t="str">
        <f ca="1">INDIRECT($F$292 &amp; ADDRESS(B444, 1,4  ))</f>
        <v>Green Charrette</v>
      </c>
      <c r="D444" t="str">
        <f>ADDRESS(B444, 2,4  )</f>
        <v>B38</v>
      </c>
      <c r="E444">
        <f t="shared" ca="1" si="189"/>
        <v>0</v>
      </c>
      <c r="F444" t="str">
        <f ca="1">CONCATENATE("Enter a value for '", C444, "' in cell ", D444, ".", CHAR(10))</f>
        <v xml:space="preserve">Enter a value for 'Green Charrette' in cell B38.
</v>
      </c>
      <c r="G444" s="9" t="str">
        <f t="shared" ca="1" si="190"/>
        <v xml:space="preserve">The total of development budget in column B must be greater than zero.
</v>
      </c>
    </row>
    <row r="445" spans="1:7" ht="15" customHeight="1">
      <c r="A445" t="str">
        <f ca="1">IF(AND(Calculations!$B$5, E445=""), F445, "")</f>
        <v/>
      </c>
      <c r="B445" t="s">
        <v>461</v>
      </c>
      <c r="C445" t="str">
        <f ca="1">INDIRECT($F$292 &amp; ADDRESS(B444, 1,4  ))</f>
        <v>Green Charrette</v>
      </c>
      <c r="D445" t="str">
        <f>ADDRESS(B444, 3,4  )</f>
        <v>C38</v>
      </c>
      <c r="E445">
        <f t="shared" ca="1" si="189"/>
        <v>0</v>
      </c>
      <c r="F445" t="str">
        <f ca="1">CONCATENATE("Enter an '4% LIHTC Basis Calculation' value for '", C445, "' in cell ", D445, ".", CHAR(10))</f>
        <v xml:space="preserve">Enter an '4% LIHTC Basis Calculation' value for 'Green Charrette' in cell C38.
</v>
      </c>
      <c r="G445" s="9" t="str">
        <f t="shared" ca="1" si="190"/>
        <v xml:space="preserve">The total of development budget in column B must be greater than zero.
</v>
      </c>
    </row>
    <row r="446" spans="1:7" ht="15" customHeight="1">
      <c r="A446" t="str">
        <f ca="1">IF(AND(Calculations!$B$6, E446=""), F446, "")</f>
        <v/>
      </c>
      <c r="B446" t="s">
        <v>461</v>
      </c>
      <c r="C446" t="str">
        <f ca="1">INDIRECT($F$292 &amp; ADDRESS(B444, 1,4  ))</f>
        <v>Green Charrette</v>
      </c>
      <c r="D446" t="str">
        <f>ADDRESS(B444, 4,4  )</f>
        <v>D38</v>
      </c>
      <c r="E446">
        <f t="shared" ca="1" si="189"/>
        <v>0</v>
      </c>
      <c r="F446" t="str">
        <f ca="1">CONCATENATE("Enter an '9% LIHTC Basis Calculation' value for '", C446, "' in cell ", D446, ".", CHAR(10))</f>
        <v xml:space="preserve">Enter an '9% LIHTC Basis Calculation' value for 'Green Charrette' in cell D38.
</v>
      </c>
      <c r="G446" s="9" t="str">
        <f t="shared" ca="1" si="190"/>
        <v xml:space="preserve">The total of development budget in column B must be greater than zero.
</v>
      </c>
    </row>
    <row r="447" spans="1:7" ht="15" customHeight="1">
      <c r="A447" t="str">
        <f ca="1">IF(AND(OR(Calculations!$B$3:$B$4), E447=""), F447, "")</f>
        <v/>
      </c>
      <c r="B447" t="s">
        <v>461</v>
      </c>
      <c r="C447" t="str">
        <f ca="1">INDIRECT($F$292 &amp; ADDRESS(B444, 1,4  ))</f>
        <v>Green Charrette</v>
      </c>
      <c r="D447" t="str">
        <f>ADDRESS(B444, 5,4  )</f>
        <v>E38</v>
      </c>
      <c r="E447">
        <f t="shared" ca="1" si="189"/>
        <v>0</v>
      </c>
      <c r="F447" t="str">
        <f ca="1">CONCATENATE("Enter an 'Amount Last Provided to CHFA' value for '", C447, "' in cell ", D447, ".", CHAR(10))</f>
        <v xml:space="preserve">Enter an 'Amount Last Provided to CHFA' value for 'Green Charrette' in cell E38.
</v>
      </c>
      <c r="G447" s="9" t="str">
        <f t="shared" ca="1" si="190"/>
        <v xml:space="preserve">The total of development budget in column B must be greater than zero.
</v>
      </c>
    </row>
    <row r="448" spans="1:7" ht="15" customHeight="1">
      <c r="A448" t="str">
        <f ca="1">IF(AND(Calculations!$B$3, E448=""), F448, "")</f>
        <v/>
      </c>
      <c r="B448" t="s">
        <v>461</v>
      </c>
      <c r="C448" t="str">
        <f ca="1">INDIRECT($F$292 &amp; ADDRESS(B444, 1,4  ))</f>
        <v>Green Charrette</v>
      </c>
      <c r="D448" t="str">
        <f>ADDRESS(B444, 6,4  )</f>
        <v>F38</v>
      </c>
      <c r="E448">
        <f t="shared" ca="1" si="189"/>
        <v>0</v>
      </c>
      <c r="F448" t="str">
        <f ca="1">CONCATENATE("Enter a '10% Carryover Actual Incurred Costs' value for '", C448, "' in cell ", D448, ".", CHAR(10))</f>
        <v xml:space="preserve">Enter a '10% Carryover Actual Incurred Costs' value for 'Green Charrette' in cell F38.
</v>
      </c>
      <c r="G448" s="9" t="str">
        <f t="shared" ca="1" si="190"/>
        <v xml:space="preserve">The total of development budget in column B must be greater than zero.
</v>
      </c>
    </row>
    <row r="449" spans="1:7" ht="15" customHeight="1">
      <c r="A449" t="str">
        <f ca="1">IF(E449="", F449, "")</f>
        <v/>
      </c>
      <c r="B449" s="52">
        <f>B444+1</f>
        <v>39</v>
      </c>
      <c r="C449" t="str">
        <f ca="1">INDIRECT($F$292 &amp; ADDRESS(B449, 1,4  ))</f>
        <v>Construction Accounting</v>
      </c>
      <c r="D449" t="str">
        <f>ADDRESS(B449, 2,4  )</f>
        <v>B39</v>
      </c>
      <c r="E449">
        <f t="shared" ca="1" si="189"/>
        <v>0</v>
      </c>
      <c r="F449" t="str">
        <f ca="1">CONCATENATE("Enter a value for '", C449, "' in cell ", D449, ".", CHAR(10))</f>
        <v xml:space="preserve">Enter a value for 'Construction Accounting' in cell B39.
</v>
      </c>
      <c r="G449" s="9" t="str">
        <f t="shared" ca="1" si="190"/>
        <v xml:space="preserve">The total of development budget in column B must be greater than zero.
</v>
      </c>
    </row>
    <row r="450" spans="1:7" ht="15" customHeight="1">
      <c r="A450" t="str">
        <f ca="1">IF(AND(Calculations!$B$5, E450=""), F450, "")</f>
        <v/>
      </c>
      <c r="B450" t="s">
        <v>461</v>
      </c>
      <c r="C450" t="str">
        <f ca="1">INDIRECT($F$292 &amp; ADDRESS(B449, 1,4  ))</f>
        <v>Construction Accounting</v>
      </c>
      <c r="D450" t="str">
        <f>ADDRESS(B449, 3,4  )</f>
        <v>C39</v>
      </c>
      <c r="E450">
        <f t="shared" ca="1" si="189"/>
        <v>0</v>
      </c>
      <c r="F450" t="str">
        <f ca="1">CONCATENATE("Enter an '4% LIHTC Basis Calculation' value for '", C450, "' in cell ", D450, ".", CHAR(10))</f>
        <v xml:space="preserve">Enter an '4% LIHTC Basis Calculation' value for 'Construction Accounting' in cell C39.
</v>
      </c>
      <c r="G450" s="9" t="str">
        <f t="shared" ca="1" si="190"/>
        <v xml:space="preserve">The total of development budget in column B must be greater than zero.
</v>
      </c>
    </row>
    <row r="451" spans="1:7" ht="15" customHeight="1">
      <c r="A451" t="str">
        <f ca="1">IF(AND(Calculations!$B$6, E451=""), F451, "")</f>
        <v/>
      </c>
      <c r="B451" t="s">
        <v>461</v>
      </c>
      <c r="C451" t="str">
        <f ca="1">INDIRECT($F$292 &amp; ADDRESS(B449, 1,4  ))</f>
        <v>Construction Accounting</v>
      </c>
      <c r="D451" t="str">
        <f>ADDRESS(B449, 4,4  )</f>
        <v>D39</v>
      </c>
      <c r="E451">
        <f t="shared" ca="1" si="189"/>
        <v>0</v>
      </c>
      <c r="F451" t="str">
        <f ca="1">CONCATENATE("Enter an '9% LIHTC Basis Calculation' value for '", C451, "' in cell ", D451, ".", CHAR(10))</f>
        <v xml:space="preserve">Enter an '9% LIHTC Basis Calculation' value for 'Construction Accounting' in cell D39.
</v>
      </c>
      <c r="G451" s="9" t="str">
        <f t="shared" ca="1" si="190"/>
        <v xml:space="preserve">The total of development budget in column B must be greater than zero.
</v>
      </c>
    </row>
    <row r="452" spans="1:7" ht="15" customHeight="1">
      <c r="A452" t="str">
        <f ca="1">IF(AND(OR(Calculations!$B$3:$B$4), E452=""), F452, "")</f>
        <v/>
      </c>
      <c r="B452" t="s">
        <v>461</v>
      </c>
      <c r="C452" t="str">
        <f ca="1">INDIRECT($F$292 &amp; ADDRESS(B449, 1,4  ))</f>
        <v>Construction Accounting</v>
      </c>
      <c r="D452" t="str">
        <f>ADDRESS(B449, 5,4  )</f>
        <v>E39</v>
      </c>
      <c r="E452">
        <f t="shared" ca="1" si="189"/>
        <v>0</v>
      </c>
      <c r="F452" t="str">
        <f ca="1">CONCATENATE("Enter an 'Amount Last Provided to CHFA' value for '", C452, "' in cell ", D452, ".", CHAR(10))</f>
        <v xml:space="preserve">Enter an 'Amount Last Provided to CHFA' value for 'Construction Accounting' in cell E39.
</v>
      </c>
      <c r="G452" s="9" t="str">
        <f t="shared" ca="1" si="190"/>
        <v xml:space="preserve">The total of development budget in column B must be greater than zero.
</v>
      </c>
    </row>
    <row r="453" spans="1:7" ht="15" customHeight="1">
      <c r="A453" t="str">
        <f ca="1">IF(AND(Calculations!$B$3, E453=""), F453, "")</f>
        <v/>
      </c>
      <c r="B453" t="s">
        <v>461</v>
      </c>
      <c r="C453" t="str">
        <f ca="1">INDIRECT($F$292 &amp; ADDRESS(B449, 1,4  ))</f>
        <v>Construction Accounting</v>
      </c>
      <c r="D453" t="str">
        <f>ADDRESS(B449, 6,4  )</f>
        <v>F39</v>
      </c>
      <c r="E453">
        <f t="shared" ref="E453:E458" ca="1" si="191">IF(ISBLANK( INDIRECT($F$292 &amp; D453)),"", INDIRECT($F$292 &amp; D453))</f>
        <v>0</v>
      </c>
      <c r="F453" t="str">
        <f ca="1">CONCATENATE("Enter a '10% Carryover Actual Incurred Costs' value for '", C453, "' in cell ", D453, ".", CHAR(10))</f>
        <v xml:space="preserve">Enter a '10% Carryover Actual Incurred Costs' value for 'Construction Accounting' in cell F39.
</v>
      </c>
      <c r="G453" s="9" t="str">
        <f t="shared" ca="1" si="190"/>
        <v xml:space="preserve">The total of development budget in column B must be greater than zero.
</v>
      </c>
    </row>
    <row r="454" spans="1:7" ht="15" customHeight="1">
      <c r="A454" t="str">
        <f ca="1">IF(E454="", F454, "")</f>
        <v/>
      </c>
      <c r="B454" s="52">
        <f>B449+1</f>
        <v>40</v>
      </c>
      <c r="C454" t="str">
        <f ca="1">INDIRECT($F$292 &amp; ADDRESS(B454, 1,4  ))</f>
        <v>Other (Specify)</v>
      </c>
      <c r="D454" t="str">
        <f>ADDRESS(B454, 2,4  )</f>
        <v>B40</v>
      </c>
      <c r="E454">
        <f t="shared" ca="1" si="191"/>
        <v>0</v>
      </c>
      <c r="F454" t="str">
        <f ca="1">CONCATENATE("Enter a value for '", C454, "' in cell ", D454, ".", CHAR(10))</f>
        <v xml:space="preserve">Enter a value for 'Other (Specify)' in cell B40.
</v>
      </c>
      <c r="G454" s="9" t="str">
        <f t="shared" ca="1" si="190"/>
        <v xml:space="preserve">The total of development budget in column B must be greater than zero.
</v>
      </c>
    </row>
    <row r="455" spans="1:7" ht="15" customHeight="1">
      <c r="A455" t="str">
        <f ca="1">IF(AND(Calculations!$B$5, E455=""), F455, "")</f>
        <v/>
      </c>
      <c r="B455" t="s">
        <v>461</v>
      </c>
      <c r="C455" t="str">
        <f ca="1">INDIRECT($F$292 &amp; ADDRESS(B454, 1,4  ))</f>
        <v>Other (Specify)</v>
      </c>
      <c r="D455" t="str">
        <f>ADDRESS(B454, 3,4  )</f>
        <v>C40</v>
      </c>
      <c r="E455">
        <f t="shared" ca="1" si="191"/>
        <v>0</v>
      </c>
      <c r="F455" t="str">
        <f ca="1">CONCATENATE("Enter an '4% LIHTC Basis Calculation' value for '", C455, "' in cell ", D455, ".", CHAR(10))</f>
        <v xml:space="preserve">Enter an '4% LIHTC Basis Calculation' value for 'Other (Specify)' in cell C40.
</v>
      </c>
      <c r="G455" s="9" t="str">
        <f t="shared" ca="1" si="190"/>
        <v xml:space="preserve">The total of development budget in column B must be greater than zero.
</v>
      </c>
    </row>
    <row r="456" spans="1:7" ht="15" customHeight="1">
      <c r="A456" t="str">
        <f ca="1">IF(AND(Calculations!$B$6, E456=""), F456, "")</f>
        <v/>
      </c>
      <c r="B456" t="s">
        <v>461</v>
      </c>
      <c r="C456" t="str">
        <f ca="1">INDIRECT($F$292 &amp; ADDRESS(B454, 1,4  ))</f>
        <v>Other (Specify)</v>
      </c>
      <c r="D456" t="str">
        <f>ADDRESS(B454, 4,4  )</f>
        <v>D40</v>
      </c>
      <c r="E456">
        <f t="shared" ca="1" si="191"/>
        <v>0</v>
      </c>
      <c r="F456" t="str">
        <f ca="1">CONCATENATE("Enter an '9% LIHTC Basis Calculation' value for '", C456, "' in cell ", D456, ".", CHAR(10))</f>
        <v xml:space="preserve">Enter an '9% LIHTC Basis Calculation' value for 'Other (Specify)' in cell D40.
</v>
      </c>
      <c r="G456" s="9" t="str">
        <f t="shared" ca="1" si="190"/>
        <v xml:space="preserve">The total of development budget in column B must be greater than zero.
</v>
      </c>
    </row>
    <row r="457" spans="1:7" ht="15" customHeight="1">
      <c r="A457" t="str">
        <f ca="1">IF(AND(OR(Calculations!$B$3:$B$4), E457=""), F457, "")</f>
        <v/>
      </c>
      <c r="B457" t="s">
        <v>461</v>
      </c>
      <c r="C457" t="str">
        <f ca="1">INDIRECT($F$292 &amp; ADDRESS(B454, 1,4  ))</f>
        <v>Other (Specify)</v>
      </c>
      <c r="D457" t="str">
        <f>ADDRESS(B454, 5,4  )</f>
        <v>E40</v>
      </c>
      <c r="E457">
        <f t="shared" ca="1" si="191"/>
        <v>0</v>
      </c>
      <c r="F457" t="str">
        <f ca="1">CONCATENATE("Enter an 'Amount Last Provided to CHFA' value for '", C457, "' in cell ", D457, ".", CHAR(10))</f>
        <v xml:space="preserve">Enter an 'Amount Last Provided to CHFA' value for 'Other (Specify)' in cell E40.
</v>
      </c>
      <c r="G457" s="9" t="str">
        <f t="shared" ca="1" si="190"/>
        <v xml:space="preserve">The total of development budget in column B must be greater than zero.
</v>
      </c>
    </row>
    <row r="458" spans="1:7" ht="15" customHeight="1">
      <c r="A458" t="str">
        <f ca="1">IF(AND(Calculations!$B$3, E458=""), F458, "")</f>
        <v/>
      </c>
      <c r="B458" t="s">
        <v>461</v>
      </c>
      <c r="C458" t="str">
        <f ca="1">INDIRECT($F$292 &amp; ADDRESS(B454, 1,4  ))</f>
        <v>Other (Specify)</v>
      </c>
      <c r="D458" t="str">
        <f>ADDRESS(B454, 6,4  )</f>
        <v>F40</v>
      </c>
      <c r="E458">
        <f t="shared" ca="1" si="191"/>
        <v>0</v>
      </c>
      <c r="F458" t="str">
        <f ca="1">CONCATENATE("Enter a '10% Carryover Actual Incurred Costs' value for '", C458, "' in cell ", D458, ".", CHAR(10))</f>
        <v xml:space="preserve">Enter a '10% Carryover Actual Incurred Costs' value for 'Other (Specify)' in cell F40.
</v>
      </c>
      <c r="G458" s="9" t="str">
        <f t="shared" ca="1" si="190"/>
        <v xml:space="preserve">The total of development budget in column B must be greater than zero.
</v>
      </c>
    </row>
    <row r="459" spans="1:7" ht="15" customHeight="1">
      <c r="A459" t="str">
        <f ca="1">IF(AND(E459, SUM(E454:E458) &gt; 0), F459, "")</f>
        <v/>
      </c>
      <c r="C459" t="str">
        <f ca="1">INDIRECT($F$292 &amp; ADDRESS(B454, 1,4  ))</f>
        <v>Other (Specify)</v>
      </c>
      <c r="D459" t="str">
        <f>ADDRESS(B454, 1,4  )</f>
        <v>A40</v>
      </c>
      <c r="E459" t="b">
        <f ca="1">INDIRECT($F$292 &amp; D459)="Other (specify)"</f>
        <v>1</v>
      </c>
      <c r="F459" t="str">
        <f ca="1">CONCATENATE("Please specify value for '", C459, "' in cell ", D459, ".", CHAR(10))</f>
        <v xml:space="preserve">Please specify value for 'Other (Specify)' in cell A40.
</v>
      </c>
      <c r="G459" s="9" t="str">
        <f t="shared" ca="1" si="190"/>
        <v xml:space="preserve">The total of development budget in column B must be greater than zero.
</v>
      </c>
    </row>
    <row r="460" spans="1:7" ht="15" customHeight="1">
      <c r="A460" t="str">
        <f ca="1">IF(E460="", F460, "")</f>
        <v/>
      </c>
      <c r="B460" s="52">
        <f>B454+1</f>
        <v>41</v>
      </c>
      <c r="C460" t="str">
        <f ca="1">INDIRECT($F$292 &amp; ADDRESS(B460, 1,4  ))</f>
        <v>Other (Specify)</v>
      </c>
      <c r="D460" t="str">
        <f>ADDRESS(B460, 2,4  )</f>
        <v>B41</v>
      </c>
      <c r="E460">
        <f ca="1">IF(ISBLANK( INDIRECT($F$292 &amp; D460)),"", INDIRECT($F$292 &amp; D460))</f>
        <v>0</v>
      </c>
      <c r="F460" t="str">
        <f ca="1">CONCATENATE("Enter a value for '", C460, "' in cell ", D460, ".", CHAR(10))</f>
        <v xml:space="preserve">Enter a value for 'Other (Specify)' in cell B41.
</v>
      </c>
      <c r="G460" s="9" t="str">
        <f t="shared" ca="1" si="190"/>
        <v xml:space="preserve">The total of development budget in column B must be greater than zero.
</v>
      </c>
    </row>
    <row r="461" spans="1:7" ht="15" customHeight="1">
      <c r="A461" t="str">
        <f ca="1">IF(AND(Calculations!$B$5, E461=""), F461, "")</f>
        <v/>
      </c>
      <c r="B461" t="s">
        <v>461</v>
      </c>
      <c r="C461" t="str">
        <f ca="1">INDIRECT($F$292 &amp; ADDRESS(B460, 1,4  ))</f>
        <v>Other (Specify)</v>
      </c>
      <c r="D461" t="str">
        <f>ADDRESS(B460, 3,4  )</f>
        <v>C41</v>
      </c>
      <c r="E461">
        <f ca="1">IF(ISBLANK( INDIRECT($F$292 &amp; D461)),"", INDIRECT($F$292 &amp; D461))</f>
        <v>0</v>
      </c>
      <c r="F461" t="str">
        <f ca="1">CONCATENATE("Enter an '4% LIHTC Basis Calculation' value for '", C461, "' in cell ", D461, ".", CHAR(10))</f>
        <v xml:space="preserve">Enter an '4% LIHTC Basis Calculation' value for 'Other (Specify)' in cell C41.
</v>
      </c>
      <c r="G461" s="9" t="str">
        <f t="shared" ca="1" si="190"/>
        <v xml:space="preserve">The total of development budget in column B must be greater than zero.
</v>
      </c>
    </row>
    <row r="462" spans="1:7" ht="15" customHeight="1">
      <c r="A462" t="str">
        <f ca="1">IF(AND(Calculations!$B$6, E462=""), F462, "")</f>
        <v/>
      </c>
      <c r="B462" t="s">
        <v>461</v>
      </c>
      <c r="C462" t="str">
        <f ca="1">INDIRECT($F$292 &amp; ADDRESS(B460, 1,4  ))</f>
        <v>Other (Specify)</v>
      </c>
      <c r="D462" t="str">
        <f>ADDRESS(B460, 4,4  )</f>
        <v>D41</v>
      </c>
      <c r="E462">
        <f ca="1">IF(ISBLANK( INDIRECT($F$292 &amp; D462)),"", INDIRECT($F$292 &amp; D462))</f>
        <v>0</v>
      </c>
      <c r="F462" t="str">
        <f ca="1">CONCATENATE("Enter an '9% LIHTC Basis Calculation' value for '", C462, "' in cell ", D462, ".", CHAR(10))</f>
        <v xml:space="preserve">Enter an '9% LIHTC Basis Calculation' value for 'Other (Specify)' in cell D41.
</v>
      </c>
      <c r="G462" s="9" t="str">
        <f t="shared" ca="1" si="190"/>
        <v xml:space="preserve">The total of development budget in column B must be greater than zero.
</v>
      </c>
    </row>
    <row r="463" spans="1:7" ht="15" customHeight="1">
      <c r="A463" t="str">
        <f ca="1">IF(AND(OR(Calculations!$B$3:$B$4), E463=""), F463, "")</f>
        <v/>
      </c>
      <c r="B463" t="s">
        <v>461</v>
      </c>
      <c r="C463" t="str">
        <f ca="1">INDIRECT($F$292 &amp; ADDRESS(B460, 1,4  ))</f>
        <v>Other (Specify)</v>
      </c>
      <c r="D463" t="str">
        <f>ADDRESS(B460, 5,4  )</f>
        <v>E41</v>
      </c>
      <c r="E463">
        <f ca="1">IF(ISBLANK( INDIRECT($F$292 &amp; D463)),"", INDIRECT($F$292 &amp; D463))</f>
        <v>0</v>
      </c>
      <c r="F463" t="str">
        <f ca="1">CONCATENATE("Enter an 'Amount Last Provided to CHFA' value for '", C463, "' in cell ", D463, ".", CHAR(10))</f>
        <v xml:space="preserve">Enter an 'Amount Last Provided to CHFA' value for 'Other (Specify)' in cell E41.
</v>
      </c>
      <c r="G463" s="9" t="str">
        <f t="shared" ca="1" si="190"/>
        <v xml:space="preserve">The total of development budget in column B must be greater than zero.
</v>
      </c>
    </row>
    <row r="464" spans="1:7" ht="15" customHeight="1">
      <c r="A464" t="str">
        <f ca="1">IF(AND(Calculations!$B$3, E464=""), F464, "")</f>
        <v/>
      </c>
      <c r="B464" t="s">
        <v>461</v>
      </c>
      <c r="C464" t="str">
        <f ca="1">INDIRECT($F$292 &amp; ADDRESS(B460, 1,4  ))</f>
        <v>Other (Specify)</v>
      </c>
      <c r="D464" t="str">
        <f>ADDRESS(B460, 6,4  )</f>
        <v>F41</v>
      </c>
      <c r="E464">
        <f ca="1">IF(ISBLANK( INDIRECT($F$292 &amp; D464)),"", INDIRECT($F$292 &amp; D464))</f>
        <v>0</v>
      </c>
      <c r="F464" t="str">
        <f ca="1">CONCATENATE("Enter a '10% Carryover Actual Incurred Costs' value for '", C464, "' in cell ", D464, ".", CHAR(10))</f>
        <v xml:space="preserve">Enter a '10% Carryover Actual Incurred Costs' value for 'Other (Specify)' in cell F41.
</v>
      </c>
      <c r="G464" s="9" t="str">
        <f t="shared" ca="1" si="190"/>
        <v xml:space="preserve">The total of development budget in column B must be greater than zero.
</v>
      </c>
    </row>
    <row r="465" spans="1:7" ht="15" customHeight="1">
      <c r="A465" t="str">
        <f ca="1">IF(AND(E465, SUM(E460:E464) &gt; 0), F465, "")</f>
        <v/>
      </c>
      <c r="C465" t="str">
        <f ca="1">INDIRECT($F$292 &amp; ADDRESS(B460, 1,4  ))</f>
        <v>Other (Specify)</v>
      </c>
      <c r="D465" t="str">
        <f>ADDRESS(B460, 1,4  )</f>
        <v>A41</v>
      </c>
      <c r="E465" t="b">
        <f ca="1">INDIRECT($F$292 &amp; D465)="Other (specify)"</f>
        <v>1</v>
      </c>
      <c r="F465" t="str">
        <f ca="1">CONCATENATE("Please specify value for '", C465, "' in cell ", D465, ".", CHAR(10))</f>
        <v xml:space="preserve">Please specify value for 'Other (Specify)' in cell A41.
</v>
      </c>
      <c r="G465" s="9" t="str">
        <f t="shared" ca="1" si="190"/>
        <v xml:space="preserve">The total of development budget in column B must be greater than zero.
</v>
      </c>
    </row>
    <row r="466" spans="1:7" ht="15" customHeight="1">
      <c r="A466" t="str">
        <f ca="1">IF(E466="", F466, "")</f>
        <v/>
      </c>
      <c r="B466" s="52">
        <f>B460+1</f>
        <v>42</v>
      </c>
      <c r="C466" t="str">
        <f ca="1">INDIRECT($F$292 &amp; ADDRESS(B466, 1,4  ))</f>
        <v>Other (Specify)</v>
      </c>
      <c r="D466" t="str">
        <f>ADDRESS(B466, 2,4  )</f>
        <v>B42</v>
      </c>
      <c r="E466">
        <f ca="1">IF(ISBLANK( INDIRECT($F$292 &amp; D466)),"", INDIRECT($F$292 &amp; D466))</f>
        <v>0</v>
      </c>
      <c r="F466" t="str">
        <f ca="1">CONCATENATE("Enter a value for '", C466, "' in cell ", D466, ".", CHAR(10))</f>
        <v xml:space="preserve">Enter a value for 'Other (Specify)' in cell B42.
</v>
      </c>
      <c r="G466" s="9" t="str">
        <f t="shared" ca="1" si="190"/>
        <v xml:space="preserve">The total of development budget in column B must be greater than zero.
</v>
      </c>
    </row>
    <row r="467" spans="1:7" ht="15" customHeight="1">
      <c r="A467" t="str">
        <f ca="1">IF(AND(Calculations!$B$5, E467=""), F467, "")</f>
        <v/>
      </c>
      <c r="B467" t="s">
        <v>461</v>
      </c>
      <c r="C467" t="str">
        <f ca="1">INDIRECT($F$292 &amp; ADDRESS(B466, 1,4  ))</f>
        <v>Other (Specify)</v>
      </c>
      <c r="D467" t="str">
        <f>ADDRESS(B466, 3,4  )</f>
        <v>C42</v>
      </c>
      <c r="E467">
        <f ca="1">IF(ISBLANK( INDIRECT($F$292 &amp; D467)),"", INDIRECT($F$292 &amp; D467))</f>
        <v>0</v>
      </c>
      <c r="F467" t="str">
        <f ca="1">CONCATENATE("Enter an '4% LIHTC Basis Calculation' value for '", C467, "' in cell ", D467, ".", CHAR(10))</f>
        <v xml:space="preserve">Enter an '4% LIHTC Basis Calculation' value for 'Other (Specify)' in cell C42.
</v>
      </c>
      <c r="G467" s="9" t="str">
        <f t="shared" ca="1" si="190"/>
        <v xml:space="preserve">The total of development budget in column B must be greater than zero.
</v>
      </c>
    </row>
    <row r="468" spans="1:7" ht="15" customHeight="1">
      <c r="A468" t="str">
        <f ca="1">IF(AND(Calculations!$B$6, E468=""), F468, "")</f>
        <v/>
      </c>
      <c r="B468" t="s">
        <v>461</v>
      </c>
      <c r="C468" t="str">
        <f ca="1">INDIRECT($F$292 &amp; ADDRESS(B466, 1,4  ))</f>
        <v>Other (Specify)</v>
      </c>
      <c r="D468" t="str">
        <f>ADDRESS(B466, 4,4  )</f>
        <v>D42</v>
      </c>
      <c r="E468">
        <f ca="1">IF(ISBLANK( INDIRECT($F$292 &amp; D468)),"", INDIRECT($F$292 &amp; D468))</f>
        <v>0</v>
      </c>
      <c r="F468" t="str">
        <f ca="1">CONCATENATE("Enter an '9% LIHTC Basis Calculation' value for '", C468, "' in cell ", D468, ".", CHAR(10))</f>
        <v xml:space="preserve">Enter an '9% LIHTC Basis Calculation' value for 'Other (Specify)' in cell D42.
</v>
      </c>
      <c r="G468" s="9" t="str">
        <f t="shared" ca="1" si="190"/>
        <v xml:space="preserve">The total of development budget in column B must be greater than zero.
</v>
      </c>
    </row>
    <row r="469" spans="1:7" ht="15" customHeight="1">
      <c r="A469" t="str">
        <f ca="1">IF(AND(OR(Calculations!$B$3:$B$4), E469=""), F469, "")</f>
        <v/>
      </c>
      <c r="B469" t="s">
        <v>461</v>
      </c>
      <c r="C469" t="str">
        <f ca="1">INDIRECT($F$292 &amp; ADDRESS(B466, 1,4  ))</f>
        <v>Other (Specify)</v>
      </c>
      <c r="D469" t="str">
        <f>ADDRESS(B466, 5,4  )</f>
        <v>E42</v>
      </c>
      <c r="E469">
        <f ca="1">IF(ISBLANK( INDIRECT($F$292 &amp; D469)),"", INDIRECT($F$292 &amp; D469))</f>
        <v>0</v>
      </c>
      <c r="F469" t="str">
        <f ca="1">CONCATENATE("Enter an 'Amount Last Provided to CHFA' value for '", C469, "' in cell ", D469, ".", CHAR(10))</f>
        <v xml:space="preserve">Enter an 'Amount Last Provided to CHFA' value for 'Other (Specify)' in cell E42.
</v>
      </c>
      <c r="G469" s="9" t="str">
        <f t="shared" ca="1" si="190"/>
        <v xml:space="preserve">The total of development budget in column B must be greater than zero.
</v>
      </c>
    </row>
    <row r="470" spans="1:7" ht="15" customHeight="1">
      <c r="A470" t="str">
        <f ca="1">IF(AND(Calculations!$B$3, E470=""), F470, "")</f>
        <v/>
      </c>
      <c r="B470" t="s">
        <v>461</v>
      </c>
      <c r="C470" t="str">
        <f ca="1">INDIRECT($F$292 &amp; ADDRESS(B466, 1,4  ))</f>
        <v>Other (Specify)</v>
      </c>
      <c r="D470" t="str">
        <f>ADDRESS(B466, 6,4  )</f>
        <v>F42</v>
      </c>
      <c r="E470">
        <f ca="1">IF(ISBLANK( INDIRECT($F$292 &amp; D470)),"", INDIRECT($F$292 &amp; D470))</f>
        <v>0</v>
      </c>
      <c r="F470" t="str">
        <f ca="1">CONCATENATE("Enter a '10% Carryover Actual Incurred Costs' value for '", C470, "' in cell ", D470, ".", CHAR(10))</f>
        <v xml:space="preserve">Enter a '10% Carryover Actual Incurred Costs' value for 'Other (Specify)' in cell F42.
</v>
      </c>
      <c r="G470" s="9" t="str">
        <f t="shared" ca="1" si="190"/>
        <v xml:space="preserve">The total of development budget in column B must be greater than zero.
</v>
      </c>
    </row>
    <row r="471" spans="1:7" ht="15" customHeight="1">
      <c r="A471" t="str">
        <f ca="1">IF(AND(E471, SUM(E466:E470) &gt; 0), F471, "")</f>
        <v/>
      </c>
      <c r="C471" t="str">
        <f ca="1">INDIRECT($F$292 &amp; ADDRESS(B466, 1,4  ))</f>
        <v>Other (Specify)</v>
      </c>
      <c r="D471" t="str">
        <f>ADDRESS(B466, 1,4  )</f>
        <v>A42</v>
      </c>
      <c r="E471" t="b">
        <f ca="1">INDIRECT($F$292 &amp; D471)="Other (specify)"</f>
        <v>1</v>
      </c>
      <c r="F471" t="str">
        <f ca="1">CONCATENATE("Please specify value for '", C471, "' in cell ", D471, ".", CHAR(10))</f>
        <v xml:space="preserve">Please specify value for 'Other (Specify)' in cell A42.
</v>
      </c>
      <c r="G471" s="9" t="str">
        <f t="shared" ca="1" si="190"/>
        <v xml:space="preserve">The total of development budget in column B must be greater than zero.
</v>
      </c>
    </row>
    <row r="472" spans="1:7" ht="15" customHeight="1">
      <c r="A472" t="str">
        <f ca="1">IF(E472="", F472, "")</f>
        <v/>
      </c>
      <c r="B472">
        <f>ROW('Development Budget'!A45)</f>
        <v>45</v>
      </c>
      <c r="C472" t="str">
        <f ca="1">INDIRECT($F$292 &amp; ADDRESS(B472, 1,4  ))</f>
        <v>Hazard &amp; Liability Insurance</v>
      </c>
      <c r="D472" t="str">
        <f>ADDRESS(B472, 2,4  )</f>
        <v>B45</v>
      </c>
      <c r="E472">
        <f t="shared" ref="E472:E503" ca="1" si="192">IF(ISBLANK( INDIRECT($F$292 &amp; D472)),"", INDIRECT($F$292 &amp; D472))</f>
        <v>0</v>
      </c>
      <c r="F472" t="str">
        <f ca="1">CONCATENATE("Enter a value for '", C472, "' in cell ", D472, ".", CHAR(10))</f>
        <v xml:space="preserve">Enter a value for 'Hazard &amp; Liability Insurance' in cell B45.
</v>
      </c>
      <c r="G472" s="9" t="str">
        <f t="shared" ca="1" si="190"/>
        <v xml:space="preserve">The total of development budget in column B must be greater than zero.
</v>
      </c>
    </row>
    <row r="473" spans="1:7" ht="15" customHeight="1">
      <c r="A473" t="str">
        <f ca="1">IF(AND(Calculations!$B$5, E473=""), F473, "")</f>
        <v/>
      </c>
      <c r="B473" t="s">
        <v>461</v>
      </c>
      <c r="C473" t="str">
        <f ca="1">INDIRECT($F$292 &amp; ADDRESS(B472, 1,4  ))</f>
        <v>Hazard &amp; Liability Insurance</v>
      </c>
      <c r="D473" t="str">
        <f>ADDRESS(B472, 3,4  )</f>
        <v>C45</v>
      </c>
      <c r="E473">
        <f t="shared" ca="1" si="192"/>
        <v>0</v>
      </c>
      <c r="F473" t="str">
        <f ca="1">CONCATENATE("Enter an '4% LIHTC Basis Calculation' value for '", C473, "' in cell ", D473, ".", CHAR(10))</f>
        <v xml:space="preserve">Enter an '4% LIHTC Basis Calculation' value for 'Hazard &amp; Liability Insurance' in cell C45.
</v>
      </c>
      <c r="G473" s="9" t="str">
        <f t="shared" ca="1" si="190"/>
        <v xml:space="preserve">The total of development budget in column B must be greater than zero.
</v>
      </c>
    </row>
    <row r="474" spans="1:7" ht="15" customHeight="1">
      <c r="A474" t="str">
        <f ca="1">IF(AND(Calculations!$B$6, E474=""), F474, "")</f>
        <v/>
      </c>
      <c r="B474" t="s">
        <v>461</v>
      </c>
      <c r="C474" t="str">
        <f ca="1">INDIRECT($F$292 &amp; ADDRESS(B472, 1,4  ))</f>
        <v>Hazard &amp; Liability Insurance</v>
      </c>
      <c r="D474" t="str">
        <f>ADDRESS(B472, 4,4  )</f>
        <v>D45</v>
      </c>
      <c r="E474">
        <f t="shared" ca="1" si="192"/>
        <v>0</v>
      </c>
      <c r="F474" t="str">
        <f ca="1">CONCATENATE("Enter an '9% LIHTC Basis Calculation' value for '", C474, "' in cell ", D474, ".", CHAR(10))</f>
        <v xml:space="preserve">Enter an '9% LIHTC Basis Calculation' value for 'Hazard &amp; Liability Insurance' in cell D45.
</v>
      </c>
      <c r="G474" s="9" t="str">
        <f t="shared" ca="1" si="190"/>
        <v xml:space="preserve">The total of development budget in column B must be greater than zero.
</v>
      </c>
    </row>
    <row r="475" spans="1:7" ht="15" customHeight="1">
      <c r="A475" t="str">
        <f ca="1">IF(AND(OR(Calculations!$B$3:$B$4), E475=""), F475, "")</f>
        <v/>
      </c>
      <c r="B475" t="s">
        <v>461</v>
      </c>
      <c r="C475" t="str">
        <f ca="1">INDIRECT($F$292 &amp; ADDRESS(B472, 1,4  ))</f>
        <v>Hazard &amp; Liability Insurance</v>
      </c>
      <c r="D475" t="str">
        <f>ADDRESS(B472, 5,4  )</f>
        <v>E45</v>
      </c>
      <c r="E475">
        <f t="shared" ca="1" si="192"/>
        <v>0</v>
      </c>
      <c r="F475" t="str">
        <f ca="1">CONCATENATE("Enter an 'Amount Last Provided to CHFA' value for '", C475, "' in cell ", D475, ".", CHAR(10))</f>
        <v xml:space="preserve">Enter an 'Amount Last Provided to CHFA' value for 'Hazard &amp; Liability Insurance' in cell E45.
</v>
      </c>
      <c r="G475" s="9" t="str">
        <f t="shared" ca="1" si="190"/>
        <v xml:space="preserve">The total of development budget in column B must be greater than zero.
</v>
      </c>
    </row>
    <row r="476" spans="1:7" ht="15" customHeight="1">
      <c r="A476" t="str">
        <f ca="1">IF(AND(Calculations!$B$3, E476=""), F476, "")</f>
        <v/>
      </c>
      <c r="B476" t="s">
        <v>461</v>
      </c>
      <c r="C476" t="str">
        <f ca="1">INDIRECT($F$292 &amp; ADDRESS(B472, 1,4  ))</f>
        <v>Hazard &amp; Liability Insurance</v>
      </c>
      <c r="D476" t="str">
        <f>ADDRESS(B472, 6,4  )</f>
        <v>F45</v>
      </c>
      <c r="E476">
        <f t="shared" ca="1" si="192"/>
        <v>0</v>
      </c>
      <c r="F476" t="str">
        <f ca="1">CONCATENATE("Enter a '10% Carryover Actual Incurred Costs' value for '", C476, "' in cell ", D476, ".", CHAR(10))</f>
        <v xml:space="preserve">Enter a '10% Carryover Actual Incurred Costs' value for 'Hazard &amp; Liability Insurance' in cell F45.
</v>
      </c>
      <c r="G476" s="9" t="str">
        <f t="shared" ca="1" si="190"/>
        <v xml:space="preserve">The total of development budget in column B must be greater than zero.
</v>
      </c>
    </row>
    <row r="477" spans="1:7" ht="15" customHeight="1">
      <c r="A477" t="str">
        <f ca="1">IF(E477="", F477, "")</f>
        <v/>
      </c>
      <c r="B477" s="52">
        <f>B472+1</f>
        <v>46</v>
      </c>
      <c r="C477" t="str">
        <f ca="1">INDIRECT($F$292 &amp; ADDRESS(B477, 1,4  ))</f>
        <v>Builder's Risk Insurance</v>
      </c>
      <c r="D477" t="str">
        <f>ADDRESS(B477, 2,4  )</f>
        <v>B46</v>
      </c>
      <c r="E477">
        <f t="shared" ca="1" si="192"/>
        <v>0</v>
      </c>
      <c r="F477" t="str">
        <f ca="1">CONCATENATE("Enter a value for '", C477, "' in cell ", D477, ".", CHAR(10))</f>
        <v xml:space="preserve">Enter a value for 'Builder's Risk Insurance' in cell B46.
</v>
      </c>
      <c r="G477" s="9" t="str">
        <f t="shared" ca="1" si="190"/>
        <v xml:space="preserve">The total of development budget in column B must be greater than zero.
</v>
      </c>
    </row>
    <row r="478" spans="1:7" ht="15" customHeight="1">
      <c r="A478" t="str">
        <f ca="1">IF(AND(Calculations!$B$5, E478=""), F478, "")</f>
        <v/>
      </c>
      <c r="B478" t="s">
        <v>461</v>
      </c>
      <c r="C478" t="str">
        <f ca="1">INDIRECT($F$292 &amp; ADDRESS(B477, 1,4  ))</f>
        <v>Builder's Risk Insurance</v>
      </c>
      <c r="D478" t="str">
        <f>ADDRESS(B477, 3,4  )</f>
        <v>C46</v>
      </c>
      <c r="E478">
        <f t="shared" ca="1" si="192"/>
        <v>0</v>
      </c>
      <c r="F478" t="str">
        <f ca="1">CONCATENATE("Enter an '4% LIHTC Basis Calculation' value for '", C478, "' in cell ", D478, ".", CHAR(10))</f>
        <v xml:space="preserve">Enter an '4% LIHTC Basis Calculation' value for 'Builder's Risk Insurance' in cell C46.
</v>
      </c>
      <c r="G478" s="9" t="str">
        <f t="shared" ca="1" si="190"/>
        <v xml:space="preserve">The total of development budget in column B must be greater than zero.
</v>
      </c>
    </row>
    <row r="479" spans="1:7" ht="15" customHeight="1">
      <c r="A479" t="str">
        <f ca="1">IF(AND(Calculations!$B$6, E479=""), F479, "")</f>
        <v/>
      </c>
      <c r="B479" t="s">
        <v>461</v>
      </c>
      <c r="C479" t="str">
        <f ca="1">INDIRECT($F$292 &amp; ADDRESS(B477, 1,4  ))</f>
        <v>Builder's Risk Insurance</v>
      </c>
      <c r="D479" t="str">
        <f>ADDRESS(B477, 4,4  )</f>
        <v>D46</v>
      </c>
      <c r="E479">
        <f t="shared" ca="1" si="192"/>
        <v>0</v>
      </c>
      <c r="F479" t="str">
        <f ca="1">CONCATENATE("Enter an '9% LIHTC Basis Calculation' value for '", C479, "' in cell ", D479, ".", CHAR(10))</f>
        <v xml:space="preserve">Enter an '9% LIHTC Basis Calculation' value for 'Builder's Risk Insurance' in cell D46.
</v>
      </c>
      <c r="G479" s="9" t="str">
        <f t="shared" ca="1" si="190"/>
        <v xml:space="preserve">The total of development budget in column B must be greater than zero.
</v>
      </c>
    </row>
    <row r="480" spans="1:7" ht="15" customHeight="1">
      <c r="A480" t="str">
        <f ca="1">IF(AND(OR(Calculations!$B$3:$B$4), E480=""), F480, "")</f>
        <v/>
      </c>
      <c r="B480" t="s">
        <v>461</v>
      </c>
      <c r="C480" t="str">
        <f ca="1">INDIRECT($F$292 &amp; ADDRESS(B477, 1,4  ))</f>
        <v>Builder's Risk Insurance</v>
      </c>
      <c r="D480" t="str">
        <f>ADDRESS(B477, 5,4  )</f>
        <v>E46</v>
      </c>
      <c r="E480">
        <f t="shared" ca="1" si="192"/>
        <v>0</v>
      </c>
      <c r="F480" t="str">
        <f ca="1">CONCATENATE("Enter an 'Amount Last Provided to CHFA' value for '", C480, "' in cell ", D480, ".", CHAR(10))</f>
        <v xml:space="preserve">Enter an 'Amount Last Provided to CHFA' value for 'Builder's Risk Insurance' in cell E46.
</v>
      </c>
      <c r="G480" s="9" t="str">
        <f t="shared" ca="1" si="190"/>
        <v xml:space="preserve">The total of development budget in column B must be greater than zero.
</v>
      </c>
    </row>
    <row r="481" spans="1:7" ht="15" customHeight="1">
      <c r="A481" t="str">
        <f ca="1">IF(AND(Calculations!$B$3, E481=""), F481, "")</f>
        <v/>
      </c>
      <c r="B481" t="s">
        <v>461</v>
      </c>
      <c r="C481" t="str">
        <f ca="1">INDIRECT($F$292 &amp; ADDRESS(B477, 1,4  ))</f>
        <v>Builder's Risk Insurance</v>
      </c>
      <c r="D481" t="str">
        <f>ADDRESS(B477, 6,4  )</f>
        <v>F46</v>
      </c>
      <c r="E481">
        <f t="shared" ca="1" si="192"/>
        <v>0</v>
      </c>
      <c r="F481" t="str">
        <f ca="1">CONCATENATE("Enter a '10% Carryover Actual Incurred Costs' value for '", C481, "' in cell ", D481, ".", CHAR(10))</f>
        <v xml:space="preserve">Enter a '10% Carryover Actual Incurred Costs' value for 'Builder's Risk Insurance' in cell F46.
</v>
      </c>
      <c r="G481" s="9" t="str">
        <f t="shared" ca="1" si="190"/>
        <v xml:space="preserve">The total of development budget in column B must be greater than zero.
</v>
      </c>
    </row>
    <row r="482" spans="1:7" ht="15" customHeight="1">
      <c r="A482" t="str">
        <f ca="1">IF(E482="", F482, "")</f>
        <v/>
      </c>
      <c r="B482" s="52">
        <f>B477+1</f>
        <v>47</v>
      </c>
      <c r="C482" t="str">
        <f ca="1">INDIRECT($F$292 &amp; ADDRESS(B482, 1,4  ))</f>
        <v>Perform. &amp; Pymt Bonds</v>
      </c>
      <c r="D482" t="str">
        <f>ADDRESS(B482, 2,4  )</f>
        <v>B47</v>
      </c>
      <c r="E482">
        <f t="shared" ca="1" si="192"/>
        <v>0</v>
      </c>
      <c r="F482" t="str">
        <f ca="1">CONCATENATE("Enter a value for '", C482, "' in cell ", D482, ".", CHAR(10))</f>
        <v xml:space="preserve">Enter a value for 'Perform. &amp; Pymt Bonds' in cell B47.
</v>
      </c>
      <c r="G482" s="9" t="str">
        <f t="shared" ca="1" si="190"/>
        <v xml:space="preserve">The total of development budget in column B must be greater than zero.
</v>
      </c>
    </row>
    <row r="483" spans="1:7" ht="15" customHeight="1">
      <c r="A483" t="str">
        <f ca="1">IF(AND(Calculations!$B$5, E483=""), F483, "")</f>
        <v/>
      </c>
      <c r="B483" t="s">
        <v>461</v>
      </c>
      <c r="C483" t="str">
        <f ca="1">INDIRECT($F$292 &amp; ADDRESS(B482, 1,4  ))</f>
        <v>Perform. &amp; Pymt Bonds</v>
      </c>
      <c r="D483" t="str">
        <f>ADDRESS(B482, 3,4  )</f>
        <v>C47</v>
      </c>
      <c r="E483">
        <f t="shared" ca="1" si="192"/>
        <v>0</v>
      </c>
      <c r="F483" t="str">
        <f ca="1">CONCATENATE("Enter an '4% LIHTC Basis Calculation' value for '", C483, "' in cell ", D483, ".", CHAR(10))</f>
        <v xml:space="preserve">Enter an '4% LIHTC Basis Calculation' value for 'Perform. &amp; Pymt Bonds' in cell C47.
</v>
      </c>
      <c r="G483" s="9" t="str">
        <f t="shared" ca="1" si="190"/>
        <v xml:space="preserve">The total of development budget in column B must be greater than zero.
</v>
      </c>
    </row>
    <row r="484" spans="1:7" ht="15" customHeight="1">
      <c r="A484" t="str">
        <f ca="1">IF(AND(Calculations!$B$6, E484=""), F484, "")</f>
        <v/>
      </c>
      <c r="B484" t="s">
        <v>461</v>
      </c>
      <c r="C484" t="str">
        <f ca="1">INDIRECT($F$292 &amp; ADDRESS(B482, 1,4  ))</f>
        <v>Perform. &amp; Pymt Bonds</v>
      </c>
      <c r="D484" t="str">
        <f>ADDRESS(B482, 4,4  )</f>
        <v>D47</v>
      </c>
      <c r="E484">
        <f t="shared" ca="1" si="192"/>
        <v>0</v>
      </c>
      <c r="F484" t="str">
        <f ca="1">CONCATENATE("Enter an '9% LIHTC Basis Calculation' value for '", C484, "' in cell ", D484, ".", CHAR(10))</f>
        <v xml:space="preserve">Enter an '9% LIHTC Basis Calculation' value for 'Perform. &amp; Pymt Bonds' in cell D47.
</v>
      </c>
      <c r="G484" s="9" t="str">
        <f t="shared" ca="1" si="190"/>
        <v xml:space="preserve">The total of development budget in column B must be greater than zero.
</v>
      </c>
    </row>
    <row r="485" spans="1:7" ht="15" customHeight="1">
      <c r="A485" t="str">
        <f ca="1">IF(AND(OR(Calculations!$B$3:$B$4), E485=""), F485, "")</f>
        <v/>
      </c>
      <c r="B485" t="s">
        <v>461</v>
      </c>
      <c r="C485" t="str">
        <f ca="1">INDIRECT($F$292 &amp; ADDRESS(B482, 1,4  ))</f>
        <v>Perform. &amp; Pymt Bonds</v>
      </c>
      <c r="D485" t="str">
        <f>ADDRESS(B482, 5,4  )</f>
        <v>E47</v>
      </c>
      <c r="E485">
        <f t="shared" ca="1" si="192"/>
        <v>0</v>
      </c>
      <c r="F485" t="str">
        <f ca="1">CONCATENATE("Enter an 'Amount Last Provided to CHFA' value for '", C485, "' in cell ", D485, ".", CHAR(10))</f>
        <v xml:space="preserve">Enter an 'Amount Last Provided to CHFA' value for 'Perform. &amp; Pymt Bonds' in cell E47.
</v>
      </c>
      <c r="G485" s="9" t="str">
        <f t="shared" ref="G485:G553" ca="1" si="193">OFFSET(G485, -1, 0) &amp; A485</f>
        <v xml:space="preserve">The total of development budget in column B must be greater than zero.
</v>
      </c>
    </row>
    <row r="486" spans="1:7" ht="15" customHeight="1">
      <c r="A486" t="str">
        <f ca="1">IF(AND(Calculations!$B$3, E486=""), F486, "")</f>
        <v/>
      </c>
      <c r="B486" t="s">
        <v>461</v>
      </c>
      <c r="C486" t="str">
        <f ca="1">INDIRECT($F$292 &amp; ADDRESS(B482, 1,4  ))</f>
        <v>Perform. &amp; Pymt Bonds</v>
      </c>
      <c r="D486" t="str">
        <f>ADDRESS(B482, 6,4  )</f>
        <v>F47</v>
      </c>
      <c r="E486">
        <f t="shared" ca="1" si="192"/>
        <v>0</v>
      </c>
      <c r="F486" t="str">
        <f ca="1">CONCATENATE("Enter a '10% Carryover Actual Incurred Costs' value for '", C486, "' in cell ", D486, ".", CHAR(10))</f>
        <v xml:space="preserve">Enter a '10% Carryover Actual Incurred Costs' value for 'Perform. &amp; Pymt Bonds' in cell F47.
</v>
      </c>
      <c r="G486" s="9" t="str">
        <f t="shared" ca="1" si="193"/>
        <v xml:space="preserve">The total of development budget in column B must be greater than zero.
</v>
      </c>
    </row>
    <row r="487" spans="1:7" ht="15" customHeight="1">
      <c r="A487" t="str">
        <f ca="1">IF(E487="", F487, "")</f>
        <v/>
      </c>
      <c r="B487" s="52">
        <f>B482+1</f>
        <v>48</v>
      </c>
      <c r="C487" t="str">
        <f ca="1">INDIRECT($F$292 &amp; ADDRESS(B487, 1,4  ))</f>
        <v>Construction Interest</v>
      </c>
      <c r="D487" t="str">
        <f>ADDRESS(B487, 2,4  )</f>
        <v>B48</v>
      </c>
      <c r="E487">
        <f t="shared" ca="1" si="192"/>
        <v>0</v>
      </c>
      <c r="F487" t="str">
        <f ca="1">CONCATENATE("Enter a value for '", C487, "' in cell ", D487, ".", CHAR(10))</f>
        <v xml:space="preserve">Enter a value for 'Construction Interest' in cell B48.
</v>
      </c>
      <c r="G487" s="9" t="str">
        <f t="shared" ca="1" si="193"/>
        <v xml:space="preserve">The total of development budget in column B must be greater than zero.
</v>
      </c>
    </row>
    <row r="488" spans="1:7" ht="15" customHeight="1">
      <c r="A488" t="str">
        <f ca="1">IF(AND(Calculations!$B$5, E488=""), F488, "")</f>
        <v/>
      </c>
      <c r="B488" t="s">
        <v>461</v>
      </c>
      <c r="C488" t="str">
        <f ca="1">INDIRECT($F$292 &amp; ADDRESS(B487, 1,4  ))</f>
        <v>Construction Interest</v>
      </c>
      <c r="D488" t="str">
        <f>ADDRESS(B487, 3,4  )</f>
        <v>C48</v>
      </c>
      <c r="E488">
        <f t="shared" ca="1" si="192"/>
        <v>0</v>
      </c>
      <c r="F488" t="str">
        <f ca="1">CONCATENATE("Enter an '4% LIHTC Basis Calculation' value for '", C488, "' in cell ", D488, ".", CHAR(10))</f>
        <v xml:space="preserve">Enter an '4% LIHTC Basis Calculation' value for 'Construction Interest' in cell C48.
</v>
      </c>
      <c r="G488" s="9" t="str">
        <f t="shared" ca="1" si="193"/>
        <v xml:space="preserve">The total of development budget in column B must be greater than zero.
</v>
      </c>
    </row>
    <row r="489" spans="1:7" ht="15" customHeight="1">
      <c r="A489" t="str">
        <f ca="1">IF(AND(Calculations!$B$6, E489=""), F489, "")</f>
        <v/>
      </c>
      <c r="B489" t="s">
        <v>461</v>
      </c>
      <c r="C489" t="str">
        <f ca="1">INDIRECT($F$292 &amp; ADDRESS(B487, 1,4  ))</f>
        <v>Construction Interest</v>
      </c>
      <c r="D489" t="str">
        <f>ADDRESS(B487, 4,4  )</f>
        <v>D48</v>
      </c>
      <c r="E489">
        <f t="shared" ca="1" si="192"/>
        <v>0</v>
      </c>
      <c r="F489" t="str">
        <f ca="1">CONCATENATE("Enter an '9% LIHTC Basis Calculation' value for '", C489, "' in cell ", D489, ".", CHAR(10))</f>
        <v xml:space="preserve">Enter an '9% LIHTC Basis Calculation' value for 'Construction Interest' in cell D48.
</v>
      </c>
      <c r="G489" s="9" t="str">
        <f t="shared" ca="1" si="193"/>
        <v xml:space="preserve">The total of development budget in column B must be greater than zero.
</v>
      </c>
    </row>
    <row r="490" spans="1:7" ht="15" customHeight="1">
      <c r="A490" t="str">
        <f ca="1">IF(AND(OR(Calculations!$B$3:$B$4), E490=""), F490, "")</f>
        <v/>
      </c>
      <c r="B490" t="s">
        <v>461</v>
      </c>
      <c r="C490" t="str">
        <f ca="1">INDIRECT($F$292 &amp; ADDRESS(B487, 1,4  ))</f>
        <v>Construction Interest</v>
      </c>
      <c r="D490" t="str">
        <f>ADDRESS(B487, 5,4  )</f>
        <v>E48</v>
      </c>
      <c r="E490">
        <f t="shared" ca="1" si="192"/>
        <v>0</v>
      </c>
      <c r="F490" t="str">
        <f ca="1">CONCATENATE("Enter an 'Amount Last Provided to CHFA' value for '", C490, "' in cell ", D490, ".", CHAR(10))</f>
        <v xml:space="preserve">Enter an 'Amount Last Provided to CHFA' value for 'Construction Interest' in cell E48.
</v>
      </c>
      <c r="G490" s="9" t="str">
        <f t="shared" ca="1" si="193"/>
        <v xml:space="preserve">The total of development budget in column B must be greater than zero.
</v>
      </c>
    </row>
    <row r="491" spans="1:7" ht="15" customHeight="1">
      <c r="A491" t="str">
        <f ca="1">IF(AND(Calculations!$B$3, E491=""), F491, "")</f>
        <v/>
      </c>
      <c r="B491" t="s">
        <v>461</v>
      </c>
      <c r="C491" t="str">
        <f ca="1">INDIRECT($F$292 &amp; ADDRESS(B487, 1,4  ))</f>
        <v>Construction Interest</v>
      </c>
      <c r="D491" t="str">
        <f>ADDRESS(B487, 6,4  )</f>
        <v>F48</v>
      </c>
      <c r="E491">
        <f t="shared" ca="1" si="192"/>
        <v>0</v>
      </c>
      <c r="F491" t="str">
        <f ca="1">CONCATENATE("Enter a '10% Carryover Actual Incurred Costs' value for '", C491, "' in cell ", D491, ".", CHAR(10))</f>
        <v xml:space="preserve">Enter a '10% Carryover Actual Incurred Costs' value for 'Construction Interest' in cell F48.
</v>
      </c>
      <c r="G491" s="9" t="str">
        <f t="shared" ca="1" si="193"/>
        <v xml:space="preserve">The total of development budget in column B must be greater than zero.
</v>
      </c>
    </row>
    <row r="492" spans="1:7" ht="15" customHeight="1">
      <c r="A492" t="str">
        <f ca="1">IF(E492="", F492, "")</f>
        <v/>
      </c>
      <c r="B492" s="52">
        <f>B487+1</f>
        <v>49</v>
      </c>
      <c r="C492" t="str">
        <f ca="1">INDIRECT($F$292 &amp; ADDRESS(B492, 1,4  ))</f>
        <v>Constr. Origination Fees</v>
      </c>
      <c r="D492" t="str">
        <f>ADDRESS(B492, 2,4  )</f>
        <v>B49</v>
      </c>
      <c r="E492">
        <f t="shared" ca="1" si="192"/>
        <v>0</v>
      </c>
      <c r="F492" t="str">
        <f ca="1">CONCATENATE("Enter a value for '", C492, "' in cell ", D492, ".", CHAR(10))</f>
        <v xml:space="preserve">Enter a value for 'Constr. Origination Fees' in cell B49.
</v>
      </c>
      <c r="G492" s="9" t="str">
        <f t="shared" ca="1" si="193"/>
        <v xml:space="preserve">The total of development budget in column B must be greater than zero.
</v>
      </c>
    </row>
    <row r="493" spans="1:7" ht="15" customHeight="1">
      <c r="A493" t="str">
        <f ca="1">IF(AND(Calculations!$B$5, E493=""), F493, "")</f>
        <v/>
      </c>
      <c r="B493" t="s">
        <v>461</v>
      </c>
      <c r="C493" t="str">
        <f ca="1">INDIRECT($F$292 &amp; ADDRESS(B492, 1,4  ))</f>
        <v>Constr. Origination Fees</v>
      </c>
      <c r="D493" t="str">
        <f>ADDRESS(B492, 3,4  )</f>
        <v>C49</v>
      </c>
      <c r="E493">
        <f t="shared" ca="1" si="192"/>
        <v>0</v>
      </c>
      <c r="F493" t="str">
        <f ca="1">CONCATENATE("Enter an '4% LIHTC Basis Calculation' value for '", C493, "' in cell ", D493, ".", CHAR(10))</f>
        <v xml:space="preserve">Enter an '4% LIHTC Basis Calculation' value for 'Constr. Origination Fees' in cell C49.
</v>
      </c>
      <c r="G493" s="9" t="str">
        <f t="shared" ca="1" si="193"/>
        <v xml:space="preserve">The total of development budget in column B must be greater than zero.
</v>
      </c>
    </row>
    <row r="494" spans="1:7" ht="15" customHeight="1">
      <c r="A494" t="str">
        <f ca="1">IF(AND(Calculations!$B$6, E494=""), F494, "")</f>
        <v/>
      </c>
      <c r="B494" t="s">
        <v>461</v>
      </c>
      <c r="C494" t="str">
        <f ca="1">INDIRECT($F$292 &amp; ADDRESS(B492, 1,4  ))</f>
        <v>Constr. Origination Fees</v>
      </c>
      <c r="D494" t="str">
        <f>ADDRESS(B492, 4,4  )</f>
        <v>D49</v>
      </c>
      <c r="E494">
        <f t="shared" ca="1" si="192"/>
        <v>0</v>
      </c>
      <c r="F494" t="str">
        <f ca="1">CONCATENATE("Enter an '9% LIHTC Basis Calculation' value for '", C494, "' in cell ", D494, ".", CHAR(10))</f>
        <v xml:space="preserve">Enter an '9% LIHTC Basis Calculation' value for 'Constr. Origination Fees' in cell D49.
</v>
      </c>
      <c r="G494" s="9" t="str">
        <f t="shared" ca="1" si="193"/>
        <v xml:space="preserve">The total of development budget in column B must be greater than zero.
</v>
      </c>
    </row>
    <row r="495" spans="1:7" ht="15" customHeight="1">
      <c r="A495" t="str">
        <f ca="1">IF(AND(OR(Calculations!$B$3:$B$4), E495=""), F495, "")</f>
        <v/>
      </c>
      <c r="B495" t="s">
        <v>461</v>
      </c>
      <c r="C495" t="str">
        <f ca="1">INDIRECT($F$292 &amp; ADDRESS(B492, 1,4  ))</f>
        <v>Constr. Origination Fees</v>
      </c>
      <c r="D495" t="str">
        <f>ADDRESS(B492, 5,4  )</f>
        <v>E49</v>
      </c>
      <c r="E495">
        <f t="shared" ca="1" si="192"/>
        <v>0</v>
      </c>
      <c r="F495" t="str">
        <f ca="1">CONCATENATE("Enter an 'Amount Last Provided to CHFA' value for '", C495, "' in cell ", D495, ".", CHAR(10))</f>
        <v xml:space="preserve">Enter an 'Amount Last Provided to CHFA' value for 'Constr. Origination Fees' in cell E49.
</v>
      </c>
      <c r="G495" s="9" t="str">
        <f t="shared" ca="1" si="193"/>
        <v xml:space="preserve">The total of development budget in column B must be greater than zero.
</v>
      </c>
    </row>
    <row r="496" spans="1:7" ht="15" customHeight="1">
      <c r="A496" t="str">
        <f ca="1">IF(AND(Calculations!$B$3, E496=""), F496, "")</f>
        <v/>
      </c>
      <c r="B496" t="s">
        <v>461</v>
      </c>
      <c r="C496" t="str">
        <f ca="1">INDIRECT($F$292 &amp; ADDRESS(B492, 1,4  ))</f>
        <v>Constr. Origination Fees</v>
      </c>
      <c r="D496" t="str">
        <f>ADDRESS(B492, 6,4  )</f>
        <v>F49</v>
      </c>
      <c r="E496">
        <f t="shared" ca="1" si="192"/>
        <v>0</v>
      </c>
      <c r="F496" t="str">
        <f ca="1">CONCATENATE("Enter a '10% Carryover Actual Incurred Costs' value for '", C496, "' in cell ", D496, ".", CHAR(10))</f>
        <v xml:space="preserve">Enter a '10% Carryover Actual Incurred Costs' value for 'Constr. Origination Fees' in cell F49.
</v>
      </c>
      <c r="G496" s="9" t="str">
        <f t="shared" ca="1" si="193"/>
        <v xml:space="preserve">The total of development budget in column B must be greater than zero.
</v>
      </c>
    </row>
    <row r="497" spans="1:7" ht="15" customHeight="1">
      <c r="A497" t="str">
        <f ca="1">IF(E497="", F497, "")</f>
        <v/>
      </c>
      <c r="B497" s="52">
        <f>B492+1</f>
        <v>50</v>
      </c>
      <c r="C497" t="str">
        <f ca="1">INDIRECT($F$292 &amp; ADDRESS(B497, 1,4  ))</f>
        <v>Tap Fees (Water/Sewer)</v>
      </c>
      <c r="D497" t="str">
        <f>ADDRESS(B497, 2,4  )</f>
        <v>B50</v>
      </c>
      <c r="E497">
        <f t="shared" ca="1" si="192"/>
        <v>0</v>
      </c>
      <c r="F497" t="str">
        <f ca="1">CONCATENATE("Enter a value for '", C497, "' in cell ", D497, ".", CHAR(10))</f>
        <v xml:space="preserve">Enter a value for 'Tap Fees (Water/Sewer)' in cell B50.
</v>
      </c>
      <c r="G497" s="9" t="str">
        <f t="shared" ca="1" si="193"/>
        <v xml:space="preserve">The total of development budget in column B must be greater than zero.
</v>
      </c>
    </row>
    <row r="498" spans="1:7" ht="15" customHeight="1">
      <c r="A498" t="str">
        <f ca="1">IF(AND(Calculations!$B$5, E498=""), F498, "")</f>
        <v/>
      </c>
      <c r="B498" t="s">
        <v>461</v>
      </c>
      <c r="C498" t="str">
        <f ca="1">INDIRECT($F$292 &amp; ADDRESS(B497, 1,4  ))</f>
        <v>Tap Fees (Water/Sewer)</v>
      </c>
      <c r="D498" t="str">
        <f>ADDRESS(B497, 3,4  )</f>
        <v>C50</v>
      </c>
      <c r="E498">
        <f t="shared" ca="1" si="192"/>
        <v>0</v>
      </c>
      <c r="F498" t="str">
        <f ca="1">CONCATENATE("Enter an '4% LIHTC Basis Calculation' value for '", C498, "' in cell ", D498, ".", CHAR(10))</f>
        <v xml:space="preserve">Enter an '4% LIHTC Basis Calculation' value for 'Tap Fees (Water/Sewer)' in cell C50.
</v>
      </c>
      <c r="G498" s="9" t="str">
        <f t="shared" ca="1" si="193"/>
        <v xml:space="preserve">The total of development budget in column B must be greater than zero.
</v>
      </c>
    </row>
    <row r="499" spans="1:7" ht="15" customHeight="1">
      <c r="A499" t="str">
        <f ca="1">IF(AND(Calculations!$B$6, E499=""), F499, "")</f>
        <v/>
      </c>
      <c r="B499" t="s">
        <v>461</v>
      </c>
      <c r="C499" t="str">
        <f ca="1">INDIRECT($F$292 &amp; ADDRESS(B497, 1,4  ))</f>
        <v>Tap Fees (Water/Sewer)</v>
      </c>
      <c r="D499" t="str">
        <f>ADDRESS(B497, 4,4  )</f>
        <v>D50</v>
      </c>
      <c r="E499">
        <f t="shared" ca="1" si="192"/>
        <v>0</v>
      </c>
      <c r="F499" t="str">
        <f ca="1">CONCATENATE("Enter an '9% LIHTC Basis Calculation' value for '", C499, "' in cell ", D499, ".", CHAR(10))</f>
        <v xml:space="preserve">Enter an '9% LIHTC Basis Calculation' value for 'Tap Fees (Water/Sewer)' in cell D50.
</v>
      </c>
      <c r="G499" s="9" t="str">
        <f t="shared" ca="1" si="193"/>
        <v xml:space="preserve">The total of development budget in column B must be greater than zero.
</v>
      </c>
    </row>
    <row r="500" spans="1:7" ht="15" customHeight="1">
      <c r="A500" t="str">
        <f ca="1">IF(AND(OR(Calculations!$B$3:$B$4), E500=""), F500, "")</f>
        <v/>
      </c>
      <c r="B500" t="s">
        <v>461</v>
      </c>
      <c r="C500" t="str">
        <f ca="1">INDIRECT($F$292 &amp; ADDRESS(B497, 1,4  ))</f>
        <v>Tap Fees (Water/Sewer)</v>
      </c>
      <c r="D500" t="str">
        <f>ADDRESS(B497, 5,4  )</f>
        <v>E50</v>
      </c>
      <c r="E500">
        <f t="shared" ca="1" si="192"/>
        <v>0</v>
      </c>
      <c r="F500" t="str">
        <f ca="1">CONCATENATE("Enter an 'Amount Last Provided to CHFA' value for '", C500, "' in cell ", D500, ".", CHAR(10))</f>
        <v xml:space="preserve">Enter an 'Amount Last Provided to CHFA' value for 'Tap Fees (Water/Sewer)' in cell E50.
</v>
      </c>
      <c r="G500" s="9" t="str">
        <f t="shared" ca="1" si="193"/>
        <v xml:space="preserve">The total of development budget in column B must be greater than zero.
</v>
      </c>
    </row>
    <row r="501" spans="1:7" ht="15" customHeight="1">
      <c r="A501" t="str">
        <f ca="1">IF(AND(Calculations!$B$3, E501=""), F501, "")</f>
        <v/>
      </c>
      <c r="B501" t="s">
        <v>461</v>
      </c>
      <c r="C501" t="str">
        <f ca="1">INDIRECT($F$292 &amp; ADDRESS(B497, 1,4  ))</f>
        <v>Tap Fees (Water/Sewer)</v>
      </c>
      <c r="D501" t="str">
        <f>ADDRESS(B497, 6,4  )</f>
        <v>F50</v>
      </c>
      <c r="E501">
        <f t="shared" ca="1" si="192"/>
        <v>0</v>
      </c>
      <c r="F501" t="str">
        <f ca="1">CONCATENATE("Enter a '10% Carryover Actual Incurred Costs' value for '", C501, "' in cell ", D501, ".", CHAR(10))</f>
        <v xml:space="preserve">Enter a '10% Carryover Actual Incurred Costs' value for 'Tap Fees (Water/Sewer)' in cell F50.
</v>
      </c>
      <c r="G501" s="9" t="str">
        <f t="shared" ca="1" si="193"/>
        <v xml:space="preserve">The total of development budget in column B must be greater than zero.
</v>
      </c>
    </row>
    <row r="502" spans="1:7" ht="15" customHeight="1">
      <c r="A502" t="str">
        <f ca="1">IF(E502="", F502, "")</f>
        <v/>
      </c>
      <c r="B502" s="52">
        <f>B497+1</f>
        <v>51</v>
      </c>
      <c r="C502" t="str">
        <f ca="1">INDIRECT($F$292 &amp; ADDRESS(B502, 1,4  ))</f>
        <v>Impact fees</v>
      </c>
      <c r="D502" t="str">
        <f>ADDRESS(B502, 2,4  )</f>
        <v>B51</v>
      </c>
      <c r="E502">
        <f t="shared" ca="1" si="192"/>
        <v>0</v>
      </c>
      <c r="F502" t="str">
        <f ca="1">CONCATENATE("Enter a value for '", C502, "' in cell ", D502, ".", CHAR(10))</f>
        <v xml:space="preserve">Enter a value for 'Impact fees' in cell B51.
</v>
      </c>
      <c r="G502" s="9" t="str">
        <f t="shared" ca="1" si="193"/>
        <v xml:space="preserve">The total of development budget in column B must be greater than zero.
</v>
      </c>
    </row>
    <row r="503" spans="1:7" ht="15" customHeight="1">
      <c r="A503" t="str">
        <f ca="1">IF(AND(Calculations!$B$5, E503=""), F503, "")</f>
        <v/>
      </c>
      <c r="B503" t="s">
        <v>461</v>
      </c>
      <c r="C503" t="str">
        <f ca="1">INDIRECT($F$292 &amp; ADDRESS(B502, 1,4  ))</f>
        <v>Impact fees</v>
      </c>
      <c r="D503" t="str">
        <f>ADDRESS(B502, 3,4  )</f>
        <v>C51</v>
      </c>
      <c r="E503">
        <f t="shared" ca="1" si="192"/>
        <v>0</v>
      </c>
      <c r="F503" t="str">
        <f ca="1">CONCATENATE("Enter an '4% LIHTC Basis Calculation' value for '", C503, "' in cell ", D503, ".", CHAR(10))</f>
        <v xml:space="preserve">Enter an '4% LIHTC Basis Calculation' value for 'Impact fees' in cell C51.
</v>
      </c>
      <c r="G503" s="9" t="str">
        <f t="shared" ca="1" si="193"/>
        <v xml:space="preserve">The total of development budget in column B must be greater than zero.
</v>
      </c>
    </row>
    <row r="504" spans="1:7" ht="15" customHeight="1">
      <c r="A504" t="str">
        <f ca="1">IF(AND(Calculations!$B$6, E504=""), F504, "")</f>
        <v/>
      </c>
      <c r="B504" t="s">
        <v>461</v>
      </c>
      <c r="C504" t="str">
        <f ca="1">INDIRECT($F$292 &amp; ADDRESS(B502, 1,4  ))</f>
        <v>Impact fees</v>
      </c>
      <c r="D504" t="str">
        <f>ADDRESS(B502, 4,4  )</f>
        <v>D51</v>
      </c>
      <c r="E504">
        <f t="shared" ref="E504:E535" ca="1" si="194">IF(ISBLANK( INDIRECT($F$292 &amp; D504)),"", INDIRECT($F$292 &amp; D504))</f>
        <v>0</v>
      </c>
      <c r="F504" t="str">
        <f ca="1">CONCATENATE("Enter an '9% LIHTC Basis Calculation' value for '", C504, "' in cell ", D504, ".", CHAR(10))</f>
        <v xml:space="preserve">Enter an '9% LIHTC Basis Calculation' value for 'Impact fees' in cell D51.
</v>
      </c>
      <c r="G504" s="9" t="str">
        <f t="shared" ca="1" si="193"/>
        <v xml:space="preserve">The total of development budget in column B must be greater than zero.
</v>
      </c>
    </row>
    <row r="505" spans="1:7" ht="15" customHeight="1">
      <c r="A505" t="str">
        <f ca="1">IF(AND(OR(Calculations!$B$3:$B$4), E505=""), F505, "")</f>
        <v/>
      </c>
      <c r="B505" t="s">
        <v>461</v>
      </c>
      <c r="C505" t="str">
        <f ca="1">INDIRECT($F$292 &amp; ADDRESS(B502, 1,4  ))</f>
        <v>Impact fees</v>
      </c>
      <c r="D505" t="str">
        <f>ADDRESS(B502, 5,4  )</f>
        <v>E51</v>
      </c>
      <c r="E505">
        <f t="shared" ca="1" si="194"/>
        <v>0</v>
      </c>
      <c r="F505" t="str">
        <f ca="1">CONCATENATE("Enter an 'Amount Last Provided to CHFA' value for '", C505, "' in cell ", D505, ".", CHAR(10))</f>
        <v xml:space="preserve">Enter an 'Amount Last Provided to CHFA' value for 'Impact fees' in cell E51.
</v>
      </c>
      <c r="G505" s="9" t="str">
        <f t="shared" ca="1" si="193"/>
        <v xml:space="preserve">The total of development budget in column B must be greater than zero.
</v>
      </c>
    </row>
    <row r="506" spans="1:7" ht="15" customHeight="1">
      <c r="A506" t="str">
        <f ca="1">IF(AND(Calculations!$B$3, E506=""), F506, "")</f>
        <v/>
      </c>
      <c r="B506" t="s">
        <v>461</v>
      </c>
      <c r="C506" t="str">
        <f ca="1">INDIRECT($F$292 &amp; ADDRESS(B502, 1,4  ))</f>
        <v>Impact fees</v>
      </c>
      <c r="D506" t="str">
        <f>ADDRESS(B502, 6,4  )</f>
        <v>F51</v>
      </c>
      <c r="E506">
        <f t="shared" ca="1" si="194"/>
        <v>0</v>
      </c>
      <c r="F506" t="str">
        <f ca="1">CONCATENATE("Enter a '10% Carryover Actual Incurred Costs' value for '", C506, "' in cell ", D506, ".", CHAR(10))</f>
        <v xml:space="preserve">Enter a '10% Carryover Actual Incurred Costs' value for 'Impact fees' in cell F51.
</v>
      </c>
      <c r="G506" s="9" t="str">
        <f t="shared" ca="1" si="193"/>
        <v xml:space="preserve">The total of development budget in column B must be greater than zero.
</v>
      </c>
    </row>
    <row r="507" spans="1:7" ht="15" customHeight="1">
      <c r="A507" t="str">
        <f ca="1">IF(E507="", F507, "")</f>
        <v/>
      </c>
      <c r="B507" s="52">
        <f>B502+1</f>
        <v>52</v>
      </c>
      <c r="C507" t="str">
        <f ca="1">INDIRECT($F$292 &amp; ADDRESS(B507, 1,4  ))</f>
        <v>Materials Testing</v>
      </c>
      <c r="D507" t="str">
        <f>ADDRESS(B507, 2,4  )</f>
        <v>B52</v>
      </c>
      <c r="E507">
        <f t="shared" ca="1" si="194"/>
        <v>0</v>
      </c>
      <c r="F507" t="str">
        <f ca="1">CONCATENATE("Enter a value for '", C507, "' in cell ", D507, ".", CHAR(10))</f>
        <v xml:space="preserve">Enter a value for 'Materials Testing' in cell B52.
</v>
      </c>
      <c r="G507" s="9" t="str">
        <f t="shared" ca="1" si="193"/>
        <v xml:space="preserve">The total of development budget in column B must be greater than zero.
</v>
      </c>
    </row>
    <row r="508" spans="1:7" ht="15" customHeight="1">
      <c r="A508" t="str">
        <f ca="1">IF(AND(Calculations!$B$5, E508=""), F508, "")</f>
        <v/>
      </c>
      <c r="B508" t="s">
        <v>461</v>
      </c>
      <c r="C508" t="str">
        <f ca="1">INDIRECT($F$292 &amp; ADDRESS(B507, 1,4  ))</f>
        <v>Materials Testing</v>
      </c>
      <c r="D508" t="str">
        <f>ADDRESS(B507, 3,4  )</f>
        <v>C52</v>
      </c>
      <c r="E508">
        <f t="shared" ca="1" si="194"/>
        <v>0</v>
      </c>
      <c r="F508" t="str">
        <f ca="1">CONCATENATE("Enter an '4% LIHTC Basis Calculation' value for '", C508, "' in cell ", D508, ".", CHAR(10))</f>
        <v xml:space="preserve">Enter an '4% LIHTC Basis Calculation' value for 'Materials Testing' in cell C52.
</v>
      </c>
      <c r="G508" s="9" t="str">
        <f t="shared" ca="1" si="193"/>
        <v xml:space="preserve">The total of development budget in column B must be greater than zero.
</v>
      </c>
    </row>
    <row r="509" spans="1:7" ht="15" customHeight="1">
      <c r="A509" t="str">
        <f ca="1">IF(AND(Calculations!$B$6, E509=""), F509, "")</f>
        <v/>
      </c>
      <c r="B509" t="s">
        <v>461</v>
      </c>
      <c r="C509" t="str">
        <f ca="1">INDIRECT($F$292 &amp; ADDRESS(B507, 1,4  ))</f>
        <v>Materials Testing</v>
      </c>
      <c r="D509" t="str">
        <f>ADDRESS(B507, 4,4  )</f>
        <v>D52</v>
      </c>
      <c r="E509">
        <f t="shared" ca="1" si="194"/>
        <v>0</v>
      </c>
      <c r="F509" t="str">
        <f ca="1">CONCATENATE("Enter an '9% LIHTC Basis Calculation' value for '", C509, "' in cell ", D509, ".", CHAR(10))</f>
        <v xml:space="preserve">Enter an '9% LIHTC Basis Calculation' value for 'Materials Testing' in cell D52.
</v>
      </c>
      <c r="G509" s="9" t="str">
        <f t="shared" ca="1" si="193"/>
        <v xml:space="preserve">The total of development budget in column B must be greater than zero.
</v>
      </c>
    </row>
    <row r="510" spans="1:7" ht="15" customHeight="1">
      <c r="A510" t="str">
        <f ca="1">IF(AND(OR(Calculations!$B$3:$B$4), E510=""), F510, "")</f>
        <v/>
      </c>
      <c r="B510" t="s">
        <v>461</v>
      </c>
      <c r="C510" t="str">
        <f ca="1">INDIRECT($F$292 &amp; ADDRESS(B507, 1,4  ))</f>
        <v>Materials Testing</v>
      </c>
      <c r="D510" t="str">
        <f>ADDRESS(B507, 5,4  )</f>
        <v>E52</v>
      </c>
      <c r="E510">
        <f t="shared" ca="1" si="194"/>
        <v>0</v>
      </c>
      <c r="F510" t="str">
        <f ca="1">CONCATENATE("Enter an 'Amount Last Provided to CHFA' value for '", C510, "' in cell ", D510, ".", CHAR(10))</f>
        <v xml:space="preserve">Enter an 'Amount Last Provided to CHFA' value for 'Materials Testing' in cell E52.
</v>
      </c>
      <c r="G510" s="9" t="str">
        <f t="shared" ca="1" si="193"/>
        <v xml:space="preserve">The total of development budget in column B must be greater than zero.
</v>
      </c>
    </row>
    <row r="511" spans="1:7" ht="15" customHeight="1">
      <c r="A511" t="str">
        <f ca="1">IF(AND(Calculations!$B$3, E511=""), F511, "")</f>
        <v/>
      </c>
      <c r="B511" t="s">
        <v>461</v>
      </c>
      <c r="C511" t="str">
        <f ca="1">INDIRECT($F$292 &amp; ADDRESS(B507, 1,4  ))</f>
        <v>Materials Testing</v>
      </c>
      <c r="D511" t="str">
        <f>ADDRESS(B507, 6,4  )</f>
        <v>F52</v>
      </c>
      <c r="E511">
        <f t="shared" ca="1" si="194"/>
        <v>0</v>
      </c>
      <c r="F511" t="str">
        <f ca="1">CONCATENATE("Enter a '10% Carryover Actual Incurred Costs' value for '", C511, "' in cell ", D511, ".", CHAR(10))</f>
        <v xml:space="preserve">Enter a '10% Carryover Actual Incurred Costs' value for 'Materials Testing' in cell F52.
</v>
      </c>
      <c r="G511" s="9" t="str">
        <f t="shared" ca="1" si="193"/>
        <v xml:space="preserve">The total of development budget in column B must be greater than zero.
</v>
      </c>
    </row>
    <row r="512" spans="1:7" ht="15" customHeight="1">
      <c r="A512" t="str">
        <f ca="1">IF(E512="", F512, "")</f>
        <v/>
      </c>
      <c r="B512" s="52">
        <f>B507+1</f>
        <v>53</v>
      </c>
      <c r="C512" t="str">
        <f ca="1">INDIRECT($F$292 &amp; ADDRESS(B512, 1,4  ))</f>
        <v>Power and Telecom Provider fees</v>
      </c>
      <c r="D512" t="str">
        <f>ADDRESS(B512, 2,4  )</f>
        <v>B53</v>
      </c>
      <c r="E512">
        <f t="shared" ca="1" si="194"/>
        <v>0</v>
      </c>
      <c r="F512" t="str">
        <f ca="1">CONCATENATE("Enter a value for '", C512, "' in cell ", D512, ".", CHAR(10))</f>
        <v xml:space="preserve">Enter a value for 'Power and Telecom Provider fees' in cell B53.
</v>
      </c>
      <c r="G512" s="9" t="str">
        <f t="shared" ca="1" si="193"/>
        <v xml:space="preserve">The total of development budget in column B must be greater than zero.
</v>
      </c>
    </row>
    <row r="513" spans="1:7" ht="15" customHeight="1">
      <c r="A513" t="str">
        <f ca="1">IF(AND(Calculations!$B$5, E513=""), F513, "")</f>
        <v/>
      </c>
      <c r="B513" t="s">
        <v>461</v>
      </c>
      <c r="C513" t="str">
        <f ca="1">INDIRECT($F$292 &amp; ADDRESS(B512, 1,4  ))</f>
        <v>Power and Telecom Provider fees</v>
      </c>
      <c r="D513" t="str">
        <f>ADDRESS(B512, 3,4  )</f>
        <v>C53</v>
      </c>
      <c r="E513">
        <f t="shared" ca="1" si="194"/>
        <v>0</v>
      </c>
      <c r="F513" t="str">
        <f ca="1">CONCATENATE("Enter an '4% LIHTC Basis Calculation' value for '", C513, "' in cell ", D513, ".", CHAR(10))</f>
        <v xml:space="preserve">Enter an '4% LIHTC Basis Calculation' value for 'Power and Telecom Provider fees' in cell C53.
</v>
      </c>
      <c r="G513" s="9" t="str">
        <f t="shared" ca="1" si="193"/>
        <v xml:space="preserve">The total of development budget in column B must be greater than zero.
</v>
      </c>
    </row>
    <row r="514" spans="1:7" ht="15" customHeight="1">
      <c r="A514" t="str">
        <f ca="1">IF(AND(Calculations!$B$6, E514=""), F514, "")</f>
        <v/>
      </c>
      <c r="B514" t="s">
        <v>461</v>
      </c>
      <c r="C514" t="str">
        <f ca="1">INDIRECT($F$292 &amp; ADDRESS(B512, 1,4  ))</f>
        <v>Power and Telecom Provider fees</v>
      </c>
      <c r="D514" t="str">
        <f>ADDRESS(B512, 4,4  )</f>
        <v>D53</v>
      </c>
      <c r="E514">
        <f t="shared" ca="1" si="194"/>
        <v>0</v>
      </c>
      <c r="F514" t="str">
        <f ca="1">CONCATENATE("Enter an '9% LIHTC Basis Calculation' value for '", C514, "' in cell ", D514, ".", CHAR(10))</f>
        <v xml:space="preserve">Enter an '9% LIHTC Basis Calculation' value for 'Power and Telecom Provider fees' in cell D53.
</v>
      </c>
      <c r="G514" s="9" t="str">
        <f t="shared" ca="1" si="193"/>
        <v xml:space="preserve">The total of development budget in column B must be greater than zero.
</v>
      </c>
    </row>
    <row r="515" spans="1:7" ht="15" customHeight="1">
      <c r="A515" t="str">
        <f ca="1">IF(AND(OR(Calculations!$B$3:$B$4), E515=""), F515, "")</f>
        <v/>
      </c>
      <c r="B515" t="s">
        <v>461</v>
      </c>
      <c r="C515" t="str">
        <f ca="1">INDIRECT($F$292 &amp; ADDRESS(B512, 1,4  ))</f>
        <v>Power and Telecom Provider fees</v>
      </c>
      <c r="D515" t="str">
        <f>ADDRESS(B512, 5,4  )</f>
        <v>E53</v>
      </c>
      <c r="E515">
        <f t="shared" ca="1" si="194"/>
        <v>0</v>
      </c>
      <c r="F515" t="str">
        <f ca="1">CONCATENATE("Enter an 'Amount Last Provided to CHFA' value for '", C515, "' in cell ", D515, ".", CHAR(10))</f>
        <v xml:space="preserve">Enter an 'Amount Last Provided to CHFA' value for 'Power and Telecom Provider fees' in cell E53.
</v>
      </c>
      <c r="G515" s="9" t="str">
        <f t="shared" ca="1" si="193"/>
        <v xml:space="preserve">The total of development budget in column B must be greater than zero.
</v>
      </c>
    </row>
    <row r="516" spans="1:7" ht="15" customHeight="1">
      <c r="A516" t="str">
        <f ca="1">IF(AND(Calculations!$B$3, E516=""), F516, "")</f>
        <v/>
      </c>
      <c r="B516" t="s">
        <v>461</v>
      </c>
      <c r="C516" t="str">
        <f ca="1">INDIRECT($F$292 &amp; ADDRESS(B512, 1,4  ))</f>
        <v>Power and Telecom Provider fees</v>
      </c>
      <c r="D516" t="str">
        <f>ADDRESS(B512, 6,4  )</f>
        <v>F53</v>
      </c>
      <c r="E516">
        <f t="shared" ca="1" si="194"/>
        <v>0</v>
      </c>
      <c r="F516" t="str">
        <f ca="1">CONCATENATE("Enter a '10% Carryover Actual Incurred Costs' value for '", C516, "' in cell ", D516, ".", CHAR(10))</f>
        <v xml:space="preserve">Enter a '10% Carryover Actual Incurred Costs' value for 'Power and Telecom Provider fees' in cell F53.
</v>
      </c>
      <c r="G516" s="9" t="str">
        <f t="shared" ca="1" si="193"/>
        <v xml:space="preserve">The total of development budget in column B must be greater than zero.
</v>
      </c>
    </row>
    <row r="517" spans="1:7" ht="15" customHeight="1">
      <c r="A517" t="str">
        <f ca="1">IF(E517="", F517, "")</f>
        <v/>
      </c>
      <c r="B517" s="52">
        <f>B512+1</f>
        <v>54</v>
      </c>
      <c r="C517" t="str">
        <f ca="1">INDIRECT($F$292 &amp; ADDRESS(B517, 1,4  ))</f>
        <v>3rd Party/Bank Inspections/Admin</v>
      </c>
      <c r="D517" t="str">
        <f>ADDRESS(B517, 2,4  )</f>
        <v>B54</v>
      </c>
      <c r="E517">
        <f t="shared" ca="1" si="194"/>
        <v>0</v>
      </c>
      <c r="F517" t="str">
        <f ca="1">CONCATENATE("Enter a value for '", C517, "' in cell ", D517, ".", CHAR(10))</f>
        <v xml:space="preserve">Enter a value for '3rd Party/Bank Inspections/Admin' in cell B54.
</v>
      </c>
      <c r="G517" s="9" t="str">
        <f t="shared" ca="1" si="193"/>
        <v xml:space="preserve">The total of development budget in column B must be greater than zero.
</v>
      </c>
    </row>
    <row r="518" spans="1:7" ht="15" customHeight="1">
      <c r="A518" t="str">
        <f ca="1">IF(AND(Calculations!$B$5, E518=""), F518, "")</f>
        <v/>
      </c>
      <c r="B518" t="s">
        <v>461</v>
      </c>
      <c r="C518" t="str">
        <f ca="1">INDIRECT($F$292 &amp; ADDRESS(B517, 1,4  ))</f>
        <v>3rd Party/Bank Inspections/Admin</v>
      </c>
      <c r="D518" t="str">
        <f>ADDRESS(B517, 3,4  )</f>
        <v>C54</v>
      </c>
      <c r="E518">
        <f t="shared" ca="1" si="194"/>
        <v>0</v>
      </c>
      <c r="F518" t="str">
        <f ca="1">CONCATENATE("Enter an '4% LIHTC Basis Calculation' value for '", C518, "' in cell ", D518, ".", CHAR(10))</f>
        <v xml:space="preserve">Enter an '4% LIHTC Basis Calculation' value for '3rd Party/Bank Inspections/Admin' in cell C54.
</v>
      </c>
      <c r="G518" s="9" t="str">
        <f t="shared" ca="1" si="193"/>
        <v xml:space="preserve">The total of development budget in column B must be greater than zero.
</v>
      </c>
    </row>
    <row r="519" spans="1:7" ht="15" customHeight="1">
      <c r="A519" t="str">
        <f ca="1">IF(AND(Calculations!$B$6, E519=""), F519, "")</f>
        <v/>
      </c>
      <c r="B519" t="s">
        <v>461</v>
      </c>
      <c r="C519" t="str">
        <f ca="1">INDIRECT($F$292 &amp; ADDRESS(B517, 1,4  ))</f>
        <v>3rd Party/Bank Inspections/Admin</v>
      </c>
      <c r="D519" t="str">
        <f>ADDRESS(B517, 4,4  )</f>
        <v>D54</v>
      </c>
      <c r="E519">
        <f t="shared" ca="1" si="194"/>
        <v>0</v>
      </c>
      <c r="F519" t="str">
        <f ca="1">CONCATENATE("Enter an '9% LIHTC Basis Calculation' value for '", C519, "' in cell ", D519, ".", CHAR(10))</f>
        <v xml:space="preserve">Enter an '9% LIHTC Basis Calculation' value for '3rd Party/Bank Inspections/Admin' in cell D54.
</v>
      </c>
      <c r="G519" s="9" t="str">
        <f t="shared" ca="1" si="193"/>
        <v xml:space="preserve">The total of development budget in column B must be greater than zero.
</v>
      </c>
    </row>
    <row r="520" spans="1:7" ht="15" customHeight="1">
      <c r="A520" t="str">
        <f ca="1">IF(AND(OR(Calculations!$B$3:$B$4), E520=""), F520, "")</f>
        <v/>
      </c>
      <c r="B520" t="s">
        <v>461</v>
      </c>
      <c r="C520" t="str">
        <f ca="1">INDIRECT($F$292 &amp; ADDRESS(B517, 1,4  ))</f>
        <v>3rd Party/Bank Inspections/Admin</v>
      </c>
      <c r="D520" t="str">
        <f>ADDRESS(B517, 5,4  )</f>
        <v>E54</v>
      </c>
      <c r="E520">
        <f t="shared" ca="1" si="194"/>
        <v>0</v>
      </c>
      <c r="F520" t="str">
        <f ca="1">CONCATENATE("Enter an 'Amount Last Provided to CHFA' value for '", C520, "' in cell ", D520, ".", CHAR(10))</f>
        <v xml:space="preserve">Enter an 'Amount Last Provided to CHFA' value for '3rd Party/Bank Inspections/Admin' in cell E54.
</v>
      </c>
      <c r="G520" s="9" t="str">
        <f t="shared" ca="1" si="193"/>
        <v xml:space="preserve">The total of development budget in column B must be greater than zero.
</v>
      </c>
    </row>
    <row r="521" spans="1:7" ht="15" customHeight="1">
      <c r="A521" t="str">
        <f ca="1">IF(AND(Calculations!$B$3, E521=""), F521, "")</f>
        <v/>
      </c>
      <c r="B521" t="s">
        <v>461</v>
      </c>
      <c r="C521" t="str">
        <f ca="1">INDIRECT($F$292 &amp; ADDRESS(B517, 1,4  ))</f>
        <v>3rd Party/Bank Inspections/Admin</v>
      </c>
      <c r="D521" t="str">
        <f>ADDRESS(B517, 6,4  )</f>
        <v>F54</v>
      </c>
      <c r="E521">
        <f t="shared" ca="1" si="194"/>
        <v>0</v>
      </c>
      <c r="F521" t="str">
        <f ca="1">CONCATENATE("Enter a '10% Carryover Actual Incurred Costs' value for '", C521, "' in cell ", D521, ".", CHAR(10))</f>
        <v xml:space="preserve">Enter a '10% Carryover Actual Incurred Costs' value for '3rd Party/Bank Inspections/Admin' in cell F54.
</v>
      </c>
      <c r="G521" s="9" t="str">
        <f t="shared" ca="1" si="193"/>
        <v xml:space="preserve">The total of development budget in column B must be greater than zero.
</v>
      </c>
    </row>
    <row r="522" spans="1:7" ht="15" customHeight="1">
      <c r="A522" t="str">
        <f ca="1">IF(E522="", F522, "")</f>
        <v/>
      </c>
      <c r="B522" s="52">
        <f>B517+1</f>
        <v>55</v>
      </c>
      <c r="C522" t="str">
        <f ca="1">INDIRECT($F$292 &amp; ADDRESS(B522, 1,4  ))</f>
        <v>Title &amp; Recording</v>
      </c>
      <c r="D522" t="str">
        <f>ADDRESS(B522, 2,4  )</f>
        <v>B55</v>
      </c>
      <c r="E522">
        <f t="shared" ca="1" si="194"/>
        <v>0</v>
      </c>
      <c r="F522" t="str">
        <f ca="1">CONCATENATE("Enter a value for '", C522, "' in cell ", D522, ".", CHAR(10))</f>
        <v xml:space="preserve">Enter a value for 'Title &amp; Recording' in cell B55.
</v>
      </c>
      <c r="G522" s="9" t="str">
        <f t="shared" ca="1" si="193"/>
        <v xml:space="preserve">The total of development budget in column B must be greater than zero.
</v>
      </c>
    </row>
    <row r="523" spans="1:7" ht="15" customHeight="1">
      <c r="A523" t="str">
        <f ca="1">IF(AND(Calculations!$B$5, E523=""), F523, "")</f>
        <v/>
      </c>
      <c r="B523" t="s">
        <v>461</v>
      </c>
      <c r="C523" t="str">
        <f ca="1">INDIRECT($F$292 &amp; ADDRESS(B522, 1,4  ))</f>
        <v>Title &amp; Recording</v>
      </c>
      <c r="D523" t="str">
        <f>ADDRESS(B522, 3,4  )</f>
        <v>C55</v>
      </c>
      <c r="E523">
        <f t="shared" ca="1" si="194"/>
        <v>0</v>
      </c>
      <c r="F523" t="str">
        <f ca="1">CONCATENATE("Enter an '4% LIHTC Basis Calculation' value for '", C523, "' in cell ", D523, ".", CHAR(10))</f>
        <v xml:space="preserve">Enter an '4% LIHTC Basis Calculation' value for 'Title &amp; Recording' in cell C55.
</v>
      </c>
      <c r="G523" s="9" t="str">
        <f t="shared" ca="1" si="193"/>
        <v xml:space="preserve">The total of development budget in column B must be greater than zero.
</v>
      </c>
    </row>
    <row r="524" spans="1:7" ht="15" customHeight="1">
      <c r="A524" t="str">
        <f ca="1">IF(AND(Calculations!$B$6, E524=""), F524, "")</f>
        <v/>
      </c>
      <c r="B524" t="s">
        <v>461</v>
      </c>
      <c r="C524" t="str">
        <f ca="1">INDIRECT($F$292 &amp; ADDRESS(B522, 1,4  ))</f>
        <v>Title &amp; Recording</v>
      </c>
      <c r="D524" t="str">
        <f>ADDRESS(B522, 4,4  )</f>
        <v>D55</v>
      </c>
      <c r="E524">
        <f t="shared" ca="1" si="194"/>
        <v>0</v>
      </c>
      <c r="F524" t="str">
        <f ca="1">CONCATENATE("Enter an '9% LIHTC Basis Calculation' value for '", C524, "' in cell ", D524, ".", CHAR(10))</f>
        <v xml:space="preserve">Enter an '9% LIHTC Basis Calculation' value for 'Title &amp; Recording' in cell D55.
</v>
      </c>
      <c r="G524" s="9" t="str">
        <f t="shared" ca="1" si="193"/>
        <v xml:space="preserve">The total of development budget in column B must be greater than zero.
</v>
      </c>
    </row>
    <row r="525" spans="1:7" ht="15" customHeight="1">
      <c r="A525" t="str">
        <f ca="1">IF(AND(OR(Calculations!$B$3:$B$4), E525=""), F525, "")</f>
        <v/>
      </c>
      <c r="B525" t="s">
        <v>461</v>
      </c>
      <c r="C525" t="str">
        <f ca="1">INDIRECT($F$292 &amp; ADDRESS(B522, 1,4  ))</f>
        <v>Title &amp; Recording</v>
      </c>
      <c r="D525" t="str">
        <f>ADDRESS(B522, 5,4  )</f>
        <v>E55</v>
      </c>
      <c r="E525">
        <f t="shared" ca="1" si="194"/>
        <v>0</v>
      </c>
      <c r="F525" t="str">
        <f ca="1">CONCATENATE("Enter an 'Amount Last Provided to CHFA' value for '", C525, "' in cell ", D525, ".", CHAR(10))</f>
        <v xml:space="preserve">Enter an 'Amount Last Provided to CHFA' value for 'Title &amp; Recording' in cell E55.
</v>
      </c>
      <c r="G525" s="9" t="str">
        <f t="shared" ca="1" si="193"/>
        <v xml:space="preserve">The total of development budget in column B must be greater than zero.
</v>
      </c>
    </row>
    <row r="526" spans="1:7" ht="15" customHeight="1">
      <c r="A526" t="str">
        <f ca="1">IF(AND(Calculations!$B$3, E526=""), F526, "")</f>
        <v/>
      </c>
      <c r="B526" t="s">
        <v>461</v>
      </c>
      <c r="C526" t="str">
        <f ca="1">INDIRECT($F$292 &amp; ADDRESS(B522, 1,4  ))</f>
        <v>Title &amp; Recording</v>
      </c>
      <c r="D526" t="str">
        <f>ADDRESS(B522, 6,4  )</f>
        <v>F55</v>
      </c>
      <c r="E526">
        <f t="shared" ca="1" si="194"/>
        <v>0</v>
      </c>
      <c r="F526" t="str">
        <f ca="1">CONCATENATE("Enter a '10% Carryover Actual Incurred Costs' value for '", C526, "' in cell ", D526, ".", CHAR(10))</f>
        <v xml:space="preserve">Enter a '10% Carryover Actual Incurred Costs' value for 'Title &amp; Recording' in cell F55.
</v>
      </c>
      <c r="G526" s="9" t="str">
        <f t="shared" ca="1" si="193"/>
        <v xml:space="preserve">The total of development budget in column B must be greater than zero.
</v>
      </c>
    </row>
    <row r="527" spans="1:7" ht="15" customHeight="1">
      <c r="A527" t="str">
        <f ca="1">IF(E527="", F527, "")</f>
        <v/>
      </c>
      <c r="B527" s="52">
        <f>B522+1</f>
        <v>56</v>
      </c>
      <c r="C527" t="str">
        <f ca="1">INDIRECT($F$292 &amp; ADDRESS(B527, 1,4  ))</f>
        <v>Construction Lender Legal Fees</v>
      </c>
      <c r="D527" t="str">
        <f>ADDRESS(B527, 2,4  )</f>
        <v>B56</v>
      </c>
      <c r="E527">
        <f t="shared" ca="1" si="194"/>
        <v>0</v>
      </c>
      <c r="F527" t="str">
        <f ca="1">CONCATENATE("Enter a value for '", C527, "' in cell ", D527, ".", CHAR(10))</f>
        <v xml:space="preserve">Enter a value for 'Construction Lender Legal Fees' in cell B56.
</v>
      </c>
      <c r="G527" s="9" t="str">
        <f t="shared" ca="1" si="193"/>
        <v xml:space="preserve">The total of development budget in column B must be greater than zero.
</v>
      </c>
    </row>
    <row r="528" spans="1:7" ht="15" customHeight="1">
      <c r="A528" t="str">
        <f ca="1">IF(AND(Calculations!$B$5, E528=""), F528, "")</f>
        <v/>
      </c>
      <c r="B528" t="s">
        <v>461</v>
      </c>
      <c r="C528" t="str">
        <f ca="1">INDIRECT($F$292 &amp; ADDRESS(B527, 1,4  ))</f>
        <v>Construction Lender Legal Fees</v>
      </c>
      <c r="D528" t="str">
        <f>ADDRESS(B527, 3,4  )</f>
        <v>C56</v>
      </c>
      <c r="E528">
        <f t="shared" ca="1" si="194"/>
        <v>0</v>
      </c>
      <c r="F528" t="str">
        <f ca="1">CONCATENATE("Enter an '4% LIHTC Basis Calculation' value for '", C528, "' in cell ", D528, ".", CHAR(10))</f>
        <v xml:space="preserve">Enter an '4% LIHTC Basis Calculation' value for 'Construction Lender Legal Fees' in cell C56.
</v>
      </c>
      <c r="G528" s="9" t="str">
        <f t="shared" ca="1" si="193"/>
        <v xml:space="preserve">The total of development budget in column B must be greater than zero.
</v>
      </c>
    </row>
    <row r="529" spans="1:7" ht="15" customHeight="1">
      <c r="A529" t="str">
        <f ca="1">IF(AND(Calculations!$B$6, E529=""), F529, "")</f>
        <v/>
      </c>
      <c r="B529" t="s">
        <v>461</v>
      </c>
      <c r="C529" t="str">
        <f ca="1">INDIRECT($F$292 &amp; ADDRESS(B527, 1,4  ))</f>
        <v>Construction Lender Legal Fees</v>
      </c>
      <c r="D529" t="str">
        <f>ADDRESS(B527, 4,4  )</f>
        <v>D56</v>
      </c>
      <c r="E529">
        <f t="shared" ca="1" si="194"/>
        <v>0</v>
      </c>
      <c r="F529" t="str">
        <f ca="1">CONCATENATE("Enter an '9% LIHTC Basis Calculation' value for '", C529, "' in cell ", D529, ".", CHAR(10))</f>
        <v xml:space="preserve">Enter an '9% LIHTC Basis Calculation' value for 'Construction Lender Legal Fees' in cell D56.
</v>
      </c>
      <c r="G529" s="9" t="str">
        <f t="shared" ca="1" si="193"/>
        <v xml:space="preserve">The total of development budget in column B must be greater than zero.
</v>
      </c>
    </row>
    <row r="530" spans="1:7" ht="15" customHeight="1">
      <c r="A530" t="str">
        <f ca="1">IF(AND(OR(Calculations!$B$3:$B$4), E530=""), F530, "")</f>
        <v/>
      </c>
      <c r="B530" t="s">
        <v>461</v>
      </c>
      <c r="C530" t="str">
        <f ca="1">INDIRECT($F$292 &amp; ADDRESS(B527, 1,4  ))</f>
        <v>Construction Lender Legal Fees</v>
      </c>
      <c r="D530" t="str">
        <f>ADDRESS(B527, 5,4  )</f>
        <v>E56</v>
      </c>
      <c r="E530">
        <f t="shared" ca="1" si="194"/>
        <v>0</v>
      </c>
      <c r="F530" t="str">
        <f ca="1">CONCATENATE("Enter an 'Amount Last Provided to CHFA' value for '", C530, "' in cell ", D530, ".", CHAR(10))</f>
        <v xml:space="preserve">Enter an 'Amount Last Provided to CHFA' value for 'Construction Lender Legal Fees' in cell E56.
</v>
      </c>
      <c r="G530" s="9" t="str">
        <f t="shared" ca="1" si="193"/>
        <v xml:space="preserve">The total of development budget in column B must be greater than zero.
</v>
      </c>
    </row>
    <row r="531" spans="1:7" ht="15" customHeight="1">
      <c r="A531" t="str">
        <f ca="1">IF(AND(Calculations!$B$3, E531=""), F531, "")</f>
        <v/>
      </c>
      <c r="B531" t="s">
        <v>461</v>
      </c>
      <c r="C531" t="str">
        <f ca="1">INDIRECT($F$292 &amp; ADDRESS(B527, 1,4  ))</f>
        <v>Construction Lender Legal Fees</v>
      </c>
      <c r="D531" t="str">
        <f>ADDRESS(B527, 6,4  )</f>
        <v>F56</v>
      </c>
      <c r="E531">
        <f t="shared" ca="1" si="194"/>
        <v>0</v>
      </c>
      <c r="F531" t="str">
        <f ca="1">CONCATENATE("Enter a '10% Carryover Actual Incurred Costs' value for '", C531, "' in cell ", D531, ".", CHAR(10))</f>
        <v xml:space="preserve">Enter a '10% Carryover Actual Incurred Costs' value for 'Construction Lender Legal Fees' in cell F56.
</v>
      </c>
      <c r="G531" s="9" t="str">
        <f t="shared" ca="1" si="193"/>
        <v xml:space="preserve">The total of development budget in column B must be greater than zero.
</v>
      </c>
    </row>
    <row r="532" spans="1:7" ht="15" customHeight="1">
      <c r="A532" t="str">
        <f ca="1">IF(E532="", F532, "")</f>
        <v/>
      </c>
      <c r="B532" s="52">
        <f>B527+1</f>
        <v>57</v>
      </c>
      <c r="C532" t="str">
        <f ca="1">INDIRECT($F$292 &amp; ADDRESS(B532, 1,4  ))</f>
        <v>Prop. Taxes During Construction</v>
      </c>
      <c r="D532" t="str">
        <f>ADDRESS(B532, 2,4  )</f>
        <v>B57</v>
      </c>
      <c r="E532">
        <f t="shared" ca="1" si="194"/>
        <v>0</v>
      </c>
      <c r="F532" t="str">
        <f ca="1">CONCATENATE("Enter a value for '", C532, "' in cell ", D532, ".", CHAR(10))</f>
        <v xml:space="preserve">Enter a value for 'Prop. Taxes During Construction' in cell B57.
</v>
      </c>
      <c r="G532" s="9" t="str">
        <f t="shared" ca="1" si="193"/>
        <v xml:space="preserve">The total of development budget in column B must be greater than zero.
</v>
      </c>
    </row>
    <row r="533" spans="1:7" ht="15" customHeight="1">
      <c r="A533" t="str">
        <f ca="1">IF(AND(Calculations!$B$5, E533=""), F533, "")</f>
        <v/>
      </c>
      <c r="B533" t="s">
        <v>461</v>
      </c>
      <c r="C533" t="str">
        <f ca="1">INDIRECT($F$292 &amp; ADDRESS(B532, 1,4  ))</f>
        <v>Prop. Taxes During Construction</v>
      </c>
      <c r="D533" t="str">
        <f>ADDRESS(B532, 3,4  )</f>
        <v>C57</v>
      </c>
      <c r="E533">
        <f t="shared" ca="1" si="194"/>
        <v>0</v>
      </c>
      <c r="F533" t="str">
        <f ca="1">CONCATENATE("Enter an '4% LIHTC Basis Calculation' value for '", C533, "' in cell ", D533, ".", CHAR(10))</f>
        <v xml:space="preserve">Enter an '4% LIHTC Basis Calculation' value for 'Prop. Taxes During Construction' in cell C57.
</v>
      </c>
      <c r="G533" s="9" t="str">
        <f t="shared" ca="1" si="193"/>
        <v xml:space="preserve">The total of development budget in column B must be greater than zero.
</v>
      </c>
    </row>
    <row r="534" spans="1:7" ht="15" customHeight="1">
      <c r="A534" t="str">
        <f ca="1">IF(AND(Calculations!$B$6, E534=""), F534, "")</f>
        <v/>
      </c>
      <c r="B534" t="s">
        <v>461</v>
      </c>
      <c r="C534" t="str">
        <f ca="1">INDIRECT($F$292 &amp; ADDRESS(B532, 1,4  ))</f>
        <v>Prop. Taxes During Construction</v>
      </c>
      <c r="D534" t="str">
        <f>ADDRESS(B532, 4,4  )</f>
        <v>D57</v>
      </c>
      <c r="E534">
        <f t="shared" ca="1" si="194"/>
        <v>0</v>
      </c>
      <c r="F534" t="str">
        <f ca="1">CONCATENATE("Enter an '9% LIHTC Basis Calculation' value for '", C534, "' in cell ", D534, ".", CHAR(10))</f>
        <v xml:space="preserve">Enter an '9% LIHTC Basis Calculation' value for 'Prop. Taxes During Construction' in cell D57.
</v>
      </c>
      <c r="G534" s="9" t="str">
        <f t="shared" ca="1" si="193"/>
        <v xml:space="preserve">The total of development budget in column B must be greater than zero.
</v>
      </c>
    </row>
    <row r="535" spans="1:7" ht="15" customHeight="1">
      <c r="A535" t="str">
        <f ca="1">IF(AND(OR(Calculations!$B$3:$B$4), E535=""), F535, "")</f>
        <v/>
      </c>
      <c r="B535" t="s">
        <v>461</v>
      </c>
      <c r="C535" t="str">
        <f ca="1">INDIRECT($F$292 &amp; ADDRESS(B532, 1,4  ))</f>
        <v>Prop. Taxes During Construction</v>
      </c>
      <c r="D535" t="str">
        <f>ADDRESS(B532, 5,4  )</f>
        <v>E57</v>
      </c>
      <c r="E535">
        <f t="shared" ca="1" si="194"/>
        <v>0</v>
      </c>
      <c r="F535" t="str">
        <f ca="1">CONCATENATE("Enter an 'Amount Last Provided to CHFA' value for '", C535, "' in cell ", D535, ".", CHAR(10))</f>
        <v xml:space="preserve">Enter an 'Amount Last Provided to CHFA' value for 'Prop. Taxes During Construction' in cell E57.
</v>
      </c>
      <c r="G535" s="9" t="str">
        <f t="shared" ca="1" si="193"/>
        <v xml:space="preserve">The total of development budget in column B must be greater than zero.
</v>
      </c>
    </row>
    <row r="536" spans="1:7" ht="15" customHeight="1">
      <c r="A536" t="str">
        <f ca="1">IF(AND(Calculations!$B$3, E536=""), F536, "")</f>
        <v/>
      </c>
      <c r="B536" t="s">
        <v>461</v>
      </c>
      <c r="C536" t="str">
        <f ca="1">INDIRECT($F$292 &amp; ADDRESS(B532, 1,4  ))</f>
        <v>Prop. Taxes During Construction</v>
      </c>
      <c r="D536" t="str">
        <f>ADDRESS(B532, 6,4  )</f>
        <v>F57</v>
      </c>
      <c r="E536">
        <f t="shared" ref="E536:E551" ca="1" si="195">IF(ISBLANK( INDIRECT($F$292 &amp; D536)),"", INDIRECT($F$292 &amp; D536))</f>
        <v>0</v>
      </c>
      <c r="F536" t="str">
        <f ca="1">CONCATENATE("Enter a '10% Carryover Actual Incurred Costs' value for '", C536, "' in cell ", D536, ".", CHAR(10))</f>
        <v xml:space="preserve">Enter a '10% Carryover Actual Incurred Costs' value for 'Prop. Taxes During Construction' in cell F57.
</v>
      </c>
      <c r="G536" s="9" t="str">
        <f t="shared" ca="1" si="193"/>
        <v xml:space="preserve">The total of development budget in column B must be greater than zero.
</v>
      </c>
    </row>
    <row r="537" spans="1:7" ht="15" customHeight="1">
      <c r="A537" t="str">
        <f ca="1">IF(E537="", F537, "")</f>
        <v/>
      </c>
      <c r="B537" s="52">
        <f>B532+1</f>
        <v>58</v>
      </c>
      <c r="C537" t="str">
        <f ca="1">INDIRECT($F$292 &amp; ADDRESS(B537, 1,4  ))</f>
        <v>Bridge Loan</v>
      </c>
      <c r="D537" t="str">
        <f>ADDRESS(B537, 2,4  )</f>
        <v>B58</v>
      </c>
      <c r="E537">
        <f t="shared" ca="1" si="195"/>
        <v>0</v>
      </c>
      <c r="F537" t="str">
        <f ca="1">CONCATENATE("Enter a value for '", C537, "' in cell ", D537, ".", CHAR(10))</f>
        <v xml:space="preserve">Enter a value for 'Bridge Loan' in cell B58.
</v>
      </c>
      <c r="G537" s="9" t="str">
        <f t="shared" ca="1" si="193"/>
        <v xml:space="preserve">The total of development budget in column B must be greater than zero.
</v>
      </c>
    </row>
    <row r="538" spans="1:7" ht="15" customHeight="1">
      <c r="A538" t="str">
        <f ca="1">IF(AND(Calculations!$B$5, E538=""), F538, "")</f>
        <v/>
      </c>
      <c r="B538" t="s">
        <v>461</v>
      </c>
      <c r="C538" t="str">
        <f ca="1">INDIRECT($F$292 &amp; ADDRESS(B537, 1,4  ))</f>
        <v>Bridge Loan</v>
      </c>
      <c r="D538" t="str">
        <f>ADDRESS(B537, 3,4  )</f>
        <v>C58</v>
      </c>
      <c r="E538">
        <f t="shared" ca="1" si="195"/>
        <v>0</v>
      </c>
      <c r="F538" t="str">
        <f ca="1">CONCATENATE("Enter an '4% LIHTC Basis Calculation' value for '", C538, "' in cell ", D538, ".", CHAR(10))</f>
        <v xml:space="preserve">Enter an '4% LIHTC Basis Calculation' value for 'Bridge Loan' in cell C58.
</v>
      </c>
      <c r="G538" s="9" t="str">
        <f t="shared" ca="1" si="193"/>
        <v xml:space="preserve">The total of development budget in column B must be greater than zero.
</v>
      </c>
    </row>
    <row r="539" spans="1:7" ht="15" customHeight="1">
      <c r="A539" t="str">
        <f ca="1">IF(AND(Calculations!$B$6, E539=""), F539, "")</f>
        <v/>
      </c>
      <c r="B539" t="s">
        <v>461</v>
      </c>
      <c r="C539" t="str">
        <f ca="1">INDIRECT($F$292 &amp; ADDRESS(B537, 1,4  ))</f>
        <v>Bridge Loan</v>
      </c>
      <c r="D539" t="str">
        <f>ADDRESS(B537, 4,4  )</f>
        <v>D58</v>
      </c>
      <c r="E539">
        <f t="shared" ca="1" si="195"/>
        <v>0</v>
      </c>
      <c r="F539" t="str">
        <f ca="1">CONCATENATE("Enter an '9% LIHTC Basis Calculation' value for '", C539, "' in cell ", D539, ".", CHAR(10))</f>
        <v xml:space="preserve">Enter an '9% LIHTC Basis Calculation' value for 'Bridge Loan' in cell D58.
</v>
      </c>
      <c r="G539" s="9" t="str">
        <f t="shared" ca="1" si="193"/>
        <v xml:space="preserve">The total of development budget in column B must be greater than zero.
</v>
      </c>
    </row>
    <row r="540" spans="1:7" ht="15" customHeight="1">
      <c r="A540" t="str">
        <f ca="1">IF(AND(OR(Calculations!$B$3:$B$4), E540=""), F540, "")</f>
        <v/>
      </c>
      <c r="B540" t="s">
        <v>461</v>
      </c>
      <c r="C540" t="str">
        <f ca="1">INDIRECT($F$292 &amp; ADDRESS(B537, 1,4  ))</f>
        <v>Bridge Loan</v>
      </c>
      <c r="D540" t="str">
        <f>ADDRESS(B537, 5,4  )</f>
        <v>E58</v>
      </c>
      <c r="E540">
        <f t="shared" ca="1" si="195"/>
        <v>0</v>
      </c>
      <c r="F540" t="str">
        <f ca="1">CONCATENATE("Enter an 'Amount Last Provided to CHFA' value for '", C540, "' in cell ", D540, ".", CHAR(10))</f>
        <v xml:space="preserve">Enter an 'Amount Last Provided to CHFA' value for 'Bridge Loan' in cell E58.
</v>
      </c>
      <c r="G540" s="9" t="str">
        <f t="shared" ca="1" si="193"/>
        <v xml:space="preserve">The total of development budget in column B must be greater than zero.
</v>
      </c>
    </row>
    <row r="541" spans="1:7" ht="15" customHeight="1">
      <c r="A541" t="str">
        <f ca="1">IF(AND(Calculations!$B$3, E541=""), F541, "")</f>
        <v/>
      </c>
      <c r="C541" t="str">
        <f ca="1">INDIRECT($F$292 &amp; ADDRESS(B537, 1,4  ))</f>
        <v>Bridge Loan</v>
      </c>
      <c r="D541" t="str">
        <f>ADDRESS(B537, 6,4  )</f>
        <v>F58</v>
      </c>
      <c r="E541">
        <f t="shared" ca="1" si="195"/>
        <v>0</v>
      </c>
      <c r="F541" t="str">
        <f ca="1">CONCATENATE("Enter a '10% Carryover Actual Incurred Costs' value for '", C541, "' in cell ", D541, ".", CHAR(10))</f>
        <v xml:space="preserve">Enter a '10% Carryover Actual Incurred Costs' value for 'Bridge Loan' in cell F58.
</v>
      </c>
      <c r="G541" s="9" t="str">
        <f t="shared" ca="1" si="193"/>
        <v xml:space="preserve">The total of development budget in column B must be greater than zero.
</v>
      </c>
    </row>
    <row r="542" spans="1:7" ht="15" customHeight="1">
      <c r="B542" s="52">
        <f>B537+1</f>
        <v>59</v>
      </c>
      <c r="C542" t="str">
        <f ca="1">INDIRECT($F$292 &amp; ADDRESS(B542, 1,4  ))</f>
        <v>Bond Issuance Costs amortized during construction</v>
      </c>
      <c r="D542" t="str">
        <f>ADDRESS(B542, 2,4  )</f>
        <v>B59</v>
      </c>
      <c r="E542">
        <f t="shared" ref="E542" ca="1" si="196">IF(ISBLANK( INDIRECT($F$292 &amp; D542)),"", INDIRECT($F$292 &amp; D542))</f>
        <v>0</v>
      </c>
      <c r="F542" t="str">
        <f ca="1">CONCATENATE("Enter a value for '", C542, "' in cell ", D542, ".", CHAR(10))</f>
        <v xml:space="preserve">Enter a value for 'Bond Issuance Costs amortized during construction' in cell B59.
</v>
      </c>
      <c r="G542" s="9" t="str">
        <f t="shared" ref="G542" ca="1" si="197">OFFSET(G542, -1, 0) &amp; A542</f>
        <v xml:space="preserve">The total of development budget in column B must be greater than zero.
</v>
      </c>
    </row>
    <row r="543" spans="1:7" ht="15" customHeight="1">
      <c r="C543" t="str">
        <f ca="1">INDIRECT($F$292 &amp; ADDRESS(B542, 1,4  ))</f>
        <v>Bond Issuance Costs amortized during construction</v>
      </c>
      <c r="D543" t="str">
        <f>ADDRESS(B542, 3,4  )</f>
        <v>C59</v>
      </c>
      <c r="E543">
        <f t="shared" ref="E543:E546" ca="1" si="198">IF(ISBLANK( INDIRECT($F$292 &amp; D543)),"", INDIRECT($F$292 &amp; D543))</f>
        <v>0</v>
      </c>
      <c r="F543" t="str">
        <f ca="1">CONCATENATE("Enter an '4% LIHTC Basis Calculation' value for '", C543, "' in cell ", D543, ".", CHAR(10))</f>
        <v xml:space="preserve">Enter an '4% LIHTC Basis Calculation' value for 'Bond Issuance Costs amortized during construction' in cell C59.
</v>
      </c>
      <c r="G543" s="9" t="str">
        <f t="shared" ref="G543:G546" ca="1" si="199">OFFSET(G543, -1, 0) &amp; A543</f>
        <v xml:space="preserve">The total of development budget in column B must be greater than zero.
</v>
      </c>
    </row>
    <row r="544" spans="1:7" ht="15" customHeight="1">
      <c r="C544" t="str">
        <f ca="1">INDIRECT($F$292 &amp; ADDRESS(B542, 1,4  ))</f>
        <v>Bond Issuance Costs amortized during construction</v>
      </c>
      <c r="D544" t="str">
        <f>ADDRESS(B542, 4,4  )</f>
        <v>D59</v>
      </c>
      <c r="E544">
        <f t="shared" ca="1" si="198"/>
        <v>0</v>
      </c>
      <c r="F544" t="str">
        <f ca="1">CONCATENATE("Enter an '9% LIHTC Basis Calculation' value for '", C544, "' in cell ", D544, ".", CHAR(10))</f>
        <v xml:space="preserve">Enter an '9% LIHTC Basis Calculation' value for 'Bond Issuance Costs amortized during construction' in cell D59.
</v>
      </c>
      <c r="G544" s="9" t="str">
        <f t="shared" ca="1" si="199"/>
        <v xml:space="preserve">The total of development budget in column B must be greater than zero.
</v>
      </c>
    </row>
    <row r="545" spans="1:7" ht="15" customHeight="1">
      <c r="C545" t="str">
        <f ca="1">INDIRECT($F$292 &amp; ADDRESS(B542, 1,4  ))</f>
        <v>Bond Issuance Costs amortized during construction</v>
      </c>
      <c r="D545" t="str">
        <f>ADDRESS(B542, 5,4  )</f>
        <v>E59</v>
      </c>
      <c r="E545">
        <f t="shared" ca="1" si="198"/>
        <v>0</v>
      </c>
      <c r="F545" t="str">
        <f ca="1">CONCATENATE("Enter an 'Amount Last Provided to CHFA' value for '", C545, "' in cell ", D545, ".", CHAR(10))</f>
        <v xml:space="preserve">Enter an 'Amount Last Provided to CHFA' value for 'Bond Issuance Costs amortized during construction' in cell E59.
</v>
      </c>
      <c r="G545" s="9" t="str">
        <f t="shared" ca="1" si="199"/>
        <v xml:space="preserve">The total of development budget in column B must be greater than zero.
</v>
      </c>
    </row>
    <row r="546" spans="1:7" ht="15" customHeight="1">
      <c r="C546" t="str">
        <f ca="1">INDIRECT($F$292 &amp; ADDRESS(B542, 1,4  ))</f>
        <v>Bond Issuance Costs amortized during construction</v>
      </c>
      <c r="D546" t="str">
        <f>ADDRESS(B542, 6,4  )</f>
        <v>F59</v>
      </c>
      <c r="E546">
        <f t="shared" ca="1" si="198"/>
        <v>0</v>
      </c>
      <c r="F546" t="str">
        <f ca="1">CONCATENATE("Enter a '10% Carryover Actual Incurred Costs' value for '", C546, "' in cell ", D546, ".", CHAR(10))</f>
        <v xml:space="preserve">Enter a '10% Carryover Actual Incurred Costs' value for 'Bond Issuance Costs amortized during construction' in cell F59.
</v>
      </c>
      <c r="G546" s="9" t="str">
        <f t="shared" ca="1" si="199"/>
        <v xml:space="preserve">The total of development budget in column B must be greater than zero.
</v>
      </c>
    </row>
    <row r="547" spans="1:7" ht="15" customHeight="1">
      <c r="A547" t="str">
        <f ca="1">IF(E547="", F547, "")</f>
        <v/>
      </c>
      <c r="B547" s="52">
        <f>B542+1</f>
        <v>60</v>
      </c>
      <c r="C547" t="str">
        <f ca="1">INDIRECT($F$292 &amp; ADDRESS(B547, 1,4  ))</f>
        <v>Other (Specify)</v>
      </c>
      <c r="D547" t="str">
        <f>ADDRESS(B547, 2,4  )</f>
        <v>B60</v>
      </c>
      <c r="E547">
        <f t="shared" ca="1" si="195"/>
        <v>0</v>
      </c>
      <c r="F547" t="str">
        <f ca="1">CONCATENATE("Enter a value for '", C547, "' in cell ", D547, ".", CHAR(10))</f>
        <v xml:space="preserve">Enter a value for 'Other (Specify)' in cell B60.
</v>
      </c>
      <c r="G547" s="9" t="str">
        <f t="shared" ca="1" si="193"/>
        <v xml:space="preserve">The total of development budget in column B must be greater than zero.
</v>
      </c>
    </row>
    <row r="548" spans="1:7" ht="15" customHeight="1">
      <c r="A548" t="str">
        <f ca="1">IF(AND(Calculations!$B$5, E548=""), F548, "")</f>
        <v/>
      </c>
      <c r="B548" t="s">
        <v>461</v>
      </c>
      <c r="C548" t="str">
        <f ca="1">INDIRECT($F$292 &amp; ADDRESS(B547, 1,4  ))</f>
        <v>Other (Specify)</v>
      </c>
      <c r="D548" t="str">
        <f>ADDRESS(B547, 3,4  )</f>
        <v>C60</v>
      </c>
      <c r="E548">
        <f t="shared" ca="1" si="195"/>
        <v>0</v>
      </c>
      <c r="F548" t="str">
        <f ca="1">CONCATENATE("Enter an '4% LIHTC Basis Calculation' value for '", C548, "' in cell ", D548, ".", CHAR(10))</f>
        <v xml:space="preserve">Enter an '4% LIHTC Basis Calculation' value for 'Other (Specify)' in cell C60.
</v>
      </c>
      <c r="G548" s="9" t="str">
        <f t="shared" ca="1" si="193"/>
        <v xml:space="preserve">The total of development budget in column B must be greater than zero.
</v>
      </c>
    </row>
    <row r="549" spans="1:7" ht="15" customHeight="1">
      <c r="A549" t="str">
        <f ca="1">IF(AND(Calculations!$B$6, E549=""), F549, "")</f>
        <v/>
      </c>
      <c r="B549" t="s">
        <v>461</v>
      </c>
      <c r="C549" t="str">
        <f ca="1">INDIRECT($F$292 &amp; ADDRESS(B547, 1,4  ))</f>
        <v>Other (Specify)</v>
      </c>
      <c r="D549" t="str">
        <f>ADDRESS(B547, 4,4  )</f>
        <v>D60</v>
      </c>
      <c r="E549">
        <f t="shared" ca="1" si="195"/>
        <v>0</v>
      </c>
      <c r="F549" t="str">
        <f ca="1">CONCATENATE("Enter an '9% LIHTC Basis Calculation' value for '", C549, "' in cell ", D549, ".", CHAR(10))</f>
        <v xml:space="preserve">Enter an '9% LIHTC Basis Calculation' value for 'Other (Specify)' in cell D60.
</v>
      </c>
      <c r="G549" s="9" t="str">
        <f t="shared" ca="1" si="193"/>
        <v xml:space="preserve">The total of development budget in column B must be greater than zero.
</v>
      </c>
    </row>
    <row r="550" spans="1:7" ht="15" customHeight="1">
      <c r="A550" t="str">
        <f ca="1">IF(AND(OR(Calculations!$B$3:$B$4), E550=""), F550, "")</f>
        <v/>
      </c>
      <c r="B550" t="s">
        <v>461</v>
      </c>
      <c r="C550" t="str">
        <f ca="1">INDIRECT($F$292 &amp; ADDRESS(B547, 1,4  ))</f>
        <v>Other (Specify)</v>
      </c>
      <c r="D550" t="str">
        <f>ADDRESS(B547, 5,4  )</f>
        <v>E60</v>
      </c>
      <c r="E550">
        <f t="shared" ca="1" si="195"/>
        <v>0</v>
      </c>
      <c r="F550" t="str">
        <f ca="1">CONCATENATE("Enter an 'Amount Last Provided to CHFA' value for '", C550, "' in cell ", D550, ".", CHAR(10))</f>
        <v xml:space="preserve">Enter an 'Amount Last Provided to CHFA' value for 'Other (Specify)' in cell E60.
</v>
      </c>
      <c r="G550" s="9" t="str">
        <f t="shared" ca="1" si="193"/>
        <v xml:space="preserve">The total of development budget in column B must be greater than zero.
</v>
      </c>
    </row>
    <row r="551" spans="1:7" ht="15" customHeight="1">
      <c r="A551" t="str">
        <f ca="1">IF(AND(Calculations!$B$3, E551=""), F551, "")</f>
        <v/>
      </c>
      <c r="B551" t="s">
        <v>461</v>
      </c>
      <c r="C551" t="str">
        <f ca="1">INDIRECT($F$292 &amp; ADDRESS(B547, 1,4  ))</f>
        <v>Other (Specify)</v>
      </c>
      <c r="D551" t="str">
        <f>ADDRESS(B547, 6,4  )</f>
        <v>F60</v>
      </c>
      <c r="E551">
        <f t="shared" ca="1" si="195"/>
        <v>0</v>
      </c>
      <c r="F551" t="str">
        <f ca="1">CONCATENATE("Enter a '10% Carryover Actual Incurred Costs' value for '", C551, "' in cell ", D551, ".", CHAR(10))</f>
        <v xml:space="preserve">Enter a '10% Carryover Actual Incurred Costs' value for 'Other (Specify)' in cell F60.
</v>
      </c>
      <c r="G551" s="9" t="str">
        <f t="shared" ca="1" si="193"/>
        <v xml:space="preserve">The total of development budget in column B must be greater than zero.
</v>
      </c>
    </row>
    <row r="552" spans="1:7" ht="15" customHeight="1">
      <c r="A552" t="str">
        <f ca="1">IF(AND(E552, SUM(E547:E551) &gt; 0), F552, "")</f>
        <v/>
      </c>
      <c r="C552" t="str">
        <f ca="1">INDIRECT($F$292 &amp; ADDRESS(B547, 1,4  ))</f>
        <v>Other (Specify)</v>
      </c>
      <c r="D552" t="str">
        <f>ADDRESS(B547, 1,4  )</f>
        <v>A60</v>
      </c>
      <c r="E552" t="b">
        <f ca="1">INDIRECT($F$292 &amp; D552)="Other (specify)"</f>
        <v>1</v>
      </c>
      <c r="F552" t="str">
        <f ca="1">CONCATENATE("Please specify value for '", C552, "' in cell ", D552, ".", CHAR(10))</f>
        <v xml:space="preserve">Please specify value for 'Other (Specify)' in cell A60.
</v>
      </c>
      <c r="G552" s="9" t="str">
        <f t="shared" ca="1" si="193"/>
        <v xml:space="preserve">The total of development budget in column B must be greater than zero.
</v>
      </c>
    </row>
    <row r="553" spans="1:7" ht="15" customHeight="1">
      <c r="A553" t="str">
        <f ca="1">IF(E553="", F553, "")</f>
        <v/>
      </c>
      <c r="B553" s="52">
        <f>B547+1</f>
        <v>61</v>
      </c>
      <c r="C553" t="str">
        <f ca="1">INDIRECT($F$292 &amp; ADDRESS(B553, 1,4  ))</f>
        <v>Other (Specify)</v>
      </c>
      <c r="D553" t="str">
        <f>ADDRESS(B553, 2,4  )</f>
        <v>B61</v>
      </c>
      <c r="E553">
        <f ca="1">IF(ISBLANK( INDIRECT($F$292 &amp; D553)),"", INDIRECT($F$292 &amp; D553))</f>
        <v>0</v>
      </c>
      <c r="F553" t="str">
        <f ca="1">CONCATENATE("Enter a value for '", C553, "' in cell ", D553, ".", CHAR(10))</f>
        <v xml:space="preserve">Enter a value for 'Other (Specify)' in cell B61.
</v>
      </c>
      <c r="G553" s="9" t="str">
        <f t="shared" ca="1" si="193"/>
        <v xml:space="preserve">The total of development budget in column B must be greater than zero.
</v>
      </c>
    </row>
    <row r="554" spans="1:7" ht="15" customHeight="1">
      <c r="A554" t="str">
        <f ca="1">IF(AND(Calculations!$B$5, E554=""), F554, "")</f>
        <v/>
      </c>
      <c r="B554" t="s">
        <v>461</v>
      </c>
      <c r="C554" t="str">
        <f ca="1">INDIRECT($F$292 &amp; ADDRESS(B553, 1,4  ))</f>
        <v>Other (Specify)</v>
      </c>
      <c r="D554" t="str">
        <f>ADDRESS(B553, 3,4  )</f>
        <v>C61</v>
      </c>
      <c r="E554">
        <f ca="1">IF(ISBLANK( INDIRECT($F$292 &amp; D554)),"", INDIRECT($F$292 &amp; D554))</f>
        <v>0</v>
      </c>
      <c r="F554" t="str">
        <f ca="1">CONCATENATE("Enter an '4% LIHTC Basis Calculation' value for '", C554, "' in cell ", D554, ".", CHAR(10))</f>
        <v xml:space="preserve">Enter an '4% LIHTC Basis Calculation' value for 'Other (Specify)' in cell C61.
</v>
      </c>
      <c r="G554" s="9" t="str">
        <f t="shared" ref="G554:G617" ca="1" si="200">OFFSET(G554, -1, 0) &amp; A554</f>
        <v xml:space="preserve">The total of development budget in column B must be greater than zero.
</v>
      </c>
    </row>
    <row r="555" spans="1:7" ht="15" customHeight="1">
      <c r="A555" t="str">
        <f ca="1">IF(AND(Calculations!$B$6, E555=""), F555, "")</f>
        <v/>
      </c>
      <c r="B555" t="s">
        <v>461</v>
      </c>
      <c r="C555" t="str">
        <f ca="1">INDIRECT($F$292 &amp; ADDRESS(B553, 1,4  ))</f>
        <v>Other (Specify)</v>
      </c>
      <c r="D555" t="str">
        <f>ADDRESS(B553, 4,4  )</f>
        <v>D61</v>
      </c>
      <c r="E555">
        <f ca="1">IF(ISBLANK( INDIRECT($F$292 &amp; D555)),"", INDIRECT($F$292 &amp; D555))</f>
        <v>0</v>
      </c>
      <c r="F555" t="str">
        <f ca="1">CONCATENATE("Enter an '9% LIHTC Basis Calculation' value for '", C555, "' in cell ", D555, ".", CHAR(10))</f>
        <v xml:space="preserve">Enter an '9% LIHTC Basis Calculation' value for 'Other (Specify)' in cell D61.
</v>
      </c>
      <c r="G555" s="9" t="str">
        <f t="shared" ca="1" si="200"/>
        <v xml:space="preserve">The total of development budget in column B must be greater than zero.
</v>
      </c>
    </row>
    <row r="556" spans="1:7" ht="15" customHeight="1">
      <c r="A556" t="str">
        <f ca="1">IF(AND(OR(Calculations!$B$3:$B$4), E556=""), F556, "")</f>
        <v/>
      </c>
      <c r="B556" t="s">
        <v>461</v>
      </c>
      <c r="C556" t="str">
        <f ca="1">INDIRECT($F$292 &amp; ADDRESS(B553, 1,4  ))</f>
        <v>Other (Specify)</v>
      </c>
      <c r="D556" t="str">
        <f>ADDRESS(B553, 5,4  )</f>
        <v>E61</v>
      </c>
      <c r="E556">
        <f ca="1">IF(ISBLANK( INDIRECT($F$292 &amp; D556)),"", INDIRECT($F$292 &amp; D556))</f>
        <v>0</v>
      </c>
      <c r="F556" t="str">
        <f ca="1">CONCATENATE("Enter an 'Amount Last Provided to CHFA' value for '", C556, "' in cell ", D556, ".", CHAR(10))</f>
        <v xml:space="preserve">Enter an 'Amount Last Provided to CHFA' value for 'Other (Specify)' in cell E61.
</v>
      </c>
      <c r="G556" s="9" t="str">
        <f t="shared" ca="1" si="200"/>
        <v xml:space="preserve">The total of development budget in column B must be greater than zero.
</v>
      </c>
    </row>
    <row r="557" spans="1:7" ht="15" customHeight="1">
      <c r="A557" t="str">
        <f ca="1">IF(AND(Calculations!$B$3, E557=""), F557, "")</f>
        <v/>
      </c>
      <c r="B557" t="s">
        <v>461</v>
      </c>
      <c r="C557" t="str">
        <f ca="1">INDIRECT($F$292 &amp; ADDRESS(B553, 1,4  ))</f>
        <v>Other (Specify)</v>
      </c>
      <c r="D557" t="str">
        <f>ADDRESS(B553, 6,4  )</f>
        <v>F61</v>
      </c>
      <c r="E557">
        <f ca="1">IF(ISBLANK( INDIRECT($F$292 &amp; D557)),"", INDIRECT($F$292 &amp; D557))</f>
        <v>0</v>
      </c>
      <c r="F557" t="str">
        <f ca="1">CONCATENATE("Enter a '10% Carryover Actual Incurred Costs' value for '", C557, "' in cell ", D557, ".", CHAR(10))</f>
        <v xml:space="preserve">Enter a '10% Carryover Actual Incurred Costs' value for 'Other (Specify)' in cell F61.
</v>
      </c>
      <c r="G557" s="9" t="str">
        <f t="shared" ca="1" si="200"/>
        <v xml:space="preserve">The total of development budget in column B must be greater than zero.
</v>
      </c>
    </row>
    <row r="558" spans="1:7" ht="15" customHeight="1">
      <c r="A558" t="str">
        <f ca="1">IF(AND(E558, SUM(E553:E557) &gt; 0), F558, "")</f>
        <v/>
      </c>
      <c r="C558" t="str">
        <f ca="1">INDIRECT($F$292 &amp; ADDRESS(B553, 1,4  ))</f>
        <v>Other (Specify)</v>
      </c>
      <c r="D558" t="str">
        <f>ADDRESS(B553, 1,4  )</f>
        <v>A61</v>
      </c>
      <c r="E558" t="b">
        <f ca="1">INDIRECT($F$292 &amp; D558)="Other (specify)"</f>
        <v>1</v>
      </c>
      <c r="F558" t="str">
        <f ca="1">CONCATENATE("Please specify value for '", C558, "' in cell ", D558, ".", CHAR(10))</f>
        <v xml:space="preserve">Please specify value for 'Other (Specify)' in cell A61.
</v>
      </c>
      <c r="G558" s="9" t="str">
        <f t="shared" ca="1" si="200"/>
        <v xml:space="preserve">The total of development budget in column B must be greater than zero.
</v>
      </c>
    </row>
    <row r="559" spans="1:7" ht="15" customHeight="1">
      <c r="A559" t="str">
        <f ca="1">IF(E559="", F559, "")</f>
        <v/>
      </c>
      <c r="B559" s="52">
        <f>B553+1</f>
        <v>62</v>
      </c>
      <c r="C559" t="str">
        <f ca="1">INDIRECT($F$292 &amp; ADDRESS(B559, 1,4  ))</f>
        <v>Other (Specify)</v>
      </c>
      <c r="D559" t="str">
        <f>ADDRESS(B559, 2,4  )</f>
        <v>B62</v>
      </c>
      <c r="E559">
        <f ca="1">IF(ISBLANK( INDIRECT($F$292 &amp; D559)),"", INDIRECT($F$292 &amp; D559))</f>
        <v>0</v>
      </c>
      <c r="F559" t="str">
        <f ca="1">CONCATENATE("Enter a value for '", C559, "' in cell ", D559, ".", CHAR(10))</f>
        <v xml:space="preserve">Enter a value for 'Other (Specify)' in cell B62.
</v>
      </c>
      <c r="G559" s="9" t="str">
        <f t="shared" ca="1" si="200"/>
        <v xml:space="preserve">The total of development budget in column B must be greater than zero.
</v>
      </c>
    </row>
    <row r="560" spans="1:7" ht="15" customHeight="1">
      <c r="A560" t="str">
        <f ca="1">IF(AND(Calculations!$B$5, E560=""), F560, "")</f>
        <v/>
      </c>
      <c r="B560" t="s">
        <v>461</v>
      </c>
      <c r="C560" t="str">
        <f ca="1">INDIRECT($F$292 &amp; ADDRESS(B559, 1,4  ))</f>
        <v>Other (Specify)</v>
      </c>
      <c r="D560" t="str">
        <f>ADDRESS(B559, 3,4  )</f>
        <v>C62</v>
      </c>
      <c r="E560">
        <f ca="1">IF(ISBLANK( INDIRECT($F$292 &amp; D560)),"", INDIRECT($F$292 &amp; D560))</f>
        <v>0</v>
      </c>
      <c r="F560" t="str">
        <f ca="1">CONCATENATE("Enter an '4% LIHTC Basis Calculation' value for '", C560, "' in cell ", D560, ".", CHAR(10))</f>
        <v xml:space="preserve">Enter an '4% LIHTC Basis Calculation' value for 'Other (Specify)' in cell C62.
</v>
      </c>
      <c r="G560" s="9" t="str">
        <f t="shared" ca="1" si="200"/>
        <v xml:space="preserve">The total of development budget in column B must be greater than zero.
</v>
      </c>
    </row>
    <row r="561" spans="1:7" ht="15" customHeight="1">
      <c r="A561" t="str">
        <f ca="1">IF(AND(Calculations!$B$6, E561=""), F561, "")</f>
        <v/>
      </c>
      <c r="B561" t="s">
        <v>461</v>
      </c>
      <c r="C561" t="str">
        <f ca="1">INDIRECT($F$292 &amp; ADDRESS(B559, 1,4  ))</f>
        <v>Other (Specify)</v>
      </c>
      <c r="D561" t="str">
        <f>ADDRESS(B559, 4,4  )</f>
        <v>D62</v>
      </c>
      <c r="E561">
        <f ca="1">IF(ISBLANK( INDIRECT($F$292 &amp; D561)),"", INDIRECT($F$292 &amp; D561))</f>
        <v>0</v>
      </c>
      <c r="F561" t="str">
        <f ca="1">CONCATENATE("Enter an '9% LIHTC Basis Calculation' value for '", C561, "' in cell ", D561, ".", CHAR(10))</f>
        <v xml:space="preserve">Enter an '9% LIHTC Basis Calculation' value for 'Other (Specify)' in cell D62.
</v>
      </c>
      <c r="G561" s="9" t="str">
        <f t="shared" ca="1" si="200"/>
        <v xml:space="preserve">The total of development budget in column B must be greater than zero.
</v>
      </c>
    </row>
    <row r="562" spans="1:7" ht="15" customHeight="1">
      <c r="A562" t="str">
        <f ca="1">IF(AND(OR(Calculations!$B$3:$B$4), E562=""), F562, "")</f>
        <v/>
      </c>
      <c r="B562" t="s">
        <v>461</v>
      </c>
      <c r="C562" t="str">
        <f ca="1">INDIRECT($F$292 &amp; ADDRESS(B559, 1,4  ))</f>
        <v>Other (Specify)</v>
      </c>
      <c r="D562" t="str">
        <f>ADDRESS(B559, 5,4  )</f>
        <v>E62</v>
      </c>
      <c r="E562">
        <f ca="1">IF(ISBLANK( INDIRECT($F$292 &amp; D562)),"", INDIRECT($F$292 &amp; D562))</f>
        <v>0</v>
      </c>
      <c r="F562" t="str">
        <f ca="1">CONCATENATE("Enter an 'Amount Last Provided to CHFA' value for '", C562, "' in cell ", D562, ".", CHAR(10))</f>
        <v xml:space="preserve">Enter an 'Amount Last Provided to CHFA' value for 'Other (Specify)' in cell E62.
</v>
      </c>
      <c r="G562" s="9" t="str">
        <f t="shared" ca="1" si="200"/>
        <v xml:space="preserve">The total of development budget in column B must be greater than zero.
</v>
      </c>
    </row>
    <row r="563" spans="1:7" ht="15" customHeight="1">
      <c r="A563" t="str">
        <f ca="1">IF(AND(Calculations!$B$3, E563=""), F563, "")</f>
        <v/>
      </c>
      <c r="B563" t="s">
        <v>461</v>
      </c>
      <c r="C563" t="str">
        <f ca="1">INDIRECT($F$292 &amp; ADDRESS(B559, 1,4  ))</f>
        <v>Other (Specify)</v>
      </c>
      <c r="D563" t="str">
        <f>ADDRESS(B559, 6,4  )</f>
        <v>F62</v>
      </c>
      <c r="E563">
        <f ca="1">IF(ISBLANK( INDIRECT($F$292 &amp; D563)),"", INDIRECT($F$292 &amp; D563))</f>
        <v>0</v>
      </c>
      <c r="F563" t="str">
        <f ca="1">CONCATENATE("Enter a '10% Carryover Actual Incurred Costs' value for '", C563, "' in cell ", D563, ".", CHAR(10))</f>
        <v xml:space="preserve">Enter a '10% Carryover Actual Incurred Costs' value for 'Other (Specify)' in cell F62.
</v>
      </c>
      <c r="G563" s="9" t="str">
        <f t="shared" ca="1" si="200"/>
        <v xml:space="preserve">The total of development budget in column B must be greater than zero.
</v>
      </c>
    </row>
    <row r="564" spans="1:7" ht="15" customHeight="1">
      <c r="A564" t="str">
        <f ca="1">IF(AND(E564, SUM(E559:E563) &gt; 0), F564, "")</f>
        <v/>
      </c>
      <c r="C564" t="str">
        <f ca="1">INDIRECT($F$292 &amp; ADDRESS(B559, 1,4  ))</f>
        <v>Other (Specify)</v>
      </c>
      <c r="D564" t="str">
        <f>ADDRESS(B559, 1,4  )</f>
        <v>A62</v>
      </c>
      <c r="E564" t="b">
        <f ca="1">INDIRECT($F$292 &amp; D564)="Other (specify)"</f>
        <v>1</v>
      </c>
      <c r="F564" t="str">
        <f ca="1">CONCATENATE("Please specify value for '", C564, "' in cell ", D564, ".", CHAR(10))</f>
        <v xml:space="preserve">Please specify value for 'Other (Specify)' in cell A62.
</v>
      </c>
      <c r="G564" s="9" t="str">
        <f t="shared" ca="1" si="200"/>
        <v xml:space="preserve">The total of development budget in column B must be greater than zero.
</v>
      </c>
    </row>
    <row r="565" spans="1:7" ht="15" customHeight="1">
      <c r="A565" t="str">
        <f ca="1">IF(E565="", F565, "")</f>
        <v/>
      </c>
      <c r="B565">
        <f>ROW('Development Budget'!A65)</f>
        <v>65</v>
      </c>
      <c r="C565" t="str">
        <f ca="1">INDIRECT($F$292 &amp; ADDRESS(B565, 1,4  ))</f>
        <v>Bond Premium</v>
      </c>
      <c r="D565" t="str">
        <f>ADDRESS(B565, 2,4  )</f>
        <v>B65</v>
      </c>
      <c r="E565">
        <f t="shared" ref="E565:E589" ca="1" si="201">IF(ISBLANK( INDIRECT($F$292 &amp; D565)),"", INDIRECT($F$292 &amp; D565))</f>
        <v>0</v>
      </c>
      <c r="F565" t="str">
        <f ca="1">CONCATENATE("Enter a value for '", C565, "' in cell ", D565, ".", CHAR(10))</f>
        <v xml:space="preserve">Enter a value for 'Bond Premium' in cell B65.
</v>
      </c>
      <c r="G565" s="9" t="str">
        <f t="shared" ca="1" si="200"/>
        <v xml:space="preserve">The total of development budget in column B must be greater than zero.
</v>
      </c>
    </row>
    <row r="566" spans="1:7" ht="15" customHeight="1">
      <c r="A566" t="str">
        <f ca="1">IF(AND(OR(Calculations!$B$3:$B$4), E566=""), F566, "")</f>
        <v/>
      </c>
      <c r="B566" t="s">
        <v>461</v>
      </c>
      <c r="C566" t="str">
        <f ca="1">INDIRECT($F$292 &amp; ADDRESS(B565, 1,4  ))</f>
        <v>Bond Premium</v>
      </c>
      <c r="D566" t="str">
        <f>ADDRESS(B565, 5,4  )</f>
        <v>E65</v>
      </c>
      <c r="E566">
        <f t="shared" ca="1" si="201"/>
        <v>0</v>
      </c>
      <c r="F566" t="str">
        <f ca="1">CONCATENATE("Enter an 'Amount Last Provided to CHFA' value for '", C566, "' in cell ", D566, ".", CHAR(10))</f>
        <v xml:space="preserve">Enter an 'Amount Last Provided to CHFA' value for 'Bond Premium' in cell E65.
</v>
      </c>
      <c r="G566" s="9" t="str">
        <f t="shared" ca="1" si="200"/>
        <v xml:space="preserve">The total of development budget in column B must be greater than zero.
</v>
      </c>
    </row>
    <row r="567" spans="1:7" ht="15" customHeight="1">
      <c r="A567" t="str">
        <f ca="1">IF(E567="", F567, "")</f>
        <v/>
      </c>
      <c r="B567" s="52">
        <f>B565+1</f>
        <v>66</v>
      </c>
      <c r="C567" t="str">
        <f ca="1">INDIRECT($F$292 &amp; ADDRESS(B567, 1,4  ))</f>
        <v>Bond Issue 30-day lag reserve</v>
      </c>
      <c r="D567" t="str">
        <f>ADDRESS(B567, 2,4  )</f>
        <v>B66</v>
      </c>
      <c r="E567">
        <f t="shared" ca="1" si="201"/>
        <v>0</v>
      </c>
      <c r="F567" t="str">
        <f ca="1">CONCATENATE("Enter a value for '", C567, "' in cell ", D567, ".", CHAR(10))</f>
        <v xml:space="preserve">Enter a value for 'Bond Issue 30-day lag reserve' in cell B66.
</v>
      </c>
      <c r="G567" s="9" t="str">
        <f t="shared" ca="1" si="200"/>
        <v xml:space="preserve">The total of development budget in column B must be greater than zero.
</v>
      </c>
    </row>
    <row r="568" spans="1:7" ht="15" customHeight="1">
      <c r="A568" t="str">
        <f ca="1">IF(AND(OR(Calculations!$B$3:$B$4), E568=""), F568, "")</f>
        <v/>
      </c>
      <c r="B568" t="s">
        <v>461</v>
      </c>
      <c r="C568" t="str">
        <f ca="1">INDIRECT($F$292 &amp; ADDRESS(B567, 1,4  ))</f>
        <v>Bond Issue 30-day lag reserve</v>
      </c>
      <c r="D568" t="str">
        <f>ADDRESS(B567, 5,4  )</f>
        <v>E66</v>
      </c>
      <c r="E568">
        <f t="shared" ca="1" si="201"/>
        <v>0</v>
      </c>
      <c r="F568" t="str">
        <f ca="1">CONCATENATE("Enter an 'Amount Last Provided to CHFA' value for '", C568, "' in cell ", D568, ".", CHAR(10))</f>
        <v xml:space="preserve">Enter an 'Amount Last Provided to CHFA' value for 'Bond Issue 30-day lag reserve' in cell E66.
</v>
      </c>
      <c r="G568" s="9" t="str">
        <f t="shared" ca="1" si="200"/>
        <v xml:space="preserve">The total of development budget in column B must be greater than zero.
</v>
      </c>
    </row>
    <row r="569" spans="1:7" ht="15" customHeight="1">
      <c r="A569" t="str">
        <f ca="1">IF(E569="", F569, "")</f>
        <v/>
      </c>
      <c r="B569" s="52">
        <f>B567+1</f>
        <v>67</v>
      </c>
      <c r="C569" t="str">
        <f ca="1">INDIRECT($F$292 &amp; ADDRESS(B569, 1,4  ))</f>
        <v>Bond Cost of Issuance</v>
      </c>
      <c r="D569" t="str">
        <f>ADDRESS(B569, 2,4  )</f>
        <v>B67</v>
      </c>
      <c r="E569">
        <f t="shared" ca="1" si="201"/>
        <v>0</v>
      </c>
      <c r="F569" t="str">
        <f ca="1">CONCATENATE("Enter a value for '", C569, "' in cell ", D569, ".", CHAR(10))</f>
        <v xml:space="preserve">Enter a value for 'Bond Cost of Issuance' in cell B67.
</v>
      </c>
      <c r="G569" s="9" t="str">
        <f t="shared" ca="1" si="200"/>
        <v xml:space="preserve">The total of development budget in column B must be greater than zero.
</v>
      </c>
    </row>
    <row r="570" spans="1:7" ht="15" customHeight="1">
      <c r="A570" t="str">
        <f ca="1">IF(AND(OR(Calculations!$B$3:$B$4), E570=""), F570, "")</f>
        <v/>
      </c>
      <c r="B570" t="s">
        <v>461</v>
      </c>
      <c r="C570" t="str">
        <f ca="1">INDIRECT($F$292 &amp; ADDRESS(B569, 1,4  ))</f>
        <v>Bond Cost of Issuance</v>
      </c>
      <c r="D570" t="str">
        <f>ADDRESS(B569, 5,4  )</f>
        <v>E67</v>
      </c>
      <c r="E570">
        <f t="shared" ca="1" si="201"/>
        <v>0</v>
      </c>
      <c r="F570" t="str">
        <f ca="1">CONCATENATE("Enter an 'Amount Last Provided to CHFA' value for '", C570, "' in cell ", D570, ".", CHAR(10))</f>
        <v xml:space="preserve">Enter an 'Amount Last Provided to CHFA' value for 'Bond Cost of Issuance' in cell E67.
</v>
      </c>
      <c r="G570" s="9" t="str">
        <f t="shared" ca="1" si="200"/>
        <v xml:space="preserve">The total of development budget in column B must be greater than zero.
</v>
      </c>
    </row>
    <row r="571" spans="1:7" ht="15" customHeight="1">
      <c r="A571" t="str">
        <f ca="1">IF(E571="", F571, "")</f>
        <v/>
      </c>
      <c r="B571" s="52">
        <f>B569+1</f>
        <v>68</v>
      </c>
      <c r="C571" t="str">
        <f ca="1">INDIRECT($F$292 &amp; ADDRESS(B571, 1,4  ))</f>
        <v>Discount Points</v>
      </c>
      <c r="D571" t="str">
        <f>ADDRESS(B571, 2,4  )</f>
        <v>B68</v>
      </c>
      <c r="E571">
        <f t="shared" ca="1" si="201"/>
        <v>0</v>
      </c>
      <c r="F571" t="str">
        <f ca="1">CONCATENATE("Enter a value for '", C571, "' in cell ", D571, ".", CHAR(10))</f>
        <v xml:space="preserve">Enter a value for 'Discount Points' in cell B68.
</v>
      </c>
      <c r="G571" s="9" t="str">
        <f t="shared" ca="1" si="200"/>
        <v xml:space="preserve">The total of development budget in column B must be greater than zero.
</v>
      </c>
    </row>
    <row r="572" spans="1:7" ht="15" customHeight="1">
      <c r="A572" t="str">
        <f ca="1">IF(AND(OR(Calculations!$B$3:$B$4), E572=""), F572, "")</f>
        <v/>
      </c>
      <c r="B572" t="s">
        <v>461</v>
      </c>
      <c r="C572" t="str">
        <f ca="1">INDIRECT($F$292 &amp; ADDRESS(B571, 1,4  ))</f>
        <v>Discount Points</v>
      </c>
      <c r="D572" t="str">
        <f>ADDRESS(B571, 5,4  )</f>
        <v>E68</v>
      </c>
      <c r="E572">
        <f t="shared" ca="1" si="201"/>
        <v>0</v>
      </c>
      <c r="F572" t="str">
        <f ca="1">CONCATENATE("Enter an 'Amount Last Provided to CHFA' value for '", C572, "' in cell ", D572, ".", CHAR(10))</f>
        <v xml:space="preserve">Enter an 'Amount Last Provided to CHFA' value for 'Discount Points' in cell E68.
</v>
      </c>
      <c r="G572" s="9" t="str">
        <f t="shared" ca="1" si="200"/>
        <v xml:space="preserve">The total of development budget in column B must be greater than zero.
</v>
      </c>
    </row>
    <row r="573" spans="1:7" ht="15" customHeight="1">
      <c r="A573" t="str">
        <f ca="1">IF(AND(Calculations!$B$3, E573=""), F573, "")</f>
        <v/>
      </c>
      <c r="B573" t="s">
        <v>461</v>
      </c>
      <c r="C573" t="str">
        <f ca="1">INDIRECT($F$292 &amp; ADDRESS(B571, 1,4  ))</f>
        <v>Discount Points</v>
      </c>
      <c r="D573" t="str">
        <f>ADDRESS(B571, 6,4  )</f>
        <v>F68</v>
      </c>
      <c r="E573" t="str">
        <f t="shared" ca="1" si="201"/>
        <v/>
      </c>
      <c r="F573" t="str">
        <f ca="1">CONCATENATE("Enter a '10% Carryover Actual Incurred Costs' value for '", C573, "' in cell ", D573, ".", CHAR(10))</f>
        <v xml:space="preserve">Enter a '10% Carryover Actual Incurred Costs' value for 'Discount Points' in cell F68.
</v>
      </c>
      <c r="G573" s="9" t="str">
        <f t="shared" ca="1" si="200"/>
        <v xml:space="preserve">The total of development budget in column B must be greater than zero.
</v>
      </c>
    </row>
    <row r="574" spans="1:7" ht="15" customHeight="1">
      <c r="A574" t="str">
        <f ca="1">IF(E574="", F574, "")</f>
        <v/>
      </c>
      <c r="B574" s="52">
        <f>B571+1</f>
        <v>69</v>
      </c>
      <c r="C574" t="str">
        <f ca="1">INDIRECT($F$292 &amp; ADDRESS(B574, 1,4  ))</f>
        <v>Perm Loan Origination</v>
      </c>
      <c r="D574" t="str">
        <f>ADDRESS(B574, 2,4  )</f>
        <v>B69</v>
      </c>
      <c r="E574">
        <f t="shared" ca="1" si="201"/>
        <v>0</v>
      </c>
      <c r="F574" t="str">
        <f ca="1">CONCATENATE("Enter a value for '", C574, "' in cell ", D574, ".", CHAR(10))</f>
        <v xml:space="preserve">Enter a value for 'Perm Loan Origination' in cell B69.
</v>
      </c>
      <c r="G574" s="9" t="str">
        <f t="shared" ca="1" si="200"/>
        <v xml:space="preserve">The total of development budget in column B must be greater than zero.
</v>
      </c>
    </row>
    <row r="575" spans="1:7" ht="15" customHeight="1">
      <c r="A575" t="str">
        <f ca="1">IF(AND(Calculations!$B$5, E575=""), F575, "")</f>
        <v/>
      </c>
      <c r="B575" t="s">
        <v>461</v>
      </c>
      <c r="C575" t="str">
        <f ca="1">INDIRECT($F$292 &amp; ADDRESS(B574, 1,4  ))</f>
        <v>Perm Loan Origination</v>
      </c>
      <c r="D575" t="str">
        <f>ADDRESS(B574, 5,4  )</f>
        <v>E69</v>
      </c>
      <c r="E575">
        <f t="shared" ca="1" si="201"/>
        <v>0</v>
      </c>
      <c r="F575" t="str">
        <f ca="1">CONCATENATE("Enter an '4% LIHTC Basis Calculation' value for '", C575, "' in cell ", D575, ".", CHAR(10))</f>
        <v xml:space="preserve">Enter an '4% LIHTC Basis Calculation' value for 'Perm Loan Origination' in cell E69.
</v>
      </c>
      <c r="G575" s="9" t="str">
        <f t="shared" ca="1" si="200"/>
        <v xml:space="preserve">The total of development budget in column B must be greater than zero.
</v>
      </c>
    </row>
    <row r="576" spans="1:7" ht="15" customHeight="1">
      <c r="A576" t="str">
        <f ca="1">IF(E576="", F576, "")</f>
        <v/>
      </c>
      <c r="B576" s="52">
        <f>B574+1</f>
        <v>70</v>
      </c>
      <c r="C576" t="str">
        <f ca="1">INDIRECT($F$292 &amp; ADDRESS(B576, 1,4  ))</f>
        <v>Credit Enhancement</v>
      </c>
      <c r="D576" t="str">
        <f>ADDRESS(B576, 2,4  )</f>
        <v>B70</v>
      </c>
      <c r="E576">
        <f t="shared" ca="1" si="201"/>
        <v>0</v>
      </c>
      <c r="F576" t="str">
        <f ca="1">CONCATENATE("Enter a value for '", C576, "' in cell ", D576, ".", CHAR(10))</f>
        <v xml:space="preserve">Enter a value for 'Credit Enhancement' in cell B70.
</v>
      </c>
      <c r="G576" s="9" t="str">
        <f t="shared" ca="1" si="200"/>
        <v xml:space="preserve">The total of development budget in column B must be greater than zero.
</v>
      </c>
    </row>
    <row r="577" spans="1:7" ht="15" customHeight="1">
      <c r="A577" t="str">
        <f ca="1">IF(AND(OR(Calculations!$B$3:$B$4), E577=""), F577, "")</f>
        <v/>
      </c>
      <c r="B577" t="s">
        <v>461</v>
      </c>
      <c r="C577" t="str">
        <f ca="1">INDIRECT($F$292 &amp; ADDRESS(B576, 1,4  ))</f>
        <v>Credit Enhancement</v>
      </c>
      <c r="D577" t="str">
        <f>ADDRESS(B576, 5,4  )</f>
        <v>E70</v>
      </c>
      <c r="E577">
        <f t="shared" ca="1" si="201"/>
        <v>0</v>
      </c>
      <c r="F577" t="str">
        <f ca="1">CONCATENATE("Enter an 'Amount Last Provided to CHFA' value for '", C577, "' in cell ", D577, ".", CHAR(10))</f>
        <v xml:space="preserve">Enter an 'Amount Last Provided to CHFA' value for 'Credit Enhancement' in cell E70.
</v>
      </c>
      <c r="G577" s="9" t="str">
        <f t="shared" ca="1" si="200"/>
        <v xml:space="preserve">The total of development budget in column B must be greater than zero.
</v>
      </c>
    </row>
    <row r="578" spans="1:7" ht="15" customHeight="1">
      <c r="A578" t="str">
        <f ca="1">IF(E578="", F578, "")</f>
        <v/>
      </c>
      <c r="B578" s="52">
        <f>B576+1</f>
        <v>71</v>
      </c>
      <c r="C578" t="str">
        <f ca="1">INDIRECT($F$292 &amp; ADDRESS(B578, 1,4  ))</f>
        <v>Title &amp; Recording</v>
      </c>
      <c r="D578" t="str">
        <f>ADDRESS(B578, 2,4  )</f>
        <v>B71</v>
      </c>
      <c r="E578">
        <f t="shared" ca="1" si="201"/>
        <v>0</v>
      </c>
      <c r="F578" t="str">
        <f ca="1">CONCATENATE("Enter a value for '", C578, "' in cell ", D578, ".", CHAR(10))</f>
        <v xml:space="preserve">Enter a value for 'Title &amp; Recording' in cell B71.
</v>
      </c>
      <c r="G578" s="9" t="str">
        <f t="shared" ca="1" si="200"/>
        <v xml:space="preserve">The total of development budget in column B must be greater than zero.
</v>
      </c>
    </row>
    <row r="579" spans="1:7" ht="15" customHeight="1">
      <c r="A579" t="str">
        <f ca="1">IF(AND(OR(Calculations!$B$3:$B$4), E579=""), F579, "")</f>
        <v/>
      </c>
      <c r="B579" t="s">
        <v>461</v>
      </c>
      <c r="C579" t="str">
        <f ca="1">INDIRECT($F$292 &amp; ADDRESS(B578, 1,4  ))</f>
        <v>Title &amp; Recording</v>
      </c>
      <c r="D579" t="str">
        <f>ADDRESS(B578, 5,4  )</f>
        <v>E71</v>
      </c>
      <c r="E579">
        <f t="shared" ca="1" si="201"/>
        <v>0</v>
      </c>
      <c r="F579" t="str">
        <f ca="1">CONCATENATE("Enter an 'Amount Last Provided to CHFA' value for '", C579, "' in cell ", D579, ".", CHAR(10))</f>
        <v xml:space="preserve">Enter an 'Amount Last Provided to CHFA' value for 'Title &amp; Recording' in cell E71.
</v>
      </c>
      <c r="G579" s="9" t="str">
        <f t="shared" ca="1" si="200"/>
        <v xml:space="preserve">The total of development budget in column B must be greater than zero.
</v>
      </c>
    </row>
    <row r="580" spans="1:7" ht="15" customHeight="1">
      <c r="A580" t="str">
        <f ca="1">IF(E580="", F580, "")</f>
        <v/>
      </c>
      <c r="B580" s="52">
        <f>B578+1</f>
        <v>72</v>
      </c>
      <c r="C580" t="str">
        <f ca="1">INDIRECT($F$292 &amp; ADDRESS(B580, 1,4  ))</f>
        <v>Legal Fees</v>
      </c>
      <c r="D580" t="str">
        <f>ADDRESS(B580, 2,4  )</f>
        <v>B72</v>
      </c>
      <c r="E580">
        <f t="shared" ca="1" si="201"/>
        <v>0</v>
      </c>
      <c r="F580" t="str">
        <f ca="1">CONCATENATE("Enter a value for '", C580, "' in cell ", D580, ".", CHAR(10))</f>
        <v xml:space="preserve">Enter a value for 'Legal Fees' in cell B72.
</v>
      </c>
      <c r="G580" s="9" t="str">
        <f t="shared" ca="1" si="200"/>
        <v xml:space="preserve">The total of development budget in column B must be greater than zero.
</v>
      </c>
    </row>
    <row r="581" spans="1:7" ht="15" customHeight="1">
      <c r="A581" t="str">
        <f ca="1">IF(AND(OR(Calculations!$B$3:$B$4), E581=""), F581, "")</f>
        <v/>
      </c>
      <c r="B581" t="s">
        <v>461</v>
      </c>
      <c r="C581" t="str">
        <f ca="1">INDIRECT($F$292 &amp; ADDRESS(B580, 1,4  ))</f>
        <v>Legal Fees</v>
      </c>
      <c r="D581" t="str">
        <f>ADDRESS(B580, 5,4  )</f>
        <v>E72</v>
      </c>
      <c r="E581">
        <f t="shared" ca="1" si="201"/>
        <v>0</v>
      </c>
      <c r="F581" t="str">
        <f ca="1">CONCATENATE("Enter an 'Amount Last Provided to CHFA' value for '", C581, "' in cell ", D581, ".", CHAR(10))</f>
        <v xml:space="preserve">Enter an 'Amount Last Provided to CHFA' value for 'Legal Fees' in cell E72.
</v>
      </c>
      <c r="G581" s="9" t="str">
        <f t="shared" ca="1" si="200"/>
        <v xml:space="preserve">The total of development budget in column B must be greater than zero.
</v>
      </c>
    </row>
    <row r="582" spans="1:7" ht="15" customHeight="1">
      <c r="A582" t="str">
        <f ca="1">IF(E582="", F582, "")</f>
        <v/>
      </c>
      <c r="B582" s="52">
        <f>B580+1</f>
        <v>73</v>
      </c>
      <c r="C582" t="str">
        <f ca="1">INDIRECT($F$292 &amp; ADDRESS(B582, 1,4  ))</f>
        <v>Prepaid MIP</v>
      </c>
      <c r="D582" t="str">
        <f>ADDRESS(B582, 2,4  )</f>
        <v>B73</v>
      </c>
      <c r="E582">
        <f t="shared" ca="1" si="201"/>
        <v>0</v>
      </c>
      <c r="F582" t="str">
        <f ca="1">CONCATENATE("Enter a value for '", C582, "' in cell ", D582, ".", CHAR(10))</f>
        <v xml:space="preserve">Enter a value for 'Prepaid MIP' in cell B73.
</v>
      </c>
      <c r="G582" s="9" t="str">
        <f t="shared" ca="1" si="200"/>
        <v xml:space="preserve">The total of development budget in column B must be greater than zero.
</v>
      </c>
    </row>
    <row r="583" spans="1:7" ht="15" customHeight="1">
      <c r="A583" t="str">
        <f ca="1">IF(AND(OR(Calculations!$B$3:$B$4), E583=""), F583, "")</f>
        <v/>
      </c>
      <c r="B583" t="s">
        <v>461</v>
      </c>
      <c r="C583" t="str">
        <f ca="1">INDIRECT($F$292 &amp; ADDRESS(B582, 1,4  ))</f>
        <v>Prepaid MIP</v>
      </c>
      <c r="D583" t="str">
        <f>ADDRESS(B582, 5,4  )</f>
        <v>E73</v>
      </c>
      <c r="E583">
        <f t="shared" ca="1" si="201"/>
        <v>0</v>
      </c>
      <c r="F583" t="str">
        <f ca="1">CONCATENATE("Enter an 'Amount Last Provided to CHFA' value for '", C583, "' in cell ", D583, ".", CHAR(10))</f>
        <v xml:space="preserve">Enter an 'Amount Last Provided to CHFA' value for 'Prepaid MIP' in cell E73.
</v>
      </c>
      <c r="G583" s="9" t="str">
        <f t="shared" ca="1" si="200"/>
        <v xml:space="preserve">The total of development budget in column B must be greater than zero.
</v>
      </c>
    </row>
    <row r="584" spans="1:7" ht="15" customHeight="1">
      <c r="A584" t="str">
        <f ca="1">IF(E584="", F584, "")</f>
        <v/>
      </c>
      <c r="B584" s="52">
        <f>B582+1</f>
        <v>74</v>
      </c>
      <c r="C584" t="str">
        <f ca="1">INDIRECT($F$292 &amp; ADDRESS(B584, 1,4  ))</f>
        <v>Forward Rate Lock</v>
      </c>
      <c r="D584" t="str">
        <f>ADDRESS(B584, 2,4  )</f>
        <v>B74</v>
      </c>
      <c r="E584">
        <f t="shared" ca="1" si="201"/>
        <v>0</v>
      </c>
      <c r="F584" t="str">
        <f ca="1">CONCATENATE("Enter a value for '", C584, "' in cell ", D584, ".", CHAR(10))</f>
        <v xml:space="preserve">Enter a value for 'Forward Rate Lock' in cell B74.
</v>
      </c>
      <c r="G584" s="9" t="str">
        <f t="shared" ca="1" si="200"/>
        <v xml:space="preserve">The total of development budget in column B must be greater than zero.
</v>
      </c>
    </row>
    <row r="585" spans="1:7" ht="15" customHeight="1">
      <c r="A585" t="str">
        <f ca="1">IF(AND(OR(Calculations!$B$3:$B$4), E585=""), F585, "")</f>
        <v/>
      </c>
      <c r="B585" t="s">
        <v>461</v>
      </c>
      <c r="C585" t="str">
        <f ca="1">INDIRECT($F$292 &amp; ADDRESS(B584, 1,4  ))</f>
        <v>Forward Rate Lock</v>
      </c>
      <c r="D585" t="str">
        <f>ADDRESS(B584, 5,4  )</f>
        <v>E74</v>
      </c>
      <c r="E585">
        <f t="shared" ca="1" si="201"/>
        <v>0</v>
      </c>
      <c r="F585" t="str">
        <f ca="1">CONCATENATE("Enter an 'Amount Last Provided to CHFA' value for '", C585, "' in cell ", D585, ".", CHAR(10))</f>
        <v xml:space="preserve">Enter an 'Amount Last Provided to CHFA' value for 'Forward Rate Lock' in cell E74.
</v>
      </c>
      <c r="G585" s="9" t="str">
        <f t="shared" ca="1" si="200"/>
        <v xml:space="preserve">The total of development budget in column B must be greater than zero.
</v>
      </c>
    </row>
    <row r="586" spans="1:7" ht="15" customHeight="1">
      <c r="A586" t="str">
        <f ca="1">IF(E586="", F586, "")</f>
        <v/>
      </c>
      <c r="B586" s="52">
        <f>B584+1</f>
        <v>75</v>
      </c>
      <c r="C586" t="str">
        <f ca="1">INDIRECT($F$292 &amp; ADDRESS(B586, 1,4  ))</f>
        <v>Conversion Fee</v>
      </c>
      <c r="D586" t="str">
        <f>ADDRESS(B586, 2,4  )</f>
        <v>B75</v>
      </c>
      <c r="E586">
        <f t="shared" ca="1" si="201"/>
        <v>0</v>
      </c>
      <c r="F586" t="str">
        <f ca="1">CONCATENATE("Enter a value for '", C586, "' in cell ", D586, ".", CHAR(10))</f>
        <v xml:space="preserve">Enter a value for 'Conversion Fee' in cell B75.
</v>
      </c>
      <c r="G586" s="9" t="str">
        <f t="shared" ca="1" si="200"/>
        <v xml:space="preserve">The total of development budget in column B must be greater than zero.
</v>
      </c>
    </row>
    <row r="587" spans="1:7" ht="15" customHeight="1">
      <c r="A587" t="str">
        <f ca="1">IF(AND(OR(Calculations!$B$3:$B$4), E587=""), F587, "")</f>
        <v/>
      </c>
      <c r="B587" t="s">
        <v>461</v>
      </c>
      <c r="C587" t="str">
        <f ca="1">INDIRECT($F$292 &amp; ADDRESS(B586, 1,4  ))</f>
        <v>Conversion Fee</v>
      </c>
      <c r="D587" t="str">
        <f>ADDRESS(B586, 5,4  )</f>
        <v>E75</v>
      </c>
      <c r="E587">
        <f t="shared" ca="1" si="201"/>
        <v>0</v>
      </c>
      <c r="F587" t="str">
        <f ca="1">CONCATENATE("Enter an 'Amount Last Provided to CHFA' value for '", C587, "' in cell ", D587, ".", CHAR(10))</f>
        <v xml:space="preserve">Enter an 'Amount Last Provided to CHFA' value for 'Conversion Fee' in cell E75.
</v>
      </c>
      <c r="G587" s="9" t="str">
        <f t="shared" ca="1" si="200"/>
        <v xml:space="preserve">The total of development budget in column B must be greater than zero.
</v>
      </c>
    </row>
    <row r="588" spans="1:7" ht="15" customHeight="1">
      <c r="A588" t="str">
        <f ca="1">IF(E588="", F588, "")</f>
        <v/>
      </c>
      <c r="B588" s="52">
        <f>B586+1</f>
        <v>76</v>
      </c>
      <c r="C588" t="str">
        <f ca="1">INDIRECT($F$292 &amp; ADDRESS(B588, 1,4  ))</f>
        <v>Other (Specify)</v>
      </c>
      <c r="D588" t="str">
        <f>ADDRESS(B588, 2,4  )</f>
        <v>B76</v>
      </c>
      <c r="E588">
        <f t="shared" ca="1" si="201"/>
        <v>0</v>
      </c>
      <c r="F588" t="str">
        <f ca="1">CONCATENATE("Enter a value for '", C588, "' in cell ", D588, ".", CHAR(10))</f>
        <v xml:space="preserve">Enter a value for 'Other (Specify)' in cell B76.
</v>
      </c>
      <c r="G588" s="9" t="str">
        <f t="shared" ca="1" si="200"/>
        <v xml:space="preserve">The total of development budget in column B must be greater than zero.
</v>
      </c>
    </row>
    <row r="589" spans="1:7" ht="15" customHeight="1">
      <c r="A589" t="str">
        <f ca="1">IF(AND(OR(Calculations!$B$3:$B$4), E589=""), F589, "")</f>
        <v/>
      </c>
      <c r="B589" t="s">
        <v>461</v>
      </c>
      <c r="C589" t="str">
        <f ca="1">INDIRECT($F$292 &amp; ADDRESS(B588, 1,4  ))</f>
        <v>Other (Specify)</v>
      </c>
      <c r="D589" t="str">
        <f>ADDRESS(B588, 5,4  )</f>
        <v>E76</v>
      </c>
      <c r="E589">
        <f t="shared" ca="1" si="201"/>
        <v>0</v>
      </c>
      <c r="F589" t="str">
        <f ca="1">CONCATENATE("Enter an 'Amount Last Provided to CHFA' value for '", C589, "' in cell ", D589, ".", CHAR(10))</f>
        <v xml:space="preserve">Enter an 'Amount Last Provided to CHFA' value for 'Other (Specify)' in cell E76.
</v>
      </c>
      <c r="G589" s="9" t="str">
        <f t="shared" ca="1" si="200"/>
        <v xml:space="preserve">The total of development budget in column B must be greater than zero.
</v>
      </c>
    </row>
    <row r="590" spans="1:7" ht="15" customHeight="1">
      <c r="A590" t="str">
        <f ca="1">IF(AND(E590, SUM(E588:E589) &gt; 0), F590, "")</f>
        <v/>
      </c>
      <c r="C590" t="str">
        <f ca="1">INDIRECT($F$292 &amp; ADDRESS(B588, 1,4  ))</f>
        <v>Other (Specify)</v>
      </c>
      <c r="D590" t="str">
        <f>ADDRESS(B588, 1,4  )</f>
        <v>A76</v>
      </c>
      <c r="E590" t="b">
        <f ca="1">INDIRECT($F$292 &amp; D590)="Other (specify)"</f>
        <v>1</v>
      </c>
      <c r="F590" t="str">
        <f ca="1">CONCATENATE("Please specify value for '", C590, "' in cell ", D590, ".", CHAR(10))</f>
        <v xml:space="preserve">Please specify value for 'Other (Specify)' in cell A76.
</v>
      </c>
      <c r="G590" s="9" t="str">
        <f t="shared" ca="1" si="200"/>
        <v xml:space="preserve">The total of development budget in column B must be greater than zero.
</v>
      </c>
    </row>
    <row r="591" spans="1:7" ht="15" customHeight="1">
      <c r="A591" t="str">
        <f ca="1">IF(E591="", F591, "")</f>
        <v/>
      </c>
      <c r="B591" s="52">
        <f>B588+1</f>
        <v>77</v>
      </c>
      <c r="C591" t="str">
        <f ca="1">INDIRECT($F$292 &amp; ADDRESS(B591, 1,4  ))</f>
        <v>Other (Specify)</v>
      </c>
      <c r="D591" t="str">
        <f>ADDRESS(B591, 2,4  )</f>
        <v>B77</v>
      </c>
      <c r="E591">
        <f ca="1">IF(ISBLANK( INDIRECT($F$292 &amp; D591)),"", INDIRECT($F$292 &amp; D591))</f>
        <v>0</v>
      </c>
      <c r="F591" t="str">
        <f ca="1">CONCATENATE("Enter a value for '", C591, "' in cell ", D591, ".", CHAR(10))</f>
        <v xml:space="preserve">Enter a value for 'Other (Specify)' in cell B77.
</v>
      </c>
      <c r="G591" s="9" t="str">
        <f t="shared" ca="1" si="200"/>
        <v xml:space="preserve">The total of development budget in column B must be greater than zero.
</v>
      </c>
    </row>
    <row r="592" spans="1:7" ht="15" customHeight="1">
      <c r="A592" t="str">
        <f ca="1">IF(AND(OR(Calculations!$B$3:$B$4), E592=""), F592, "")</f>
        <v/>
      </c>
      <c r="B592" t="s">
        <v>461</v>
      </c>
      <c r="C592" t="str">
        <f ca="1">INDIRECT($F$292 &amp; ADDRESS(B591, 1,4  ))</f>
        <v>Other (Specify)</v>
      </c>
      <c r="D592" t="str">
        <f>ADDRESS(B591, 5,4  )</f>
        <v>E77</v>
      </c>
      <c r="E592">
        <f ca="1">IF(ISBLANK( INDIRECT($F$292 &amp; D592)),"", INDIRECT($F$292 &amp; D592))</f>
        <v>0</v>
      </c>
      <c r="F592" t="str">
        <f ca="1">CONCATENATE("Enter an 'Amount Last Provided to CHFA' value for '", C592, "' in cell ", D592, ".", CHAR(10))</f>
        <v xml:space="preserve">Enter an 'Amount Last Provided to CHFA' value for 'Other (Specify)' in cell E77.
</v>
      </c>
      <c r="G592" s="9" t="str">
        <f t="shared" ca="1" si="200"/>
        <v xml:space="preserve">The total of development budget in column B must be greater than zero.
</v>
      </c>
    </row>
    <row r="593" spans="1:7" ht="15" customHeight="1">
      <c r="A593" t="str">
        <f ca="1">IF(AND(E593, SUM(E591:E592) &gt; 0), F593, "")</f>
        <v/>
      </c>
      <c r="C593" t="str">
        <f ca="1">INDIRECT($F$292 &amp; ADDRESS(B591, 1,4  ))</f>
        <v>Other (Specify)</v>
      </c>
      <c r="D593" t="str">
        <f>ADDRESS(B591, 1,4  )</f>
        <v>A77</v>
      </c>
      <c r="E593" t="b">
        <f ca="1">INDIRECT($F$292 &amp; D593)="Other (specify)"</f>
        <v>1</v>
      </c>
      <c r="F593" t="str">
        <f ca="1">CONCATENATE("Please specify value for '", C593, "' in cell ", D593, ".", CHAR(10))</f>
        <v xml:space="preserve">Please specify value for 'Other (Specify)' in cell A77.
</v>
      </c>
      <c r="G593" s="9" t="str">
        <f t="shared" ca="1" si="200"/>
        <v xml:space="preserve">The total of development budget in column B must be greater than zero.
</v>
      </c>
    </row>
    <row r="594" spans="1:7" ht="15" customHeight="1">
      <c r="A594" t="str">
        <f ca="1">IF(E594="", F594, "")</f>
        <v/>
      </c>
      <c r="B594" s="52">
        <f>B591+1</f>
        <v>78</v>
      </c>
      <c r="C594" t="str">
        <f ca="1">INDIRECT($F$292 &amp; ADDRESS(B594, 1,4  ))</f>
        <v>Other (Specify)</v>
      </c>
      <c r="D594" t="str">
        <f>ADDRESS(B594, 2,4  )</f>
        <v>B78</v>
      </c>
      <c r="E594">
        <f ca="1">IF(ISBLANK( INDIRECT($F$292 &amp; D594)),"", INDIRECT($F$292 &amp; D594))</f>
        <v>0</v>
      </c>
      <c r="F594" t="str">
        <f ca="1">CONCATENATE("Enter a value for '", C594, "' in cell ", D594, ".", CHAR(10))</f>
        <v xml:space="preserve">Enter a value for 'Other (Specify)' in cell B78.
</v>
      </c>
      <c r="G594" s="9" t="str">
        <f t="shared" ca="1" si="200"/>
        <v xml:space="preserve">The total of development budget in column B must be greater than zero.
</v>
      </c>
    </row>
    <row r="595" spans="1:7" ht="15" customHeight="1">
      <c r="A595" t="str">
        <f ca="1">IF(AND(OR(Calculations!$B$3:$B$4), E595=""), F595, "")</f>
        <v/>
      </c>
      <c r="B595" t="s">
        <v>461</v>
      </c>
      <c r="C595" t="str">
        <f ca="1">INDIRECT($F$292 &amp; ADDRESS(B594, 1,4  ))</f>
        <v>Other (Specify)</v>
      </c>
      <c r="D595" t="str">
        <f>ADDRESS(B594, 5,4  )</f>
        <v>E78</v>
      </c>
      <c r="E595">
        <f ca="1">IF(ISBLANK( INDIRECT($F$292 &amp; D595)),"", INDIRECT($F$292 &amp; D595))</f>
        <v>0</v>
      </c>
      <c r="F595" t="str">
        <f ca="1">CONCATENATE("Enter an 'Amount Last Provided to CHFA' value for '", C595, "' in cell ", D595, ".", CHAR(10))</f>
        <v xml:space="preserve">Enter an 'Amount Last Provided to CHFA' value for 'Other (Specify)' in cell E78.
</v>
      </c>
      <c r="G595" s="9" t="str">
        <f t="shared" ca="1" si="200"/>
        <v xml:space="preserve">The total of development budget in column B must be greater than zero.
</v>
      </c>
    </row>
    <row r="596" spans="1:7" ht="15" customHeight="1">
      <c r="A596" t="str">
        <f ca="1">IF(AND(E596, SUM(E594:E595) &gt; 0), F596, "")</f>
        <v/>
      </c>
      <c r="C596" t="str">
        <f ca="1">INDIRECT($F$292 &amp; ADDRESS(B594, 1,4  ))</f>
        <v>Other (Specify)</v>
      </c>
      <c r="D596" t="str">
        <f>ADDRESS(B594, 1,4  )</f>
        <v>A78</v>
      </c>
      <c r="E596" t="b">
        <f ca="1">INDIRECT($F$292 &amp; D596)="Other (specify)"</f>
        <v>1</v>
      </c>
      <c r="F596" t="str">
        <f ca="1">CONCATENATE("Please specify value for '", C596, "' in cell ", D596, ".", CHAR(10))</f>
        <v xml:space="preserve">Please specify value for 'Other (Specify)' in cell A78.
</v>
      </c>
      <c r="G596" s="9" t="str">
        <f t="shared" ca="1" si="200"/>
        <v xml:space="preserve">The total of development budget in column B must be greater than zero.
</v>
      </c>
    </row>
    <row r="597" spans="1:7" ht="15" customHeight="1">
      <c r="A597" t="str">
        <f ca="1">IF(E597="", F597, "")</f>
        <v/>
      </c>
      <c r="B597">
        <f>ROW('Development Budget'!A81)</f>
        <v>81</v>
      </c>
      <c r="C597" t="str">
        <f ca="1">INDIRECT($F$292 &amp; ADDRESS(B597, 1,4  ))</f>
        <v>Marketing/Leasing Costs</v>
      </c>
      <c r="D597" t="str">
        <f>ADDRESS(B597, 2,4  )</f>
        <v>B81</v>
      </c>
      <c r="E597">
        <f t="shared" ref="E597:E628" ca="1" si="202">IF(ISBLANK( INDIRECT($F$292 &amp; D597)),"", INDIRECT($F$292 &amp; D597))</f>
        <v>0</v>
      </c>
      <c r="F597" t="str">
        <f ca="1">CONCATENATE("Enter a value for '", C597, "' in cell ", D597, ".", CHAR(10))</f>
        <v xml:space="preserve">Enter a value for 'Marketing/Leasing Costs' in cell B81.
</v>
      </c>
      <c r="G597" s="9" t="str">
        <f t="shared" ca="1" si="200"/>
        <v xml:space="preserve">The total of development budget in column B must be greater than zero.
</v>
      </c>
    </row>
    <row r="598" spans="1:7" ht="15" customHeight="1">
      <c r="A598" t="str">
        <f ca="1">IF(AND(OR(Calculations!$B$3:$B$4), E598=""), F598, "")</f>
        <v/>
      </c>
      <c r="B598" t="s">
        <v>461</v>
      </c>
      <c r="C598" t="str">
        <f ca="1">INDIRECT($F$292 &amp; ADDRESS(B597, 1,4  ))</f>
        <v>Marketing/Leasing Costs</v>
      </c>
      <c r="D598" t="str">
        <f>ADDRESS(B597, 5,4  )</f>
        <v>E81</v>
      </c>
      <c r="E598">
        <f t="shared" ca="1" si="202"/>
        <v>0</v>
      </c>
      <c r="F598" t="str">
        <f ca="1">CONCATENATE("Enter an 'Amount Last Provided to CHFA' value for '", C598, "' in cell ", D598, ".", CHAR(10))</f>
        <v xml:space="preserve">Enter an 'Amount Last Provided to CHFA' value for 'Marketing/Leasing Costs' in cell E81.
</v>
      </c>
      <c r="G598" s="9" t="str">
        <f t="shared" ca="1" si="200"/>
        <v xml:space="preserve">The total of development budget in column B must be greater than zero.
</v>
      </c>
    </row>
    <row r="599" spans="1:7" ht="15" customHeight="1">
      <c r="A599" t="str">
        <f ca="1">IF(E599="", F599, "")</f>
        <v/>
      </c>
      <c r="B599" s="52">
        <f>B597+1</f>
        <v>82</v>
      </c>
      <c r="C599" t="str">
        <f ca="1">INDIRECT($F$292 &amp; ADDRESS(B599, 1,4  ))</f>
        <v>Cost Estimating/Capital Needs Assessment</v>
      </c>
      <c r="D599" t="str">
        <f>ADDRESS(B599, 2,4  )</f>
        <v>B82</v>
      </c>
      <c r="E599">
        <f t="shared" ca="1" si="202"/>
        <v>0</v>
      </c>
      <c r="F599" t="str">
        <f ca="1">CONCATENATE("Enter a value for '", C599, "' in cell ", D599, ".", CHAR(10))</f>
        <v xml:space="preserve">Enter a value for 'Cost Estimating/Capital Needs Assessment' in cell B82.
</v>
      </c>
      <c r="G599" s="9" t="str">
        <f t="shared" ca="1" si="200"/>
        <v xml:space="preserve">The total of development budget in column B must be greater than zero.
</v>
      </c>
    </row>
    <row r="600" spans="1:7" ht="15" customHeight="1">
      <c r="A600" t="str">
        <f ca="1">IF(AND(Calculations!$B$5, E600=""), F600, "")</f>
        <v/>
      </c>
      <c r="B600" t="s">
        <v>461</v>
      </c>
      <c r="C600" t="str">
        <f ca="1">INDIRECT($F$292 &amp; ADDRESS(B599, 1,4  ))</f>
        <v>Cost Estimating/Capital Needs Assessment</v>
      </c>
      <c r="D600" t="str">
        <f>ADDRESS(B599, 3,4  )</f>
        <v>C82</v>
      </c>
      <c r="E600">
        <f t="shared" ca="1" si="202"/>
        <v>0</v>
      </c>
      <c r="F600" t="str">
        <f ca="1">CONCATENATE("Enter an '4% LIHTC Basis Calculation' value for '", C600, "' in cell ", D600, ".", CHAR(10))</f>
        <v xml:space="preserve">Enter an '4% LIHTC Basis Calculation' value for 'Cost Estimating/Capital Needs Assessment' in cell C82.
</v>
      </c>
      <c r="G600" s="9" t="str">
        <f t="shared" ca="1" si="200"/>
        <v xml:space="preserve">The total of development budget in column B must be greater than zero.
</v>
      </c>
    </row>
    <row r="601" spans="1:7" ht="15" customHeight="1">
      <c r="A601" t="str">
        <f ca="1">IF(AND(Calculations!$B$6, E601=""), F601, "")</f>
        <v/>
      </c>
      <c r="B601" t="s">
        <v>461</v>
      </c>
      <c r="C601" t="str">
        <f ca="1">INDIRECT($F$292 &amp; ADDRESS(B599, 1,4  ))</f>
        <v>Cost Estimating/Capital Needs Assessment</v>
      </c>
      <c r="D601" t="str">
        <f>ADDRESS(B599, 4,4  )</f>
        <v>D82</v>
      </c>
      <c r="E601">
        <f t="shared" ca="1" si="202"/>
        <v>0</v>
      </c>
      <c r="F601" t="str">
        <f ca="1">CONCATENATE("Enter an '9% LIHTC Basis Calculation' value for '", C601, "' in cell ", D601, ".", CHAR(10))</f>
        <v xml:space="preserve">Enter an '9% LIHTC Basis Calculation' value for 'Cost Estimating/Capital Needs Assessment' in cell D82.
</v>
      </c>
      <c r="G601" s="9" t="str">
        <f t="shared" ca="1" si="200"/>
        <v xml:space="preserve">The total of development budget in column B must be greater than zero.
</v>
      </c>
    </row>
    <row r="602" spans="1:7" ht="15" customHeight="1">
      <c r="A602" t="str">
        <f ca="1">IF(AND(OR(Calculations!$B$3:$B$4), E602=""), F602, "")</f>
        <v/>
      </c>
      <c r="B602" t="s">
        <v>461</v>
      </c>
      <c r="C602" t="str">
        <f ca="1">INDIRECT($F$292 &amp; ADDRESS(B599, 1,4  ))</f>
        <v>Cost Estimating/Capital Needs Assessment</v>
      </c>
      <c r="D602" t="str">
        <f>ADDRESS(B599, 5,4  )</f>
        <v>E82</v>
      </c>
      <c r="E602">
        <f t="shared" ca="1" si="202"/>
        <v>0</v>
      </c>
      <c r="F602" t="str">
        <f ca="1">CONCATENATE("Enter an 'Amount Last Provided to CHFA' value for '", C602, "' in cell ", D602, ".", CHAR(10))</f>
        <v xml:space="preserve">Enter an 'Amount Last Provided to CHFA' value for 'Cost Estimating/Capital Needs Assessment' in cell E82.
</v>
      </c>
      <c r="G602" s="9" t="str">
        <f t="shared" ca="1" si="200"/>
        <v xml:space="preserve">The total of development budget in column B must be greater than zero.
</v>
      </c>
    </row>
    <row r="603" spans="1:7" ht="15" customHeight="1">
      <c r="A603" t="str">
        <f ca="1">IF(AND(Calculations!$B$3, E603=""), F603, "")</f>
        <v/>
      </c>
      <c r="B603" t="s">
        <v>461</v>
      </c>
      <c r="C603" t="str">
        <f ca="1">INDIRECT($F$292 &amp; ADDRESS(B599, 1,4  ))</f>
        <v>Cost Estimating/Capital Needs Assessment</v>
      </c>
      <c r="D603" t="str">
        <f>ADDRESS(B599, 6,4  )</f>
        <v>F82</v>
      </c>
      <c r="E603">
        <f t="shared" ca="1" si="202"/>
        <v>0</v>
      </c>
      <c r="F603" t="str">
        <f ca="1">CONCATENATE("Enter a '10% Carryover Actual Incurred Costs' value for '", C603, "' in cell ", D603, ".", CHAR(10))</f>
        <v xml:space="preserve">Enter a '10% Carryover Actual Incurred Costs' value for 'Cost Estimating/Capital Needs Assessment' in cell F82.
</v>
      </c>
      <c r="G603" s="9" t="str">
        <f t="shared" ca="1" si="200"/>
        <v xml:space="preserve">The total of development budget in column B must be greater than zero.
</v>
      </c>
    </row>
    <row r="604" spans="1:7" ht="15" customHeight="1">
      <c r="A604" t="str">
        <f ca="1">IF(E604="", F604, "")</f>
        <v/>
      </c>
      <c r="B604" s="52">
        <f>B599+1</f>
        <v>83</v>
      </c>
      <c r="C604" t="str">
        <f ca="1">INDIRECT($F$292 &amp; ADDRESS(B604, 1,4  ))</f>
        <v>Geotechnical/Soils Study</v>
      </c>
      <c r="D604" t="str">
        <f>ADDRESS(B604, 2,4  )</f>
        <v>B83</v>
      </c>
      <c r="E604">
        <f t="shared" ca="1" si="202"/>
        <v>0</v>
      </c>
      <c r="F604" t="str">
        <f ca="1">CONCATENATE("Enter a value for '", C604, "' in cell ", D604, ".", CHAR(10))</f>
        <v xml:space="preserve">Enter a value for 'Geotechnical/Soils Study' in cell B83.
</v>
      </c>
      <c r="G604" s="9" t="str">
        <f t="shared" ca="1" si="200"/>
        <v xml:space="preserve">The total of development budget in column B must be greater than zero.
</v>
      </c>
    </row>
    <row r="605" spans="1:7" ht="15" customHeight="1">
      <c r="A605" t="str">
        <f ca="1">IF(AND(Calculations!$B$5, E605=""), F605, "")</f>
        <v/>
      </c>
      <c r="B605" t="s">
        <v>461</v>
      </c>
      <c r="C605" t="str">
        <f ca="1">INDIRECT($F$292 &amp; ADDRESS(B604, 1,4  ))</f>
        <v>Geotechnical/Soils Study</v>
      </c>
      <c r="D605" t="str">
        <f>ADDRESS(B604, 3,4  )</f>
        <v>C83</v>
      </c>
      <c r="E605">
        <f t="shared" ca="1" si="202"/>
        <v>0</v>
      </c>
      <c r="F605" t="str">
        <f ca="1">CONCATENATE("Enter an '4% LIHTC Basis Calculation' value for '", C605, "' in cell ", D605, ".", CHAR(10))</f>
        <v xml:space="preserve">Enter an '4% LIHTC Basis Calculation' value for 'Geotechnical/Soils Study' in cell C83.
</v>
      </c>
      <c r="G605" s="9" t="str">
        <f t="shared" ca="1" si="200"/>
        <v xml:space="preserve">The total of development budget in column B must be greater than zero.
</v>
      </c>
    </row>
    <row r="606" spans="1:7" ht="15" customHeight="1">
      <c r="A606" t="str">
        <f ca="1">IF(AND(Calculations!$B$6, E606=""), F606, "")</f>
        <v/>
      </c>
      <c r="B606" t="s">
        <v>461</v>
      </c>
      <c r="C606" t="str">
        <f ca="1">INDIRECT($F$292 &amp; ADDRESS(B604, 1,4  ))</f>
        <v>Geotechnical/Soils Study</v>
      </c>
      <c r="D606" t="str">
        <f>ADDRESS(B604, 4,4  )</f>
        <v>D83</v>
      </c>
      <c r="E606">
        <f t="shared" ca="1" si="202"/>
        <v>0</v>
      </c>
      <c r="F606" t="str">
        <f ca="1">CONCATENATE("Enter an '9% LIHTC Basis Calculation' value for '", C606, "' in cell ", D606, ".", CHAR(10))</f>
        <v xml:space="preserve">Enter an '9% LIHTC Basis Calculation' value for 'Geotechnical/Soils Study' in cell D83.
</v>
      </c>
      <c r="G606" s="9" t="str">
        <f t="shared" ca="1" si="200"/>
        <v xml:space="preserve">The total of development budget in column B must be greater than zero.
</v>
      </c>
    </row>
    <row r="607" spans="1:7" ht="15" customHeight="1">
      <c r="A607" t="str">
        <f ca="1">IF(AND(OR(Calculations!$B$3:$B$4), E607=""), F607, "")</f>
        <v/>
      </c>
      <c r="B607" t="s">
        <v>461</v>
      </c>
      <c r="C607" t="str">
        <f ca="1">INDIRECT($F$292 &amp; ADDRESS(B604, 1,4  ))</f>
        <v>Geotechnical/Soils Study</v>
      </c>
      <c r="D607" t="str">
        <f>ADDRESS(B604, 5,4  )</f>
        <v>E83</v>
      </c>
      <c r="E607">
        <f t="shared" ca="1" si="202"/>
        <v>0</v>
      </c>
      <c r="F607" t="str">
        <f ca="1">CONCATENATE("Enter an 'Amount Last Provided to CHFA' value for '", C607, "' in cell ", D607, ".", CHAR(10))</f>
        <v xml:space="preserve">Enter an 'Amount Last Provided to CHFA' value for 'Geotechnical/Soils Study' in cell E83.
</v>
      </c>
      <c r="G607" s="9" t="str">
        <f t="shared" ca="1" si="200"/>
        <v xml:space="preserve">The total of development budget in column B must be greater than zero.
</v>
      </c>
    </row>
    <row r="608" spans="1:7" ht="15" customHeight="1">
      <c r="A608" t="str">
        <f ca="1">IF(AND(Calculations!$B$3, E608=""), F608, "")</f>
        <v/>
      </c>
      <c r="B608" t="s">
        <v>461</v>
      </c>
      <c r="C608" t="str">
        <f ca="1">INDIRECT($F$292 &amp; ADDRESS(B604, 1,4  ))</f>
        <v>Geotechnical/Soils Study</v>
      </c>
      <c r="D608" t="str">
        <f>ADDRESS(B604, 6,4  )</f>
        <v>F83</v>
      </c>
      <c r="E608">
        <f t="shared" ca="1" si="202"/>
        <v>0</v>
      </c>
      <c r="F608" t="str">
        <f ca="1">CONCATENATE("Enter a '10% Carryover Actual Incurred Costs' value for '", C608, "' in cell ", D608, ".", CHAR(10))</f>
        <v xml:space="preserve">Enter a '10% Carryover Actual Incurred Costs' value for 'Geotechnical/Soils Study' in cell F83.
</v>
      </c>
      <c r="G608" s="9" t="str">
        <f t="shared" ca="1" si="200"/>
        <v xml:space="preserve">The total of development budget in column B must be greater than zero.
</v>
      </c>
    </row>
    <row r="609" spans="1:7" ht="15" customHeight="1">
      <c r="A609" t="str">
        <f ca="1">IF(E609="", F609, "")</f>
        <v/>
      </c>
      <c r="B609" s="52">
        <f>B604+1</f>
        <v>84</v>
      </c>
      <c r="C609" t="str">
        <f ca="1">INDIRECT($F$292 &amp; ADDRESS(B609, 1,4  ))</f>
        <v>Appraisal</v>
      </c>
      <c r="D609" t="str">
        <f>ADDRESS(B609, 2,4  )</f>
        <v>B84</v>
      </c>
      <c r="E609">
        <f t="shared" ca="1" si="202"/>
        <v>0</v>
      </c>
      <c r="F609" t="str">
        <f ca="1">CONCATENATE("Enter a value for '", C609, "' in cell ", D609, ".", CHAR(10))</f>
        <v xml:space="preserve">Enter a value for 'Appraisal' in cell B84.
</v>
      </c>
      <c r="G609" s="9" t="str">
        <f t="shared" ca="1" si="200"/>
        <v xml:space="preserve">The total of development budget in column B must be greater than zero.
</v>
      </c>
    </row>
    <row r="610" spans="1:7" ht="15" customHeight="1">
      <c r="A610" t="str">
        <f ca="1">IF(AND(Calculations!$B$5, E610=""), F610, "")</f>
        <v/>
      </c>
      <c r="B610" t="s">
        <v>461</v>
      </c>
      <c r="C610" t="str">
        <f ca="1">INDIRECT($F$292 &amp; ADDRESS(B609, 1,4  ))</f>
        <v>Appraisal</v>
      </c>
      <c r="D610" t="str">
        <f>ADDRESS(B609, 3,4  )</f>
        <v>C84</v>
      </c>
      <c r="E610">
        <f t="shared" ca="1" si="202"/>
        <v>0</v>
      </c>
      <c r="F610" t="str">
        <f ca="1">CONCATENATE("Enter an '4% LIHTC Basis Calculation' value for '", C610, "' in cell ", D610, ".", CHAR(10))</f>
        <v xml:space="preserve">Enter an '4% LIHTC Basis Calculation' value for 'Appraisal' in cell C84.
</v>
      </c>
      <c r="G610" s="9" t="str">
        <f t="shared" ca="1" si="200"/>
        <v xml:space="preserve">The total of development budget in column B must be greater than zero.
</v>
      </c>
    </row>
    <row r="611" spans="1:7" ht="15" customHeight="1">
      <c r="A611" t="str">
        <f ca="1">IF(AND(Calculations!$B$6, E611=""), F611, "")</f>
        <v/>
      </c>
      <c r="B611" t="s">
        <v>461</v>
      </c>
      <c r="C611" t="str">
        <f ca="1">INDIRECT($F$292 &amp; ADDRESS(B609, 1,4  ))</f>
        <v>Appraisal</v>
      </c>
      <c r="D611" t="str">
        <f>ADDRESS(B609, 4,4  )</f>
        <v>D84</v>
      </c>
      <c r="E611">
        <f t="shared" ca="1" si="202"/>
        <v>0</v>
      </c>
      <c r="F611" t="str">
        <f ca="1">CONCATENATE("Enter an '9% LIHTC Basis Calculation' value for '", C611, "' in cell ", D611, ".", CHAR(10))</f>
        <v xml:space="preserve">Enter an '9% LIHTC Basis Calculation' value for 'Appraisal' in cell D84.
</v>
      </c>
      <c r="G611" s="9" t="str">
        <f t="shared" ca="1" si="200"/>
        <v xml:space="preserve">The total of development budget in column B must be greater than zero.
</v>
      </c>
    </row>
    <row r="612" spans="1:7" ht="15" customHeight="1">
      <c r="A612" t="str">
        <f ca="1">IF(AND(OR(Calculations!$B$3:$B$4), E612=""), F612, "")</f>
        <v/>
      </c>
      <c r="B612" t="s">
        <v>461</v>
      </c>
      <c r="C612" t="str">
        <f ca="1">INDIRECT($F$292 &amp; ADDRESS(B609, 1,4  ))</f>
        <v>Appraisal</v>
      </c>
      <c r="D612" t="str">
        <f>ADDRESS(B609, 5,4  )</f>
        <v>E84</v>
      </c>
      <c r="E612">
        <f t="shared" ca="1" si="202"/>
        <v>0</v>
      </c>
      <c r="F612" t="str">
        <f ca="1">CONCATENATE("Enter an 'Amount Last Provided to CHFA' value for '", C612, "' in cell ", D612, ".", CHAR(10))</f>
        <v xml:space="preserve">Enter an 'Amount Last Provided to CHFA' value for 'Appraisal' in cell E84.
</v>
      </c>
      <c r="G612" s="9" t="str">
        <f t="shared" ca="1" si="200"/>
        <v xml:space="preserve">The total of development budget in column B must be greater than zero.
</v>
      </c>
    </row>
    <row r="613" spans="1:7" ht="15" customHeight="1">
      <c r="A613" t="str">
        <f ca="1">IF(AND(Calculations!$B$3, E613=""), F613, "")</f>
        <v/>
      </c>
      <c r="B613" t="s">
        <v>461</v>
      </c>
      <c r="C613" t="str">
        <f ca="1">INDIRECT($F$292 &amp; ADDRESS(B609, 1,4  ))</f>
        <v>Appraisal</v>
      </c>
      <c r="D613" t="str">
        <f>ADDRESS(B609, 6,4  )</f>
        <v>F84</v>
      </c>
      <c r="E613">
        <f t="shared" ca="1" si="202"/>
        <v>0</v>
      </c>
      <c r="F613" t="str">
        <f ca="1">CONCATENATE("Enter a '10% Carryover Actual Incurred Costs' value for '", C613, "' in cell ", D613, ".", CHAR(10))</f>
        <v xml:space="preserve">Enter a '10% Carryover Actual Incurred Costs' value for 'Appraisal' in cell F84.
</v>
      </c>
      <c r="G613" s="9" t="str">
        <f t="shared" ca="1" si="200"/>
        <v xml:space="preserve">The total of development budget in column B must be greater than zero.
</v>
      </c>
    </row>
    <row r="614" spans="1:7" ht="15" customHeight="1">
      <c r="A614" t="str">
        <f ca="1">IF(E614="", F614, "")</f>
        <v/>
      </c>
      <c r="B614" s="52">
        <f>B609+1</f>
        <v>85</v>
      </c>
      <c r="C614" t="str">
        <f ca="1">INDIRECT($F$292 &amp; ADDRESS(B614, 1,4  ))</f>
        <v>Market Study</v>
      </c>
      <c r="D614" t="str">
        <f>ADDRESS(B614, 2,4  )</f>
        <v>B85</v>
      </c>
      <c r="E614">
        <f t="shared" ca="1" si="202"/>
        <v>0</v>
      </c>
      <c r="F614" t="str">
        <f ca="1">CONCATENATE("Enter a value for '", C614, "' in cell ", D614, ".", CHAR(10))</f>
        <v xml:space="preserve">Enter a value for 'Market Study' in cell B85.
</v>
      </c>
      <c r="G614" s="9" t="str">
        <f t="shared" ca="1" si="200"/>
        <v xml:space="preserve">The total of development budget in column B must be greater than zero.
</v>
      </c>
    </row>
    <row r="615" spans="1:7" ht="15" customHeight="1">
      <c r="A615" t="str">
        <f ca="1">IF(AND(Calculations!$B$5, E615=""), F615, "")</f>
        <v/>
      </c>
      <c r="B615" t="s">
        <v>461</v>
      </c>
      <c r="C615" t="str">
        <f ca="1">INDIRECT($F$292 &amp; ADDRESS(B614, 1,4  ))</f>
        <v>Market Study</v>
      </c>
      <c r="D615" t="str">
        <f>ADDRESS(B614, 3,4  )</f>
        <v>C85</v>
      </c>
      <c r="E615">
        <f t="shared" ca="1" si="202"/>
        <v>0</v>
      </c>
      <c r="F615" t="str">
        <f ca="1">CONCATENATE("Enter an '4% LIHTC Basis Calculation' value for '", C615, "' in cell ", D615, ".", CHAR(10))</f>
        <v xml:space="preserve">Enter an '4% LIHTC Basis Calculation' value for 'Market Study' in cell C85.
</v>
      </c>
      <c r="G615" s="9" t="str">
        <f t="shared" ca="1" si="200"/>
        <v xml:space="preserve">The total of development budget in column B must be greater than zero.
</v>
      </c>
    </row>
    <row r="616" spans="1:7" ht="15" customHeight="1">
      <c r="A616" t="str">
        <f ca="1">IF(AND(Calculations!$B$6, E616=""), F616, "")</f>
        <v/>
      </c>
      <c r="B616" t="s">
        <v>461</v>
      </c>
      <c r="C616" t="str">
        <f ca="1">INDIRECT($F$292 &amp; ADDRESS(B614, 1,4  ))</f>
        <v>Market Study</v>
      </c>
      <c r="D616" t="str">
        <f>ADDRESS(B614, 4,4  )</f>
        <v>D85</v>
      </c>
      <c r="E616">
        <f t="shared" ca="1" si="202"/>
        <v>0</v>
      </c>
      <c r="F616" t="str">
        <f ca="1">CONCATENATE("Enter an '9% LIHTC Basis Calculation' value for '", C616, "' in cell ", D616, ".", CHAR(10))</f>
        <v xml:space="preserve">Enter an '9% LIHTC Basis Calculation' value for 'Market Study' in cell D85.
</v>
      </c>
      <c r="G616" s="9" t="str">
        <f t="shared" ca="1" si="200"/>
        <v xml:space="preserve">The total of development budget in column B must be greater than zero.
</v>
      </c>
    </row>
    <row r="617" spans="1:7" ht="15" customHeight="1">
      <c r="A617" t="str">
        <f ca="1">IF(AND(OR(Calculations!$B$3:$B$4), E617=""), F617, "")</f>
        <v/>
      </c>
      <c r="B617" t="s">
        <v>461</v>
      </c>
      <c r="C617" t="str">
        <f ca="1">INDIRECT($F$292 &amp; ADDRESS(B614, 1,4  ))</f>
        <v>Market Study</v>
      </c>
      <c r="D617" t="str">
        <f>ADDRESS(B614, 5,4  )</f>
        <v>E85</v>
      </c>
      <c r="E617">
        <f t="shared" ca="1" si="202"/>
        <v>0</v>
      </c>
      <c r="F617" t="str">
        <f ca="1">CONCATENATE("Enter an 'Amount Last Provided to CHFA' value for '", C617, "' in cell ", D617, ".", CHAR(10))</f>
        <v xml:space="preserve">Enter an 'Amount Last Provided to CHFA' value for 'Market Study' in cell E85.
</v>
      </c>
      <c r="G617" s="9" t="str">
        <f t="shared" ca="1" si="200"/>
        <v xml:space="preserve">The total of development budget in column B must be greater than zero.
</v>
      </c>
    </row>
    <row r="618" spans="1:7" ht="15" customHeight="1">
      <c r="A618" t="str">
        <f ca="1">IF(AND(Calculations!$B$3, E618=""), F618, "")</f>
        <v/>
      </c>
      <c r="B618" t="s">
        <v>461</v>
      </c>
      <c r="C618" t="str">
        <f ca="1">INDIRECT($F$292 &amp; ADDRESS(B614, 1,4  ))</f>
        <v>Market Study</v>
      </c>
      <c r="D618" t="str">
        <f>ADDRESS(B614, 6,4  )</f>
        <v>F85</v>
      </c>
      <c r="E618">
        <f t="shared" ca="1" si="202"/>
        <v>0</v>
      </c>
      <c r="F618" t="str">
        <f ca="1">CONCATENATE("Enter a '10% Carryover Actual Incurred Costs' value for '", C618, "' in cell ", D618, ".", CHAR(10))</f>
        <v xml:space="preserve">Enter a '10% Carryover Actual Incurred Costs' value for 'Market Study' in cell F85.
</v>
      </c>
      <c r="G618" s="9" t="str">
        <f t="shared" ref="G618:G680" ca="1" si="203">OFFSET(G618, -1, 0) &amp; A618</f>
        <v xml:space="preserve">The total of development budget in column B must be greater than zero.
</v>
      </c>
    </row>
    <row r="619" spans="1:7" ht="15" customHeight="1">
      <c r="A619" t="str">
        <f ca="1">IF(E619="", F619, "")</f>
        <v/>
      </c>
      <c r="B619" s="52">
        <f>B614+1</f>
        <v>86</v>
      </c>
      <c r="C619" t="str">
        <f ca="1">INDIRECT($F$292 &amp; ADDRESS(B619, 1,4  ))</f>
        <v>Environmental Study (Phase 1, Phase 2, Lead, Asbestos, etc.)</v>
      </c>
      <c r="D619" t="str">
        <f>ADDRESS(B619, 2,4  )</f>
        <v>B86</v>
      </c>
      <c r="E619">
        <f t="shared" ca="1" si="202"/>
        <v>0</v>
      </c>
      <c r="F619" t="str">
        <f ca="1">CONCATENATE("Enter a value for '", C619, "' in cell ", D619, ".", CHAR(10))</f>
        <v xml:space="preserve">Enter a value for 'Environmental Study (Phase 1, Phase 2, Lead, Asbestos, etc.)' in cell B86.
</v>
      </c>
      <c r="G619" s="9" t="str">
        <f t="shared" ca="1" si="203"/>
        <v xml:space="preserve">The total of development budget in column B must be greater than zero.
</v>
      </c>
    </row>
    <row r="620" spans="1:7" ht="15" customHeight="1">
      <c r="A620" t="str">
        <f ca="1">IF(AND(Calculations!$B$5, E620=""), F620, "")</f>
        <v/>
      </c>
      <c r="B620" t="s">
        <v>461</v>
      </c>
      <c r="C620" t="str">
        <f ca="1">INDIRECT($F$292 &amp; ADDRESS(B619, 1,4  ))</f>
        <v>Environmental Study (Phase 1, Phase 2, Lead, Asbestos, etc.)</v>
      </c>
      <c r="D620" t="str">
        <f>ADDRESS(B619, 3,4  )</f>
        <v>C86</v>
      </c>
      <c r="E620">
        <f t="shared" ca="1" si="202"/>
        <v>0</v>
      </c>
      <c r="F620" t="str">
        <f ca="1">CONCATENATE("Enter an '4% LIHTC Basis Calculation' value for '", C620, "' in cell ", D620, ".", CHAR(10))</f>
        <v xml:space="preserve">Enter an '4% LIHTC Basis Calculation' value for 'Environmental Study (Phase 1, Phase 2, Lead, Asbestos, etc.)' in cell C86.
</v>
      </c>
      <c r="G620" s="9" t="str">
        <f t="shared" ca="1" si="203"/>
        <v xml:space="preserve">The total of development budget in column B must be greater than zero.
</v>
      </c>
    </row>
    <row r="621" spans="1:7" ht="15" customHeight="1">
      <c r="A621" t="str">
        <f ca="1">IF(AND(Calculations!$B$6, E621=""), F621, "")</f>
        <v/>
      </c>
      <c r="B621" t="s">
        <v>461</v>
      </c>
      <c r="C621" t="str">
        <f ca="1">INDIRECT($F$292 &amp; ADDRESS(B619, 1,4  ))</f>
        <v>Environmental Study (Phase 1, Phase 2, Lead, Asbestos, etc.)</v>
      </c>
      <c r="D621" t="str">
        <f>ADDRESS(B619, 4,4  )</f>
        <v>D86</v>
      </c>
      <c r="E621">
        <f t="shared" ca="1" si="202"/>
        <v>0</v>
      </c>
      <c r="F621" t="str">
        <f ca="1">CONCATENATE("Enter an '9% LIHTC Basis Calculation' value for '", C621, "' in cell ", D621, ".", CHAR(10))</f>
        <v xml:space="preserve">Enter an '9% LIHTC Basis Calculation' value for 'Environmental Study (Phase 1, Phase 2, Lead, Asbestos, etc.)' in cell D86.
</v>
      </c>
      <c r="G621" s="9" t="str">
        <f t="shared" ca="1" si="203"/>
        <v xml:space="preserve">The total of development budget in column B must be greater than zero.
</v>
      </c>
    </row>
    <row r="622" spans="1:7" ht="15" customHeight="1">
      <c r="A622" t="str">
        <f ca="1">IF(AND(OR(Calculations!$B$3:$B$4), E622=""), F622, "")</f>
        <v/>
      </c>
      <c r="B622" t="s">
        <v>461</v>
      </c>
      <c r="C622" t="str">
        <f ca="1">INDIRECT($F$292 &amp; ADDRESS(B619, 1,4  ))</f>
        <v>Environmental Study (Phase 1, Phase 2, Lead, Asbestos, etc.)</v>
      </c>
      <c r="D622" t="str">
        <f>ADDRESS(B619, 5,4  )</f>
        <v>E86</v>
      </c>
      <c r="E622">
        <f t="shared" ca="1" si="202"/>
        <v>0</v>
      </c>
      <c r="F622" t="str">
        <f ca="1">CONCATENATE("Enter an 'Amount Last Provided to CHFA' value for '", C622, "' in cell ", D622, ".", CHAR(10))</f>
        <v xml:space="preserve">Enter an 'Amount Last Provided to CHFA' value for 'Environmental Study (Phase 1, Phase 2, Lead, Asbestos, etc.)' in cell E86.
</v>
      </c>
      <c r="G622" s="9" t="str">
        <f t="shared" ca="1" si="203"/>
        <v xml:space="preserve">The total of development budget in column B must be greater than zero.
</v>
      </c>
    </row>
    <row r="623" spans="1:7" ht="15" customHeight="1">
      <c r="A623" t="str">
        <f ca="1">IF(AND(Calculations!$B$3, E623=""), F623, "")</f>
        <v/>
      </c>
      <c r="B623" t="s">
        <v>461</v>
      </c>
      <c r="C623" t="str">
        <f ca="1">INDIRECT($F$292 &amp; ADDRESS(B619, 1,4  ))</f>
        <v>Environmental Study (Phase 1, Phase 2, Lead, Asbestos, etc.)</v>
      </c>
      <c r="D623" t="str">
        <f>ADDRESS(B619, 6,4  )</f>
        <v>F86</v>
      </c>
      <c r="E623">
        <f t="shared" ca="1" si="202"/>
        <v>0</v>
      </c>
      <c r="F623" t="str">
        <f ca="1">CONCATENATE("Enter a '10% Carryover Actual Incurred Costs' value for '", C623, "' in cell ", D623, ".", CHAR(10))</f>
        <v xml:space="preserve">Enter a '10% Carryover Actual Incurred Costs' value for 'Environmental Study (Phase 1, Phase 2, Lead, Asbestos, etc.)' in cell F86.
</v>
      </c>
      <c r="G623" s="9" t="str">
        <f t="shared" ca="1" si="203"/>
        <v xml:space="preserve">The total of development budget in column B must be greater than zero.
</v>
      </c>
    </row>
    <row r="624" spans="1:7" ht="15" customHeight="1">
      <c r="A624" t="str">
        <f ca="1">IF(E624="", F624, "")</f>
        <v/>
      </c>
      <c r="B624" s="52">
        <f>B619+1</f>
        <v>87</v>
      </c>
      <c r="C624" t="str">
        <f ca="1">INDIRECT($F$292 &amp; ADDRESS(B624, 1,4  ))</f>
        <v>Other Studies (traffic, wetlands, etc.)</v>
      </c>
      <c r="D624" t="str">
        <f>ADDRESS(B624, 2,4  )</f>
        <v>B87</v>
      </c>
      <c r="E624">
        <f t="shared" ca="1" si="202"/>
        <v>0</v>
      </c>
      <c r="F624" t="str">
        <f ca="1">CONCATENATE("Enter a value for '", C624, "' in cell ", D624, ".", CHAR(10))</f>
        <v xml:space="preserve">Enter a value for 'Other Studies (traffic, wetlands, etc.)' in cell B87.
</v>
      </c>
      <c r="G624" s="9" t="str">
        <f t="shared" ca="1" si="203"/>
        <v xml:space="preserve">The total of development budget in column B must be greater than zero.
</v>
      </c>
    </row>
    <row r="625" spans="1:7" ht="15" customHeight="1">
      <c r="A625" t="str">
        <f ca="1">IF(AND(Calculations!$B$5, E625=""), F625, "")</f>
        <v/>
      </c>
      <c r="B625" t="s">
        <v>461</v>
      </c>
      <c r="C625" t="str">
        <f ca="1">INDIRECT($F$292 &amp; ADDRESS(B624, 1,4  ))</f>
        <v>Other Studies (traffic, wetlands, etc.)</v>
      </c>
      <c r="D625" t="str">
        <f>ADDRESS(B624, 3,4  )</f>
        <v>C87</v>
      </c>
      <c r="E625">
        <f t="shared" ca="1" si="202"/>
        <v>0</v>
      </c>
      <c r="F625" t="str">
        <f ca="1">CONCATENATE("Enter an '4% LIHTC Basis Calculation' value for '", C625, "' in cell ", D625, ".", CHAR(10))</f>
        <v xml:space="preserve">Enter an '4% LIHTC Basis Calculation' value for 'Other Studies (traffic, wetlands, etc.)' in cell C87.
</v>
      </c>
      <c r="G625" s="9" t="str">
        <f t="shared" ca="1" si="203"/>
        <v xml:space="preserve">The total of development budget in column B must be greater than zero.
</v>
      </c>
    </row>
    <row r="626" spans="1:7" ht="15" customHeight="1">
      <c r="A626" t="str">
        <f ca="1">IF(AND(Calculations!$B$6, E626=""), F626, "")</f>
        <v/>
      </c>
      <c r="B626" t="s">
        <v>461</v>
      </c>
      <c r="C626" t="str">
        <f ca="1">INDIRECT($F$292 &amp; ADDRESS(B624, 1,4  ))</f>
        <v>Other Studies (traffic, wetlands, etc.)</v>
      </c>
      <c r="D626" t="str">
        <f>ADDRESS(B624, 4,4  )</f>
        <v>D87</v>
      </c>
      <c r="E626">
        <f t="shared" ca="1" si="202"/>
        <v>0</v>
      </c>
      <c r="F626" t="str">
        <f ca="1">CONCATENATE("Enter an '9% LIHTC Basis Calculation' value for '", C626, "' in cell ", D626, ".", CHAR(10))</f>
        <v xml:space="preserve">Enter an '9% LIHTC Basis Calculation' value for 'Other Studies (traffic, wetlands, etc.)' in cell D87.
</v>
      </c>
      <c r="G626" s="9" t="str">
        <f t="shared" ca="1" si="203"/>
        <v xml:space="preserve">The total of development budget in column B must be greater than zero.
</v>
      </c>
    </row>
    <row r="627" spans="1:7" ht="15" customHeight="1">
      <c r="A627" t="str">
        <f ca="1">IF(AND(OR(Calculations!$B$3:$B$4), E627=""), F627, "")</f>
        <v/>
      </c>
      <c r="B627" t="s">
        <v>461</v>
      </c>
      <c r="C627" t="str">
        <f ca="1">INDIRECT($F$292 &amp; ADDRESS(B624, 1,4  ))</f>
        <v>Other Studies (traffic, wetlands, etc.)</v>
      </c>
      <c r="D627" t="str">
        <f>ADDRESS(B624, 5,4  )</f>
        <v>E87</v>
      </c>
      <c r="E627">
        <f t="shared" ca="1" si="202"/>
        <v>0</v>
      </c>
      <c r="F627" t="str">
        <f ca="1">CONCATENATE("Enter an 'Amount Last Provided to CHFA' value for '", C627, "' in cell ", D627, ".", CHAR(10))</f>
        <v xml:space="preserve">Enter an 'Amount Last Provided to CHFA' value for 'Other Studies (traffic, wetlands, etc.)' in cell E87.
</v>
      </c>
      <c r="G627" s="9" t="str">
        <f t="shared" ca="1" si="203"/>
        <v xml:space="preserve">The total of development budget in column B must be greater than zero.
</v>
      </c>
    </row>
    <row r="628" spans="1:7" ht="15" customHeight="1">
      <c r="A628" t="str">
        <f ca="1">IF(AND(Calculations!$B$3, E628=""), F628, "")</f>
        <v/>
      </c>
      <c r="B628" t="s">
        <v>461</v>
      </c>
      <c r="C628" t="str">
        <f ca="1">INDIRECT($F$292 &amp; ADDRESS(B624, 1,4  ))</f>
        <v>Other Studies (traffic, wetlands, etc.)</v>
      </c>
      <c r="D628" t="str">
        <f>ADDRESS(B624, 6,4  )</f>
        <v>F87</v>
      </c>
      <c r="E628">
        <f t="shared" ca="1" si="202"/>
        <v>0</v>
      </c>
      <c r="F628" t="str">
        <f ca="1">CONCATENATE("Enter a '10% Carryover Actual Incurred Costs' value for '", C628, "' in cell ", D628, ".", CHAR(10))</f>
        <v xml:space="preserve">Enter a '10% Carryover Actual Incurred Costs' value for 'Other Studies (traffic, wetlands, etc.)' in cell F87.
</v>
      </c>
      <c r="G628" s="9" t="str">
        <f t="shared" ca="1" si="203"/>
        <v xml:space="preserve">The total of development budget in column B must be greater than zero.
</v>
      </c>
    </row>
    <row r="629" spans="1:7" ht="15" customHeight="1">
      <c r="A629" t="str">
        <f ca="1">IF(E629="", F629, "")</f>
        <v/>
      </c>
      <c r="B629" s="52">
        <f>B624+1</f>
        <v>88</v>
      </c>
      <c r="C629" t="str">
        <f ca="1">INDIRECT($F$292 &amp; ADDRESS(B629, 1,4  ))</f>
        <v>Tax Credit Fees</v>
      </c>
      <c r="D629" t="str">
        <f>ADDRESS(B629, 2,4  )</f>
        <v>B88</v>
      </c>
      <c r="E629">
        <f t="shared" ref="E629:E659" ca="1" si="204">IF(ISBLANK( INDIRECT($F$292 &amp; D629)),"", INDIRECT($F$292 &amp; D629))</f>
        <v>0</v>
      </c>
      <c r="F629" t="str">
        <f ca="1">CONCATENATE("Enter a value for '", C629, "' in cell ", D629, ".", CHAR(10))</f>
        <v xml:space="preserve">Enter a value for 'Tax Credit Fees' in cell B88.
</v>
      </c>
      <c r="G629" s="9" t="str">
        <f t="shared" ca="1" si="203"/>
        <v xml:space="preserve">The total of development budget in column B must be greater than zero.
</v>
      </c>
    </row>
    <row r="630" spans="1:7" ht="15" customHeight="1">
      <c r="A630" t="str">
        <f ca="1">IF(AND(OR(Calculations!$B$3:$B$4), E630=""), F630, "")</f>
        <v/>
      </c>
      <c r="B630" t="s">
        <v>461</v>
      </c>
      <c r="C630" t="str">
        <f ca="1">INDIRECT($F$292 &amp; ADDRESS(B629, 1,4  ))</f>
        <v>Tax Credit Fees</v>
      </c>
      <c r="D630" t="str">
        <f>ADDRESS(B629, 5,4  )</f>
        <v>E88</v>
      </c>
      <c r="E630">
        <f t="shared" ca="1" si="204"/>
        <v>0</v>
      </c>
      <c r="F630" t="str">
        <f ca="1">CONCATENATE("Enter an 'Amount Last Provided to CHFA' value for '", C630, "' in cell ", D630, ".", CHAR(10))</f>
        <v xml:space="preserve">Enter an 'Amount Last Provided to CHFA' value for 'Tax Credit Fees' in cell E88.
</v>
      </c>
      <c r="G630" s="9" t="str">
        <f t="shared" ca="1" si="203"/>
        <v xml:space="preserve">The total of development budget in column B must be greater than zero.
</v>
      </c>
    </row>
    <row r="631" spans="1:7" ht="15" customHeight="1">
      <c r="A631" t="str">
        <f ca="1">IF(AND(Calculations!$B$3, E631=""), F631, "")</f>
        <v/>
      </c>
      <c r="B631" t="s">
        <v>461</v>
      </c>
      <c r="C631" t="str">
        <f ca="1">INDIRECT($F$292 &amp; ADDRESS(B629, 1,4  ))</f>
        <v>Tax Credit Fees</v>
      </c>
      <c r="D631" t="str">
        <f>ADDRESS(B629, 6,4  )</f>
        <v>F88</v>
      </c>
      <c r="E631">
        <f t="shared" ca="1" si="204"/>
        <v>0</v>
      </c>
      <c r="F631" t="str">
        <f ca="1">CONCATENATE("Enter a '10% Carryover Actual Incurred Costs' value for '", C631, "' in cell ", D631, ".", CHAR(10))</f>
        <v xml:space="preserve">Enter a '10% Carryover Actual Incurred Costs' value for 'Tax Credit Fees' in cell F88.
</v>
      </c>
      <c r="G631" s="9" t="str">
        <f t="shared" ca="1" si="203"/>
        <v xml:space="preserve">The total of development budget in column B must be greater than zero.
</v>
      </c>
    </row>
    <row r="632" spans="1:7" ht="15" customHeight="1">
      <c r="A632" t="str">
        <f ca="1">IF(E632="", F632, "")</f>
        <v/>
      </c>
      <c r="B632" s="52">
        <f>B629+1</f>
        <v>89</v>
      </c>
      <c r="C632" t="str">
        <f ca="1">INDIRECT($F$292 &amp; ADDRESS(B632, 1,4  ))</f>
        <v>Compliance Fees</v>
      </c>
      <c r="D632" t="str">
        <f>ADDRESS(B632, 2,4  )</f>
        <v>B89</v>
      </c>
      <c r="E632">
        <f t="shared" ca="1" si="204"/>
        <v>0</v>
      </c>
      <c r="F632" t="str">
        <f ca="1">CONCATENATE("Enter a value for '", C632, "' in cell ", D632, ".", CHAR(10))</f>
        <v xml:space="preserve">Enter a value for 'Compliance Fees' in cell B89.
</v>
      </c>
      <c r="G632" s="9" t="str">
        <f t="shared" ca="1" si="203"/>
        <v xml:space="preserve">The total of development budget in column B must be greater than zero.
</v>
      </c>
    </row>
    <row r="633" spans="1:7" ht="15" customHeight="1">
      <c r="A633" t="str">
        <f ca="1">IF(AND(OR(Calculations!$B$3:$B$4), E633=""), F633, "")</f>
        <v/>
      </c>
      <c r="B633" t="s">
        <v>461</v>
      </c>
      <c r="C633" t="str">
        <f ca="1">INDIRECT($F$292 &amp; ADDRESS(B632, 1,4  ))</f>
        <v>Compliance Fees</v>
      </c>
      <c r="D633" t="str">
        <f>ADDRESS(B632, 5,4  )</f>
        <v>E89</v>
      </c>
      <c r="E633">
        <f t="shared" ca="1" si="204"/>
        <v>0</v>
      </c>
      <c r="F633" t="str">
        <f ca="1">CONCATENATE("Enter an 'Amount Last Provided to CHFA' value for '", C633, "' in cell ", D633, ".", CHAR(10))</f>
        <v xml:space="preserve">Enter an 'Amount Last Provided to CHFA' value for 'Compliance Fees' in cell E89.
</v>
      </c>
      <c r="G633" s="9" t="str">
        <f t="shared" ca="1" si="203"/>
        <v xml:space="preserve">The total of development budget in column B must be greater than zero.
</v>
      </c>
    </row>
    <row r="634" spans="1:7" ht="15" customHeight="1">
      <c r="A634" t="str">
        <f ca="1">IF(AND(Calculations!$B$3, E634=""), F634, "")</f>
        <v/>
      </c>
      <c r="B634" t="s">
        <v>461</v>
      </c>
      <c r="C634" t="str">
        <f ca="1">INDIRECT($F$292 &amp; ADDRESS(B632, 1,4  ))</f>
        <v>Compliance Fees</v>
      </c>
      <c r="D634" t="str">
        <f>ADDRESS(B632, 6,4  )</f>
        <v>F89</v>
      </c>
      <c r="E634">
        <f t="shared" ca="1" si="204"/>
        <v>0</v>
      </c>
      <c r="F634" t="str">
        <f ca="1">CONCATENATE("Enter a '10% Carryover Actual Incurred Costs' value for '", C634, "' in cell ", D634, ".", CHAR(10))</f>
        <v xml:space="preserve">Enter a '10% Carryover Actual Incurred Costs' value for 'Compliance Fees' in cell F89.
</v>
      </c>
      <c r="G634" s="9" t="str">
        <f t="shared" ca="1" si="203"/>
        <v xml:space="preserve">The total of development budget in column B must be greater than zero.
</v>
      </c>
    </row>
    <row r="635" spans="1:7" ht="15" customHeight="1">
      <c r="A635" t="str">
        <f ca="1">IF(E635="", F635, "")</f>
        <v/>
      </c>
      <c r="B635" s="52">
        <f>B632+1</f>
        <v>90</v>
      </c>
      <c r="C635" t="str">
        <f ca="1">INDIRECT($F$292 &amp; ADDRESS(B635, 1,4  ))</f>
        <v>Cost Certification</v>
      </c>
      <c r="D635" t="str">
        <f>ADDRESS(B635, 2,4  )</f>
        <v>B90</v>
      </c>
      <c r="E635">
        <f t="shared" ca="1" si="204"/>
        <v>0</v>
      </c>
      <c r="F635" t="str">
        <f ca="1">CONCATENATE("Enter a value for '", C635, "' in cell ", D635, ".", CHAR(10))</f>
        <v xml:space="preserve">Enter a value for 'Cost Certification' in cell B90.
</v>
      </c>
      <c r="G635" s="9" t="str">
        <f t="shared" ca="1" si="203"/>
        <v xml:space="preserve">The total of development budget in column B must be greater than zero.
</v>
      </c>
    </row>
    <row r="636" spans="1:7" ht="15" customHeight="1">
      <c r="A636" t="str">
        <f ca="1">IF(AND(Calculations!$B$5, E636=""), F636, "")</f>
        <v/>
      </c>
      <c r="B636" t="s">
        <v>461</v>
      </c>
      <c r="C636" t="str">
        <f ca="1">INDIRECT($F$292 &amp; ADDRESS(B635, 1,4  ))</f>
        <v>Cost Certification</v>
      </c>
      <c r="D636" t="str">
        <f>ADDRESS(B635, 3,4  )</f>
        <v>C90</v>
      </c>
      <c r="E636">
        <f t="shared" ca="1" si="204"/>
        <v>0</v>
      </c>
      <c r="F636" t="str">
        <f ca="1">CONCATENATE("Enter an '4% LIHTC Basis Calculation' value for '", C636, "' in cell ", D636, ".", CHAR(10))</f>
        <v xml:space="preserve">Enter an '4% LIHTC Basis Calculation' value for 'Cost Certification' in cell C90.
</v>
      </c>
      <c r="G636" s="9" t="str">
        <f t="shared" ca="1" si="203"/>
        <v xml:space="preserve">The total of development budget in column B must be greater than zero.
</v>
      </c>
    </row>
    <row r="637" spans="1:7" ht="15" customHeight="1">
      <c r="A637" t="str">
        <f ca="1">IF(AND(Calculations!$B$6, E637=""), F637, "")</f>
        <v/>
      </c>
      <c r="B637" t="s">
        <v>461</v>
      </c>
      <c r="C637" t="str">
        <f ca="1">INDIRECT($F$292 &amp; ADDRESS(B635, 1,4  ))</f>
        <v>Cost Certification</v>
      </c>
      <c r="D637" t="str">
        <f>ADDRESS(B635, 4,4  )</f>
        <v>D90</v>
      </c>
      <c r="E637">
        <f t="shared" ca="1" si="204"/>
        <v>0</v>
      </c>
      <c r="F637" t="str">
        <f ca="1">CONCATENATE("Enter an '9% LIHTC Basis Calculation' value for '", C637, "' in cell ", D637, ".", CHAR(10))</f>
        <v xml:space="preserve">Enter an '9% LIHTC Basis Calculation' value for 'Cost Certification' in cell D90.
</v>
      </c>
      <c r="G637" s="9" t="str">
        <f t="shared" ca="1" si="203"/>
        <v xml:space="preserve">The total of development budget in column B must be greater than zero.
</v>
      </c>
    </row>
    <row r="638" spans="1:7" ht="15" customHeight="1">
      <c r="A638" t="str">
        <f ca="1">IF(AND(OR(Calculations!$B$3:$B$4), E638=""), F638, "")</f>
        <v/>
      </c>
      <c r="B638" t="s">
        <v>461</v>
      </c>
      <c r="C638" t="str">
        <f ca="1">INDIRECT($F$292 &amp; ADDRESS(B635, 1,4  ))</f>
        <v>Cost Certification</v>
      </c>
      <c r="D638" t="str">
        <f>ADDRESS(B635, 5,4  )</f>
        <v>E90</v>
      </c>
      <c r="E638">
        <f t="shared" ca="1" si="204"/>
        <v>0</v>
      </c>
      <c r="F638" t="str">
        <f ca="1">CONCATENATE("Enter an 'Amount Last Provided to CHFA' value for '", C638, "' in cell ", D638, ".", CHAR(10))</f>
        <v xml:space="preserve">Enter an 'Amount Last Provided to CHFA' value for 'Cost Certification' in cell E90.
</v>
      </c>
      <c r="G638" s="9" t="str">
        <f t="shared" ca="1" si="203"/>
        <v xml:space="preserve">The total of development budget in column B must be greater than zero.
</v>
      </c>
    </row>
    <row r="639" spans="1:7" ht="15" customHeight="1">
      <c r="A639" t="str">
        <f ca="1">IF(AND(Calculations!$B$3, E639=""), F639, "")</f>
        <v/>
      </c>
      <c r="B639" t="s">
        <v>461</v>
      </c>
      <c r="C639" t="str">
        <f ca="1">INDIRECT($F$292 &amp; ADDRESS(B635, 1,4  ))</f>
        <v>Cost Certification</v>
      </c>
      <c r="D639" t="str">
        <f>ADDRESS(B635, 6,4  )</f>
        <v>F90</v>
      </c>
      <c r="E639">
        <f t="shared" ca="1" si="204"/>
        <v>0</v>
      </c>
      <c r="F639" t="str">
        <f ca="1">CONCATENATE("Enter a '10% Carryover Actual Incurred Costs' value for '", C639, "' in cell ", D639, ".", CHAR(10))</f>
        <v xml:space="preserve">Enter a '10% Carryover Actual Incurred Costs' value for 'Cost Certification' in cell F90.
</v>
      </c>
      <c r="G639" s="9" t="str">
        <f t="shared" ca="1" si="203"/>
        <v xml:space="preserve">The total of development budget in column B must be greater than zero.
</v>
      </c>
    </row>
    <row r="640" spans="1:7" ht="15" customHeight="1">
      <c r="A640" t="str">
        <f ca="1">IF(E640="", F640, "")</f>
        <v/>
      </c>
      <c r="B640" s="52">
        <f>B635+1</f>
        <v>91</v>
      </c>
      <c r="C640" t="str">
        <f ca="1">INDIRECT($F$292 &amp; ADDRESS(B640, 1,4  ))</f>
        <v>Green Certification Fees (LEED Certification, etc.)</v>
      </c>
      <c r="D640" t="str">
        <f>ADDRESS(B640, 2,4  )</f>
        <v>B91</v>
      </c>
      <c r="E640">
        <f t="shared" ca="1" si="204"/>
        <v>0</v>
      </c>
      <c r="F640" t="str">
        <f ca="1">CONCATENATE("Enter a value for '", C640, "' in cell ", D640, ".", CHAR(10))</f>
        <v xml:space="preserve">Enter a value for 'Green Certification Fees (LEED Certification, etc.)' in cell B91.
</v>
      </c>
      <c r="G640" s="9" t="str">
        <f t="shared" ca="1" si="203"/>
        <v xml:space="preserve">The total of development budget in column B must be greater than zero.
</v>
      </c>
    </row>
    <row r="641" spans="1:7" ht="15" customHeight="1">
      <c r="A641" t="str">
        <f ca="1">IF(AND(Calculations!$B$5, E641=""), F641, "")</f>
        <v/>
      </c>
      <c r="B641" t="s">
        <v>461</v>
      </c>
      <c r="C641" t="str">
        <f ca="1">INDIRECT($F$292 &amp; ADDRESS(B640, 1,4  ))</f>
        <v>Green Certification Fees (LEED Certification, etc.)</v>
      </c>
      <c r="D641" t="str">
        <f>ADDRESS(B640, 3,4  )</f>
        <v>C91</v>
      </c>
      <c r="E641">
        <f t="shared" ca="1" si="204"/>
        <v>0</v>
      </c>
      <c r="F641" t="str">
        <f ca="1">CONCATENATE("Enter an '4% LIHTC Basis Calculation' value for '", C641, "' in cell ", D641, ".", CHAR(10))</f>
        <v xml:space="preserve">Enter an '4% LIHTC Basis Calculation' value for 'Green Certification Fees (LEED Certification, etc.)' in cell C91.
</v>
      </c>
      <c r="G641" s="9" t="str">
        <f t="shared" ca="1" si="203"/>
        <v xml:space="preserve">The total of development budget in column B must be greater than zero.
</v>
      </c>
    </row>
    <row r="642" spans="1:7" ht="15" customHeight="1">
      <c r="A642" t="str">
        <f ca="1">IF(AND(Calculations!$B$6, E642=""), F642, "")</f>
        <v/>
      </c>
      <c r="B642" t="s">
        <v>461</v>
      </c>
      <c r="C642" t="str">
        <f ca="1">INDIRECT($F$292 &amp; ADDRESS(B640, 1,4  ))</f>
        <v>Green Certification Fees (LEED Certification, etc.)</v>
      </c>
      <c r="D642" t="str">
        <f>ADDRESS(B640, 4,4  )</f>
        <v>D91</v>
      </c>
      <c r="E642">
        <f t="shared" ca="1" si="204"/>
        <v>0</v>
      </c>
      <c r="F642" t="str">
        <f ca="1">CONCATENATE("Enter an '9% LIHTC Basis Calculation' value for '", C642, "' in cell ", D642, ".", CHAR(10))</f>
        <v xml:space="preserve">Enter an '9% LIHTC Basis Calculation' value for 'Green Certification Fees (LEED Certification, etc.)' in cell D91.
</v>
      </c>
      <c r="G642" s="9" t="str">
        <f t="shared" ca="1" si="203"/>
        <v xml:space="preserve">The total of development budget in column B must be greater than zero.
</v>
      </c>
    </row>
    <row r="643" spans="1:7" ht="15" customHeight="1">
      <c r="A643" t="str">
        <f ca="1">IF(AND(OR(Calculations!$B$3:$B$4), E643=""), F643, "")</f>
        <v/>
      </c>
      <c r="B643" t="s">
        <v>461</v>
      </c>
      <c r="C643" t="str">
        <f ca="1">INDIRECT($F$292 &amp; ADDRESS(B640, 1,4  ))</f>
        <v>Green Certification Fees (LEED Certification, etc.)</v>
      </c>
      <c r="D643" t="str">
        <f>ADDRESS(B640, 5,4  )</f>
        <v>E91</v>
      </c>
      <c r="E643">
        <f t="shared" ca="1" si="204"/>
        <v>0</v>
      </c>
      <c r="F643" t="str">
        <f ca="1">CONCATENATE("Enter an 'Amount Last Provided to CHFA' value for '", C643, "' in cell ", D643, ".", CHAR(10))</f>
        <v xml:space="preserve">Enter an 'Amount Last Provided to CHFA' value for 'Green Certification Fees (LEED Certification, etc.)' in cell E91.
</v>
      </c>
      <c r="G643" s="9" t="str">
        <f t="shared" ca="1" si="203"/>
        <v xml:space="preserve">The total of development budget in column B must be greater than zero.
</v>
      </c>
    </row>
    <row r="644" spans="1:7" ht="15" customHeight="1">
      <c r="A644" t="str">
        <f ca="1">IF(AND(Calculations!$B$3, E644=""), F644, "")</f>
        <v/>
      </c>
      <c r="B644" t="s">
        <v>461</v>
      </c>
      <c r="C644" t="str">
        <f ca="1">INDIRECT($F$292 &amp; ADDRESS(B640, 1,4  ))</f>
        <v>Green Certification Fees (LEED Certification, etc.)</v>
      </c>
      <c r="D644" t="str">
        <f>ADDRESS(B640, 6,4  )</f>
        <v>F91</v>
      </c>
      <c r="E644">
        <f t="shared" ca="1" si="204"/>
        <v>0</v>
      </c>
      <c r="F644" t="str">
        <f ca="1">CONCATENATE("Enter a '10% Carryover Actual Incurred Costs' value for '", C644, "' in cell ", D644, ".", CHAR(10))</f>
        <v xml:space="preserve">Enter a '10% Carryover Actual Incurred Costs' value for 'Green Certification Fees (LEED Certification, etc.)' in cell F91.
</v>
      </c>
      <c r="G644" s="9" t="str">
        <f t="shared" ca="1" si="203"/>
        <v xml:space="preserve">The total of development budget in column B must be greater than zero.
</v>
      </c>
    </row>
    <row r="645" spans="1:7" ht="15" customHeight="1">
      <c r="A645" t="str">
        <f ca="1">IF(E645="", F645, "")</f>
        <v/>
      </c>
      <c r="B645" s="52">
        <f>B640+1</f>
        <v>92</v>
      </c>
      <c r="C645" t="str">
        <f ca="1">INDIRECT($F$292 &amp; ADDRESS(B645, 1,4  ))</f>
        <v>Relocation - Temporary</v>
      </c>
      <c r="D645" t="str">
        <f>ADDRESS(B645, 2,4  )</f>
        <v>B92</v>
      </c>
      <c r="E645">
        <f t="shared" ca="1" si="204"/>
        <v>0</v>
      </c>
      <c r="F645" t="str">
        <f ca="1">CONCATENATE("Enter a value for '", C645, "' in cell ", D645, ".", CHAR(10))</f>
        <v xml:space="preserve">Enter a value for 'Relocation - Temporary' in cell B92.
</v>
      </c>
      <c r="G645" s="9" t="str">
        <f t="shared" ca="1" si="203"/>
        <v xml:space="preserve">The total of development budget in column B must be greater than zero.
</v>
      </c>
    </row>
    <row r="646" spans="1:7" ht="15" customHeight="1">
      <c r="A646" t="str">
        <f ca="1">IF(AND(Calculations!$B$5, E646=""), F646, "")</f>
        <v/>
      </c>
      <c r="B646" t="s">
        <v>461</v>
      </c>
      <c r="C646" t="str">
        <f ca="1">INDIRECT($F$292 &amp; ADDRESS(B645, 1,4  ))</f>
        <v>Relocation - Temporary</v>
      </c>
      <c r="D646" t="str">
        <f>ADDRESS(B645, 3,4  )</f>
        <v>C92</v>
      </c>
      <c r="E646">
        <f t="shared" ca="1" si="204"/>
        <v>0</v>
      </c>
      <c r="F646" t="str">
        <f ca="1">CONCATENATE("Enter an '4% LIHTC Basis Calculation' value for '", C646, "' in cell ", D646, ".", CHAR(10))</f>
        <v xml:space="preserve">Enter an '4% LIHTC Basis Calculation' value for 'Relocation - Temporary' in cell C92.
</v>
      </c>
      <c r="G646" s="9" t="str">
        <f t="shared" ca="1" si="203"/>
        <v xml:space="preserve">The total of development budget in column B must be greater than zero.
</v>
      </c>
    </row>
    <row r="647" spans="1:7" ht="15" customHeight="1">
      <c r="A647" t="str">
        <f ca="1">IF(AND(Calculations!$B$6, E647=""), F647, "")</f>
        <v/>
      </c>
      <c r="B647" t="s">
        <v>461</v>
      </c>
      <c r="C647" t="str">
        <f ca="1">INDIRECT($F$292 &amp; ADDRESS(B645, 1,4  ))</f>
        <v>Relocation - Temporary</v>
      </c>
      <c r="D647" t="str">
        <f>ADDRESS(B645, 4,4  )</f>
        <v>D92</v>
      </c>
      <c r="E647">
        <f t="shared" ca="1" si="204"/>
        <v>0</v>
      </c>
      <c r="F647" t="str">
        <f ca="1">CONCATENATE("Enter an '9% LIHTC Basis Calculation' value for '", C647, "' in cell ", D647, ".", CHAR(10))</f>
        <v xml:space="preserve">Enter an '9% LIHTC Basis Calculation' value for 'Relocation - Temporary' in cell D92.
</v>
      </c>
      <c r="G647" s="9" t="str">
        <f t="shared" ca="1" si="203"/>
        <v xml:space="preserve">The total of development budget in column B must be greater than zero.
</v>
      </c>
    </row>
    <row r="648" spans="1:7" ht="15" customHeight="1">
      <c r="A648" t="str">
        <f ca="1">IF(AND(OR(Calculations!$B$3:$B$4), E648=""), F648, "")</f>
        <v/>
      </c>
      <c r="B648" t="s">
        <v>461</v>
      </c>
      <c r="C648" t="str">
        <f ca="1">INDIRECT($F$292 &amp; ADDRESS(B645, 1,4  ))</f>
        <v>Relocation - Temporary</v>
      </c>
      <c r="D648" t="str">
        <f>ADDRESS(B645, 5,4  )</f>
        <v>E92</v>
      </c>
      <c r="E648">
        <f t="shared" ca="1" si="204"/>
        <v>0</v>
      </c>
      <c r="F648" t="str">
        <f ca="1">CONCATENATE("Enter an 'Amount Last Provided to CHFA' value for '", C648, "' in cell ", D648, ".", CHAR(10))</f>
        <v xml:space="preserve">Enter an 'Amount Last Provided to CHFA' value for 'Relocation - Temporary' in cell E92.
</v>
      </c>
      <c r="G648" s="9" t="str">
        <f t="shared" ca="1" si="203"/>
        <v xml:space="preserve">The total of development budget in column B must be greater than zero.
</v>
      </c>
    </row>
    <row r="649" spans="1:7" ht="15" customHeight="1">
      <c r="A649" t="str">
        <f ca="1">IF(AND(Calculations!$B$3, E649=""), F649, "")</f>
        <v/>
      </c>
      <c r="B649" t="s">
        <v>461</v>
      </c>
      <c r="C649" t="str">
        <f ca="1">INDIRECT($F$292 &amp; ADDRESS(B645, 1,4  ))</f>
        <v>Relocation - Temporary</v>
      </c>
      <c r="D649" t="str">
        <f>ADDRESS(B645, 6,4  )</f>
        <v>F92</v>
      </c>
      <c r="E649">
        <f t="shared" ca="1" si="204"/>
        <v>0</v>
      </c>
      <c r="F649" t="str">
        <f ca="1">CONCATENATE("Enter a '10% Carryover Actual Incurred Costs' value for '", C649, "' in cell ", D649, ".", CHAR(10))</f>
        <v xml:space="preserve">Enter a '10% Carryover Actual Incurred Costs' value for 'Relocation - Temporary' in cell F92.
</v>
      </c>
      <c r="G649" s="9" t="str">
        <f t="shared" ca="1" si="203"/>
        <v xml:space="preserve">The total of development budget in column B must be greater than zero.
</v>
      </c>
    </row>
    <row r="650" spans="1:7" ht="15" customHeight="1">
      <c r="A650" t="str">
        <f ca="1">IF(E650="", F650, "")</f>
        <v/>
      </c>
      <c r="B650" s="52">
        <f>B645+1</f>
        <v>93</v>
      </c>
      <c r="C650" t="str">
        <f ca="1">INDIRECT($F$292 &amp; ADDRESS(B650, 1,4  ))</f>
        <v>Relocation - Permanent</v>
      </c>
      <c r="D650" t="str">
        <f>ADDRESS(B650, 2,4  )</f>
        <v>B93</v>
      </c>
      <c r="E650">
        <f t="shared" ca="1" si="204"/>
        <v>0</v>
      </c>
      <c r="F650" t="str">
        <f ca="1">CONCATENATE("Enter a value for '", C650, "' in cell ", D650, ".", CHAR(10))</f>
        <v xml:space="preserve">Enter a value for 'Relocation - Permanent' in cell B93.
</v>
      </c>
      <c r="G650" s="9" t="str">
        <f t="shared" ca="1" si="203"/>
        <v xml:space="preserve">The total of development budget in column B must be greater than zero.
</v>
      </c>
    </row>
    <row r="651" spans="1:7" ht="15" customHeight="1">
      <c r="A651" t="str">
        <f ca="1">IF(AND(Calculations!$B$5, E651=""), F651, "")</f>
        <v/>
      </c>
      <c r="B651" t="s">
        <v>461</v>
      </c>
      <c r="C651" t="str">
        <f ca="1">INDIRECT($F$292 &amp; ADDRESS(B650, 1,4  ))</f>
        <v>Relocation - Permanent</v>
      </c>
      <c r="D651" t="str">
        <f>ADDRESS(B650, 3,4  )</f>
        <v>C93</v>
      </c>
      <c r="E651">
        <f t="shared" ca="1" si="204"/>
        <v>0</v>
      </c>
      <c r="F651" t="str">
        <f ca="1">CONCATENATE("Enter an '4% LIHTC Basis Calculation' value for '", C651, "' in cell ", D651, ".", CHAR(10))</f>
        <v xml:space="preserve">Enter an '4% LIHTC Basis Calculation' value for 'Relocation - Permanent' in cell C93.
</v>
      </c>
      <c r="G651" s="9" t="str">
        <f t="shared" ca="1" si="203"/>
        <v xml:space="preserve">The total of development budget in column B must be greater than zero.
</v>
      </c>
    </row>
    <row r="652" spans="1:7" ht="15" customHeight="1">
      <c r="A652" t="str">
        <f ca="1">IF(AND(Calculations!$B$6, E652=""), F652, "")</f>
        <v/>
      </c>
      <c r="B652" t="s">
        <v>461</v>
      </c>
      <c r="C652" t="str">
        <f ca="1">INDIRECT($F$292 &amp; ADDRESS(B650, 1,4  ))</f>
        <v>Relocation - Permanent</v>
      </c>
      <c r="D652" t="str">
        <f>ADDRESS(B650, 4,4  )</f>
        <v>D93</v>
      </c>
      <c r="E652">
        <f t="shared" ca="1" si="204"/>
        <v>0</v>
      </c>
      <c r="F652" t="str">
        <f ca="1">CONCATENATE("Enter an '9% LIHTC Basis Calculation' value for '", C652, "' in cell ", D652, ".", CHAR(10))</f>
        <v xml:space="preserve">Enter an '9% LIHTC Basis Calculation' value for 'Relocation - Permanent' in cell D93.
</v>
      </c>
      <c r="G652" s="9" t="str">
        <f t="shared" ca="1" si="203"/>
        <v xml:space="preserve">The total of development budget in column B must be greater than zero.
</v>
      </c>
    </row>
    <row r="653" spans="1:7" ht="15" customHeight="1">
      <c r="A653" t="str">
        <f ca="1">IF(AND(OR(Calculations!$B$3:$B$4), E653=""), F653, "")</f>
        <v/>
      </c>
      <c r="B653" t="s">
        <v>461</v>
      </c>
      <c r="C653" t="str">
        <f ca="1">INDIRECT($F$292 &amp; ADDRESS(B650, 1,4  ))</f>
        <v>Relocation - Permanent</v>
      </c>
      <c r="D653" t="str">
        <f>ADDRESS(B650, 5,4  )</f>
        <v>E93</v>
      </c>
      <c r="E653">
        <f t="shared" ca="1" si="204"/>
        <v>0</v>
      </c>
      <c r="F653" t="str">
        <f ca="1">CONCATENATE("Enter an 'Amount Last Provided to CHFA' value for '", C653, "' in cell ", D653, ".", CHAR(10))</f>
        <v xml:space="preserve">Enter an 'Amount Last Provided to CHFA' value for 'Relocation - Permanent' in cell E93.
</v>
      </c>
      <c r="G653" s="9" t="str">
        <f t="shared" ca="1" si="203"/>
        <v xml:space="preserve">The total of development budget in column B must be greater than zero.
</v>
      </c>
    </row>
    <row r="654" spans="1:7" ht="15" customHeight="1">
      <c r="A654" t="str">
        <f ca="1">IF(AND(Calculations!$B$3, E654=""), F654, "")</f>
        <v/>
      </c>
      <c r="B654" t="s">
        <v>461</v>
      </c>
      <c r="C654" t="str">
        <f ca="1">INDIRECT($F$292 &amp; ADDRESS(B650, 1,4  ))</f>
        <v>Relocation - Permanent</v>
      </c>
      <c r="D654" t="str">
        <f>ADDRESS(B650, 6,4  )</f>
        <v>F93</v>
      </c>
      <c r="E654">
        <f t="shared" ca="1" si="204"/>
        <v>0</v>
      </c>
      <c r="F654" t="str">
        <f ca="1">CONCATENATE("Enter a '10% Carryover Actual Incurred Costs' value for '", C654, "' in cell ", D654, ".", CHAR(10))</f>
        <v xml:space="preserve">Enter a '10% Carryover Actual Incurred Costs' value for 'Relocation - Permanent' in cell F93.
</v>
      </c>
      <c r="G654" s="9" t="str">
        <f t="shared" ca="1" si="203"/>
        <v xml:space="preserve">The total of development budget in column B must be greater than zero.
</v>
      </c>
    </row>
    <row r="655" spans="1:7" ht="15" customHeight="1">
      <c r="A655" t="str">
        <f ca="1">IF(E655="", F655, "")</f>
        <v/>
      </c>
      <c r="B655" s="52">
        <f>B650+1</f>
        <v>94</v>
      </c>
      <c r="C655" t="str">
        <f ca="1">INDIRECT($F$292 &amp; ADDRESS(B655, 1,4  ))</f>
        <v>Soft Cost Contingency</v>
      </c>
      <c r="D655" t="str">
        <f>ADDRESS(B655, 2,4  )</f>
        <v>B94</v>
      </c>
      <c r="E655">
        <f t="shared" ca="1" si="204"/>
        <v>0</v>
      </c>
      <c r="F655" t="str">
        <f ca="1">CONCATENATE("Enter a value for '", C655, "' in cell ", D655, ".", CHAR(10))</f>
        <v xml:space="preserve">Enter a value for 'Soft Cost Contingency' in cell B94.
</v>
      </c>
      <c r="G655" s="9" t="str">
        <f t="shared" ca="1" si="203"/>
        <v xml:space="preserve">The total of development budget in column B must be greater than zero.
</v>
      </c>
    </row>
    <row r="656" spans="1:7" ht="15" customHeight="1">
      <c r="A656" t="str">
        <f ca="1">IF(AND(Calculations!$B$5, E656=""), F656, "")</f>
        <v/>
      </c>
      <c r="B656" t="s">
        <v>461</v>
      </c>
      <c r="C656" t="str">
        <f ca="1">INDIRECT($F$292 &amp; ADDRESS(B655, 1,4  ))</f>
        <v>Soft Cost Contingency</v>
      </c>
      <c r="D656" t="str">
        <f>ADDRESS(B655, 3,4  )</f>
        <v>C94</v>
      </c>
      <c r="E656">
        <f t="shared" ca="1" si="204"/>
        <v>0</v>
      </c>
      <c r="F656" t="str">
        <f ca="1">CONCATENATE("Enter an '4% LIHTC Basis Calculation' value for '", C656, "' in cell ", D656, ".", CHAR(10))</f>
        <v xml:space="preserve">Enter an '4% LIHTC Basis Calculation' value for 'Soft Cost Contingency' in cell C94.
</v>
      </c>
      <c r="G656" s="9" t="str">
        <f t="shared" ca="1" si="203"/>
        <v xml:space="preserve">The total of development budget in column B must be greater than zero.
</v>
      </c>
    </row>
    <row r="657" spans="1:7" ht="15" customHeight="1">
      <c r="A657" t="str">
        <f ca="1">IF(AND(Calculations!$B$6, E657=""), F657, "")</f>
        <v/>
      </c>
      <c r="B657" t="s">
        <v>461</v>
      </c>
      <c r="C657" t="str">
        <f ca="1">INDIRECT($F$292 &amp; ADDRESS(B655, 1,4  ))</f>
        <v>Soft Cost Contingency</v>
      </c>
      <c r="D657" t="str">
        <f>ADDRESS(B655, 4,4  )</f>
        <v>D94</v>
      </c>
      <c r="E657">
        <f t="shared" ca="1" si="204"/>
        <v>0</v>
      </c>
      <c r="F657" t="str">
        <f ca="1">CONCATENATE("Enter an '9% LIHTC Basis Calculation' value for '", C657, "' in cell ", D657, ".", CHAR(10))</f>
        <v xml:space="preserve">Enter an '9% LIHTC Basis Calculation' value for 'Soft Cost Contingency' in cell D94.
</v>
      </c>
      <c r="G657" s="9" t="str">
        <f t="shared" ca="1" si="203"/>
        <v xml:space="preserve">The total of development budget in column B must be greater than zero.
</v>
      </c>
    </row>
    <row r="658" spans="1:7" ht="15" customHeight="1">
      <c r="A658" t="str">
        <f ca="1">IF(AND(OR(Calculations!$B$3:$B$4), E658=""), F658, "")</f>
        <v/>
      </c>
      <c r="B658" t="s">
        <v>461</v>
      </c>
      <c r="C658" t="str">
        <f ca="1">INDIRECT($F$292 &amp; ADDRESS(B655, 1,4  ))</f>
        <v>Soft Cost Contingency</v>
      </c>
      <c r="D658" t="str">
        <f>ADDRESS(B655, 5,4  )</f>
        <v>E94</v>
      </c>
      <c r="E658">
        <f t="shared" ca="1" si="204"/>
        <v>0</v>
      </c>
      <c r="F658" t="str">
        <f ca="1">CONCATENATE("Enter an 'Amount Last Provided to CHFA' value for '", C658, "' in cell ", D658, ".", CHAR(10))</f>
        <v xml:space="preserve">Enter an 'Amount Last Provided to CHFA' value for 'Soft Cost Contingency' in cell E94.
</v>
      </c>
      <c r="G658" s="9" t="str">
        <f t="shared" ca="1" si="203"/>
        <v xml:space="preserve">The total of development budget in column B must be greater than zero.
</v>
      </c>
    </row>
    <row r="659" spans="1:7" ht="15" customHeight="1">
      <c r="A659" t="str">
        <f ca="1">IF(AND(Calculations!$B$3, E659=""), F659, "")</f>
        <v/>
      </c>
      <c r="B659" t="s">
        <v>461</v>
      </c>
      <c r="C659" t="str">
        <f ca="1">INDIRECT($F$292 &amp; ADDRESS(B655, 1,4  ))</f>
        <v>Soft Cost Contingency</v>
      </c>
      <c r="D659" t="str">
        <f>ADDRESS(B655, 6,4  )</f>
        <v>F94</v>
      </c>
      <c r="E659">
        <f t="shared" ca="1" si="204"/>
        <v>0</v>
      </c>
      <c r="F659" t="str">
        <f ca="1">CONCATENATE("Enter a '10% Carryover Actual Incurred Costs' value for '", C659, "' in cell ", D659, ".", CHAR(10))</f>
        <v xml:space="preserve">Enter a '10% Carryover Actual Incurred Costs' value for 'Soft Cost Contingency' in cell F94.
</v>
      </c>
      <c r="G659" s="9" t="str">
        <f t="shared" ca="1" si="203"/>
        <v xml:space="preserve">The total of development budget in column B must be greater than zero.
</v>
      </c>
    </row>
    <row r="660" spans="1:7" ht="15" customHeight="1">
      <c r="A660" t="str">
        <f ca="1">IF(E660="", F660, "")</f>
        <v/>
      </c>
      <c r="B660" s="52">
        <f>B655+1</f>
        <v>95</v>
      </c>
      <c r="C660" t="str">
        <f ca="1">INDIRECT($F$292 &amp; ADDRESS(B660, 1,4  ))</f>
        <v>Other (Specify)</v>
      </c>
      <c r="D660" t="str">
        <f>ADDRESS(B660, 2,4  )</f>
        <v>B95</v>
      </c>
      <c r="E660">
        <f ca="1">IF(ISBLANK( INDIRECT($F$292 &amp; D660)),"", INDIRECT($F$292 &amp; D660))</f>
        <v>0</v>
      </c>
      <c r="F660" t="str">
        <f ca="1">CONCATENATE("Enter a value for '", C660, "' in cell ", D660, ".", CHAR(10))</f>
        <v xml:space="preserve">Enter a value for 'Other (Specify)' in cell B95.
</v>
      </c>
      <c r="G660" s="9" t="str">
        <f t="shared" ca="1" si="203"/>
        <v xml:space="preserve">The total of development budget in column B must be greater than zero.
</v>
      </c>
    </row>
    <row r="661" spans="1:7" ht="15" customHeight="1">
      <c r="A661" t="str">
        <f ca="1">IF(AND(Calculations!$B$5, E661=""), F661, "")</f>
        <v/>
      </c>
      <c r="B661" t="s">
        <v>461</v>
      </c>
      <c r="C661" t="str">
        <f ca="1">INDIRECT($F$292 &amp; ADDRESS(B660, 1,4  ))</f>
        <v>Other (Specify)</v>
      </c>
      <c r="D661" t="str">
        <f>ADDRESS(B660, 3,4  )</f>
        <v>C95</v>
      </c>
      <c r="E661">
        <f ca="1">IF(ISBLANK( INDIRECT($F$292 &amp; D661)),"", INDIRECT($F$292 &amp; D661))</f>
        <v>0</v>
      </c>
      <c r="F661" t="str">
        <f ca="1">CONCATENATE("Enter an '4% LIHTC Basis Calculation' value for '", C661, "' in cell ", D661, ".", CHAR(10))</f>
        <v xml:space="preserve">Enter an '4% LIHTC Basis Calculation' value for 'Other (Specify)' in cell C95.
</v>
      </c>
      <c r="G661" s="9" t="str">
        <f t="shared" ca="1" si="203"/>
        <v xml:space="preserve">The total of development budget in column B must be greater than zero.
</v>
      </c>
    </row>
    <row r="662" spans="1:7" ht="15" customHeight="1">
      <c r="A662" t="str">
        <f ca="1">IF(AND(Calculations!$B$6, E662=""), F662, "")</f>
        <v/>
      </c>
      <c r="B662" t="s">
        <v>461</v>
      </c>
      <c r="C662" t="str">
        <f ca="1">INDIRECT($F$292 &amp; ADDRESS(B660, 1,4  ))</f>
        <v>Other (Specify)</v>
      </c>
      <c r="D662" t="str">
        <f>ADDRESS(B660, 4,4  )</f>
        <v>D95</v>
      </c>
      <c r="E662">
        <f ca="1">IF(ISBLANK( INDIRECT($F$292 &amp; D662)),"", INDIRECT($F$292 &amp; D662))</f>
        <v>0</v>
      </c>
      <c r="F662" t="str">
        <f ca="1">CONCATENATE("Enter an '9% LIHTC Basis Calculation' value for '", C662, "' in cell ", D662, ".", CHAR(10))</f>
        <v xml:space="preserve">Enter an '9% LIHTC Basis Calculation' value for 'Other (Specify)' in cell D95.
</v>
      </c>
      <c r="G662" s="9" t="str">
        <f t="shared" ca="1" si="203"/>
        <v xml:space="preserve">The total of development budget in column B must be greater than zero.
</v>
      </c>
    </row>
    <row r="663" spans="1:7" ht="15" customHeight="1">
      <c r="A663" t="str">
        <f ca="1">IF(AND(OR(Calculations!$B$3:$B$4), E663=""), F663, "")</f>
        <v/>
      </c>
      <c r="B663" t="s">
        <v>461</v>
      </c>
      <c r="C663" t="str">
        <f ca="1">INDIRECT($F$292 &amp; ADDRESS(B660, 1,4  ))</f>
        <v>Other (Specify)</v>
      </c>
      <c r="D663" t="str">
        <f>ADDRESS(B660, 5,4  )</f>
        <v>E95</v>
      </c>
      <c r="E663">
        <f ca="1">IF(ISBLANK( INDIRECT($F$292 &amp; D663)),"", INDIRECT($F$292 &amp; D663))</f>
        <v>0</v>
      </c>
      <c r="F663" t="str">
        <f ca="1">CONCATENATE("Enter an 'Amount Last Provided to CHFA' value for '", C663, "' in cell ", D663, ".", CHAR(10))</f>
        <v xml:space="preserve">Enter an 'Amount Last Provided to CHFA' value for 'Other (Specify)' in cell E95.
</v>
      </c>
      <c r="G663" s="9" t="str">
        <f t="shared" ca="1" si="203"/>
        <v xml:space="preserve">The total of development budget in column B must be greater than zero.
</v>
      </c>
    </row>
    <row r="664" spans="1:7" ht="15" customHeight="1">
      <c r="A664" t="str">
        <f ca="1">IF(AND(Calculations!$B$3, E664=""), F664, "")</f>
        <v/>
      </c>
      <c r="B664" t="s">
        <v>461</v>
      </c>
      <c r="C664" t="str">
        <f ca="1">INDIRECT($F$292 &amp; ADDRESS(B660, 1,4  ))</f>
        <v>Other (Specify)</v>
      </c>
      <c r="D664" t="str">
        <f>ADDRESS(B660, 6,4  )</f>
        <v>F95</v>
      </c>
      <c r="E664">
        <f ca="1">IF(ISBLANK( INDIRECT($F$292 &amp; D664)),"", INDIRECT($F$292 &amp; D664))</f>
        <v>0</v>
      </c>
      <c r="F664" t="str">
        <f ca="1">CONCATENATE("Enter a '10% Carryover Actual Incurred Costs' value for '", C664, "' in cell ", D664, ".", CHAR(10))</f>
        <v xml:space="preserve">Enter a '10% Carryover Actual Incurred Costs' value for 'Other (Specify)' in cell F95.
</v>
      </c>
      <c r="G664" s="9" t="str">
        <f t="shared" ca="1" si="203"/>
        <v xml:space="preserve">The total of development budget in column B must be greater than zero.
</v>
      </c>
    </row>
    <row r="665" spans="1:7" ht="15" customHeight="1">
      <c r="A665" t="str">
        <f ca="1">IF(AND(E665, SUM(E660:E664) &gt; 0), F665, "")</f>
        <v/>
      </c>
      <c r="C665" t="str">
        <f ca="1">INDIRECT($F$292 &amp; ADDRESS(B660, 1,4  ))</f>
        <v>Other (Specify)</v>
      </c>
      <c r="D665" t="str">
        <f>ADDRESS(B660, 1,4  )</f>
        <v>A95</v>
      </c>
      <c r="E665" t="b">
        <f ca="1">INDIRECT($F$292 &amp; D665)="Other (specify)"</f>
        <v>1</v>
      </c>
      <c r="F665" t="str">
        <f ca="1">CONCATENATE("Please specify value for '", C665, "' in cell ", D665, ".", CHAR(10))</f>
        <v xml:space="preserve">Please specify value for 'Other (Specify)' in cell A95.
</v>
      </c>
      <c r="G665" s="9" t="str">
        <f t="shared" ca="1" si="203"/>
        <v xml:space="preserve">The total of development budget in column B must be greater than zero.
</v>
      </c>
    </row>
    <row r="666" spans="1:7" ht="15" customHeight="1">
      <c r="A666" t="str">
        <f ca="1">IF(E666="", F666, "")</f>
        <v/>
      </c>
      <c r="B666" s="52">
        <f>B660+1</f>
        <v>96</v>
      </c>
      <c r="C666" t="str">
        <f ca="1">INDIRECT($F$292 &amp; ADDRESS(B666, 1,4  ))</f>
        <v>Other (Specify)</v>
      </c>
      <c r="D666" t="str">
        <f>ADDRESS(B666, 2,4  )</f>
        <v>B96</v>
      </c>
      <c r="E666">
        <f ca="1">IF(ISBLANK( INDIRECT($F$292 &amp; D666)),"", INDIRECT($F$292 &amp; D666))</f>
        <v>0</v>
      </c>
      <c r="F666" t="str">
        <f ca="1">CONCATENATE("Enter a value for '", C666, "' in cell ", D666, ".", CHAR(10))</f>
        <v xml:space="preserve">Enter a value for 'Other (Specify)' in cell B96.
</v>
      </c>
      <c r="G666" s="9" t="str">
        <f t="shared" ca="1" si="203"/>
        <v xml:space="preserve">The total of development budget in column B must be greater than zero.
</v>
      </c>
    </row>
    <row r="667" spans="1:7" ht="15" customHeight="1">
      <c r="A667" t="str">
        <f ca="1">IF(AND(Calculations!$B$5, E667=""), F667, "")</f>
        <v/>
      </c>
      <c r="B667" t="s">
        <v>461</v>
      </c>
      <c r="C667" t="str">
        <f ca="1">INDIRECT($F$292 &amp; ADDRESS(B666, 1,4  ))</f>
        <v>Other (Specify)</v>
      </c>
      <c r="D667" t="str">
        <f>ADDRESS(B666, 3,4  )</f>
        <v>C96</v>
      </c>
      <c r="E667">
        <f ca="1">IF(ISBLANK( INDIRECT($F$292 &amp; D667)),"", INDIRECT($F$292 &amp; D667))</f>
        <v>0</v>
      </c>
      <c r="F667" t="str">
        <f ca="1">CONCATENATE("Enter an '4% LIHTC Basis Calculation' value for '", C667, "' in cell ", D667, ".", CHAR(10))</f>
        <v xml:space="preserve">Enter an '4% LIHTC Basis Calculation' value for 'Other (Specify)' in cell C96.
</v>
      </c>
      <c r="G667" s="9" t="str">
        <f t="shared" ca="1" si="203"/>
        <v xml:space="preserve">The total of development budget in column B must be greater than zero.
</v>
      </c>
    </row>
    <row r="668" spans="1:7" ht="15" customHeight="1">
      <c r="A668" t="str">
        <f ca="1">IF(AND(Calculations!$B$6, E668=""), F668, "")</f>
        <v/>
      </c>
      <c r="B668" t="s">
        <v>461</v>
      </c>
      <c r="C668" t="str">
        <f ca="1">INDIRECT($F$292 &amp; ADDRESS(B666, 1,4  ))</f>
        <v>Other (Specify)</v>
      </c>
      <c r="D668" t="str">
        <f>ADDRESS(B666, 4,4  )</f>
        <v>D96</v>
      </c>
      <c r="E668">
        <f ca="1">IF(ISBLANK( INDIRECT($F$292 &amp; D668)),"", INDIRECT($F$292 &amp; D668))</f>
        <v>0</v>
      </c>
      <c r="F668" t="str">
        <f ca="1">CONCATENATE("Enter an '9% LIHTC Basis Calculation' value for '", C668, "' in cell ", D668, ".", CHAR(10))</f>
        <v xml:space="preserve">Enter an '9% LIHTC Basis Calculation' value for 'Other (Specify)' in cell D96.
</v>
      </c>
      <c r="G668" s="9" t="str">
        <f t="shared" ca="1" si="203"/>
        <v xml:space="preserve">The total of development budget in column B must be greater than zero.
</v>
      </c>
    </row>
    <row r="669" spans="1:7" ht="15" customHeight="1">
      <c r="A669" t="str">
        <f ca="1">IF(AND(OR(Calculations!$B$3:$B$4), E669=""), F669, "")</f>
        <v/>
      </c>
      <c r="B669" t="s">
        <v>461</v>
      </c>
      <c r="C669" t="str">
        <f ca="1">INDIRECT($F$292 &amp; ADDRESS(B666, 1,4  ))</f>
        <v>Other (Specify)</v>
      </c>
      <c r="D669" t="str">
        <f>ADDRESS(B666, 5,4  )</f>
        <v>E96</v>
      </c>
      <c r="E669">
        <f ca="1">IF(ISBLANK( INDIRECT($F$292 &amp; D669)),"", INDIRECT($F$292 &amp; D669))</f>
        <v>0</v>
      </c>
      <c r="F669" t="str">
        <f ca="1">CONCATENATE("Enter an 'Amount Last Provided to CHFA' value for '", C669, "' in cell ", D669, ".", CHAR(10))</f>
        <v xml:space="preserve">Enter an 'Amount Last Provided to CHFA' value for 'Other (Specify)' in cell E96.
</v>
      </c>
      <c r="G669" s="9" t="str">
        <f t="shared" ca="1" si="203"/>
        <v xml:space="preserve">The total of development budget in column B must be greater than zero.
</v>
      </c>
    </row>
    <row r="670" spans="1:7" ht="15" customHeight="1">
      <c r="A670" t="str">
        <f ca="1">IF(AND(Calculations!$B$3, E670=""), F670, "")</f>
        <v/>
      </c>
      <c r="B670" t="s">
        <v>461</v>
      </c>
      <c r="C670" t="str">
        <f ca="1">INDIRECT($F$292 &amp; ADDRESS(B666, 1,4  ))</f>
        <v>Other (Specify)</v>
      </c>
      <c r="D670" t="str">
        <f>ADDRESS(B666, 6,4  )</f>
        <v>F96</v>
      </c>
      <c r="E670">
        <f ca="1">IF(ISBLANK( INDIRECT($F$292 &amp; D670)),"", INDIRECT($F$292 &amp; D670))</f>
        <v>0</v>
      </c>
      <c r="F670" t="str">
        <f ca="1">CONCATENATE("Enter a '10% Carryover Actual Incurred Costs' value for '", C670, "' in cell ", D670, ".", CHAR(10))</f>
        <v xml:space="preserve">Enter a '10% Carryover Actual Incurred Costs' value for 'Other (Specify)' in cell F96.
</v>
      </c>
      <c r="G670" s="9" t="str">
        <f t="shared" ca="1" si="203"/>
        <v xml:space="preserve">The total of development budget in column B must be greater than zero.
</v>
      </c>
    </row>
    <row r="671" spans="1:7" ht="15" customHeight="1">
      <c r="A671" t="str">
        <f ca="1">IF(AND(E671, SUM(E666:E670) &gt; 0), F671, "")</f>
        <v/>
      </c>
      <c r="C671" t="str">
        <f ca="1">INDIRECT($F$292 &amp; ADDRESS(B666, 1,4  ))</f>
        <v>Other (Specify)</v>
      </c>
      <c r="D671" t="str">
        <f>ADDRESS(B666, 1,4  )</f>
        <v>A96</v>
      </c>
      <c r="E671" t="b">
        <f ca="1">INDIRECT($F$292 &amp; D671)="Other (specify)"</f>
        <v>1</v>
      </c>
      <c r="F671" t="str">
        <f ca="1">CONCATENATE("Please specify value for '", C671, "' in cell ", D671, ".", CHAR(10))</f>
        <v xml:space="preserve">Please specify value for 'Other (Specify)' in cell A96.
</v>
      </c>
      <c r="G671" s="9" t="str">
        <f t="shared" ca="1" si="203"/>
        <v xml:space="preserve">The total of development budget in column B must be greater than zero.
</v>
      </c>
    </row>
    <row r="672" spans="1:7" ht="15" customHeight="1">
      <c r="A672" t="str">
        <f ca="1">IF(E672="", F672, "")</f>
        <v/>
      </c>
      <c r="B672" s="52">
        <f>B666+1</f>
        <v>97</v>
      </c>
      <c r="C672" t="str">
        <f ca="1">INDIRECT($F$292 &amp; ADDRESS(B672, 1,4  ))</f>
        <v>Other (Specify)</v>
      </c>
      <c r="D672" t="str">
        <f>ADDRESS(B672, 2,4  )</f>
        <v>B97</v>
      </c>
      <c r="E672">
        <f ca="1">IF(ISBLANK( INDIRECT($F$292 &amp; D672)),"", INDIRECT($F$292 &amp; D672))</f>
        <v>0</v>
      </c>
      <c r="F672" t="str">
        <f ca="1">CONCATENATE("Enter a value for '", C672, "' in cell ", D672, ".", CHAR(10))</f>
        <v xml:space="preserve">Enter a value for 'Other (Specify)' in cell B97.
</v>
      </c>
      <c r="G672" s="9" t="str">
        <f t="shared" ca="1" si="203"/>
        <v xml:space="preserve">The total of development budget in column B must be greater than zero.
</v>
      </c>
    </row>
    <row r="673" spans="1:7" ht="15" customHeight="1">
      <c r="A673" t="str">
        <f ca="1">IF(AND(Calculations!$B$5, E673=""), F673, "")</f>
        <v/>
      </c>
      <c r="B673" t="s">
        <v>461</v>
      </c>
      <c r="C673" t="str">
        <f ca="1">INDIRECT($F$292 &amp; ADDRESS(B672, 1,4  ))</f>
        <v>Other (Specify)</v>
      </c>
      <c r="D673" t="str">
        <f>ADDRESS(B672, 3,4  )</f>
        <v>C97</v>
      </c>
      <c r="E673">
        <f ca="1">IF(ISBLANK( INDIRECT($F$292 &amp; D673)),"", INDIRECT($F$292 &amp; D673))</f>
        <v>0</v>
      </c>
      <c r="F673" t="str">
        <f ca="1">CONCATENATE("Enter an '4% LIHTC Basis Calculation' value for '", C673, "' in cell ", D673, ".", CHAR(10))</f>
        <v xml:space="preserve">Enter an '4% LIHTC Basis Calculation' value for 'Other (Specify)' in cell C97.
</v>
      </c>
      <c r="G673" s="9" t="str">
        <f t="shared" ca="1" si="203"/>
        <v xml:space="preserve">The total of development budget in column B must be greater than zero.
</v>
      </c>
    </row>
    <row r="674" spans="1:7" ht="15" customHeight="1">
      <c r="A674" t="str">
        <f ca="1">IF(AND(Calculations!$B$6, E674=""), F674, "")</f>
        <v/>
      </c>
      <c r="B674" t="s">
        <v>461</v>
      </c>
      <c r="C674" t="str">
        <f ca="1">INDIRECT($F$292 &amp; ADDRESS(B672, 1,4  ))</f>
        <v>Other (Specify)</v>
      </c>
      <c r="D674" t="str">
        <f>ADDRESS(B672, 4,4  )</f>
        <v>D97</v>
      </c>
      <c r="E674">
        <f ca="1">IF(ISBLANK( INDIRECT($F$292 &amp; D674)),"", INDIRECT($F$292 &amp; D674))</f>
        <v>0</v>
      </c>
      <c r="F674" t="str">
        <f ca="1">CONCATENATE("Enter an '9% LIHTC Basis Calculation' value for '", C674, "' in cell ", D674, ".", CHAR(10))</f>
        <v xml:space="preserve">Enter an '9% LIHTC Basis Calculation' value for 'Other (Specify)' in cell D97.
</v>
      </c>
      <c r="G674" s="9" t="str">
        <f t="shared" ca="1" si="203"/>
        <v xml:space="preserve">The total of development budget in column B must be greater than zero.
</v>
      </c>
    </row>
    <row r="675" spans="1:7" ht="15" customHeight="1">
      <c r="A675" t="str">
        <f ca="1">IF(AND(OR(Calculations!$B$3:$B$4), E675=""), F675, "")</f>
        <v/>
      </c>
      <c r="B675" t="s">
        <v>461</v>
      </c>
      <c r="C675" t="str">
        <f ca="1">INDIRECT($F$292 &amp; ADDRESS(B672, 1,4  ))</f>
        <v>Other (Specify)</v>
      </c>
      <c r="D675" t="str">
        <f>ADDRESS(B672, 5,4  )</f>
        <v>E97</v>
      </c>
      <c r="E675">
        <f ca="1">IF(ISBLANK( INDIRECT($F$292 &amp; D675)),"", INDIRECT($F$292 &amp; D675))</f>
        <v>0</v>
      </c>
      <c r="F675" t="str">
        <f ca="1">CONCATENATE("Enter an 'Amount Last Provided to CHFA' value for '", C675, "' in cell ", D675, ".", CHAR(10))</f>
        <v xml:space="preserve">Enter an 'Amount Last Provided to CHFA' value for 'Other (Specify)' in cell E97.
</v>
      </c>
      <c r="G675" s="9" t="str">
        <f t="shared" ca="1" si="203"/>
        <v xml:space="preserve">The total of development budget in column B must be greater than zero.
</v>
      </c>
    </row>
    <row r="676" spans="1:7" ht="15" customHeight="1">
      <c r="A676" t="str">
        <f ca="1">IF(AND(Calculations!$B$3, E676=""), F676, "")</f>
        <v/>
      </c>
      <c r="B676" t="s">
        <v>461</v>
      </c>
      <c r="C676" t="str">
        <f ca="1">INDIRECT($F$292 &amp; ADDRESS(B672, 1,4  ))</f>
        <v>Other (Specify)</v>
      </c>
      <c r="D676" t="str">
        <f>ADDRESS(B672, 6,4  )</f>
        <v>F97</v>
      </c>
      <c r="E676">
        <f ca="1">IF(ISBLANK( INDIRECT($F$292 &amp; D676)),"", INDIRECT($F$292 &amp; D676))</f>
        <v>0</v>
      </c>
      <c r="F676" t="str">
        <f ca="1">CONCATENATE("Enter a '10% Carryover Actual Incurred Costs' value for '", C676, "' in cell ", D676, ".", CHAR(10))</f>
        <v xml:space="preserve">Enter a '10% Carryover Actual Incurred Costs' value for 'Other (Specify)' in cell F97.
</v>
      </c>
      <c r="G676" s="9" t="str">
        <f t="shared" ca="1" si="203"/>
        <v xml:space="preserve">The total of development budget in column B must be greater than zero.
</v>
      </c>
    </row>
    <row r="677" spans="1:7" ht="15" customHeight="1">
      <c r="A677" t="str">
        <f ca="1">IF(AND(E677, SUM(E672:E676) &gt; 0), F677, "")</f>
        <v/>
      </c>
      <c r="C677" t="str">
        <f ca="1">INDIRECT($F$292 &amp; ADDRESS(B672, 1,4  ))</f>
        <v>Other (Specify)</v>
      </c>
      <c r="D677" t="str">
        <f>ADDRESS(B672, 1,4  )</f>
        <v>A97</v>
      </c>
      <c r="E677" t="b">
        <f ca="1">INDIRECT($F$292 &amp; D677)="Other (specify)"</f>
        <v>1</v>
      </c>
      <c r="F677" t="str">
        <f ca="1">CONCATENATE("Please specify value for '", C677, "' in cell ", D677, ".", CHAR(10))</f>
        <v xml:space="preserve">Please specify value for 'Other (Specify)' in cell A97.
</v>
      </c>
      <c r="G677" s="9" t="str">
        <f t="shared" ca="1" si="203"/>
        <v xml:space="preserve">The total of development budget in column B must be greater than zero.
</v>
      </c>
    </row>
    <row r="678" spans="1:7" ht="15" customHeight="1">
      <c r="A678" t="str">
        <f ca="1">IF(E678="", F678, "")</f>
        <v/>
      </c>
      <c r="B678">
        <f>ROW('Development Budget'!A100)</f>
        <v>100</v>
      </c>
      <c r="C678" t="str">
        <f ca="1">INDIRECT($F$292 &amp; ADDRESS(B678, 1,4  ))</f>
        <v>Organization Costs</v>
      </c>
      <c r="D678" t="str">
        <f>ADDRESS(B678, 2,4  )</f>
        <v>B100</v>
      </c>
      <c r="E678">
        <f t="shared" ref="E678:E685" ca="1" si="205">IF(ISBLANK( INDIRECT($F$292 &amp; D678)),"", INDIRECT($F$292 &amp; D678))</f>
        <v>0</v>
      </c>
      <c r="F678" t="str">
        <f ca="1">CONCATENATE("Enter a value for '", C678, "' in cell ", D678, ".", CHAR(10))</f>
        <v xml:space="preserve">Enter a value for 'Organization Costs' in cell B100.
</v>
      </c>
      <c r="G678" s="9" t="str">
        <f t="shared" ca="1" si="203"/>
        <v xml:space="preserve">The total of development budget in column B must be greater than zero.
</v>
      </c>
    </row>
    <row r="679" spans="1:7" ht="15" customHeight="1">
      <c r="A679" t="str">
        <f ca="1">IF(AND(OR(Calculations!$B$3:$B$4), E679=""), F679, "")</f>
        <v/>
      </c>
      <c r="B679" t="s">
        <v>461</v>
      </c>
      <c r="C679" t="str">
        <f ca="1">INDIRECT($F$292 &amp; ADDRESS(B678, 1,4  ))</f>
        <v>Organization Costs</v>
      </c>
      <c r="D679" t="str">
        <f>ADDRESS(B678, 5,4  )</f>
        <v>E100</v>
      </c>
      <c r="E679" t="str">
        <f t="shared" ca="1" si="205"/>
        <v/>
      </c>
      <c r="F679" t="str">
        <f ca="1">CONCATENATE("Enter an 'Amount Last Provided to CHFA' value for '", C679, "' in cell ", D679, ".", CHAR(10))</f>
        <v xml:space="preserve">Enter an 'Amount Last Provided to CHFA' value for 'Organization Costs' in cell E100.
</v>
      </c>
      <c r="G679" s="9" t="str">
        <f t="shared" ca="1" si="203"/>
        <v xml:space="preserve">The total of development budget in column B must be greater than zero.
</v>
      </c>
    </row>
    <row r="680" spans="1:7" ht="15" customHeight="1">
      <c r="A680" t="str">
        <f ca="1">IF(E680="", F680, "")</f>
        <v/>
      </c>
      <c r="B680" s="52">
        <f>B678+1</f>
        <v>101</v>
      </c>
      <c r="C680" t="str">
        <f ca="1">INDIRECT($F$292 &amp; ADDRESS(B680, 1,4  ))</f>
        <v>Tax Opinion</v>
      </c>
      <c r="D680" t="str">
        <f>ADDRESS(B680, 2,4  )</f>
        <v>B101</v>
      </c>
      <c r="E680">
        <f t="shared" ca="1" si="205"/>
        <v>0</v>
      </c>
      <c r="F680" t="str">
        <f ca="1">CONCATENATE("Enter a value for '", C680, "' in cell ", D680, ".", CHAR(10))</f>
        <v xml:space="preserve">Enter a value for 'Tax Opinion' in cell B101.
</v>
      </c>
      <c r="G680" s="9" t="str">
        <f t="shared" ca="1" si="203"/>
        <v xml:space="preserve">The total of development budget in column B must be greater than zero.
</v>
      </c>
    </row>
    <row r="681" spans="1:7" ht="15" customHeight="1">
      <c r="A681" t="str">
        <f ca="1">IF(AND(OR(Calculations!$B$3:$B$4), E681=""), F681, "")</f>
        <v/>
      </c>
      <c r="B681" t="s">
        <v>461</v>
      </c>
      <c r="C681" t="str">
        <f ca="1">INDIRECT($F$292 &amp; ADDRESS(B680, 1,4  ))</f>
        <v>Tax Opinion</v>
      </c>
      <c r="D681" t="str">
        <f>ADDRESS(B680, 5,4  )</f>
        <v>E101</v>
      </c>
      <c r="E681">
        <f t="shared" ca="1" si="205"/>
        <v>0</v>
      </c>
      <c r="F681" t="str">
        <f ca="1">CONCATENATE("Enter an 'Amount Last Provided to CHFA' value for '", C681, "' in cell ", D681, ".", CHAR(10))</f>
        <v xml:space="preserve">Enter an 'Amount Last Provided to CHFA' value for 'Tax Opinion' in cell E101.
</v>
      </c>
      <c r="G681" s="9" t="str">
        <f t="shared" ref="G681:G738" ca="1" si="206">OFFSET(G681, -1, 0) &amp; A681</f>
        <v xml:space="preserve">The total of development budget in column B must be greater than zero.
</v>
      </c>
    </row>
    <row r="682" spans="1:7" ht="15" customHeight="1">
      <c r="A682" t="str">
        <f ca="1">IF(E682="", F682, "")</f>
        <v/>
      </c>
      <c r="B682" s="52">
        <f>B680+1</f>
        <v>102</v>
      </c>
      <c r="C682" t="str">
        <f ca="1">INDIRECT($F$292 &amp; ADDRESS(B682, 1,4  ))</f>
        <v>Syndication Legal Fees</v>
      </c>
      <c r="D682" t="str">
        <f>ADDRESS(B682, 2,4  )</f>
        <v>B102</v>
      </c>
      <c r="E682">
        <f t="shared" ca="1" si="205"/>
        <v>0</v>
      </c>
      <c r="F682" t="str">
        <f ca="1">CONCATENATE("Enter a value for '", C682, "' in cell ", D682, ".", CHAR(10))</f>
        <v xml:space="preserve">Enter a value for 'Syndication Legal Fees' in cell B102.
</v>
      </c>
      <c r="G682" s="9" t="str">
        <f t="shared" ca="1" si="206"/>
        <v xml:space="preserve">The total of development budget in column B must be greater than zero.
</v>
      </c>
    </row>
    <row r="683" spans="1:7" ht="15" customHeight="1">
      <c r="A683" t="str">
        <f ca="1">IF(AND(OR(Calculations!$B$3:$B$4), E683=""), F683, "")</f>
        <v/>
      </c>
      <c r="B683" t="s">
        <v>461</v>
      </c>
      <c r="C683" t="str">
        <f ca="1">INDIRECT($F$292 &amp; ADDRESS(B682, 1,4  ))</f>
        <v>Syndication Legal Fees</v>
      </c>
      <c r="D683" t="str">
        <f>ADDRESS(B682, 5,4  )</f>
        <v>E102</v>
      </c>
      <c r="E683">
        <f t="shared" ca="1" si="205"/>
        <v>0</v>
      </c>
      <c r="F683" t="str">
        <f ca="1">CONCATENATE("Enter an 'Amount Last Provided to CHFA' value for '", C683, "' in cell ", D683, ".", CHAR(10))</f>
        <v xml:space="preserve">Enter an 'Amount Last Provided to CHFA' value for 'Syndication Legal Fees' in cell E102.
</v>
      </c>
      <c r="G683" s="9" t="str">
        <f t="shared" ca="1" si="206"/>
        <v xml:space="preserve">The total of development budget in column B must be greater than zero.
</v>
      </c>
    </row>
    <row r="684" spans="1:7" ht="15" customHeight="1">
      <c r="A684" t="str">
        <f ca="1">IF(E684="", F684, "")</f>
        <v/>
      </c>
      <c r="B684" s="52">
        <f>B682+1</f>
        <v>103</v>
      </c>
      <c r="C684" t="str">
        <f ca="1">INDIRECT($F$292 &amp; ADDRESS(B684, 1,4  ))</f>
        <v>Other (Specify)</v>
      </c>
      <c r="D684" t="str">
        <f>ADDRESS(B684, 2,4  )</f>
        <v>B103</v>
      </c>
      <c r="E684">
        <f t="shared" ca="1" si="205"/>
        <v>0</v>
      </c>
      <c r="F684" t="str">
        <f ca="1">CONCATENATE("Enter a value for '", C684, "' in cell ", D684, ".", CHAR(10))</f>
        <v xml:space="preserve">Enter a value for 'Other (Specify)' in cell B103.
</v>
      </c>
      <c r="G684" s="9" t="str">
        <f t="shared" ca="1" si="206"/>
        <v xml:space="preserve">The total of development budget in column B must be greater than zero.
</v>
      </c>
    </row>
    <row r="685" spans="1:7" ht="15" customHeight="1">
      <c r="A685" t="str">
        <f ca="1">IF(AND(OR(Calculations!$B$3:$B$4), E685=""), F685, "")</f>
        <v/>
      </c>
      <c r="B685" t="s">
        <v>461</v>
      </c>
      <c r="C685" t="str">
        <f ca="1">INDIRECT($F$292 &amp; ADDRESS(B684, 1,4  ))</f>
        <v>Other (Specify)</v>
      </c>
      <c r="D685" t="str">
        <f>ADDRESS(B684, 5,4  )</f>
        <v>E103</v>
      </c>
      <c r="E685">
        <f t="shared" ca="1" si="205"/>
        <v>0</v>
      </c>
      <c r="F685" t="str">
        <f ca="1">CONCATENATE("Enter an 'Amount Last Provided to CHFA' value for '", C685, "' in cell ", D685, ".", CHAR(10))</f>
        <v xml:space="preserve">Enter an 'Amount Last Provided to CHFA' value for 'Other (Specify)' in cell E103.
</v>
      </c>
      <c r="G685" s="9" t="str">
        <f t="shared" ca="1" si="206"/>
        <v xml:space="preserve">The total of development budget in column B must be greater than zero.
</v>
      </c>
    </row>
    <row r="686" spans="1:7" ht="15" customHeight="1">
      <c r="A686" t="str">
        <f ca="1">IF(AND(E686, SUM(E684:E685) &gt; 0), F686, "")</f>
        <v/>
      </c>
      <c r="C686" t="str">
        <f ca="1">INDIRECT($F$292 &amp; ADDRESS(B684, 1,4  ))</f>
        <v>Other (Specify)</v>
      </c>
      <c r="D686" t="str">
        <f>ADDRESS(B684, 1,4  )</f>
        <v>A103</v>
      </c>
      <c r="E686" t="b">
        <f ca="1">INDIRECT($F$292 &amp; D686)="Other (specify)"</f>
        <v>1</v>
      </c>
      <c r="F686" t="str">
        <f ca="1">CONCATENATE("Please specify value for '", C686, "' in cell ", D686, ".", CHAR(10))</f>
        <v xml:space="preserve">Please specify value for 'Other (Specify)' in cell A103.
</v>
      </c>
      <c r="G686" s="9" t="str">
        <f t="shared" ca="1" si="206"/>
        <v xml:space="preserve">The total of development budget in column B must be greater than zero.
</v>
      </c>
    </row>
    <row r="687" spans="1:7" ht="15" customHeight="1">
      <c r="A687" t="str">
        <f ca="1">IF(E687="", F687, "")</f>
        <v/>
      </c>
      <c r="B687" s="52">
        <f>B684+1</f>
        <v>104</v>
      </c>
      <c r="C687" t="str">
        <f ca="1">INDIRECT($F$292 &amp; ADDRESS(B687, 1,4  ))</f>
        <v>Other (Specify)</v>
      </c>
      <c r="D687" t="str">
        <f>ADDRESS(B687, 2,4  )</f>
        <v>B104</v>
      </c>
      <c r="E687">
        <f ca="1">IF(ISBLANK( INDIRECT($F$292 &amp; D687)),"", INDIRECT($F$292 &amp; D687))</f>
        <v>0</v>
      </c>
      <c r="F687" t="str">
        <f ca="1">CONCATENATE("Enter a value for '", C687, "' in cell ", D687, ".", CHAR(10))</f>
        <v xml:space="preserve">Enter a value for 'Other (Specify)' in cell B104.
</v>
      </c>
      <c r="G687" s="9" t="str">
        <f t="shared" ca="1" si="206"/>
        <v xml:space="preserve">The total of development budget in column B must be greater than zero.
</v>
      </c>
    </row>
    <row r="688" spans="1:7" ht="15" customHeight="1">
      <c r="A688" t="str">
        <f ca="1">IF(AND(OR(Calculations!$B$3:$B$4), E688=""), F688, "")</f>
        <v/>
      </c>
      <c r="B688" t="s">
        <v>461</v>
      </c>
      <c r="C688" t="str">
        <f ca="1">INDIRECT($F$292 &amp; ADDRESS(B687, 1,4  ))</f>
        <v>Other (Specify)</v>
      </c>
      <c r="D688" t="str">
        <f>ADDRESS(B687, 5,4  )</f>
        <v>E104</v>
      </c>
      <c r="E688">
        <f ca="1">IF(ISBLANK( INDIRECT($F$292 &amp; D688)),"", INDIRECT($F$292 &amp; D688))</f>
        <v>0</v>
      </c>
      <c r="F688" t="str">
        <f ca="1">CONCATENATE("Enter an 'Amount Last Provided to CHFA' value for '", C688, "' in cell ", D688, ".", CHAR(10))</f>
        <v xml:space="preserve">Enter an 'Amount Last Provided to CHFA' value for 'Other (Specify)' in cell E104.
</v>
      </c>
      <c r="G688" s="9" t="str">
        <f t="shared" ca="1" si="206"/>
        <v xml:space="preserve">The total of development budget in column B must be greater than zero.
</v>
      </c>
    </row>
    <row r="689" spans="1:7" ht="15" customHeight="1">
      <c r="A689" t="str">
        <f ca="1">IF(AND(E689, SUM(E687:E688) &gt; 0), F689, "")</f>
        <v/>
      </c>
      <c r="C689" t="str">
        <f ca="1">INDIRECT($F$292 &amp; ADDRESS(B687, 1,4  ))</f>
        <v>Other (Specify)</v>
      </c>
      <c r="D689" t="str">
        <f>ADDRESS(B687, 1,4  )</f>
        <v>A104</v>
      </c>
      <c r="E689" t="b">
        <f ca="1">INDIRECT($F$292 &amp; D689)="Other (specify)"</f>
        <v>1</v>
      </c>
      <c r="F689" t="str">
        <f ca="1">CONCATENATE("Please specify value for '", C689, "' in cell ", D689, ".", CHAR(10))</f>
        <v xml:space="preserve">Please specify value for 'Other (Specify)' in cell A104.
</v>
      </c>
      <c r="G689" s="9" t="str">
        <f t="shared" ca="1" si="206"/>
        <v xml:space="preserve">The total of development budget in column B must be greater than zero.
</v>
      </c>
    </row>
    <row r="690" spans="1:7" ht="15" customHeight="1">
      <c r="A690" t="str">
        <f ca="1">IF(E690="", F690, "")</f>
        <v/>
      </c>
      <c r="B690" s="52">
        <f>B687+1</f>
        <v>105</v>
      </c>
      <c r="C690" t="str">
        <f ca="1">INDIRECT($F$292 &amp; ADDRESS(B690, 1,4  ))</f>
        <v>Other (Specify)</v>
      </c>
      <c r="D690" t="str">
        <f>ADDRESS(B690, 2,4  )</f>
        <v>B105</v>
      </c>
      <c r="E690">
        <f ca="1">IF(ISBLANK( INDIRECT($F$292 &amp; D690)),"", INDIRECT($F$292 &amp; D690))</f>
        <v>0</v>
      </c>
      <c r="F690" t="str">
        <f ca="1">CONCATENATE("Enter a value for '", C690, "' in cell ", D690, ".", CHAR(10))</f>
        <v xml:space="preserve">Enter a value for 'Other (Specify)' in cell B105.
</v>
      </c>
      <c r="G690" s="9" t="str">
        <f t="shared" ca="1" si="206"/>
        <v xml:space="preserve">The total of development budget in column B must be greater than zero.
</v>
      </c>
    </row>
    <row r="691" spans="1:7" ht="15" customHeight="1">
      <c r="A691" t="str">
        <f ca="1">IF(AND(OR(Calculations!$B$3:$B$4), E691=""), F691, "")</f>
        <v/>
      </c>
      <c r="B691" t="s">
        <v>461</v>
      </c>
      <c r="C691" t="str">
        <f ca="1">INDIRECT($F$292 &amp; ADDRESS(B690, 1,4  ))</f>
        <v>Other (Specify)</v>
      </c>
      <c r="D691" t="str">
        <f>ADDRESS(B690, 5,4  )</f>
        <v>E105</v>
      </c>
      <c r="E691">
        <f ca="1">IF(ISBLANK( INDIRECT($F$292 &amp; D691)),"", INDIRECT($F$292 &amp; D691))</f>
        <v>0</v>
      </c>
      <c r="F691" t="str">
        <f ca="1">CONCATENATE("Enter an 'Amount Last Provided to CHFA' value for '", C691, "' in cell ", D691, ".", CHAR(10))</f>
        <v xml:space="preserve">Enter an 'Amount Last Provided to CHFA' value for 'Other (Specify)' in cell E105.
</v>
      </c>
      <c r="G691" s="9" t="str">
        <f t="shared" ca="1" si="206"/>
        <v xml:space="preserve">The total of development budget in column B must be greater than zero.
</v>
      </c>
    </row>
    <row r="692" spans="1:7" ht="15" customHeight="1">
      <c r="A692" t="str">
        <f ca="1">IF(AND(E692, SUM(E690:E691) &gt; 0), F692, "")</f>
        <v/>
      </c>
      <c r="C692" t="str">
        <f ca="1">INDIRECT($F$292 &amp; ADDRESS(B690, 1,4  ))</f>
        <v>Other (Specify)</v>
      </c>
      <c r="D692" t="str">
        <f>ADDRESS(B690, 1,4  )</f>
        <v>A105</v>
      </c>
      <c r="E692" t="b">
        <f ca="1">INDIRECT($F$292 &amp; D692)="Other (specify)"</f>
        <v>1</v>
      </c>
      <c r="F692" t="str">
        <f ca="1">CONCATENATE("Please specify value for '", C692, "' in cell ", D692, ".", CHAR(10))</f>
        <v xml:space="preserve">Please specify value for 'Other (Specify)' in cell A105.
</v>
      </c>
      <c r="G692" s="9" t="str">
        <f t="shared" ca="1" si="206"/>
        <v xml:space="preserve">The total of development budget in column B must be greater than zero.
</v>
      </c>
    </row>
    <row r="693" spans="1:7" ht="15" customHeight="1">
      <c r="A693" t="str">
        <f ca="1">IF(E693="", F693, "")</f>
        <v/>
      </c>
      <c r="B693">
        <f>ROW('Development Budget'!A108)</f>
        <v>108</v>
      </c>
      <c r="C693" t="str">
        <f ca="1">INDIRECT($F$292 &amp; ADDRESS(B693, 1,4  ))</f>
        <v>Developer Fee</v>
      </c>
      <c r="D693" t="str">
        <f>ADDRESS(B693, 2,4  )</f>
        <v>B108</v>
      </c>
      <c r="E693">
        <f t="shared" ref="E693:E732" ca="1" si="207">IF(ISBLANK( INDIRECT($F$292 &amp; D693)),"", INDIRECT($F$292 &amp; D693))</f>
        <v>0</v>
      </c>
      <c r="F693" t="str">
        <f ca="1">CONCATENATE("Enter a value for '", C693, "' in cell ", D693, ".", CHAR(10))</f>
        <v xml:space="preserve">Enter a value for 'Developer Fee' in cell B108.
</v>
      </c>
      <c r="G693" s="9" t="str">
        <f t="shared" ca="1" si="206"/>
        <v xml:space="preserve">The total of development budget in column B must be greater than zero.
</v>
      </c>
    </row>
    <row r="694" spans="1:7" ht="15" customHeight="1">
      <c r="A694" t="str">
        <f ca="1">IF(AND(Calculations!$B$5, E694=""), F694, "")</f>
        <v/>
      </c>
      <c r="B694" t="s">
        <v>461</v>
      </c>
      <c r="C694" t="str">
        <f ca="1">INDIRECT($F$292 &amp; ADDRESS(B693, 1,4  ))</f>
        <v>Developer Fee</v>
      </c>
      <c r="D694" t="str">
        <f>ADDRESS(B693, 3,4  )</f>
        <v>C108</v>
      </c>
      <c r="E694">
        <f t="shared" ca="1" si="207"/>
        <v>0</v>
      </c>
      <c r="F694" t="str">
        <f ca="1">CONCATENATE("Enter an '4% LIHTC Basis Calculation' value for '", C694, "' in cell ", D694, ".", CHAR(10))</f>
        <v xml:space="preserve">Enter an '4% LIHTC Basis Calculation' value for 'Developer Fee' in cell C108.
</v>
      </c>
      <c r="G694" s="9" t="str">
        <f t="shared" ca="1" si="206"/>
        <v xml:space="preserve">The total of development budget in column B must be greater than zero.
</v>
      </c>
    </row>
    <row r="695" spans="1:7" ht="15" customHeight="1">
      <c r="A695" t="str">
        <f ca="1">IF(AND(Calculations!$B$6, E695=""), F695, "")</f>
        <v/>
      </c>
      <c r="B695" t="s">
        <v>461</v>
      </c>
      <c r="C695" t="str">
        <f ca="1">INDIRECT($F$292 &amp; ADDRESS(B693, 1,4  ))</f>
        <v>Developer Fee</v>
      </c>
      <c r="D695" t="str">
        <f>ADDRESS(B693, 4,4  )</f>
        <v>D108</v>
      </c>
      <c r="E695">
        <f t="shared" ca="1" si="207"/>
        <v>0</v>
      </c>
      <c r="F695" t="str">
        <f ca="1">CONCATENATE("Enter an '9% LIHTC Basis Calculation' value for '", C695, "' in cell ", D695, ".", CHAR(10))</f>
        <v xml:space="preserve">Enter an '9% LIHTC Basis Calculation' value for 'Developer Fee' in cell D108.
</v>
      </c>
      <c r="G695" s="9" t="str">
        <f t="shared" ca="1" si="206"/>
        <v xml:space="preserve">The total of development budget in column B must be greater than zero.
</v>
      </c>
    </row>
    <row r="696" spans="1:7" ht="15" customHeight="1">
      <c r="A696" t="str">
        <f ca="1">IF(AND(OR(Calculations!$B$3:$B$4), E696=""), F696, "")</f>
        <v/>
      </c>
      <c r="B696" t="s">
        <v>461</v>
      </c>
      <c r="C696" t="str">
        <f ca="1">INDIRECT($F$292 &amp; ADDRESS(B693, 1,4  ))</f>
        <v>Developer Fee</v>
      </c>
      <c r="D696" t="str">
        <f>ADDRESS(B693, 5,4  )</f>
        <v>E108</v>
      </c>
      <c r="E696">
        <f t="shared" ca="1" si="207"/>
        <v>0</v>
      </c>
      <c r="F696" t="str">
        <f ca="1">CONCATENATE("Enter an 'Amount Last Provided to CHFA' value for '", C696, "' in cell ", D696, ".", CHAR(10))</f>
        <v xml:space="preserve">Enter an 'Amount Last Provided to CHFA' value for 'Developer Fee' in cell E108.
</v>
      </c>
      <c r="G696" s="9" t="str">
        <f t="shared" ca="1" si="206"/>
        <v xml:space="preserve">The total of development budget in column B must be greater than zero.
</v>
      </c>
    </row>
    <row r="697" spans="1:7" ht="15" customHeight="1">
      <c r="A697" t="str">
        <f ca="1">IF(AND(Calculations!$B$3, E697=""), F697, "")</f>
        <v/>
      </c>
      <c r="B697" t="s">
        <v>461</v>
      </c>
      <c r="C697" t="str">
        <f ca="1">INDIRECT($F$292 &amp; ADDRESS(B693, 1,4  ))</f>
        <v>Developer Fee</v>
      </c>
      <c r="D697" t="str">
        <f>ADDRESS(B693, 6,4  )</f>
        <v>F108</v>
      </c>
      <c r="E697">
        <f t="shared" ca="1" si="207"/>
        <v>0</v>
      </c>
      <c r="F697" t="str">
        <f ca="1">CONCATENATE("Enter a '10% Carryover Actual Incurred Costs' value for '", C697, "' in cell ", D697, ".", CHAR(10))</f>
        <v xml:space="preserve">Enter a '10% Carryover Actual Incurred Costs' value for 'Developer Fee' in cell F108.
</v>
      </c>
      <c r="G697" s="9" t="str">
        <f t="shared" ca="1" si="206"/>
        <v xml:space="preserve">The total of development budget in column B must be greater than zero.
</v>
      </c>
    </row>
    <row r="698" spans="1:7" ht="15" customHeight="1">
      <c r="A698" t="str">
        <f ca="1">IF(E698="", F698, "")</f>
        <v/>
      </c>
      <c r="B698" s="52">
        <f>B693+1</f>
        <v>109</v>
      </c>
      <c r="C698" t="str">
        <f ca="1">INDIRECT($F$292 &amp; ADDRESS(B698, 1,4  ))</f>
        <v>Developer Overhead</v>
      </c>
      <c r="D698" t="str">
        <f>ADDRESS(B698, 2,4  )</f>
        <v>B109</v>
      </c>
      <c r="E698">
        <f t="shared" ca="1" si="207"/>
        <v>0</v>
      </c>
      <c r="F698" t="str">
        <f ca="1">CONCATENATE("Enter a value for '", C698, "' in cell ", D698, ".", CHAR(10))</f>
        <v xml:space="preserve">Enter a value for 'Developer Overhead' in cell B109.
</v>
      </c>
      <c r="G698" s="9" t="str">
        <f t="shared" ca="1" si="206"/>
        <v xml:space="preserve">The total of development budget in column B must be greater than zero.
</v>
      </c>
    </row>
    <row r="699" spans="1:7" ht="15" customHeight="1">
      <c r="A699" t="str">
        <f ca="1">IF(AND(Calculations!$B$5, E699=""), F699, "")</f>
        <v/>
      </c>
      <c r="B699" t="s">
        <v>461</v>
      </c>
      <c r="C699" t="str">
        <f ca="1">INDIRECT($F$292 &amp; ADDRESS(B698, 1,4  ))</f>
        <v>Developer Overhead</v>
      </c>
      <c r="D699" t="str">
        <f>ADDRESS(B698, 3,4  )</f>
        <v>C109</v>
      </c>
      <c r="E699">
        <f t="shared" ca="1" si="207"/>
        <v>0</v>
      </c>
      <c r="F699" t="str">
        <f ca="1">CONCATENATE("Enter an '4% LIHTC Basis Calculation' value for '", C699, "' in cell ", D699, ".", CHAR(10))</f>
        <v xml:space="preserve">Enter an '4% LIHTC Basis Calculation' value for 'Developer Overhead' in cell C109.
</v>
      </c>
      <c r="G699" s="9" t="str">
        <f t="shared" ca="1" si="206"/>
        <v xml:space="preserve">The total of development budget in column B must be greater than zero.
</v>
      </c>
    </row>
    <row r="700" spans="1:7" ht="15" customHeight="1">
      <c r="A700" t="str">
        <f ca="1">IF(AND(Calculations!$B$6, E700=""), F700, "")</f>
        <v/>
      </c>
      <c r="B700" t="s">
        <v>461</v>
      </c>
      <c r="C700" t="str">
        <f ca="1">INDIRECT($F$292 &amp; ADDRESS(B698, 1,4  ))</f>
        <v>Developer Overhead</v>
      </c>
      <c r="D700" t="str">
        <f>ADDRESS(B698, 4,4  )</f>
        <v>D109</v>
      </c>
      <c r="E700">
        <f t="shared" ca="1" si="207"/>
        <v>0</v>
      </c>
      <c r="F700" t="str">
        <f ca="1">CONCATENATE("Enter an '9% LIHTC Basis Calculation' value for '", C700, "' in cell ", D700, ".", CHAR(10))</f>
        <v xml:space="preserve">Enter an '9% LIHTC Basis Calculation' value for 'Developer Overhead' in cell D109.
</v>
      </c>
      <c r="G700" s="9" t="str">
        <f t="shared" ca="1" si="206"/>
        <v xml:space="preserve">The total of development budget in column B must be greater than zero.
</v>
      </c>
    </row>
    <row r="701" spans="1:7" ht="15" customHeight="1">
      <c r="A701" t="str">
        <f ca="1">IF(AND(OR(Calculations!$B$3:$B$4), E701=""), F701, "")</f>
        <v/>
      </c>
      <c r="B701" t="s">
        <v>461</v>
      </c>
      <c r="C701" t="str">
        <f ca="1">INDIRECT($F$292 &amp; ADDRESS(B698, 1,4  ))</f>
        <v>Developer Overhead</v>
      </c>
      <c r="D701" t="str">
        <f>ADDRESS(B698, 5,4  )</f>
        <v>E109</v>
      </c>
      <c r="E701">
        <f t="shared" ca="1" si="207"/>
        <v>0</v>
      </c>
      <c r="F701" t="str">
        <f ca="1">CONCATENATE("Enter an 'Amount Last Provided to CHFA' value for '", C701, "' in cell ", D701, ".", CHAR(10))</f>
        <v xml:space="preserve">Enter an 'Amount Last Provided to CHFA' value for 'Developer Overhead' in cell E109.
</v>
      </c>
      <c r="G701" s="9" t="str">
        <f t="shared" ca="1" si="206"/>
        <v xml:space="preserve">The total of development budget in column B must be greater than zero.
</v>
      </c>
    </row>
    <row r="702" spans="1:7" ht="15" customHeight="1">
      <c r="A702" t="str">
        <f ca="1">IF(AND(Calculations!$B$3, E702=""), F702, "")</f>
        <v/>
      </c>
      <c r="B702" t="s">
        <v>461</v>
      </c>
      <c r="C702" t="str">
        <f ca="1">INDIRECT($F$292 &amp; ADDRESS(B698, 1,4  ))</f>
        <v>Developer Overhead</v>
      </c>
      <c r="D702" t="str">
        <f>ADDRESS(B698, 6,4  )</f>
        <v>F109</v>
      </c>
      <c r="E702">
        <f t="shared" ca="1" si="207"/>
        <v>0</v>
      </c>
      <c r="F702" t="str">
        <f ca="1">CONCATENATE("Enter a '10% Carryover Actual Incurred Costs' value for '", C702, "' in cell ", D702, ".", CHAR(10))</f>
        <v xml:space="preserve">Enter a '10% Carryover Actual Incurred Costs' value for 'Developer Overhead' in cell F109.
</v>
      </c>
      <c r="G702" s="9" t="str">
        <f t="shared" ca="1" si="206"/>
        <v xml:space="preserve">The total of development budget in column B must be greater than zero.
</v>
      </c>
    </row>
    <row r="703" spans="1:7" ht="15" customHeight="1">
      <c r="A703" t="str">
        <f ca="1">IF(E703="", F703, "")</f>
        <v/>
      </c>
      <c r="B703" s="52">
        <f>B698+1</f>
        <v>110</v>
      </c>
      <c r="C703" t="str">
        <f ca="1">INDIRECT($F$292 &amp; ADDRESS(B703, 1,4  ))</f>
        <v>Developer Profit</v>
      </c>
      <c r="D703" t="str">
        <f>ADDRESS(B703, 2,4  )</f>
        <v>B110</v>
      </c>
      <c r="E703">
        <f t="shared" ca="1" si="207"/>
        <v>0</v>
      </c>
      <c r="F703" t="str">
        <f ca="1">CONCATENATE("Enter a value for '", C703, "' in cell ", D703, ".", CHAR(10))</f>
        <v xml:space="preserve">Enter a value for 'Developer Profit' in cell B110.
</v>
      </c>
      <c r="G703" s="9" t="str">
        <f t="shared" ca="1" si="206"/>
        <v xml:space="preserve">The total of development budget in column B must be greater than zero.
</v>
      </c>
    </row>
    <row r="704" spans="1:7" ht="15" customHeight="1">
      <c r="A704" t="str">
        <f ca="1">IF(AND(Calculations!$B$5, E704=""), F704, "")</f>
        <v/>
      </c>
      <c r="B704" t="s">
        <v>461</v>
      </c>
      <c r="C704" t="str">
        <f ca="1">INDIRECT($F$292 &amp; ADDRESS(B703, 1,4  ))</f>
        <v>Developer Profit</v>
      </c>
      <c r="D704" t="str">
        <f>ADDRESS(B703, 3,4  )</f>
        <v>C110</v>
      </c>
      <c r="E704">
        <f t="shared" ca="1" si="207"/>
        <v>0</v>
      </c>
      <c r="F704" t="str">
        <f ca="1">CONCATENATE("Enter an '4% LIHTC Basis Calculation' value for '", C704, "' in cell ", D704, ".", CHAR(10))</f>
        <v xml:space="preserve">Enter an '4% LIHTC Basis Calculation' value for 'Developer Profit' in cell C110.
</v>
      </c>
      <c r="G704" s="9" t="str">
        <f t="shared" ca="1" si="206"/>
        <v xml:space="preserve">The total of development budget in column B must be greater than zero.
</v>
      </c>
    </row>
    <row r="705" spans="1:7" ht="15" customHeight="1">
      <c r="A705" t="str">
        <f ca="1">IF(AND(Calculations!$B$6, E705=""), F705, "")</f>
        <v/>
      </c>
      <c r="B705" t="s">
        <v>461</v>
      </c>
      <c r="C705" t="str">
        <f ca="1">INDIRECT($F$292 &amp; ADDRESS(B703, 1,4  ))</f>
        <v>Developer Profit</v>
      </c>
      <c r="D705" t="str">
        <f>ADDRESS(B703, 4,4  )</f>
        <v>D110</v>
      </c>
      <c r="E705">
        <f t="shared" ca="1" si="207"/>
        <v>0</v>
      </c>
      <c r="F705" t="str">
        <f ca="1">CONCATENATE("Enter an '9% LIHTC Basis Calculation' value for '", C705, "' in cell ", D705, ".", CHAR(10))</f>
        <v xml:space="preserve">Enter an '9% LIHTC Basis Calculation' value for 'Developer Profit' in cell D110.
</v>
      </c>
      <c r="G705" s="9" t="str">
        <f t="shared" ca="1" si="206"/>
        <v xml:space="preserve">The total of development budget in column B must be greater than zero.
</v>
      </c>
    </row>
    <row r="706" spans="1:7" ht="15" customHeight="1">
      <c r="A706" t="str">
        <f ca="1">IF(AND(OR(Calculations!$B$3:$B$4), E706=""), F706, "")</f>
        <v/>
      </c>
      <c r="B706" t="s">
        <v>461</v>
      </c>
      <c r="C706" t="str">
        <f ca="1">INDIRECT($F$292 &amp; ADDRESS(B703, 1,4  ))</f>
        <v>Developer Profit</v>
      </c>
      <c r="D706" t="str">
        <f>ADDRESS(B703, 5,4  )</f>
        <v>E110</v>
      </c>
      <c r="E706">
        <f t="shared" ca="1" si="207"/>
        <v>0</v>
      </c>
      <c r="F706" t="str">
        <f ca="1">CONCATENATE("Enter an 'Amount Last Provided to CHFA' value for '", C706, "' in cell ", D706, ".", CHAR(10))</f>
        <v xml:space="preserve">Enter an 'Amount Last Provided to CHFA' value for 'Developer Profit' in cell E110.
</v>
      </c>
      <c r="G706" s="9" t="str">
        <f t="shared" ca="1" si="206"/>
        <v xml:space="preserve">The total of development budget in column B must be greater than zero.
</v>
      </c>
    </row>
    <row r="707" spans="1:7" ht="15" customHeight="1">
      <c r="A707" t="str">
        <f ca="1">IF(AND(Calculations!$B$3, E707=""), F707, "")</f>
        <v/>
      </c>
      <c r="B707" t="s">
        <v>461</v>
      </c>
      <c r="C707" t="str">
        <f ca="1">INDIRECT($F$292 &amp; ADDRESS(B703, 1,4  ))</f>
        <v>Developer Profit</v>
      </c>
      <c r="D707" t="str">
        <f>ADDRESS(B703, 6,4  )</f>
        <v>F110</v>
      </c>
      <c r="E707">
        <f t="shared" ca="1" si="207"/>
        <v>0</v>
      </c>
      <c r="F707" t="str">
        <f ca="1">CONCATENATE("Enter a '10% Carryover Actual Incurred Costs' value for '", C707, "' in cell ", D707, ".", CHAR(10))</f>
        <v xml:space="preserve">Enter a '10% Carryover Actual Incurred Costs' value for 'Developer Profit' in cell F110.
</v>
      </c>
      <c r="G707" s="9" t="str">
        <f t="shared" ca="1" si="206"/>
        <v xml:space="preserve">The total of development budget in column B must be greater than zero.
</v>
      </c>
    </row>
    <row r="708" spans="1:7" ht="15" customHeight="1">
      <c r="A708" t="str">
        <f ca="1">IF(E708="", F708, "")</f>
        <v/>
      </c>
      <c r="B708" s="52">
        <f>B703+1</f>
        <v>111</v>
      </c>
      <c r="C708" t="str">
        <f ca="1">INDIRECT($F$292 &amp; ADDRESS(B708, 1,4  ))</f>
        <v>PSH developer fee boost (up to 5%)</v>
      </c>
      <c r="D708" t="str">
        <f>ADDRESS(B708, 2,4  )</f>
        <v>B111</v>
      </c>
      <c r="E708">
        <f t="shared" ca="1" si="207"/>
        <v>0</v>
      </c>
      <c r="F708" t="str">
        <f ca="1">CONCATENATE("Enter a value for '", C708, "' in cell ", D708, ".", CHAR(10))</f>
        <v xml:space="preserve">Enter a value for 'PSH developer fee boost (up to 5%)' in cell B111.
</v>
      </c>
      <c r="G708" s="9" t="str">
        <f t="shared" ca="1" si="206"/>
        <v xml:space="preserve">The total of development budget in column B must be greater than zero.
</v>
      </c>
    </row>
    <row r="709" spans="1:7" ht="15" customHeight="1">
      <c r="A709" t="str">
        <f ca="1">IF(AND(Calculations!$B$5, E709=""), F709, "")</f>
        <v/>
      </c>
      <c r="B709" t="s">
        <v>461</v>
      </c>
      <c r="C709" t="str">
        <f ca="1">INDIRECT($F$292 &amp; ADDRESS(B708, 1,4  ))</f>
        <v>PSH developer fee boost (up to 5%)</v>
      </c>
      <c r="D709" t="str">
        <f>ADDRESS(B708, 3,4  )</f>
        <v>C111</v>
      </c>
      <c r="E709">
        <f t="shared" ca="1" si="207"/>
        <v>0</v>
      </c>
      <c r="F709" t="str">
        <f ca="1">CONCATENATE("Enter an '4% LIHTC Basis Calculation' value for '", C709, "' in cell ", D709, ".", CHAR(10))</f>
        <v xml:space="preserve">Enter an '4% LIHTC Basis Calculation' value for 'PSH developer fee boost (up to 5%)' in cell C111.
</v>
      </c>
      <c r="G709" s="9" t="str">
        <f t="shared" ca="1" si="206"/>
        <v xml:space="preserve">The total of development budget in column B must be greater than zero.
</v>
      </c>
    </row>
    <row r="710" spans="1:7" ht="15" customHeight="1">
      <c r="A710" t="str">
        <f ca="1">IF(AND(Calculations!$B$6, E710=""), F710, "")</f>
        <v/>
      </c>
      <c r="B710" t="s">
        <v>461</v>
      </c>
      <c r="C710" t="str">
        <f ca="1">INDIRECT($F$292 &amp; ADDRESS(B708, 1,4  ))</f>
        <v>PSH developer fee boost (up to 5%)</v>
      </c>
      <c r="D710" t="str">
        <f>ADDRESS(B708, 4,4  )</f>
        <v>D111</v>
      </c>
      <c r="E710">
        <f t="shared" ca="1" si="207"/>
        <v>0</v>
      </c>
      <c r="F710" t="str">
        <f ca="1">CONCATENATE("Enter an '9% LIHTC Basis Calculation' value for '", C710, "' in cell ", D710, ".", CHAR(10))</f>
        <v xml:space="preserve">Enter an '9% LIHTC Basis Calculation' value for 'PSH developer fee boost (up to 5%)' in cell D111.
</v>
      </c>
      <c r="G710" s="9" t="str">
        <f t="shared" ca="1" si="206"/>
        <v xml:space="preserve">The total of development budget in column B must be greater than zero.
</v>
      </c>
    </row>
    <row r="711" spans="1:7" ht="15" customHeight="1">
      <c r="A711" t="str">
        <f ca="1">IF(AND(OR(Calculations!$B$3:$B$4), E711=""), F711, "")</f>
        <v/>
      </c>
      <c r="B711" t="s">
        <v>461</v>
      </c>
      <c r="C711" t="str">
        <f ca="1">INDIRECT($F$292 &amp; ADDRESS(B708, 1,4  ))</f>
        <v>PSH developer fee boost (up to 5%)</v>
      </c>
      <c r="D711" t="str">
        <f>ADDRESS(B708, 5,4  )</f>
        <v>E111</v>
      </c>
      <c r="E711">
        <f t="shared" ca="1" si="207"/>
        <v>0</v>
      </c>
      <c r="F711" t="str">
        <f ca="1">CONCATENATE("Enter an 'Amount Last Provided to CHFA' value for '", C711, "' in cell ", D711, ".", CHAR(10))</f>
        <v xml:space="preserve">Enter an 'Amount Last Provided to CHFA' value for 'PSH developer fee boost (up to 5%)' in cell E111.
</v>
      </c>
      <c r="G711" s="9" t="str">
        <f t="shared" ca="1" si="206"/>
        <v xml:space="preserve">The total of development budget in column B must be greater than zero.
</v>
      </c>
    </row>
    <row r="712" spans="1:7" ht="15" customHeight="1">
      <c r="A712" t="str">
        <f ca="1">IF(AND(Calculations!$B$3, E712=""), F712, "")</f>
        <v/>
      </c>
      <c r="B712" t="s">
        <v>461</v>
      </c>
      <c r="C712" t="str">
        <f ca="1">INDIRECT($F$292 &amp; ADDRESS(B708, 1,4  ))</f>
        <v>PSH developer fee boost (up to 5%)</v>
      </c>
      <c r="D712" t="str">
        <f>ADDRESS(B708, 6,4  )</f>
        <v>F111</v>
      </c>
      <c r="E712">
        <f t="shared" ca="1" si="207"/>
        <v>0</v>
      </c>
      <c r="F712" t="str">
        <f ca="1">CONCATENATE("Enter a '10% Carryover Actual Incurred Costs' value for '", C712, "' in cell ", D712, ".", CHAR(10))</f>
        <v xml:space="preserve">Enter a '10% Carryover Actual Incurred Costs' value for 'PSH developer fee boost (up to 5%)' in cell F111.
</v>
      </c>
      <c r="G712" s="9" t="str">
        <f t="shared" ca="1" si="206"/>
        <v xml:space="preserve">The total of development budget in column B must be greater than zero.
</v>
      </c>
    </row>
    <row r="713" spans="1:7" ht="15" customHeight="1">
      <c r="A713" t="str">
        <f ca="1">IF(E713="", F713, "")</f>
        <v/>
      </c>
      <c r="B713" s="52">
        <f>B708+1</f>
        <v>112</v>
      </c>
      <c r="C713" t="str">
        <f ca="1">INDIRECT($F$292 &amp; ADDRESS(B713, 1,4  ))</f>
        <v>Third Party Development Management/Owner's Rep</v>
      </c>
      <c r="D713" t="str">
        <f>ADDRESS(B713, 2,4  )</f>
        <v>B112</v>
      </c>
      <c r="E713">
        <f t="shared" ca="1" si="207"/>
        <v>0</v>
      </c>
      <c r="F713" t="str">
        <f ca="1">CONCATENATE("Enter a value for '", C713, "' in cell ", D713, ".", CHAR(10))</f>
        <v xml:space="preserve">Enter a value for 'Third Party Development Management/Owner's Rep' in cell B112.
</v>
      </c>
      <c r="G713" s="9" t="str">
        <f t="shared" ca="1" si="206"/>
        <v xml:space="preserve">The total of development budget in column B must be greater than zero.
</v>
      </c>
    </row>
    <row r="714" spans="1:7" ht="15" customHeight="1">
      <c r="A714" t="str">
        <f ca="1">IF(AND(Calculations!$B$5, E714=""), F714, "")</f>
        <v/>
      </c>
      <c r="B714" t="s">
        <v>461</v>
      </c>
      <c r="C714" t="str">
        <f ca="1">INDIRECT($F$292 &amp; ADDRESS(B713, 1,4  ))</f>
        <v>Third Party Development Management/Owner's Rep</v>
      </c>
      <c r="D714" t="str">
        <f>ADDRESS(B713, 3,4  )</f>
        <v>C112</v>
      </c>
      <c r="E714">
        <f t="shared" ca="1" si="207"/>
        <v>0</v>
      </c>
      <c r="F714" t="str">
        <f ca="1">CONCATENATE("Enter an '4% LIHTC Basis Calculation' value for '", C714, "' in cell ", D714, ".", CHAR(10))</f>
        <v xml:space="preserve">Enter an '4% LIHTC Basis Calculation' value for 'Third Party Development Management/Owner's Rep' in cell C112.
</v>
      </c>
      <c r="G714" s="9" t="str">
        <f t="shared" ca="1" si="206"/>
        <v xml:space="preserve">The total of development budget in column B must be greater than zero.
</v>
      </c>
    </row>
    <row r="715" spans="1:7" ht="15" customHeight="1">
      <c r="A715" t="str">
        <f ca="1">IF(AND(Calculations!$B$6, E715=""), F715, "")</f>
        <v/>
      </c>
      <c r="B715" t="s">
        <v>461</v>
      </c>
      <c r="C715" t="str">
        <f ca="1">INDIRECT($F$292 &amp; ADDRESS(B713, 1,4  ))</f>
        <v>Third Party Development Management/Owner's Rep</v>
      </c>
      <c r="D715" t="str">
        <f>ADDRESS(B713, 4,4  )</f>
        <v>D112</v>
      </c>
      <c r="E715">
        <f t="shared" ca="1" si="207"/>
        <v>0</v>
      </c>
      <c r="F715" t="str">
        <f ca="1">CONCATENATE("Enter an '9% LIHTC Basis Calculation' value for '", C715, "' in cell ", D715, ".", CHAR(10))</f>
        <v xml:space="preserve">Enter an '9% LIHTC Basis Calculation' value for 'Third Party Development Management/Owner's Rep' in cell D112.
</v>
      </c>
      <c r="G715" s="9" t="str">
        <f t="shared" ca="1" si="206"/>
        <v xml:space="preserve">The total of development budget in column B must be greater than zero.
</v>
      </c>
    </row>
    <row r="716" spans="1:7" ht="15" customHeight="1">
      <c r="A716" t="str">
        <f ca="1">IF(AND(OR(Calculations!$B$3:$B$4), E716=""), F716, "")</f>
        <v/>
      </c>
      <c r="B716" t="s">
        <v>461</v>
      </c>
      <c r="C716" t="str">
        <f ca="1">INDIRECT($F$292 &amp; ADDRESS(B713, 1,4  ))</f>
        <v>Third Party Development Management/Owner's Rep</v>
      </c>
      <c r="D716" t="str">
        <f>ADDRESS(B713, 5,4  )</f>
        <v>E112</v>
      </c>
      <c r="E716">
        <f t="shared" ca="1" si="207"/>
        <v>0</v>
      </c>
      <c r="F716" t="str">
        <f ca="1">CONCATENATE("Enter an 'Amount Last Provided to CHFA' value for '", C716, "' in cell ", D716, ".", CHAR(10))</f>
        <v xml:space="preserve">Enter an 'Amount Last Provided to CHFA' value for 'Third Party Development Management/Owner's Rep' in cell E112.
</v>
      </c>
      <c r="G716" s="9" t="str">
        <f t="shared" ca="1" si="206"/>
        <v xml:space="preserve">The total of development budget in column B must be greater than zero.
</v>
      </c>
    </row>
    <row r="717" spans="1:7" ht="15" customHeight="1">
      <c r="A717" t="str">
        <f ca="1">IF(AND(Calculations!$B$3, E717=""), F717, "")</f>
        <v/>
      </c>
      <c r="B717" t="s">
        <v>461</v>
      </c>
      <c r="C717" t="str">
        <f ca="1">INDIRECT($F$292 &amp; ADDRESS(B713, 1,4  ))</f>
        <v>Third Party Development Management/Owner's Rep</v>
      </c>
      <c r="D717" t="str">
        <f>ADDRESS(B713, 6,4  )</f>
        <v>F112</v>
      </c>
      <c r="E717">
        <f t="shared" ca="1" si="207"/>
        <v>0</v>
      </c>
      <c r="F717" t="str">
        <f ca="1">CONCATENATE("Enter a '10% Carryover Actual Incurred Costs' value for '", C717, "' in cell ", D717, ".", CHAR(10))</f>
        <v xml:space="preserve">Enter a '10% Carryover Actual Incurred Costs' value for 'Third Party Development Management/Owner's Rep' in cell F112.
</v>
      </c>
      <c r="G717" s="9" t="str">
        <f t="shared" ca="1" si="206"/>
        <v xml:space="preserve">The total of development budget in column B must be greater than zero.
</v>
      </c>
    </row>
    <row r="718" spans="1:7" ht="15" customHeight="1">
      <c r="A718" t="str">
        <f ca="1">IF(E718="", F718, "")</f>
        <v/>
      </c>
      <c r="B718" s="52">
        <f>B713+1</f>
        <v>113</v>
      </c>
      <c r="C718" t="str">
        <f ca="1">INDIRECT($F$292 &amp; ADDRESS(B718, 1,4  ))</f>
        <v>Financial/Tax Credit Consultant, Application Preparation, etc.</v>
      </c>
      <c r="D718" t="str">
        <f>ADDRESS(B718, 2,4  )</f>
        <v>B113</v>
      </c>
      <c r="E718">
        <f t="shared" ca="1" si="207"/>
        <v>0</v>
      </c>
      <c r="F718" t="str">
        <f ca="1">CONCATENATE("Enter a value for '", C718, "' in cell ", D718, ".", CHAR(10))</f>
        <v xml:space="preserve">Enter a value for 'Financial/Tax Credit Consultant, Application Preparation, etc.' in cell B113.
</v>
      </c>
      <c r="G718" s="9" t="str">
        <f t="shared" ca="1" si="206"/>
        <v xml:space="preserve">The total of development budget in column B must be greater than zero.
</v>
      </c>
    </row>
    <row r="719" spans="1:7" ht="15" customHeight="1">
      <c r="A719" t="str">
        <f ca="1">IF(AND(Calculations!$B$5, E719=""), F719, "")</f>
        <v/>
      </c>
      <c r="B719" t="s">
        <v>461</v>
      </c>
      <c r="C719" t="str">
        <f ca="1">INDIRECT($F$292 &amp; ADDRESS(B718, 1,4  ))</f>
        <v>Financial/Tax Credit Consultant, Application Preparation, etc.</v>
      </c>
      <c r="D719" t="str">
        <f>ADDRESS(B718, 3,4  )</f>
        <v>C113</v>
      </c>
      <c r="E719">
        <f t="shared" ca="1" si="207"/>
        <v>0</v>
      </c>
      <c r="F719" t="str">
        <f ca="1">CONCATENATE("Enter an '4% LIHTC Basis Calculation' value for '", C719, "' in cell ", D719, ".", CHAR(10))</f>
        <v xml:space="preserve">Enter an '4% LIHTC Basis Calculation' value for 'Financial/Tax Credit Consultant, Application Preparation, etc.' in cell C113.
</v>
      </c>
      <c r="G719" s="9" t="str">
        <f t="shared" ca="1" si="206"/>
        <v xml:space="preserve">The total of development budget in column B must be greater than zero.
</v>
      </c>
    </row>
    <row r="720" spans="1:7" ht="15" customHeight="1">
      <c r="A720" t="str">
        <f ca="1">IF(AND(Calculations!$B$6, E720=""), F720, "")</f>
        <v/>
      </c>
      <c r="B720" t="s">
        <v>461</v>
      </c>
      <c r="C720" t="str">
        <f ca="1">INDIRECT($F$292 &amp; ADDRESS(B718, 1,4  ))</f>
        <v>Financial/Tax Credit Consultant, Application Preparation, etc.</v>
      </c>
      <c r="D720" t="str">
        <f>ADDRESS(B718, 4,4  )</f>
        <v>D113</v>
      </c>
      <c r="E720">
        <f t="shared" ca="1" si="207"/>
        <v>0</v>
      </c>
      <c r="F720" t="str">
        <f ca="1">CONCATENATE("Enter an '9% LIHTC Basis Calculation' value for '", C720, "' in cell ", D720, ".", CHAR(10))</f>
        <v xml:space="preserve">Enter an '9% LIHTC Basis Calculation' value for 'Financial/Tax Credit Consultant, Application Preparation, etc.' in cell D113.
</v>
      </c>
      <c r="G720" s="9" t="str">
        <f t="shared" ca="1" si="206"/>
        <v xml:space="preserve">The total of development budget in column B must be greater than zero.
</v>
      </c>
    </row>
    <row r="721" spans="1:7" ht="15" customHeight="1">
      <c r="A721" t="str">
        <f ca="1">IF(AND(OR(Calculations!$B$3:$B$4), E721=""), F721, "")</f>
        <v/>
      </c>
      <c r="B721" t="s">
        <v>461</v>
      </c>
      <c r="C721" t="str">
        <f ca="1">INDIRECT($F$292 &amp; ADDRESS(B718, 1,4  ))</f>
        <v>Financial/Tax Credit Consultant, Application Preparation, etc.</v>
      </c>
      <c r="D721" t="str">
        <f>ADDRESS(B718, 5,4  )</f>
        <v>E113</v>
      </c>
      <c r="E721">
        <f t="shared" ca="1" si="207"/>
        <v>0</v>
      </c>
      <c r="F721" t="str">
        <f ca="1">CONCATENATE("Enter an 'Amount Last Provided to CHFA' value for '", C721, "' in cell ", D721, ".", CHAR(10))</f>
        <v xml:space="preserve">Enter an 'Amount Last Provided to CHFA' value for 'Financial/Tax Credit Consultant, Application Preparation, etc.' in cell E113.
</v>
      </c>
      <c r="G721" s="9" t="str">
        <f t="shared" ca="1" si="206"/>
        <v xml:space="preserve">The total of development budget in column B must be greater than zero.
</v>
      </c>
    </row>
    <row r="722" spans="1:7" ht="15" customHeight="1">
      <c r="A722" t="str">
        <f ca="1">IF(AND(Calculations!$B$3, E722=""), F722, "")</f>
        <v/>
      </c>
      <c r="B722" t="s">
        <v>461</v>
      </c>
      <c r="C722" t="str">
        <f ca="1">INDIRECT($F$292 &amp; ADDRESS(B718, 1,4  ))</f>
        <v>Financial/Tax Credit Consultant, Application Preparation, etc.</v>
      </c>
      <c r="D722" t="str">
        <f>ADDRESS(B718, 6,4  )</f>
        <v>F113</v>
      </c>
      <c r="E722">
        <f t="shared" ca="1" si="207"/>
        <v>0</v>
      </c>
      <c r="F722" t="str">
        <f ca="1">CONCATENATE("Enter a '10% Carryover Actual Incurred Costs' value for '", C722, "' in cell ", D722, ".", CHAR(10))</f>
        <v xml:space="preserve">Enter a '10% Carryover Actual Incurred Costs' value for 'Financial/Tax Credit Consultant, Application Preparation, etc.' in cell F113.
</v>
      </c>
      <c r="G722" s="9" t="str">
        <f t="shared" ca="1" si="206"/>
        <v xml:space="preserve">The total of development budget in column B must be greater than zero.
</v>
      </c>
    </row>
    <row r="723" spans="1:7" ht="15" customHeight="1">
      <c r="A723" t="str">
        <f ca="1">IF(E723="", F723, "")</f>
        <v/>
      </c>
      <c r="B723">
        <f>ROW('Development Budget'!A117)</f>
        <v>117</v>
      </c>
      <c r="C723" t="str">
        <f ca="1">INDIRECT($F$292 &amp; ADDRESS(B723, 1,4  ))</f>
        <v>Rent-up Reserves</v>
      </c>
      <c r="D723" t="str">
        <f>ADDRESS(B723, 2,4  )</f>
        <v>B117</v>
      </c>
      <c r="E723">
        <f t="shared" ca="1" si="207"/>
        <v>0</v>
      </c>
      <c r="F723" t="str">
        <f ca="1">CONCATENATE("Enter a value for '", C723, "' in cell ", D723, ".", CHAR(10))</f>
        <v xml:space="preserve">Enter a value for 'Rent-up Reserves' in cell B117.
</v>
      </c>
      <c r="G723" s="9" t="str">
        <f t="shared" ca="1" si="206"/>
        <v xml:space="preserve">The total of development budget in column B must be greater than zero.
</v>
      </c>
    </row>
    <row r="724" spans="1:7" ht="15" customHeight="1">
      <c r="A724" t="str">
        <f ca="1">IF(AND(OR(Calculations!$B$3:$B$4), E724=""), F724, "")</f>
        <v/>
      </c>
      <c r="B724" t="s">
        <v>461</v>
      </c>
      <c r="C724" t="str">
        <f ca="1">INDIRECT($F$292 &amp; ADDRESS(B723, 1,4  ))</f>
        <v>Rent-up Reserves</v>
      </c>
      <c r="D724" t="str">
        <f>ADDRESS(B723, 5,4  )</f>
        <v>E117</v>
      </c>
      <c r="E724">
        <f t="shared" ca="1" si="207"/>
        <v>0</v>
      </c>
      <c r="F724" t="str">
        <f ca="1">CONCATENATE("Enter an 'Amount Last Provided to CHFA' value for '", C724, "' in cell ", D724, ".", CHAR(10))</f>
        <v xml:space="preserve">Enter an 'Amount Last Provided to CHFA' value for 'Rent-up Reserves' in cell E117.
</v>
      </c>
      <c r="G724" s="9" t="str">
        <f t="shared" ca="1" si="206"/>
        <v xml:space="preserve">The total of development budget in column B must be greater than zero.
</v>
      </c>
    </row>
    <row r="725" spans="1:7" ht="15" customHeight="1">
      <c r="A725" t="str">
        <f ca="1">IF(E725="", F725, "")</f>
        <v/>
      </c>
      <c r="B725" s="52">
        <f>B723+1</f>
        <v>118</v>
      </c>
      <c r="C725" t="str">
        <f ca="1">INDIRECT($F$292 &amp; ADDRESS(B725, 1,4  ))</f>
        <v>Operating Reserves</v>
      </c>
      <c r="D725" t="str">
        <f>ADDRESS(B725, 2,4  )</f>
        <v>B118</v>
      </c>
      <c r="E725">
        <f t="shared" ca="1" si="207"/>
        <v>0</v>
      </c>
      <c r="F725" t="str">
        <f ca="1">CONCATENATE("Enter a value for '", C725, "' in cell ", D725, ".", CHAR(10))</f>
        <v xml:space="preserve">Enter a value for 'Operating Reserves' in cell B118.
</v>
      </c>
      <c r="G725" s="9" t="str">
        <f t="shared" ca="1" si="206"/>
        <v xml:space="preserve">The total of development budget in column B must be greater than zero.
</v>
      </c>
    </row>
    <row r="726" spans="1:7" ht="15" customHeight="1">
      <c r="A726" t="str">
        <f ca="1">IF(AND(OR(Calculations!$B$3:$B$4), E726=""), F726, "")</f>
        <v/>
      </c>
      <c r="B726" t="s">
        <v>461</v>
      </c>
      <c r="C726" t="str">
        <f ca="1">INDIRECT($F$292 &amp; ADDRESS(B725, 1,4  ))</f>
        <v>Operating Reserves</v>
      </c>
      <c r="D726" t="str">
        <f>ADDRESS(B725, 5,4  )</f>
        <v>E118</v>
      </c>
      <c r="E726">
        <f t="shared" ca="1" si="207"/>
        <v>0</v>
      </c>
      <c r="F726" t="str">
        <f ca="1">CONCATENATE("Enter an 'Amount Last Provided to CHFA' value for '", C726, "' in cell ", D726, ".", CHAR(10))</f>
        <v xml:space="preserve">Enter an 'Amount Last Provided to CHFA' value for 'Operating Reserves' in cell E118.
</v>
      </c>
      <c r="G726" s="9" t="str">
        <f t="shared" ca="1" si="206"/>
        <v xml:space="preserve">The total of development budget in column B must be greater than zero.
</v>
      </c>
    </row>
    <row r="727" spans="1:7" ht="15" customHeight="1">
      <c r="A727" t="str">
        <f ca="1">IF(E727="", F727, "")</f>
        <v/>
      </c>
      <c r="B727" s="52">
        <f>B725+1</f>
        <v>119</v>
      </c>
      <c r="C727" t="str">
        <f ca="1">INDIRECT($F$292 &amp; ADDRESS(B727, 1,4  ))</f>
        <v>Replacement Reserves</v>
      </c>
      <c r="D727" t="str">
        <f>ADDRESS(B727, 2,4  )</f>
        <v>B119</v>
      </c>
      <c r="E727">
        <f t="shared" ca="1" si="207"/>
        <v>0</v>
      </c>
      <c r="F727" t="str">
        <f ca="1">CONCATENATE("Enter a value for '", C727, "' in cell ", D727, ".", CHAR(10))</f>
        <v xml:space="preserve">Enter a value for 'Replacement Reserves' in cell B119.
</v>
      </c>
      <c r="G727" s="9" t="str">
        <f t="shared" ca="1" si="206"/>
        <v xml:space="preserve">The total of development budget in column B must be greater than zero.
</v>
      </c>
    </row>
    <row r="728" spans="1:7" ht="15" customHeight="1">
      <c r="A728" t="str">
        <f ca="1">IF(AND(OR(Calculations!$B$3:$B$4), E728=""), F728, "")</f>
        <v/>
      </c>
      <c r="B728" t="s">
        <v>461</v>
      </c>
      <c r="C728" t="str">
        <f ca="1">INDIRECT($F$292 &amp; ADDRESS(B727, 1,4  ))</f>
        <v>Replacement Reserves</v>
      </c>
      <c r="D728" t="str">
        <f>ADDRESS(B727, 5,4  )</f>
        <v>E119</v>
      </c>
      <c r="E728">
        <f t="shared" ca="1" si="207"/>
        <v>0</v>
      </c>
      <c r="F728" t="str">
        <f ca="1">CONCATENATE("Enter an 'Amount Last Provided to CHFA' value for '", C728, "' in cell ", D728, ".", CHAR(10))</f>
        <v xml:space="preserve">Enter an 'Amount Last Provided to CHFA' value for 'Replacement Reserves' in cell E119.
</v>
      </c>
      <c r="G728" s="9" t="str">
        <f t="shared" ca="1" si="206"/>
        <v xml:space="preserve">The total of development budget in column B must be greater than zero.
</v>
      </c>
    </row>
    <row r="729" spans="1:7" ht="15" customHeight="1">
      <c r="A729" t="str">
        <f ca="1">IF(E729="", F729, "")</f>
        <v/>
      </c>
      <c r="B729" s="52">
        <f>B727+1</f>
        <v>120</v>
      </c>
      <c r="C729" t="str">
        <f ca="1">INDIRECT($F$292 &amp; ADDRESS(B729, 1,4  ))</f>
        <v>Debt Service Reserves</v>
      </c>
      <c r="D729" t="str">
        <f>ADDRESS(B729, 2,4  )</f>
        <v>B120</v>
      </c>
      <c r="E729">
        <f t="shared" ca="1" si="207"/>
        <v>0</v>
      </c>
      <c r="F729" t="str">
        <f ca="1">CONCATENATE("Enter a value for '", C729, "' in cell ", D729, ".", CHAR(10))</f>
        <v xml:space="preserve">Enter a value for 'Debt Service Reserves' in cell B120.
</v>
      </c>
      <c r="G729" s="9" t="str">
        <f t="shared" ca="1" si="206"/>
        <v xml:space="preserve">The total of development budget in column B must be greater than zero.
</v>
      </c>
    </row>
    <row r="730" spans="1:7" ht="15" customHeight="1">
      <c r="A730" t="str">
        <f ca="1">IF(AND(OR(Calculations!$B$3:$B$4), E730=""), F730, "")</f>
        <v/>
      </c>
      <c r="B730" t="s">
        <v>461</v>
      </c>
      <c r="C730" t="str">
        <f ca="1">INDIRECT($F$292 &amp; ADDRESS(B729, 1,4  ))</f>
        <v>Debt Service Reserves</v>
      </c>
      <c r="D730" t="str">
        <f>ADDRESS(B729, 5,4  )</f>
        <v>E120</v>
      </c>
      <c r="E730">
        <f t="shared" ca="1" si="207"/>
        <v>0</v>
      </c>
      <c r="F730" t="str">
        <f ca="1">CONCATENATE("Enter an 'Amount Last Provided to CHFA' value for '", C730, "' in cell ", D730, ".", CHAR(10))</f>
        <v xml:space="preserve">Enter an 'Amount Last Provided to CHFA' value for 'Debt Service Reserves' in cell E120.
</v>
      </c>
      <c r="G730" s="9" t="str">
        <f t="shared" ca="1" si="206"/>
        <v xml:space="preserve">The total of development budget in column B must be greater than zero.
</v>
      </c>
    </row>
    <row r="731" spans="1:7" ht="15" customHeight="1">
      <c r="A731" t="str">
        <f ca="1">IF(E731="", F731, "")</f>
        <v/>
      </c>
      <c r="B731" s="52">
        <f>B729+1</f>
        <v>121</v>
      </c>
      <c r="C731" t="str">
        <f ca="1">INDIRECT($F$292 &amp; ADDRESS(B731, 1,4  ))</f>
        <v>Other (Specify)</v>
      </c>
      <c r="D731" t="str">
        <f>ADDRESS(B731, 2,4  )</f>
        <v>B121</v>
      </c>
      <c r="E731">
        <f t="shared" ca="1" si="207"/>
        <v>0</v>
      </c>
      <c r="F731" t="str">
        <f ca="1">CONCATENATE("Enter a value for '", C731, "' in cell ", D731, ".", CHAR(10))</f>
        <v xml:space="preserve">Enter a value for 'Other (Specify)' in cell B121.
</v>
      </c>
      <c r="G731" s="9" t="str">
        <f t="shared" ca="1" si="206"/>
        <v xml:space="preserve">The total of development budget in column B must be greater than zero.
</v>
      </c>
    </row>
    <row r="732" spans="1:7" ht="15" customHeight="1">
      <c r="A732" t="str">
        <f ca="1">IF(AND(OR(Calculations!$B$3:$B$4), E732=""), F732, "")</f>
        <v/>
      </c>
      <c r="B732" t="s">
        <v>461</v>
      </c>
      <c r="C732" t="str">
        <f ca="1">INDIRECT($F$292 &amp; ADDRESS(B731, 1,4  ))</f>
        <v>Other (Specify)</v>
      </c>
      <c r="D732" t="str">
        <f>ADDRESS(B731, 5,4  )</f>
        <v>E121</v>
      </c>
      <c r="E732">
        <f t="shared" ca="1" si="207"/>
        <v>0</v>
      </c>
      <c r="F732" t="str">
        <f ca="1">CONCATENATE("Enter an 'Amount Last Provided to CHFA' value for '", C732, "' in cell ", D732, ".", CHAR(10))</f>
        <v xml:space="preserve">Enter an 'Amount Last Provided to CHFA' value for 'Other (Specify)' in cell E121.
</v>
      </c>
      <c r="G732" s="9" t="str">
        <f t="shared" ca="1" si="206"/>
        <v xml:space="preserve">The total of development budget in column B must be greater than zero.
</v>
      </c>
    </row>
    <row r="733" spans="1:7" ht="15" customHeight="1">
      <c r="A733" t="str">
        <f ca="1">IF(AND(E733, SUM(E731:E732) &gt; 0), F733, "")</f>
        <v/>
      </c>
      <c r="C733" t="str">
        <f ca="1">INDIRECT($F$292 &amp; ADDRESS(B731, 1,4  ))</f>
        <v>Other (Specify)</v>
      </c>
      <c r="D733" t="str">
        <f>ADDRESS(B731, 1,4  )</f>
        <v>A121</v>
      </c>
      <c r="E733" t="b">
        <f ca="1">INDIRECT($F$292 &amp; D733)="Other (specify)"</f>
        <v>1</v>
      </c>
      <c r="F733" t="str">
        <f ca="1">CONCATENATE("Please specify value for '", C733, "' in cell ", D733, ".", CHAR(10))</f>
        <v xml:space="preserve">Please specify value for 'Other (Specify)' in cell A121.
</v>
      </c>
      <c r="G733" s="9" t="str">
        <f t="shared" ca="1" si="206"/>
        <v xml:space="preserve">The total of development budget in column B must be greater than zero.
</v>
      </c>
    </row>
    <row r="734" spans="1:7" ht="15" customHeight="1">
      <c r="A734" t="str">
        <f ca="1">IF(E734="", F734, "")</f>
        <v/>
      </c>
      <c r="B734" s="52">
        <f>B731+1</f>
        <v>122</v>
      </c>
      <c r="C734" t="str">
        <f ca="1">INDIRECT($F$292 &amp; ADDRESS(B734, 1,4  ))</f>
        <v>Other (Specify)</v>
      </c>
      <c r="D734" t="str">
        <f>ADDRESS(B734, 2,4  )</f>
        <v>B122</v>
      </c>
      <c r="E734">
        <f ca="1">IF(ISBLANK( INDIRECT($F$292 &amp; D734)),"", INDIRECT($F$292 &amp; D734))</f>
        <v>0</v>
      </c>
      <c r="F734" t="str">
        <f ca="1">CONCATENATE("Enter a value for '", C734, "' in cell ", D734, ".", CHAR(10))</f>
        <v xml:space="preserve">Enter a value for 'Other (Specify)' in cell B122.
</v>
      </c>
      <c r="G734" s="9" t="str">
        <f t="shared" ca="1" si="206"/>
        <v xml:space="preserve">The total of development budget in column B must be greater than zero.
</v>
      </c>
    </row>
    <row r="735" spans="1:7" ht="15" customHeight="1">
      <c r="A735" t="str">
        <f ca="1">IF(AND(OR(Calculations!$B$3:$B$4), E735=""), F735, "")</f>
        <v/>
      </c>
      <c r="B735" t="s">
        <v>461</v>
      </c>
      <c r="C735" t="str">
        <f ca="1">INDIRECT($F$292 &amp; ADDRESS(B734, 1,4  ))</f>
        <v>Other (Specify)</v>
      </c>
      <c r="D735" t="str">
        <f>ADDRESS(B734, 5,4  )</f>
        <v>E122</v>
      </c>
      <c r="E735">
        <f ca="1">IF(ISBLANK( INDIRECT($F$292 &amp; D735)),"", INDIRECT($F$292 &amp; D735))</f>
        <v>0</v>
      </c>
      <c r="F735" t="str">
        <f ca="1">CONCATENATE("Enter an 'Amount Last Provided to CHFA' value for '", C735, "' in cell ", D735, ".", CHAR(10))</f>
        <v xml:space="preserve">Enter an 'Amount Last Provided to CHFA' value for 'Other (Specify)' in cell E122.
</v>
      </c>
      <c r="G735" s="9" t="str">
        <f t="shared" ca="1" si="206"/>
        <v xml:space="preserve">The total of development budget in column B must be greater than zero.
</v>
      </c>
    </row>
    <row r="736" spans="1:7" ht="15" customHeight="1">
      <c r="A736" t="str">
        <f ca="1">IF(AND(E736, SUM(E734:E735) &gt; 0), F736, "")</f>
        <v/>
      </c>
      <c r="C736" t="str">
        <f ca="1">INDIRECT($F$292 &amp; ADDRESS(B734, 1,4  ))</f>
        <v>Other (Specify)</v>
      </c>
      <c r="D736" t="str">
        <f>ADDRESS(B734, 1,4  )</f>
        <v>A122</v>
      </c>
      <c r="E736" t="b">
        <f ca="1">INDIRECT($F$292 &amp; D736)="Other (specify)"</f>
        <v>1</v>
      </c>
      <c r="F736" t="str">
        <f ca="1">CONCATENATE("Please specify value for '", C736, "' in cell ", D736, ".", CHAR(10))</f>
        <v xml:space="preserve">Please specify value for 'Other (Specify)' in cell A122.
</v>
      </c>
      <c r="G736" s="9" t="str">
        <f t="shared" ca="1" si="206"/>
        <v xml:space="preserve">The total of development budget in column B must be greater than zero.
</v>
      </c>
    </row>
    <row r="737" spans="1:17" ht="15" customHeight="1">
      <c r="G737" s="9" t="str">
        <f t="shared" ca="1" si="206"/>
        <v xml:space="preserve">The total of development budget in column B must be greater than zero.
</v>
      </c>
    </row>
    <row r="738" spans="1:17" ht="15" customHeight="1">
      <c r="G738" s="9" t="str">
        <f t="shared" ca="1" si="206"/>
        <v xml:space="preserve">The total of development budget in column B must be greater than zero.
</v>
      </c>
    </row>
    <row r="739" spans="1:17" ht="15" customHeight="1">
      <c r="A739" s="55" t="s">
        <v>3834</v>
      </c>
      <c r="B739" s="53"/>
      <c r="C739" s="53"/>
      <c r="D739" s="53"/>
      <c r="E739" s="53"/>
      <c r="F739" s="53"/>
      <c r="G739" s="56" t="str">
        <f ca="1">OFFSET(G739, -1, 0)</f>
        <v xml:space="preserve">The total of development budget in column B must be greater than zero.
</v>
      </c>
    </row>
    <row r="740" spans="1:17" ht="15" customHeight="1">
      <c r="A740" t="str">
        <f>IF(TRIM(Application!B34)="","The census tract number where the development is located must be entered in cell B24","")</f>
        <v>The census tract number where the development is located must be entered in cell B24</v>
      </c>
    </row>
    <row r="741" spans="1:17" ht="15" customHeight="1"/>
    <row r="742" spans="1:17" ht="15" customHeight="1">
      <c r="A742" s="22" t="s">
        <v>94</v>
      </c>
      <c r="F742" s="49" t="s">
        <v>3835</v>
      </c>
    </row>
    <row r="743" spans="1:17" ht="15" customHeight="1">
      <c r="A743" s="53" t="s">
        <v>3792</v>
      </c>
      <c r="B743" s="53" t="s">
        <v>3793</v>
      </c>
      <c r="C743" s="53" t="s">
        <v>3794</v>
      </c>
      <c r="D743" s="53" t="s">
        <v>3795</v>
      </c>
      <c r="E743" s="53" t="s">
        <v>3796</v>
      </c>
      <c r="F743" s="53" t="s">
        <v>3797</v>
      </c>
      <c r="G743" s="54" t="s">
        <v>3798</v>
      </c>
    </row>
    <row r="744" spans="1:17" ht="15" customHeight="1">
      <c r="A744" s="52" t="str">
        <f>IF(E744&gt;0, F744, "")</f>
        <v/>
      </c>
      <c r="B744" s="52" t="s">
        <v>3826</v>
      </c>
      <c r="C744" s="52"/>
      <c r="D744" s="52"/>
      <c r="E744" s="52">
        <f>IFERROR(SUM(H744:Q744), 0)</f>
        <v>0</v>
      </c>
      <c r="F744" s="52" t="str">
        <f>CONCATENATE("Formulas are not permitted in the Amount column (column B).", CHAR(10))</f>
        <v xml:space="preserve">Formulas are not permitted in the Amount column (column B).
</v>
      </c>
      <c r="G744" s="9" t="str">
        <f>A744</f>
        <v/>
      </c>
      <c r="H744">
        <f>SUMPRODUCT(--_xlfn.ISFORMULA('Commercial Budget'!B4:B6))</f>
        <v>0</v>
      </c>
      <c r="I744">
        <f>SUMPRODUCT(--_xlfn.ISFORMULA('Commercial Budget'!B9:B10))</f>
        <v>0</v>
      </c>
      <c r="J744">
        <f>SUMPRODUCT(--_xlfn.ISFORMULA('Commercial Budget'!B13:B23))</f>
        <v>0</v>
      </c>
      <c r="K744">
        <f>SUMPRODUCT(--_xlfn.ISFORMULA('Commercial Budget'!B26:B33))</f>
        <v>0</v>
      </c>
      <c r="L744">
        <f>SUMPRODUCT(--_xlfn.ISFORMULA('Commercial Budget'!B36:B50))</f>
        <v>0</v>
      </c>
      <c r="M744">
        <f>SUMPRODUCT(--_xlfn.ISFORMULA('Commercial Budget'!B53:B63))</f>
        <v>0</v>
      </c>
      <c r="N744">
        <f>SUMPRODUCT(--_xlfn.ISFORMULA('Commercial Budget'!B66:B75))</f>
        <v>0</v>
      </c>
      <c r="O744">
        <f>SUMPRODUCT(--_xlfn.ISFORMULA('Commercial Budget'!B78:B83))</f>
        <v>0</v>
      </c>
      <c r="P744">
        <f>SUMPRODUCT(--_xlfn.ISFORMULA('Commercial Budget'!B86:B89))</f>
        <v>0</v>
      </c>
      <c r="Q744">
        <f>SUMPRODUCT(--_xlfn.ISFORMULA('Commercial Budget'!B92:B96))</f>
        <v>0</v>
      </c>
    </row>
    <row r="745" spans="1:17" ht="15" customHeight="1">
      <c r="A745" s="52" t="str">
        <f>IF(E745&gt;0, F745, "")</f>
        <v/>
      </c>
      <c r="B745" s="52" t="s">
        <v>3829</v>
      </c>
      <c r="C745" s="52"/>
      <c r="D745" s="52"/>
      <c r="E745" s="52">
        <f>IFERROR(SUM(H745:Q745), 0)</f>
        <v>0</v>
      </c>
      <c r="F745" s="52" t="str">
        <f>CONCATENATE("Formulas are not permitted in the Amount Last Provided to CHFA column (column C).", CHAR(10))</f>
        <v xml:space="preserve">Formulas are not permitted in the Amount Last Provided to CHFA column (column C).
</v>
      </c>
      <c r="G745" s="9" t="str">
        <f t="shared" ref="G745:G776" ca="1" si="208">OFFSET(G745, -1, 0) &amp; A745</f>
        <v/>
      </c>
      <c r="H745">
        <f>SUMPRODUCT(--_xlfn.ISFORMULA('Commercial Budget'!C4:C6))</f>
        <v>0</v>
      </c>
      <c r="I745">
        <f>SUMPRODUCT(--_xlfn.ISFORMULA('Commercial Budget'!C9:C10))</f>
        <v>0</v>
      </c>
      <c r="J745">
        <f>SUMPRODUCT(--_xlfn.ISFORMULA('Commercial Budget'!C13:C23))</f>
        <v>0</v>
      </c>
      <c r="K745">
        <f>SUMPRODUCT(--_xlfn.ISFORMULA('Commercial Budget'!C26:C33))</f>
        <v>0</v>
      </c>
      <c r="L745">
        <f>SUMPRODUCT(--_xlfn.ISFORMULA('Commercial Budget'!C36:C50))</f>
        <v>0</v>
      </c>
      <c r="M745">
        <f>SUMPRODUCT(--_xlfn.ISFORMULA('Commercial Budget'!C53:C63))</f>
        <v>0</v>
      </c>
      <c r="N745">
        <f>SUMPRODUCT(--_xlfn.ISFORMULA('Commercial Budget'!C66:C75))</f>
        <v>0</v>
      </c>
      <c r="O745">
        <f>SUMPRODUCT(--_xlfn.ISFORMULA('Commercial Budget'!C78:C83))</f>
        <v>0</v>
      </c>
      <c r="P745">
        <f>SUMPRODUCT(--_xlfn.ISFORMULA('Commercial Budget'!C86:C89))</f>
        <v>0</v>
      </c>
      <c r="Q745">
        <f>SUMPRODUCT(--_xlfn.ISFORMULA('Commercial Budget'!C92:C96))</f>
        <v>0</v>
      </c>
    </row>
    <row r="746" spans="1:17" ht="15" customHeight="1">
      <c r="A746" s="52" t="str">
        <f>IF(AND(Calculations!B25, E746=0), F746, "")</f>
        <v/>
      </c>
      <c r="B746" s="52">
        <f>ROW('Commercial Budget'!A4)</f>
        <v>4</v>
      </c>
      <c r="C746" s="52"/>
      <c r="D746" s="52" t="str">
        <f>SUBSTITUTE(ADDRESS(B746, COLUMN('Development Budget'!B461),4), B746, "")</f>
        <v>B</v>
      </c>
      <c r="E746" s="52">
        <f>Calculations!B687</f>
        <v>0</v>
      </c>
      <c r="F746" s="52" t="str">
        <f>CONCATENATE("The total of commercial budget in column ", D746, " must be greater than zero.", CHAR(10))</f>
        <v xml:space="preserve">The total of commercial budget in column B must be greater than zero.
</v>
      </c>
      <c r="G746" s="9" t="str">
        <f t="shared" ca="1" si="208"/>
        <v/>
      </c>
    </row>
    <row r="747" spans="1:17" ht="15" customHeight="1">
      <c r="A747" t="str">
        <f ca="1">IF(E747="",F747, "")</f>
        <v/>
      </c>
      <c r="B747">
        <f>ROW('Commercial Budget'!A4)</f>
        <v>4</v>
      </c>
      <c r="C747" t="str">
        <f ca="1">INDIRECT($F$742 &amp; ADDRESS(B747, 1,4  ))</f>
        <v>Land</v>
      </c>
      <c r="D747" t="str">
        <f>ADDRESS(B747, 2,4  )</f>
        <v>B4</v>
      </c>
      <c r="E747">
        <f t="shared" ref="E747:E774" ca="1" si="209">IF(ISBLANK( INDIRECT($F$742 &amp; D747)),"", INDIRECT($F$742 &amp; D747))</f>
        <v>0</v>
      </c>
      <c r="F747" t="str">
        <f ca="1">CONCATENATE("Enter a value for '", C747, "' in cell ", D747, ".", CHAR(10))</f>
        <v xml:space="preserve">Enter a value for 'Land' in cell B4.
</v>
      </c>
      <c r="G747" s="9" t="str">
        <f t="shared" ca="1" si="208"/>
        <v/>
      </c>
    </row>
    <row r="748" spans="1:17" ht="15" customHeight="1">
      <c r="A748" t="str">
        <f ca="1">IF(AND(OR(Calculations!$B$3:$B$4), E748=""), F748, "")</f>
        <v/>
      </c>
      <c r="B748" t="s">
        <v>461</v>
      </c>
      <c r="C748" t="str">
        <f ca="1">INDIRECT($F$742 &amp; ADDRESS(B747, 1,4  ))</f>
        <v>Land</v>
      </c>
      <c r="D748" t="str">
        <f>ADDRESS(B747, 3,4  )</f>
        <v>C4</v>
      </c>
      <c r="E748">
        <f t="shared" ca="1" si="209"/>
        <v>0</v>
      </c>
      <c r="F748" t="str">
        <f ca="1">CONCATENATE("Enter an 'Amount Last Provided to CHFA' value for '", C748, "' in cell ", D748, ".", CHAR(10))</f>
        <v xml:space="preserve">Enter an 'Amount Last Provided to CHFA' value for 'Land' in cell C4.
</v>
      </c>
      <c r="G748" s="9" t="str">
        <f t="shared" ca="1" si="208"/>
        <v/>
      </c>
    </row>
    <row r="749" spans="1:17" ht="15" customHeight="1">
      <c r="A749" t="str">
        <f ca="1">IF(E749="",F749, "")</f>
        <v/>
      </c>
      <c r="B749" s="52">
        <f>B747+1</f>
        <v>5</v>
      </c>
      <c r="C749" t="str">
        <f ca="1">INDIRECT($F$742 &amp; ADDRESS(B749, 1,4  ))</f>
        <v>Existing Structures</v>
      </c>
      <c r="D749" t="str">
        <f>ADDRESS(B749, 2,4  )</f>
        <v>B5</v>
      </c>
      <c r="E749">
        <f t="shared" ca="1" si="209"/>
        <v>0</v>
      </c>
      <c r="F749" t="str">
        <f ca="1">CONCATENATE("Enter a value for '", C749, "' in cell ", D749, ".", CHAR(10))</f>
        <v xml:space="preserve">Enter a value for 'Existing Structures' in cell B5.
</v>
      </c>
      <c r="G749" s="9" t="str">
        <f t="shared" ca="1" si="208"/>
        <v/>
      </c>
    </row>
    <row r="750" spans="1:17" ht="15" customHeight="1">
      <c r="A750" t="str">
        <f ca="1">IF(AND(OR(Calculations!$B$3:$B$4), E750=""), F750, "")</f>
        <v/>
      </c>
      <c r="B750" t="s">
        <v>461</v>
      </c>
      <c r="C750" t="str">
        <f ca="1">INDIRECT($F$742 &amp; ADDRESS(B749, 1,4  ))</f>
        <v>Existing Structures</v>
      </c>
      <c r="D750" t="str">
        <f>ADDRESS(B749, 3,4  )</f>
        <v>C5</v>
      </c>
      <c r="E750">
        <f t="shared" ca="1" si="209"/>
        <v>0</v>
      </c>
      <c r="F750" t="str">
        <f ca="1">CONCATENATE("Enter an 'Amount Last Provided to CHFA' value for '", C750, "' in cell ", D750, ".", CHAR(10))</f>
        <v xml:space="preserve">Enter an 'Amount Last Provided to CHFA' value for 'Existing Structures' in cell C5.
</v>
      </c>
      <c r="G750" s="9" t="str">
        <f t="shared" ca="1" si="208"/>
        <v/>
      </c>
    </row>
    <row r="751" spans="1:17" ht="15" customHeight="1">
      <c r="A751" t="str">
        <f ca="1">IF(E751="",F751, "")</f>
        <v/>
      </c>
      <c r="B751" s="52">
        <f>B749+1</f>
        <v>6</v>
      </c>
      <c r="C751" t="str">
        <f ca="1">INDIRECT($F$742 &amp; ADDRESS(B751, 1,4  ))</f>
        <v>Demolition</v>
      </c>
      <c r="D751" t="str">
        <f>ADDRESS(B751, 2,4  )</f>
        <v>B6</v>
      </c>
      <c r="E751">
        <f t="shared" ca="1" si="209"/>
        <v>0</v>
      </c>
      <c r="F751" t="str">
        <f ca="1">CONCATENATE("Enter a value for '", C751, "' in cell ", D751, ".", CHAR(10))</f>
        <v xml:space="preserve">Enter a value for 'Demolition' in cell B6.
</v>
      </c>
      <c r="G751" s="9" t="str">
        <f t="shared" ca="1" si="208"/>
        <v/>
      </c>
    </row>
    <row r="752" spans="1:17" ht="15" customHeight="1">
      <c r="A752" t="str">
        <f ca="1">IF(AND(OR(Calculations!$B$3:$B$4), E752=""), F752, "")</f>
        <v/>
      </c>
      <c r="B752" t="s">
        <v>461</v>
      </c>
      <c r="C752" t="str">
        <f ca="1">INDIRECT($F$742 &amp; ADDRESS(B751, 1,4  ))</f>
        <v>Demolition</v>
      </c>
      <c r="D752" t="str">
        <f>ADDRESS(B751, 3,4  )</f>
        <v>C6</v>
      </c>
      <c r="E752">
        <f t="shared" ca="1" si="209"/>
        <v>0</v>
      </c>
      <c r="F752" t="str">
        <f ca="1">CONCATENATE("Enter an 'Amount Last Provided to CHFA' value for '", C752, "' in cell ", D752, ".", CHAR(10))</f>
        <v xml:space="preserve">Enter an 'Amount Last Provided to CHFA' value for 'Demolition' in cell C6.
</v>
      </c>
      <c r="G752" s="9" t="str">
        <f t="shared" ca="1" si="208"/>
        <v/>
      </c>
    </row>
    <row r="753" spans="1:7" ht="15" customHeight="1">
      <c r="A753" t="str">
        <f ca="1">IF(E753="",F753, "")</f>
        <v/>
      </c>
      <c r="B753">
        <f>ROW('Commercial Budget'!A9)</f>
        <v>9</v>
      </c>
      <c r="C753" t="str">
        <f ca="1">INDIRECT($F$742 &amp; ADDRESS(B753, 1,4  ))</f>
        <v>On Site Work</v>
      </c>
      <c r="D753" t="str">
        <f>ADDRESS(B753, 2,4  )</f>
        <v>B9</v>
      </c>
      <c r="E753">
        <f t="shared" ca="1" si="209"/>
        <v>0</v>
      </c>
      <c r="F753" t="str">
        <f ca="1">CONCATENATE("Enter a value for '", C753, "' in cell ", D753, ".", CHAR(10))</f>
        <v xml:space="preserve">Enter a value for 'On Site Work' in cell B9.
</v>
      </c>
      <c r="G753" s="9" t="str">
        <f t="shared" ca="1" si="208"/>
        <v/>
      </c>
    </row>
    <row r="754" spans="1:7" ht="15" customHeight="1">
      <c r="A754" t="str">
        <f ca="1">IF(AND(OR(Calculations!$B$3:$B$4), E754=""), F754, "")</f>
        <v/>
      </c>
      <c r="B754" t="s">
        <v>461</v>
      </c>
      <c r="C754" t="str">
        <f ca="1">INDIRECT($F$742 &amp; ADDRESS(B753, 1,4  ))</f>
        <v>On Site Work</v>
      </c>
      <c r="D754" t="str">
        <f>ADDRESS(B753, 3,4  )</f>
        <v>C9</v>
      </c>
      <c r="E754">
        <f t="shared" ca="1" si="209"/>
        <v>0</v>
      </c>
      <c r="F754" t="str">
        <f ca="1">CONCATENATE("Enter an 'Amount Last Provided to CHFA' value for '", C754, "' in cell ", D754, ".", CHAR(10))</f>
        <v xml:space="preserve">Enter an 'Amount Last Provided to CHFA' value for 'On Site Work' in cell C9.
</v>
      </c>
      <c r="G754" s="9" t="str">
        <f t="shared" ca="1" si="208"/>
        <v/>
      </c>
    </row>
    <row r="755" spans="1:7" ht="15" customHeight="1">
      <c r="A755" t="str">
        <f ca="1">IF(E755="",F755, "")</f>
        <v/>
      </c>
      <c r="B755" s="52">
        <f>B753+1</f>
        <v>10</v>
      </c>
      <c r="C755" t="str">
        <f ca="1">INDIRECT($F$742 &amp; ADDRESS(B755, 1,4  ))</f>
        <v>Off Site Work</v>
      </c>
      <c r="D755" t="str">
        <f>ADDRESS(B755, 2,4  )</f>
        <v>B10</v>
      </c>
      <c r="E755">
        <f t="shared" ca="1" si="209"/>
        <v>0</v>
      </c>
      <c r="F755" t="str">
        <f ca="1">CONCATENATE("Enter a value for '", C755, "' in cell ", D755, ".", CHAR(10))</f>
        <v xml:space="preserve">Enter a value for 'Off Site Work' in cell B10.
</v>
      </c>
      <c r="G755" s="9" t="str">
        <f t="shared" ca="1" si="208"/>
        <v/>
      </c>
    </row>
    <row r="756" spans="1:7" ht="15" customHeight="1">
      <c r="A756" t="str">
        <f ca="1">IF(AND(OR(Calculations!$B$3:$B$4), E756=""), F756, "")</f>
        <v/>
      </c>
      <c r="B756" t="s">
        <v>461</v>
      </c>
      <c r="C756" t="str">
        <f ca="1">INDIRECT($F$742 &amp; ADDRESS(B755, 1,4  ))</f>
        <v>Off Site Work</v>
      </c>
      <c r="D756" t="str">
        <f>ADDRESS(B755, 3,4  )</f>
        <v>C10</v>
      </c>
      <c r="E756">
        <f t="shared" ca="1" si="209"/>
        <v>0</v>
      </c>
      <c r="F756" t="str">
        <f ca="1">CONCATENATE("Enter an 'Amount Last Provided to CHFA' value for '", C756, "' in cell ", D756, ".", CHAR(10))</f>
        <v xml:space="preserve">Enter an 'Amount Last Provided to CHFA' value for 'Off Site Work' in cell C10.
</v>
      </c>
      <c r="G756" s="9" t="str">
        <f t="shared" ca="1" si="208"/>
        <v/>
      </c>
    </row>
    <row r="757" spans="1:7" ht="15" customHeight="1">
      <c r="A757" t="str">
        <f ca="1">IF(E757="",F757, "")</f>
        <v/>
      </c>
      <c r="B757">
        <f>ROW('Commercial Budget'!A13)</f>
        <v>13</v>
      </c>
      <c r="C757" t="str">
        <f ca="1">INDIRECT($F$742 &amp; ADDRESS(B757, 1,4  ))</f>
        <v>New Structures</v>
      </c>
      <c r="D757" t="str">
        <f>ADDRESS(B757, 2,4  )</f>
        <v>B13</v>
      </c>
      <c r="E757">
        <f t="shared" ca="1" si="209"/>
        <v>0</v>
      </c>
      <c r="F757" t="str">
        <f ca="1">CONCATENATE("Enter a value for '", C757, "' in cell ", D757, ".", CHAR(10))</f>
        <v xml:space="preserve">Enter a value for 'New Structures' in cell B13.
</v>
      </c>
      <c r="G757" s="9" t="str">
        <f t="shared" ca="1" si="208"/>
        <v/>
      </c>
    </row>
    <row r="758" spans="1:7" ht="15" customHeight="1">
      <c r="A758" t="str">
        <f ca="1">IF(AND(OR(Calculations!$B$3:$B$4), E758=""), F758, "")</f>
        <v/>
      </c>
      <c r="B758" t="s">
        <v>461</v>
      </c>
      <c r="C758" t="str">
        <f ca="1">INDIRECT($F$742 &amp; ADDRESS(B757, 1,4  ))</f>
        <v>New Structures</v>
      </c>
      <c r="D758" t="str">
        <f>ADDRESS(B757, 3,4  )</f>
        <v>C13</v>
      </c>
      <c r="E758">
        <f t="shared" ca="1" si="209"/>
        <v>0</v>
      </c>
      <c r="F758" t="str">
        <f ca="1">CONCATENATE("Enter an 'Amount Last Provided to CHFA' value for '", C758, "' in cell ", D758, ".", CHAR(10))</f>
        <v xml:space="preserve">Enter an 'Amount Last Provided to CHFA' value for 'New Structures' in cell C13.
</v>
      </c>
      <c r="G758" s="9" t="str">
        <f t="shared" ca="1" si="208"/>
        <v/>
      </c>
    </row>
    <row r="759" spans="1:7" ht="15" customHeight="1">
      <c r="A759" t="str">
        <f ca="1">IF(E759="",F759, "")</f>
        <v/>
      </c>
      <c r="B759" s="52">
        <f>B757+1</f>
        <v>14</v>
      </c>
      <c r="C759" t="str">
        <f ca="1">INDIRECT($F$742 &amp; ADDRESS(B759, 1,4  ))</f>
        <v>Rehabilitation</v>
      </c>
      <c r="D759" t="str">
        <f>ADDRESS(B759, 2,4  )</f>
        <v>B14</v>
      </c>
      <c r="E759">
        <f t="shared" ca="1" si="209"/>
        <v>0</v>
      </c>
      <c r="F759" t="str">
        <f ca="1">CONCATENATE("Enter a value for '", C759, "' in cell ", D759, ".", CHAR(10))</f>
        <v xml:space="preserve">Enter a value for 'Rehabilitation' in cell B14.
</v>
      </c>
      <c r="G759" s="9" t="str">
        <f t="shared" ca="1" si="208"/>
        <v/>
      </c>
    </row>
    <row r="760" spans="1:7" ht="15" customHeight="1">
      <c r="A760" t="str">
        <f ca="1">IF(AND(OR(Calculations!$B$3:$B$4), E760=""), F760, "")</f>
        <v/>
      </c>
      <c r="B760" t="s">
        <v>461</v>
      </c>
      <c r="C760" t="str">
        <f ca="1">INDIRECT($F$742 &amp; ADDRESS(B759, 1,4  ))</f>
        <v>Rehabilitation</v>
      </c>
      <c r="D760" t="str">
        <f>ADDRESS(B759, 3,4  )</f>
        <v>C14</v>
      </c>
      <c r="E760">
        <f t="shared" ca="1" si="209"/>
        <v>0</v>
      </c>
      <c r="F760" t="str">
        <f ca="1">CONCATENATE("Enter an 'Amount Last Provided to CHFA' value for '", C760, "' in cell ", D760, ".", CHAR(10))</f>
        <v xml:space="preserve">Enter an 'Amount Last Provided to CHFA' value for 'Rehabilitation' in cell C14.
</v>
      </c>
      <c r="G760" s="9" t="str">
        <f t="shared" ca="1" si="208"/>
        <v/>
      </c>
    </row>
    <row r="761" spans="1:7" ht="15" customHeight="1">
      <c r="A761" t="str">
        <f ca="1">IF(E761="",F761, "")</f>
        <v/>
      </c>
      <c r="B761" s="52">
        <f>B759+1</f>
        <v>15</v>
      </c>
      <c r="C761" t="str">
        <f ca="1">INDIRECT($F$742 &amp; ADDRESS(B761, 1,4  ))</f>
        <v>Accessory Structures</v>
      </c>
      <c r="D761" t="str">
        <f>ADDRESS(B761, 2,4  )</f>
        <v>B15</v>
      </c>
      <c r="E761">
        <f t="shared" ca="1" si="209"/>
        <v>0</v>
      </c>
      <c r="F761" t="str">
        <f ca="1">CONCATENATE("Enter a value for '", C761, "' in cell ", D761, ".", CHAR(10))</f>
        <v xml:space="preserve">Enter a value for 'Accessory Structures' in cell B15.
</v>
      </c>
      <c r="G761" s="9" t="str">
        <f t="shared" ca="1" si="208"/>
        <v/>
      </c>
    </row>
    <row r="762" spans="1:7" ht="15" customHeight="1">
      <c r="A762" t="str">
        <f ca="1">IF(AND(OR(Calculations!$B$3:$B$4), E762=""), F762, "")</f>
        <v/>
      </c>
      <c r="B762" t="s">
        <v>461</v>
      </c>
      <c r="C762" t="str">
        <f ca="1">INDIRECT($F$742 &amp; ADDRESS(B761, 1,4  ))</f>
        <v>Accessory Structures</v>
      </c>
      <c r="D762" t="str">
        <f>ADDRESS(B761, 3,4  )</f>
        <v>C15</v>
      </c>
      <c r="E762">
        <f t="shared" ca="1" si="209"/>
        <v>0</v>
      </c>
      <c r="F762" t="str">
        <f ca="1">CONCATENATE("Enter an 'Amount Last Provided to CHFA' value for '", C762, "' in cell ", D762, ".", CHAR(10))</f>
        <v xml:space="preserve">Enter an 'Amount Last Provided to CHFA' value for 'Accessory Structures' in cell C15.
</v>
      </c>
      <c r="G762" s="9" t="str">
        <f t="shared" ca="1" si="208"/>
        <v/>
      </c>
    </row>
    <row r="763" spans="1:7" ht="15" customHeight="1">
      <c r="A763" t="str">
        <f ca="1">IF(E763="",F763, "")</f>
        <v/>
      </c>
      <c r="B763" s="52">
        <f>B761+1</f>
        <v>16</v>
      </c>
      <c r="C763" t="str">
        <f ca="1">INDIRECT($F$742 &amp; ADDRESS(B763, 1,4  ))</f>
        <v>General Requirements</v>
      </c>
      <c r="D763" t="str">
        <f>ADDRESS(B763, 2,4  )</f>
        <v>B16</v>
      </c>
      <c r="E763">
        <f t="shared" ca="1" si="209"/>
        <v>0</v>
      </c>
      <c r="F763" t="str">
        <f ca="1">CONCATENATE("Enter a value for '", C763, "' in cell ", D763, ".", CHAR(10))</f>
        <v xml:space="preserve">Enter a value for 'General Requirements' in cell B16.
</v>
      </c>
      <c r="G763" s="9" t="str">
        <f t="shared" ca="1" si="208"/>
        <v/>
      </c>
    </row>
    <row r="764" spans="1:7" ht="15" customHeight="1">
      <c r="A764" t="str">
        <f ca="1">IF(AND(OR(Calculations!$B$3:$B$4), E764=""), F764, "")</f>
        <v/>
      </c>
      <c r="B764" t="s">
        <v>461</v>
      </c>
      <c r="C764" t="str">
        <f ca="1">INDIRECT($F$742 &amp; ADDRESS(B763, 1,4  ))</f>
        <v>General Requirements</v>
      </c>
      <c r="D764" t="str">
        <f>ADDRESS(B763, 3,4  )</f>
        <v>C16</v>
      </c>
      <c r="E764">
        <f t="shared" ca="1" si="209"/>
        <v>0</v>
      </c>
      <c r="F764" t="str">
        <f ca="1">CONCATENATE("Enter an 'Amount Last Provided to CHFA' value for '", C764, "' in cell ", D764, ".", CHAR(10))</f>
        <v xml:space="preserve">Enter an 'Amount Last Provided to CHFA' value for 'General Requirements' in cell C16.
</v>
      </c>
      <c r="G764" s="9" t="str">
        <f t="shared" ca="1" si="208"/>
        <v/>
      </c>
    </row>
    <row r="765" spans="1:7" ht="15" customHeight="1">
      <c r="A765" t="str">
        <f ca="1">IF(E765="",F765, "")</f>
        <v/>
      </c>
      <c r="B765" s="52">
        <f>B763+1</f>
        <v>17</v>
      </c>
      <c r="C765" t="str">
        <f ca="1">INDIRECT($F$742 &amp; ADDRESS(B765, 1,4  ))</f>
        <v>Contractor Overhead</v>
      </c>
      <c r="D765" t="str">
        <f>ADDRESS(B765, 2,4  )</f>
        <v>B17</v>
      </c>
      <c r="E765">
        <f t="shared" ca="1" si="209"/>
        <v>0</v>
      </c>
      <c r="F765" t="str">
        <f ca="1">CONCATENATE("Enter a value for '", C765, "' in cell ", D765, ".", CHAR(10))</f>
        <v xml:space="preserve">Enter a value for 'Contractor Overhead' in cell B17.
</v>
      </c>
      <c r="G765" s="9" t="str">
        <f t="shared" ca="1" si="208"/>
        <v/>
      </c>
    </row>
    <row r="766" spans="1:7" ht="15" customHeight="1">
      <c r="A766" t="str">
        <f ca="1">IF(AND(OR(Calculations!$B$3:$B$4), E766=""), F766, "")</f>
        <v/>
      </c>
      <c r="B766" t="s">
        <v>461</v>
      </c>
      <c r="C766" t="str">
        <f ca="1">INDIRECT($F$742 &amp; ADDRESS(B765, 1,4  ))</f>
        <v>Contractor Overhead</v>
      </c>
      <c r="D766" t="str">
        <f>ADDRESS(B765, 3,4  )</f>
        <v>C17</v>
      </c>
      <c r="E766">
        <f t="shared" ca="1" si="209"/>
        <v>0</v>
      </c>
      <c r="F766" t="str">
        <f ca="1">CONCATENATE("Enter an 'Amount Last Provided to CHFA' value for '", C766, "' in cell ", D766, ".", CHAR(10))</f>
        <v xml:space="preserve">Enter an 'Amount Last Provided to CHFA' value for 'Contractor Overhead' in cell C17.
</v>
      </c>
      <c r="G766" s="9" t="str">
        <f t="shared" ca="1" si="208"/>
        <v/>
      </c>
    </row>
    <row r="767" spans="1:7" ht="15" customHeight="1">
      <c r="A767" t="str">
        <f ca="1">IF(E767="",F767, "")</f>
        <v/>
      </c>
      <c r="B767" s="52">
        <f>B765+1</f>
        <v>18</v>
      </c>
      <c r="C767" t="str">
        <f ca="1">INDIRECT($F$742 &amp; ADDRESS(B767, 1,4  ))</f>
        <v>Contractor Profit</v>
      </c>
      <c r="D767" t="str">
        <f>ADDRESS(B767, 2,4  )</f>
        <v>B18</v>
      </c>
      <c r="E767">
        <f t="shared" ca="1" si="209"/>
        <v>0</v>
      </c>
      <c r="F767" t="str">
        <f ca="1">CONCATENATE("Enter a value for '", C767, "' in cell ", D767, ".", CHAR(10))</f>
        <v xml:space="preserve">Enter a value for 'Contractor Profit' in cell B18.
</v>
      </c>
      <c r="G767" s="9" t="str">
        <f t="shared" ca="1" si="208"/>
        <v/>
      </c>
    </row>
    <row r="768" spans="1:7" ht="15" customHeight="1">
      <c r="A768" t="str">
        <f ca="1">IF(AND(OR(Calculations!$B$3:$B$4), E768=""), F768, "")</f>
        <v/>
      </c>
      <c r="B768" t="s">
        <v>461</v>
      </c>
      <c r="C768" t="str">
        <f ca="1">INDIRECT($F$742 &amp; ADDRESS(B767, 1,4  ))</f>
        <v>Contractor Profit</v>
      </c>
      <c r="D768" t="str">
        <f>ADDRESS(B767, 3,4  )</f>
        <v>C18</v>
      </c>
      <c r="E768">
        <f t="shared" ca="1" si="209"/>
        <v>0</v>
      </c>
      <c r="F768" t="str">
        <f ca="1">CONCATENATE("Enter an 'Amount Last Provided to CHFA' value for '", C768, "' in cell ", D768, ".", CHAR(10))</f>
        <v xml:space="preserve">Enter an 'Amount Last Provided to CHFA' value for 'Contractor Profit' in cell C18.
</v>
      </c>
      <c r="G768" s="9" t="str">
        <f t="shared" ca="1" si="208"/>
        <v/>
      </c>
    </row>
    <row r="769" spans="1:7" ht="15" customHeight="1">
      <c r="A769" t="str">
        <f ca="1">IF(E769="",F769, "")</f>
        <v/>
      </c>
      <c r="B769" s="52">
        <f>B767+1</f>
        <v>19</v>
      </c>
      <c r="C769" t="str">
        <f ca="1">INDIRECT($F$742 &amp; ADDRESS(B769, 1,4  ))</f>
        <v>Construction Contingency</v>
      </c>
      <c r="D769" t="str">
        <f>ADDRESS(B769, 2,4  )</f>
        <v>B19</v>
      </c>
      <c r="E769">
        <f t="shared" ca="1" si="209"/>
        <v>0</v>
      </c>
      <c r="F769" t="str">
        <f ca="1">CONCATENATE("Enter a value for '", C769, "' in cell ", D769, ".", CHAR(10))</f>
        <v xml:space="preserve">Enter a value for 'Construction Contingency' in cell B19.
</v>
      </c>
      <c r="G769" s="9" t="str">
        <f t="shared" ca="1" si="208"/>
        <v/>
      </c>
    </row>
    <row r="770" spans="1:7" ht="15" customHeight="1">
      <c r="A770" t="str">
        <f ca="1">IF(AND(OR(Calculations!$B$3:$B$4), E770=""), F770, "")</f>
        <v/>
      </c>
      <c r="B770" t="s">
        <v>461</v>
      </c>
      <c r="C770" t="str">
        <f ca="1">INDIRECT($F$742 &amp; ADDRESS(B769, 1,4  ))</f>
        <v>Construction Contingency</v>
      </c>
      <c r="D770" t="str">
        <f>ADDRESS(B769, 3,4  )</f>
        <v>C19</v>
      </c>
      <c r="E770">
        <f t="shared" ca="1" si="209"/>
        <v>0</v>
      </c>
      <c r="F770" t="str">
        <f ca="1">CONCATENATE("Enter an 'Amount Last Provided to CHFA' value for '", C770, "' in cell ", D770, ".", CHAR(10))</f>
        <v xml:space="preserve">Enter an 'Amount Last Provided to CHFA' value for 'Construction Contingency' in cell C19.
</v>
      </c>
      <c r="G770" s="9" t="str">
        <f t="shared" ca="1" si="208"/>
        <v/>
      </c>
    </row>
    <row r="771" spans="1:7" ht="15" customHeight="1">
      <c r="A771" t="str">
        <f ca="1">IF(E771="",F771, "")</f>
        <v/>
      </c>
      <c r="B771" s="52">
        <f>B769+1</f>
        <v>20</v>
      </c>
      <c r="C771" t="str">
        <f ca="1">INDIRECT($F$742 &amp; ADDRESS(B771, 1,4  ))</f>
        <v>Building Permits</v>
      </c>
      <c r="D771" t="str">
        <f>ADDRESS(B771, 2,4  )</f>
        <v>B20</v>
      </c>
      <c r="E771">
        <f t="shared" ca="1" si="209"/>
        <v>0</v>
      </c>
      <c r="F771" t="str">
        <f ca="1">CONCATENATE("Enter a value for '", C771, "' in cell ", D771, ".", CHAR(10))</f>
        <v xml:space="preserve">Enter a value for 'Building Permits' in cell B20.
</v>
      </c>
      <c r="G771" s="9" t="str">
        <f t="shared" ca="1" si="208"/>
        <v/>
      </c>
    </row>
    <row r="772" spans="1:7" ht="15" customHeight="1">
      <c r="A772" t="str">
        <f ca="1">IF(AND(OR(Calculations!$B$3:$B$4), E772=""), F772, "")</f>
        <v/>
      </c>
      <c r="B772" t="s">
        <v>461</v>
      </c>
      <c r="C772" t="str">
        <f ca="1">INDIRECT($F$742 &amp; ADDRESS(B771, 1,4  ))</f>
        <v>Building Permits</v>
      </c>
      <c r="D772" t="str">
        <f>ADDRESS(B771, 3,4  )</f>
        <v>C20</v>
      </c>
      <c r="E772">
        <f t="shared" ca="1" si="209"/>
        <v>0</v>
      </c>
      <c r="F772" t="str">
        <f ca="1">CONCATENATE("Enter an 'Amount Last Provided to CHFA' value for '", C772, "' in cell ", D772, ".", CHAR(10))</f>
        <v xml:space="preserve">Enter an 'Amount Last Provided to CHFA' value for 'Building Permits' in cell C20.
</v>
      </c>
      <c r="G772" s="9" t="str">
        <f t="shared" ca="1" si="208"/>
        <v/>
      </c>
    </row>
    <row r="773" spans="1:7" ht="15" customHeight="1">
      <c r="A773" t="str">
        <f ca="1">IF(E773="",F773, "")</f>
        <v/>
      </c>
      <c r="B773" s="52">
        <f>B771+1</f>
        <v>21</v>
      </c>
      <c r="C773" t="str">
        <f ca="1">INDIRECT($F$742 &amp; ADDRESS(B773, 1,4  ))</f>
        <v>Other (Specify)</v>
      </c>
      <c r="D773" t="str">
        <f>ADDRESS(B773, 2,4  )</f>
        <v>B21</v>
      </c>
      <c r="E773">
        <f t="shared" ca="1" si="209"/>
        <v>0</v>
      </c>
      <c r="F773" t="str">
        <f ca="1">CONCATENATE("Enter a value for '", C773, "' in cell ", D773, ".", CHAR(10))</f>
        <v xml:space="preserve">Enter a value for 'Other (Specify)' in cell B21.
</v>
      </c>
      <c r="G773" s="9" t="str">
        <f t="shared" ca="1" si="208"/>
        <v/>
      </c>
    </row>
    <row r="774" spans="1:7" ht="15" customHeight="1">
      <c r="A774" t="str">
        <f ca="1">IF(AND(OR(Calculations!$B$3:$B$4), E774=""), F774, "")</f>
        <v/>
      </c>
      <c r="B774" t="s">
        <v>461</v>
      </c>
      <c r="C774" t="str">
        <f ca="1">INDIRECT($F$742 &amp; ADDRESS(B773, 1,4  ))</f>
        <v>Other (Specify)</v>
      </c>
      <c r="D774" t="str">
        <f>ADDRESS(B773, 3,4  )</f>
        <v>C21</v>
      </c>
      <c r="E774">
        <f t="shared" ca="1" si="209"/>
        <v>0</v>
      </c>
      <c r="F774" t="str">
        <f ca="1">CONCATENATE("Enter an 'Amount Last Provided to CHFA' value for '", C774, "' in cell ", D774, ".", CHAR(10))</f>
        <v xml:space="preserve">Enter an 'Amount Last Provided to CHFA' value for 'Other (Specify)' in cell C21.
</v>
      </c>
      <c r="G774" s="9" t="str">
        <f t="shared" ca="1" si="208"/>
        <v/>
      </c>
    </row>
    <row r="775" spans="1:7" ht="15" customHeight="1">
      <c r="A775" t="str">
        <f ca="1">IF(AND(E775, SUM(E773:E774) &gt; 0), F775, "")</f>
        <v/>
      </c>
      <c r="C775" t="str">
        <f ca="1">INDIRECT($F$742 &amp; ADDRESS(B773, 1,4  ))</f>
        <v>Other (Specify)</v>
      </c>
      <c r="D775" t="str">
        <f>ADDRESS(B773, 1,4  )</f>
        <v>A21</v>
      </c>
      <c r="E775" t="b">
        <f ca="1">INDIRECT($F$742 &amp; D775)="Other (specify)"</f>
        <v>1</v>
      </c>
      <c r="F775" t="str">
        <f ca="1">CONCATENATE("Please specify value for '", C775, "' in cell ", D775, ".", CHAR(10))</f>
        <v xml:space="preserve">Please specify value for 'Other (Specify)' in cell A21.
</v>
      </c>
      <c r="G775" s="9" t="str">
        <f t="shared" ca="1" si="208"/>
        <v/>
      </c>
    </row>
    <row r="776" spans="1:7" ht="15" customHeight="1">
      <c r="A776" t="str">
        <f ca="1">IF(E776="",F776, "")</f>
        <v/>
      </c>
      <c r="B776" s="52">
        <f>B773+1</f>
        <v>22</v>
      </c>
      <c r="C776" t="str">
        <f ca="1">INDIRECT($F$742 &amp; ADDRESS(B776, 1,4  ))</f>
        <v>Other (Specify)</v>
      </c>
      <c r="D776" t="str">
        <f>ADDRESS(B776, 2,4  )</f>
        <v>B22</v>
      </c>
      <c r="E776">
        <f ca="1">IF(ISBLANK( INDIRECT($F$742 &amp; D776)),"", INDIRECT($F$742 &amp; D776))</f>
        <v>0</v>
      </c>
      <c r="F776" t="str">
        <f ca="1">CONCATENATE("Enter a value for '", C776, "' in cell ", D776, ".", CHAR(10))</f>
        <v xml:space="preserve">Enter a value for 'Other (Specify)' in cell B22.
</v>
      </c>
      <c r="G776" s="9" t="str">
        <f t="shared" ca="1" si="208"/>
        <v/>
      </c>
    </row>
    <row r="777" spans="1:7" ht="15" customHeight="1">
      <c r="A777" t="str">
        <f ca="1">IF(AND(OR(Calculations!$B$3:$B$4), E777=""), F777, "")</f>
        <v/>
      </c>
      <c r="B777" t="s">
        <v>461</v>
      </c>
      <c r="C777" t="str">
        <f ca="1">INDIRECT($F$742 &amp; ADDRESS(B776, 1,4  ))</f>
        <v>Other (Specify)</v>
      </c>
      <c r="D777" t="str">
        <f>ADDRESS(B776, 3,4  )</f>
        <v>C22</v>
      </c>
      <c r="E777">
        <f ca="1">IF(ISBLANK( INDIRECT($F$742 &amp; D777)),"", INDIRECT($F$742 &amp; D777))</f>
        <v>0</v>
      </c>
      <c r="F777" t="str">
        <f ca="1">CONCATENATE("Enter an 'Amount Last Provided to CHFA' value for '", C777, "' in cell ", D777, ".", CHAR(10))</f>
        <v xml:space="preserve">Enter an 'Amount Last Provided to CHFA' value for 'Other (Specify)' in cell C22.
</v>
      </c>
      <c r="G777" s="9" t="str">
        <f t="shared" ref="G777:G808" ca="1" si="210">OFFSET(G777, -1, 0) &amp; A777</f>
        <v/>
      </c>
    </row>
    <row r="778" spans="1:7" ht="15" customHeight="1">
      <c r="A778" t="str">
        <f ca="1">IF(AND(E778, SUM(E776:E777) &gt; 0), F778, "")</f>
        <v/>
      </c>
      <c r="C778" t="str">
        <f ca="1">INDIRECT($F$742 &amp; ADDRESS(B776, 1,4  ))</f>
        <v>Other (Specify)</v>
      </c>
      <c r="D778" t="str">
        <f>ADDRESS(B776, 1,4  )</f>
        <v>A22</v>
      </c>
      <c r="E778" t="b">
        <f ca="1">INDIRECT($F$742 &amp; D778)="Other (specify)"</f>
        <v>1</v>
      </c>
      <c r="F778" t="str">
        <f ca="1">CONCATENATE("Please specify value for '", C778, "' in cell ", D778, ".", CHAR(10))</f>
        <v xml:space="preserve">Please specify value for 'Other (Specify)' in cell A22.
</v>
      </c>
      <c r="G778" s="9" t="str">
        <f t="shared" ca="1" si="210"/>
        <v/>
      </c>
    </row>
    <row r="779" spans="1:7" ht="15" customHeight="1">
      <c r="A779" t="str">
        <f ca="1">IF(E779="",F779, "")</f>
        <v/>
      </c>
      <c r="B779" s="52">
        <f>B776+1</f>
        <v>23</v>
      </c>
      <c r="C779" t="str">
        <f ca="1">INDIRECT($F$742 &amp; ADDRESS(B779, 1,4  ))</f>
        <v>Other (Specify)</v>
      </c>
      <c r="D779" t="str">
        <f>ADDRESS(B779, 2,4  )</f>
        <v>B23</v>
      </c>
      <c r="E779">
        <f ca="1">IF(ISBLANK( INDIRECT($F$742 &amp; D779)),"", INDIRECT($F$742 &amp; D779))</f>
        <v>0</v>
      </c>
      <c r="F779" t="str">
        <f ca="1">CONCATENATE("Enter a value for '", C779, "' in cell ", D779, ".", CHAR(10))</f>
        <v xml:space="preserve">Enter a value for 'Other (Specify)' in cell B23.
</v>
      </c>
      <c r="G779" s="9" t="str">
        <f t="shared" ca="1" si="210"/>
        <v/>
      </c>
    </row>
    <row r="780" spans="1:7" ht="15" customHeight="1">
      <c r="A780" t="str">
        <f ca="1">IF(AND(OR(Calculations!$B$3:$B$4), E780=""), F780, "")</f>
        <v/>
      </c>
      <c r="B780" t="s">
        <v>461</v>
      </c>
      <c r="C780" t="str">
        <f ca="1">INDIRECT($F$742 &amp; ADDRESS(B779, 1,4  ))</f>
        <v>Other (Specify)</v>
      </c>
      <c r="D780" t="str">
        <f>ADDRESS(B779, 3,4  )</f>
        <v>C23</v>
      </c>
      <c r="E780">
        <f ca="1">IF(ISBLANK( INDIRECT($F$742 &amp; D780)),"", INDIRECT($F$742 &amp; D780))</f>
        <v>0</v>
      </c>
      <c r="F780" t="str">
        <f ca="1">CONCATENATE("Enter an 'Amount Last Provided to CHFA' value for '", C780, "' in cell ", D780, ".", CHAR(10))</f>
        <v xml:space="preserve">Enter an 'Amount Last Provided to CHFA' value for 'Other (Specify)' in cell C23.
</v>
      </c>
      <c r="G780" s="9" t="str">
        <f t="shared" ca="1" si="210"/>
        <v/>
      </c>
    </row>
    <row r="781" spans="1:7" ht="15" customHeight="1">
      <c r="A781" t="str">
        <f ca="1">IF(AND(E781, SUM(E779:E780) &gt; 0), F781, "")</f>
        <v/>
      </c>
      <c r="C781" t="str">
        <f ca="1">INDIRECT($F$742 &amp; ADDRESS(B779, 1,4  ))</f>
        <v>Other (Specify)</v>
      </c>
      <c r="D781" t="str">
        <f>ADDRESS(B779, 1,4  )</f>
        <v>A23</v>
      </c>
      <c r="E781" t="b">
        <f ca="1">INDIRECT($F$742 &amp; D781)="Other (specify)"</f>
        <v>1</v>
      </c>
      <c r="F781" t="str">
        <f ca="1">CONCATENATE("Please specify value for '", C781, "' in cell ", D781, ".", CHAR(10))</f>
        <v xml:space="preserve">Please specify value for 'Other (Specify)' in cell A23.
</v>
      </c>
      <c r="G781" s="9" t="str">
        <f t="shared" ca="1" si="210"/>
        <v/>
      </c>
    </row>
    <row r="782" spans="1:7" ht="15" customHeight="1">
      <c r="A782" t="str">
        <f ca="1">IF(E782="",F782, "")</f>
        <v/>
      </c>
      <c r="B782">
        <f>ROW('Commercial Budget'!A26)</f>
        <v>26</v>
      </c>
      <c r="C782" t="str">
        <f ca="1">INDIRECT($F$742 &amp; ADDRESS(B782, 1,4  ))</f>
        <v>Architect, Design</v>
      </c>
      <c r="D782" t="str">
        <f>ADDRESS(B782, 2,4  )</f>
        <v>B26</v>
      </c>
      <c r="E782">
        <f t="shared" ref="E782:E793" ca="1" si="211">IF(ISBLANK( INDIRECT($F$742 &amp; D782)),"", INDIRECT($F$742 &amp; D782))</f>
        <v>0</v>
      </c>
      <c r="F782" t="str">
        <f ca="1">CONCATENATE("Enter a value for '", C782, "' in cell ", D782, ".", CHAR(10))</f>
        <v xml:space="preserve">Enter a value for 'Architect, Design' in cell B26.
</v>
      </c>
      <c r="G782" s="9" t="str">
        <f t="shared" ca="1" si="210"/>
        <v/>
      </c>
    </row>
    <row r="783" spans="1:7" ht="15" customHeight="1">
      <c r="A783" t="str">
        <f ca="1">IF(AND(OR(Calculations!$B$3:$B$4), E783=""), F783, "")</f>
        <v/>
      </c>
      <c r="B783" t="s">
        <v>461</v>
      </c>
      <c r="C783" t="str">
        <f ca="1">INDIRECT($F$742 &amp; ADDRESS(B782, 1,4  ))</f>
        <v>Architect, Design</v>
      </c>
      <c r="D783" t="str">
        <f>ADDRESS(B782, 3,4  )</f>
        <v>C26</v>
      </c>
      <c r="E783">
        <f t="shared" ca="1" si="211"/>
        <v>0</v>
      </c>
      <c r="F783" t="str">
        <f ca="1">CONCATENATE("Enter an 'Amount Last Provided to CHFA' value for '", C783, "' in cell ", D783, ".", CHAR(10))</f>
        <v xml:space="preserve">Enter an 'Amount Last Provided to CHFA' value for 'Architect, Design' in cell C26.
</v>
      </c>
      <c r="G783" s="9" t="str">
        <f t="shared" ca="1" si="210"/>
        <v/>
      </c>
    </row>
    <row r="784" spans="1:7" ht="15" customHeight="1">
      <c r="A784" t="str">
        <f ca="1">IF(E784="",F784, "")</f>
        <v/>
      </c>
      <c r="B784" s="52">
        <f>B782+1</f>
        <v>27</v>
      </c>
      <c r="C784" t="str">
        <f ca="1">INDIRECT($F$742 &amp; ADDRESS(B784, 1,4  ))</f>
        <v>Architect, Supervision</v>
      </c>
      <c r="D784" t="str">
        <f>ADDRESS(B784, 2,4  )</f>
        <v>B27</v>
      </c>
      <c r="E784">
        <f t="shared" ca="1" si="211"/>
        <v>0</v>
      </c>
      <c r="F784" t="str">
        <f ca="1">CONCATENATE("Enter a value for '", C784, "' in cell ", D784, ".", CHAR(10))</f>
        <v xml:space="preserve">Enter a value for 'Architect, Supervision' in cell B27.
</v>
      </c>
      <c r="G784" s="9" t="str">
        <f t="shared" ca="1" si="210"/>
        <v/>
      </c>
    </row>
    <row r="785" spans="1:7" ht="15" customHeight="1">
      <c r="A785" t="str">
        <f ca="1">IF(AND(OR(Calculations!$B$3:$B$4), E785=""), F785, "")</f>
        <v/>
      </c>
      <c r="B785" t="s">
        <v>461</v>
      </c>
      <c r="C785" t="str">
        <f ca="1">INDIRECT($F$742 &amp; ADDRESS(B784, 1,4  ))</f>
        <v>Architect, Supervision</v>
      </c>
      <c r="D785" t="str">
        <f>ADDRESS(B784, 3,4  )</f>
        <v>C27</v>
      </c>
      <c r="E785">
        <f t="shared" ca="1" si="211"/>
        <v>0</v>
      </c>
      <c r="F785" t="str">
        <f ca="1">CONCATENATE("Enter an 'Amount Last Provided to CHFA' value for '", C785, "' in cell ", D785, ".", CHAR(10))</f>
        <v xml:space="preserve">Enter an 'Amount Last Provided to CHFA' value for 'Architect, Supervision' in cell C27.
</v>
      </c>
      <c r="G785" s="9" t="str">
        <f t="shared" ca="1" si="210"/>
        <v/>
      </c>
    </row>
    <row r="786" spans="1:7" ht="15" customHeight="1">
      <c r="A786" t="str">
        <f ca="1">IF(E786="",F786, "")</f>
        <v/>
      </c>
      <c r="B786" s="52">
        <f>B784+1</f>
        <v>28</v>
      </c>
      <c r="C786" t="str">
        <f ca="1">INDIRECT($F$742 &amp; ADDRESS(B786, 1,4  ))</f>
        <v>Attorney, Real Estate</v>
      </c>
      <c r="D786" t="str">
        <f>ADDRESS(B786, 2,4  )</f>
        <v>B28</v>
      </c>
      <c r="E786">
        <f t="shared" ca="1" si="211"/>
        <v>0</v>
      </c>
      <c r="F786" t="str">
        <f ca="1">CONCATENATE("Enter a value for '", C786, "' in cell ", D786, ".", CHAR(10))</f>
        <v xml:space="preserve">Enter a value for 'Attorney, Real Estate' in cell B28.
</v>
      </c>
      <c r="G786" s="9" t="str">
        <f t="shared" ca="1" si="210"/>
        <v/>
      </c>
    </row>
    <row r="787" spans="1:7" ht="15" customHeight="1">
      <c r="A787" t="str">
        <f ca="1">IF(AND(OR(Calculations!$B$3:$B$4), E787=""), F787, "")</f>
        <v/>
      </c>
      <c r="B787" t="s">
        <v>461</v>
      </c>
      <c r="C787" t="str">
        <f ca="1">INDIRECT($F$742 &amp; ADDRESS(B786, 1,4  ))</f>
        <v>Attorney, Real Estate</v>
      </c>
      <c r="D787" t="str">
        <f>ADDRESS(B786, 3,4  )</f>
        <v>C28</v>
      </c>
      <c r="E787">
        <f t="shared" ca="1" si="211"/>
        <v>0</v>
      </c>
      <c r="F787" t="str">
        <f ca="1">CONCATENATE("Enter an 'Amount Last Provided to CHFA' value for '", C787, "' in cell ", D787, ".", CHAR(10))</f>
        <v xml:space="preserve">Enter an 'Amount Last Provided to CHFA' value for 'Attorney, Real Estate' in cell C28.
</v>
      </c>
      <c r="G787" s="9" t="str">
        <f t="shared" ca="1" si="210"/>
        <v/>
      </c>
    </row>
    <row r="788" spans="1:7" ht="15" customHeight="1">
      <c r="A788" t="str">
        <f ca="1">IF(E788="",F788, "")</f>
        <v/>
      </c>
      <c r="B788" s="52">
        <f>B786+1</f>
        <v>29</v>
      </c>
      <c r="C788" t="str">
        <f ca="1">INDIRECT($F$742 &amp; ADDRESS(B788, 1,4  ))</f>
        <v>Consultant/agent</v>
      </c>
      <c r="D788" t="str">
        <f>ADDRESS(B788, 2,4  )</f>
        <v>B29</v>
      </c>
      <c r="E788">
        <f t="shared" ca="1" si="211"/>
        <v>0</v>
      </c>
      <c r="F788" t="str">
        <f ca="1">CONCATENATE("Enter a value for '", C788, "' in cell ", D788, ".", CHAR(10))</f>
        <v xml:space="preserve">Enter a value for 'Consultant/agent' in cell B29.
</v>
      </c>
      <c r="G788" s="9" t="str">
        <f t="shared" ca="1" si="210"/>
        <v/>
      </c>
    </row>
    <row r="789" spans="1:7" ht="15" customHeight="1">
      <c r="A789" t="str">
        <f ca="1">IF(AND(OR(Calculations!$B$3:$B$4), E789=""), F789, "")</f>
        <v/>
      </c>
      <c r="B789" t="s">
        <v>461</v>
      </c>
      <c r="C789" t="str">
        <f ca="1">INDIRECT($F$742 &amp; ADDRESS(B788, 1,4  ))</f>
        <v>Consultant/agent</v>
      </c>
      <c r="D789" t="str">
        <f>ADDRESS(B788, 3,4  )</f>
        <v>C29</v>
      </c>
      <c r="E789">
        <f t="shared" ca="1" si="211"/>
        <v>0</v>
      </c>
      <c r="F789" t="str">
        <f ca="1">CONCATENATE("Enter an 'Amount Last Provided to CHFA' value for '", C789, "' in cell ", D789, ".", CHAR(10))</f>
        <v xml:space="preserve">Enter an 'Amount Last Provided to CHFA' value for 'Consultant/agent' in cell C29.
</v>
      </c>
      <c r="G789" s="9" t="str">
        <f t="shared" ca="1" si="210"/>
        <v/>
      </c>
    </row>
    <row r="790" spans="1:7" ht="15" customHeight="1">
      <c r="A790" t="str">
        <f ca="1">IF(E790="",F790, "")</f>
        <v/>
      </c>
      <c r="B790" s="52">
        <f>B788+1</f>
        <v>30</v>
      </c>
      <c r="C790" t="str">
        <f ca="1">INDIRECT($F$742 &amp; ADDRESS(B790, 1,4  ))</f>
        <v>Engineer/Surveyor</v>
      </c>
      <c r="D790" t="str">
        <f>ADDRESS(B790, 2,4  )</f>
        <v>B30</v>
      </c>
      <c r="E790">
        <f t="shared" ca="1" si="211"/>
        <v>0</v>
      </c>
      <c r="F790" t="str">
        <f ca="1">CONCATENATE("Enter a value for '", C790, "' in cell ", D790, ".", CHAR(10))</f>
        <v xml:space="preserve">Enter a value for 'Engineer/Surveyor' in cell B30.
</v>
      </c>
      <c r="G790" s="9" t="str">
        <f t="shared" ca="1" si="210"/>
        <v/>
      </c>
    </row>
    <row r="791" spans="1:7" ht="15" customHeight="1">
      <c r="A791" t="str">
        <f ca="1">IF(AND(OR(Calculations!$B$3:$B$4), E791=""), F791, "")</f>
        <v/>
      </c>
      <c r="B791" t="s">
        <v>461</v>
      </c>
      <c r="C791" t="str">
        <f ca="1">INDIRECT($F$742 &amp; ADDRESS(B790, 1,4  ))</f>
        <v>Engineer/Surveyor</v>
      </c>
      <c r="D791" t="str">
        <f>ADDRESS(B790, 3,4  )</f>
        <v>C30</v>
      </c>
      <c r="E791">
        <f t="shared" ca="1" si="211"/>
        <v>0</v>
      </c>
      <c r="F791" t="str">
        <f ca="1">CONCATENATE("Enter an 'Amount Last Provided to CHFA' value for '", C791, "' in cell ", D791, ".", CHAR(10))</f>
        <v xml:space="preserve">Enter an 'Amount Last Provided to CHFA' value for 'Engineer/Surveyor' in cell C30.
</v>
      </c>
      <c r="G791" s="9" t="str">
        <f t="shared" ca="1" si="210"/>
        <v/>
      </c>
    </row>
    <row r="792" spans="1:7" ht="15" customHeight="1">
      <c r="A792" t="str">
        <f ca="1">IF(E792="",F792, "")</f>
        <v/>
      </c>
      <c r="B792" s="52">
        <f>B790+1</f>
        <v>31</v>
      </c>
      <c r="C792" t="str">
        <f ca="1">INDIRECT($F$742 &amp; ADDRESS(B792, 1,4  ))</f>
        <v>Other (Specify)</v>
      </c>
      <c r="D792" t="str">
        <f>ADDRESS(B792, 2,4  )</f>
        <v>B31</v>
      </c>
      <c r="E792">
        <f t="shared" ca="1" si="211"/>
        <v>0</v>
      </c>
      <c r="F792" t="str">
        <f ca="1">CONCATENATE("Enter a value for '", C792, "' in cell ", D792, ".", CHAR(10))</f>
        <v xml:space="preserve">Enter a value for 'Other (Specify)' in cell B31.
</v>
      </c>
      <c r="G792" s="9" t="str">
        <f t="shared" ca="1" si="210"/>
        <v/>
      </c>
    </row>
    <row r="793" spans="1:7" ht="15" customHeight="1">
      <c r="A793" t="str">
        <f ca="1">IF(AND(OR(Calculations!$B$3:$B$4), E793=""), F793, "")</f>
        <v/>
      </c>
      <c r="B793" t="s">
        <v>461</v>
      </c>
      <c r="C793" t="str">
        <f ca="1">INDIRECT($F$742 &amp; ADDRESS(B792, 1,4  ))</f>
        <v>Other (Specify)</v>
      </c>
      <c r="D793" t="str">
        <f>ADDRESS(B792, 3,4  )</f>
        <v>C31</v>
      </c>
      <c r="E793">
        <f t="shared" ca="1" si="211"/>
        <v>0</v>
      </c>
      <c r="F793" t="str">
        <f ca="1">CONCATENATE("Enter an 'Amount Last Provided to CHFA' value for '", C793, "' in cell ", D793, ".", CHAR(10))</f>
        <v xml:space="preserve">Enter an 'Amount Last Provided to CHFA' value for 'Other (Specify)' in cell C31.
</v>
      </c>
      <c r="G793" s="9" t="str">
        <f t="shared" ca="1" si="210"/>
        <v/>
      </c>
    </row>
    <row r="794" spans="1:7" ht="15" customHeight="1">
      <c r="A794" t="str">
        <f ca="1">IF(AND(E794, SUM(E792:E793) &gt; 0), F794, "")</f>
        <v/>
      </c>
      <c r="C794" t="str">
        <f ca="1">INDIRECT($F$742 &amp; ADDRESS(B792, 1,4  ))</f>
        <v>Other (Specify)</v>
      </c>
      <c r="D794" t="str">
        <f>ADDRESS(B792, 1,4  )</f>
        <v>A31</v>
      </c>
      <c r="E794" t="b">
        <f ca="1">INDIRECT($F$742 &amp; D794)="Other (specify)"</f>
        <v>1</v>
      </c>
      <c r="F794" t="str">
        <f ca="1">CONCATENATE("Please specify value for '", C794, "' in cell ", D794, ".", CHAR(10))</f>
        <v xml:space="preserve">Please specify value for 'Other (Specify)' in cell A31.
</v>
      </c>
      <c r="G794" s="9" t="str">
        <f t="shared" ca="1" si="210"/>
        <v/>
      </c>
    </row>
    <row r="795" spans="1:7" ht="15" customHeight="1">
      <c r="A795" t="str">
        <f ca="1">IF(E795="",F795, "")</f>
        <v/>
      </c>
      <c r="B795" s="52">
        <f>B792+1</f>
        <v>32</v>
      </c>
      <c r="C795" t="str">
        <f ca="1">INDIRECT($F$742 &amp; ADDRESS(B795, 1,4  ))</f>
        <v>Other (Specify)</v>
      </c>
      <c r="D795" t="str">
        <f>ADDRESS(B795, 2,4  )</f>
        <v>B32</v>
      </c>
      <c r="E795">
        <f ca="1">IF(ISBLANK( INDIRECT($F$742 &amp; D795)),"", INDIRECT($F$742 &amp; D795))</f>
        <v>0</v>
      </c>
      <c r="F795" t="str">
        <f ca="1">CONCATENATE("Enter a value for '", C795, "' in cell ", D795, ".", CHAR(10))</f>
        <v xml:space="preserve">Enter a value for 'Other (Specify)' in cell B32.
</v>
      </c>
      <c r="G795" s="9" t="str">
        <f t="shared" ca="1" si="210"/>
        <v/>
      </c>
    </row>
    <row r="796" spans="1:7" ht="15" customHeight="1">
      <c r="A796" t="str">
        <f ca="1">IF(AND(OR(Calculations!$B$3:$B$4), E796=""), F796, "")</f>
        <v/>
      </c>
      <c r="B796" t="s">
        <v>461</v>
      </c>
      <c r="C796" t="str">
        <f ca="1">INDIRECT($F$742 &amp; ADDRESS(B795, 1,4  ))</f>
        <v>Other (Specify)</v>
      </c>
      <c r="D796" t="str">
        <f>ADDRESS(B795, 3,4  )</f>
        <v>C32</v>
      </c>
      <c r="E796">
        <f ca="1">IF(ISBLANK( INDIRECT($F$742 &amp; D796)),"", INDIRECT($F$742 &amp; D796))</f>
        <v>0</v>
      </c>
      <c r="F796" t="str">
        <f ca="1">CONCATENATE("Enter an 'Amount Last Provided to CHFA' value for '", C796, "' in cell ", D796, ".", CHAR(10))</f>
        <v xml:space="preserve">Enter an 'Amount Last Provided to CHFA' value for 'Other (Specify)' in cell C32.
</v>
      </c>
      <c r="G796" s="9" t="str">
        <f t="shared" ca="1" si="210"/>
        <v/>
      </c>
    </row>
    <row r="797" spans="1:7" ht="15" customHeight="1">
      <c r="A797" t="str">
        <f ca="1">IF(AND(E797, SUM(E795:E796) &gt; 0), F797, "")</f>
        <v/>
      </c>
      <c r="C797" t="str">
        <f ca="1">INDIRECT($F$742 &amp; ADDRESS(B795, 1,4  ))</f>
        <v>Other (Specify)</v>
      </c>
      <c r="D797" t="str">
        <f>ADDRESS(B795, 1,4  )</f>
        <v>A32</v>
      </c>
      <c r="E797" t="b">
        <f ca="1">INDIRECT($F$742 &amp; D797)="Other (specify)"</f>
        <v>1</v>
      </c>
      <c r="F797" t="str">
        <f ca="1">CONCATENATE("Please specify value for '", C797, "' in cell ", D797, ".", CHAR(10))</f>
        <v xml:space="preserve">Please specify value for 'Other (Specify)' in cell A32.
</v>
      </c>
      <c r="G797" s="9" t="str">
        <f t="shared" ca="1" si="210"/>
        <v/>
      </c>
    </row>
    <row r="798" spans="1:7" ht="15" customHeight="1">
      <c r="A798" t="str">
        <f ca="1">IF(E798="",F798, "")</f>
        <v/>
      </c>
      <c r="B798" s="52">
        <f>B795+1</f>
        <v>33</v>
      </c>
      <c r="C798" t="str">
        <f ca="1">INDIRECT($F$742 &amp; ADDRESS(B798, 1,4  ))</f>
        <v>Other-Accounting</v>
      </c>
      <c r="D798" t="str">
        <f>ADDRESS(B798, 2,4  )</f>
        <v>B33</v>
      </c>
      <c r="E798">
        <f t="shared" ref="E798:E825" ca="1" si="212">IF(ISBLANK( INDIRECT($F$742 &amp; D798)),"", INDIRECT($F$742 &amp; D798))</f>
        <v>0</v>
      </c>
      <c r="F798" t="str">
        <f ca="1">CONCATENATE("Enter a value for '", C798, "' in cell ", D798, ".", CHAR(10))</f>
        <v xml:space="preserve">Enter a value for 'Other-Accounting' in cell B33.
</v>
      </c>
      <c r="G798" s="9" t="str">
        <f t="shared" ca="1" si="210"/>
        <v/>
      </c>
    </row>
    <row r="799" spans="1:7" ht="15" customHeight="1">
      <c r="A799" t="str">
        <f ca="1">IF(AND(OR(Calculations!$B$3:$B$4), E799=""), F799, "")</f>
        <v/>
      </c>
      <c r="B799" t="s">
        <v>461</v>
      </c>
      <c r="C799" t="str">
        <f ca="1">INDIRECT($F$742 &amp; ADDRESS(B798, 1,4  ))</f>
        <v>Other-Accounting</v>
      </c>
      <c r="D799" t="str">
        <f>ADDRESS(B798, 3,4  )</f>
        <v>C33</v>
      </c>
      <c r="E799">
        <f t="shared" ca="1" si="212"/>
        <v>0</v>
      </c>
      <c r="F799" t="str">
        <f ca="1">CONCATENATE("Enter an 'Amount Last Provided to CHFA' value for '", C799, "' in cell ", D799, ".", CHAR(10))</f>
        <v xml:space="preserve">Enter an 'Amount Last Provided to CHFA' value for 'Other-Accounting' in cell C33.
</v>
      </c>
      <c r="G799" s="9" t="str">
        <f t="shared" ca="1" si="210"/>
        <v/>
      </c>
    </row>
    <row r="800" spans="1:7" ht="15" customHeight="1">
      <c r="A800" t="str">
        <f ca="1">IF(E800="",F800, "")</f>
        <v/>
      </c>
      <c r="B800">
        <f>ROW('Commercial Budget'!A36)</f>
        <v>36</v>
      </c>
      <c r="C800" t="str">
        <f ca="1">INDIRECT($F$742 &amp; ADDRESS(B800, 1,4  ))</f>
        <v>Hazard &amp; Liability Insurance</v>
      </c>
      <c r="D800" t="str">
        <f>ADDRESS(B800, 2,4  )</f>
        <v>B36</v>
      </c>
      <c r="E800">
        <f t="shared" ca="1" si="212"/>
        <v>0</v>
      </c>
      <c r="F800" t="str">
        <f ca="1">CONCATENATE("Enter a value for '", C800, "' in cell ", D800, ".", CHAR(10))</f>
        <v xml:space="preserve">Enter a value for 'Hazard &amp; Liability Insurance' in cell B36.
</v>
      </c>
      <c r="G800" s="9" t="str">
        <f t="shared" ca="1" si="210"/>
        <v/>
      </c>
    </row>
    <row r="801" spans="1:7" ht="15" customHeight="1">
      <c r="A801" t="str">
        <f ca="1">IF(AND(OR(Calculations!$B$3:$B$4), E801=""), F801, "")</f>
        <v/>
      </c>
      <c r="B801" t="s">
        <v>461</v>
      </c>
      <c r="C801" t="str">
        <f ca="1">INDIRECT($F$742 &amp; ADDRESS(B800, 1,4  ))</f>
        <v>Hazard &amp; Liability Insurance</v>
      </c>
      <c r="D801" t="str">
        <f>ADDRESS(B800, 3,4  )</f>
        <v>C36</v>
      </c>
      <c r="E801">
        <f t="shared" ca="1" si="212"/>
        <v>0</v>
      </c>
      <c r="F801" t="str">
        <f ca="1">CONCATENATE("Enter an 'Amount Last Provided to CHFA' value for '", C801, "' in cell ", D801, ".", CHAR(10))</f>
        <v xml:space="preserve">Enter an 'Amount Last Provided to CHFA' value for 'Hazard &amp; Liability Insurance' in cell C36.
</v>
      </c>
      <c r="G801" s="9" t="str">
        <f t="shared" ca="1" si="210"/>
        <v/>
      </c>
    </row>
    <row r="802" spans="1:7" ht="15" customHeight="1">
      <c r="A802" t="str">
        <f ca="1">IF(E802="",F802, "")</f>
        <v/>
      </c>
      <c r="B802" s="52">
        <f>B800+1</f>
        <v>37</v>
      </c>
      <c r="C802" t="str">
        <f ca="1">INDIRECT($F$742 &amp; ADDRESS(B802, 1,4  ))</f>
        <v>Builder's Risk Insurance</v>
      </c>
      <c r="D802" t="str">
        <f>ADDRESS(B802, 2,4  )</f>
        <v>B37</v>
      </c>
      <c r="E802">
        <f t="shared" ca="1" si="212"/>
        <v>0</v>
      </c>
      <c r="F802" t="str">
        <f ca="1">CONCATENATE("Enter a value for '", C802, "' in cell ", D802, ".", CHAR(10))</f>
        <v xml:space="preserve">Enter a value for 'Builder's Risk Insurance' in cell B37.
</v>
      </c>
      <c r="G802" s="9" t="str">
        <f t="shared" ca="1" si="210"/>
        <v/>
      </c>
    </row>
    <row r="803" spans="1:7" ht="15" customHeight="1">
      <c r="A803" t="str">
        <f ca="1">IF(AND(OR(Calculations!$B$3:$B$4), E803=""), F803, "")</f>
        <v/>
      </c>
      <c r="B803" t="s">
        <v>461</v>
      </c>
      <c r="C803" t="str">
        <f ca="1">INDIRECT($F$742 &amp; ADDRESS(B802, 1,4  ))</f>
        <v>Builder's Risk Insurance</v>
      </c>
      <c r="D803" t="str">
        <f>ADDRESS(B802, 3,4  )</f>
        <v>C37</v>
      </c>
      <c r="E803">
        <f t="shared" ca="1" si="212"/>
        <v>0</v>
      </c>
      <c r="F803" t="str">
        <f ca="1">CONCATENATE("Enter an 'Amount Last Provided to CHFA' value for '", C803, "' in cell ", D803, ".", CHAR(10))</f>
        <v xml:space="preserve">Enter an 'Amount Last Provided to CHFA' value for 'Builder's Risk Insurance' in cell C37.
</v>
      </c>
      <c r="G803" s="9" t="str">
        <f t="shared" ca="1" si="210"/>
        <v/>
      </c>
    </row>
    <row r="804" spans="1:7" ht="15" customHeight="1">
      <c r="A804" t="str">
        <f ca="1">IF(E804="",F804, "")</f>
        <v/>
      </c>
      <c r="B804" s="52">
        <f>B802+1</f>
        <v>38</v>
      </c>
      <c r="C804" t="str">
        <f ca="1">INDIRECT($F$742 &amp; ADDRESS(B804, 1,4  ))</f>
        <v>Perform. &amp; Pymt Bonds</v>
      </c>
      <c r="D804" t="str">
        <f>ADDRESS(B804, 2,4  )</f>
        <v>B38</v>
      </c>
      <c r="E804">
        <f t="shared" ca="1" si="212"/>
        <v>0</v>
      </c>
      <c r="F804" t="str">
        <f ca="1">CONCATENATE("Enter a value for '", C804, "' in cell ", D804, ".", CHAR(10))</f>
        <v xml:space="preserve">Enter a value for 'Perform. &amp; Pymt Bonds' in cell B38.
</v>
      </c>
      <c r="G804" s="9" t="str">
        <f t="shared" ca="1" si="210"/>
        <v/>
      </c>
    </row>
    <row r="805" spans="1:7" ht="15" customHeight="1">
      <c r="A805" t="str">
        <f ca="1">IF(AND(OR(Calculations!$B$3:$B$4), E805=""), F805, "")</f>
        <v/>
      </c>
      <c r="B805" t="s">
        <v>461</v>
      </c>
      <c r="C805" t="str">
        <f ca="1">INDIRECT($F$742 &amp; ADDRESS(B804, 1,4  ))</f>
        <v>Perform. &amp; Pymt Bonds</v>
      </c>
      <c r="D805" t="str">
        <f>ADDRESS(B804, 3,4  )</f>
        <v>C38</v>
      </c>
      <c r="E805">
        <f t="shared" ca="1" si="212"/>
        <v>0</v>
      </c>
      <c r="F805" t="str">
        <f ca="1">CONCATENATE("Enter an 'Amount Last Provided to CHFA' value for '", C805, "' in cell ", D805, ".", CHAR(10))</f>
        <v xml:space="preserve">Enter an 'Amount Last Provided to CHFA' value for 'Perform. &amp; Pymt Bonds' in cell C38.
</v>
      </c>
      <c r="G805" s="9" t="str">
        <f t="shared" ca="1" si="210"/>
        <v/>
      </c>
    </row>
    <row r="806" spans="1:7" ht="15" customHeight="1">
      <c r="A806" t="str">
        <f ca="1">IF(E806="",F806, "")</f>
        <v/>
      </c>
      <c r="B806" s="52">
        <f>B804+1</f>
        <v>39</v>
      </c>
      <c r="C806" t="str">
        <f ca="1">INDIRECT($F$742 &amp; ADDRESS(B806, 1,4  ))</f>
        <v>Credit Report</v>
      </c>
      <c r="D806" t="str">
        <f>ADDRESS(B806, 2,4  )</f>
        <v>B39</v>
      </c>
      <c r="E806">
        <f t="shared" ca="1" si="212"/>
        <v>0</v>
      </c>
      <c r="F806" t="str">
        <f ca="1">CONCATENATE("Enter a value for '", C806, "' in cell ", D806, ".", CHAR(10))</f>
        <v xml:space="preserve">Enter a value for 'Credit Report' in cell B39.
</v>
      </c>
      <c r="G806" s="9" t="str">
        <f t="shared" ca="1" si="210"/>
        <v/>
      </c>
    </row>
    <row r="807" spans="1:7" ht="15" customHeight="1">
      <c r="A807" t="str">
        <f ca="1">IF(AND(OR(Calculations!$B$3:$B$4), E807=""), F807, "")</f>
        <v/>
      </c>
      <c r="B807" t="s">
        <v>461</v>
      </c>
      <c r="C807" t="str">
        <f ca="1">INDIRECT($F$742 &amp; ADDRESS(B806, 1,4  ))</f>
        <v>Credit Report</v>
      </c>
      <c r="D807" t="str">
        <f>ADDRESS(B806, 3,4  )</f>
        <v>C39</v>
      </c>
      <c r="E807">
        <f t="shared" ca="1" si="212"/>
        <v>0</v>
      </c>
      <c r="F807" t="str">
        <f ca="1">CONCATENATE("Enter an 'Amount Last Provided to CHFA' value for '", C807, "' in cell ", D807, ".", CHAR(10))</f>
        <v xml:space="preserve">Enter an 'Amount Last Provided to CHFA' value for 'Credit Report' in cell C39.
</v>
      </c>
      <c r="G807" s="9" t="str">
        <f t="shared" ca="1" si="210"/>
        <v/>
      </c>
    </row>
    <row r="808" spans="1:7" ht="15" customHeight="1">
      <c r="A808" t="str">
        <f ca="1">IF(E808="",F808, "")</f>
        <v/>
      </c>
      <c r="B808" s="52">
        <f>B806+1</f>
        <v>40</v>
      </c>
      <c r="C808" t="str">
        <f ca="1">INDIRECT($F$742 &amp; ADDRESS(B808, 1,4  ))</f>
        <v>Construction Interest</v>
      </c>
      <c r="D808" t="str">
        <f>ADDRESS(B808, 2,4  )</f>
        <v>B40</v>
      </c>
      <c r="E808">
        <f t="shared" ca="1" si="212"/>
        <v>0</v>
      </c>
      <c r="F808" t="str">
        <f ca="1">CONCATENATE("Enter a value for '", C808, "' in cell ", D808, ".", CHAR(10))</f>
        <v xml:space="preserve">Enter a value for 'Construction Interest' in cell B40.
</v>
      </c>
      <c r="G808" s="9" t="str">
        <f t="shared" ca="1" si="210"/>
        <v/>
      </c>
    </row>
    <row r="809" spans="1:7" ht="15" customHeight="1">
      <c r="A809" t="str">
        <f ca="1">IF(AND(OR(Calculations!$B$3:$B$4), E809=""), F809, "")</f>
        <v/>
      </c>
      <c r="B809" t="s">
        <v>461</v>
      </c>
      <c r="C809" t="str">
        <f ca="1">INDIRECT($F$742 &amp; ADDRESS(B808, 1,4  ))</f>
        <v>Construction Interest</v>
      </c>
      <c r="D809" t="str">
        <f>ADDRESS(B808, 3,4  )</f>
        <v>C40</v>
      </c>
      <c r="E809">
        <f t="shared" ca="1" si="212"/>
        <v>0</v>
      </c>
      <c r="F809" t="str">
        <f ca="1">CONCATENATE("Enter an 'Amount Last Provided to CHFA' value for '", C809, "' in cell ", D809, ".", CHAR(10))</f>
        <v xml:space="preserve">Enter an 'Amount Last Provided to CHFA' value for 'Construction Interest' in cell C40.
</v>
      </c>
      <c r="G809" s="9" t="str">
        <f t="shared" ref="G809:G841" ca="1" si="213">OFFSET(G809, -1, 0) &amp; A809</f>
        <v/>
      </c>
    </row>
    <row r="810" spans="1:7" ht="15" customHeight="1">
      <c r="A810" t="str">
        <f ca="1">IF(E810="",F810, "")</f>
        <v/>
      </c>
      <c r="B810" s="52">
        <f>B808+1</f>
        <v>41</v>
      </c>
      <c r="C810" t="str">
        <f ca="1">INDIRECT($F$742 &amp; ADDRESS(B810, 1,4  ))</f>
        <v>Constr. Origination Fees</v>
      </c>
      <c r="D810" t="str">
        <f>ADDRESS(B810, 2,4  )</f>
        <v>B41</v>
      </c>
      <c r="E810">
        <f t="shared" ca="1" si="212"/>
        <v>0</v>
      </c>
      <c r="F810" t="str">
        <f ca="1">CONCATENATE("Enter a value for '", C810, "' in cell ", D810, ".", CHAR(10))</f>
        <v xml:space="preserve">Enter a value for 'Constr. Origination Fees' in cell B41.
</v>
      </c>
      <c r="G810" s="9" t="str">
        <f t="shared" ca="1" si="213"/>
        <v/>
      </c>
    </row>
    <row r="811" spans="1:7" ht="15" customHeight="1">
      <c r="A811" t="str">
        <f ca="1">IF(AND(OR(Calculations!$B$3:$B$4), E811=""), F811, "")</f>
        <v/>
      </c>
      <c r="B811" t="s">
        <v>461</v>
      </c>
      <c r="C811" t="str">
        <f ca="1">INDIRECT($F$742 &amp; ADDRESS(B810, 1,4  ))</f>
        <v>Constr. Origination Fees</v>
      </c>
      <c r="D811" t="str">
        <f>ADDRESS(B810, 3,4  )</f>
        <v>C41</v>
      </c>
      <c r="E811">
        <f t="shared" ca="1" si="212"/>
        <v>0</v>
      </c>
      <c r="F811" t="str">
        <f ca="1">CONCATENATE("Enter an 'Amount Last Provided to CHFA' value for '", C811, "' in cell ", D811, ".", CHAR(10))</f>
        <v xml:space="preserve">Enter an 'Amount Last Provided to CHFA' value for 'Constr. Origination Fees' in cell C41.
</v>
      </c>
      <c r="G811" s="9" t="str">
        <f t="shared" ca="1" si="213"/>
        <v/>
      </c>
    </row>
    <row r="812" spans="1:7" ht="15" customHeight="1">
      <c r="A812" t="str">
        <f ca="1">IF(E812="",F812, "")</f>
        <v/>
      </c>
      <c r="B812" s="52">
        <f>B810+1</f>
        <v>42</v>
      </c>
      <c r="C812" t="str">
        <f ca="1">INDIRECT($F$742 &amp; ADDRESS(B812, 1,4  ))</f>
        <v>Tap Fees (Water/Sewer)</v>
      </c>
      <c r="D812" t="str">
        <f>ADDRESS(B812, 2,4  )</f>
        <v>B42</v>
      </c>
      <c r="E812">
        <f t="shared" ca="1" si="212"/>
        <v>0</v>
      </c>
      <c r="F812" t="str">
        <f ca="1">CONCATENATE("Enter a value for '", C812, "' in cell ", D812, ".", CHAR(10))</f>
        <v xml:space="preserve">Enter a value for 'Tap Fees (Water/Sewer)' in cell B42.
</v>
      </c>
      <c r="G812" s="9" t="str">
        <f t="shared" ca="1" si="213"/>
        <v/>
      </c>
    </row>
    <row r="813" spans="1:7" ht="15" customHeight="1">
      <c r="A813" t="str">
        <f ca="1">IF(AND(OR(Calculations!$B$3:$B$4), E813=""), F813, "")</f>
        <v/>
      </c>
      <c r="B813" t="s">
        <v>461</v>
      </c>
      <c r="C813" t="str">
        <f ca="1">INDIRECT($F$742 &amp; ADDRESS(B812, 1,4  ))</f>
        <v>Tap Fees (Water/Sewer)</v>
      </c>
      <c r="D813" t="str">
        <f>ADDRESS(B812, 3,4  )</f>
        <v>C42</v>
      </c>
      <c r="E813">
        <f t="shared" ca="1" si="212"/>
        <v>0</v>
      </c>
      <c r="F813" t="str">
        <f ca="1">CONCATENATE("Enter an 'Amount Last Provided to CHFA' value for '", C813, "' in cell ", D813, ".", CHAR(10))</f>
        <v xml:space="preserve">Enter an 'Amount Last Provided to CHFA' value for 'Tap Fees (Water/Sewer)' in cell C42.
</v>
      </c>
      <c r="G813" s="9" t="str">
        <f t="shared" ca="1" si="213"/>
        <v/>
      </c>
    </row>
    <row r="814" spans="1:7" ht="15" customHeight="1">
      <c r="A814" t="str">
        <f ca="1">IF(E814="",F814, "")</f>
        <v/>
      </c>
      <c r="B814" s="52">
        <f>B812+1</f>
        <v>43</v>
      </c>
      <c r="C814" t="str">
        <f ca="1">INDIRECT($F$742 &amp; ADDRESS(B814, 1,4  ))</f>
        <v>Bond Cost of Issuance</v>
      </c>
      <c r="D814" t="str">
        <f>ADDRESS(B814, 2,4  )</f>
        <v>B43</v>
      </c>
      <c r="E814">
        <f t="shared" ca="1" si="212"/>
        <v>0</v>
      </c>
      <c r="F814" t="str">
        <f ca="1">CONCATENATE("Enter a value for '", C814, "' in cell ", D814, ".", CHAR(10))</f>
        <v xml:space="preserve">Enter a value for 'Bond Cost of Issuance' in cell B43.
</v>
      </c>
      <c r="G814" s="9" t="str">
        <f t="shared" ca="1" si="213"/>
        <v/>
      </c>
    </row>
    <row r="815" spans="1:7" ht="15" customHeight="1">
      <c r="A815" t="str">
        <f ca="1">IF(AND(OR(Calculations!$B$3:$B$4), E815=""), F815, "")</f>
        <v/>
      </c>
      <c r="B815" t="s">
        <v>461</v>
      </c>
      <c r="C815" t="str">
        <f ca="1">INDIRECT($F$742 &amp; ADDRESS(B814, 1,4  ))</f>
        <v>Bond Cost of Issuance</v>
      </c>
      <c r="D815" t="str">
        <f>ADDRESS(B814, 3,4  )</f>
        <v>C43</v>
      </c>
      <c r="E815">
        <f t="shared" ca="1" si="212"/>
        <v>0</v>
      </c>
      <c r="F815" t="str">
        <f ca="1">CONCATENATE("Enter an 'Amount Last Provided to CHFA' value for '", C815, "' in cell ", D815, ".", CHAR(10))</f>
        <v xml:space="preserve">Enter an 'Amount Last Provided to CHFA' value for 'Bond Cost of Issuance' in cell C43.
</v>
      </c>
      <c r="G815" s="9" t="str">
        <f t="shared" ca="1" si="213"/>
        <v/>
      </c>
    </row>
    <row r="816" spans="1:7" ht="15" customHeight="1">
      <c r="A816" t="str">
        <f ca="1">IF(E816="",F816, "")</f>
        <v/>
      </c>
      <c r="B816" s="52">
        <f>B814+1</f>
        <v>44</v>
      </c>
      <c r="C816" t="str">
        <f ca="1">INDIRECT($F$742 &amp; ADDRESS(B816, 1,4  ))</f>
        <v>Impact Fees</v>
      </c>
      <c r="D816" t="str">
        <f>ADDRESS(B816, 2,4  )</f>
        <v>B44</v>
      </c>
      <c r="E816">
        <f t="shared" ca="1" si="212"/>
        <v>0</v>
      </c>
      <c r="F816" t="str">
        <f ca="1">CONCATENATE("Enter a value for '", C816, "' in cell ", D816, ".", CHAR(10))</f>
        <v xml:space="preserve">Enter a value for 'Impact Fees' in cell B44.
</v>
      </c>
      <c r="G816" s="9" t="str">
        <f t="shared" ca="1" si="213"/>
        <v/>
      </c>
    </row>
    <row r="817" spans="1:7" ht="15" customHeight="1">
      <c r="A817" t="str">
        <f ca="1">IF(AND(OR(Calculations!$B$3:$B$4), E817=""), F817, "")</f>
        <v/>
      </c>
      <c r="B817" t="s">
        <v>461</v>
      </c>
      <c r="C817" t="str">
        <f ca="1">INDIRECT($F$742 &amp; ADDRESS(B816, 1,4  ))</f>
        <v>Impact Fees</v>
      </c>
      <c r="D817" t="str">
        <f>ADDRESS(B816, 3,4  )</f>
        <v>C44</v>
      </c>
      <c r="E817">
        <f t="shared" ca="1" si="212"/>
        <v>0</v>
      </c>
      <c r="F817" t="str">
        <f ca="1">CONCATENATE("Enter an 'Amount Last Provided to CHFA' value for '", C817, "' in cell ", D817, ".", CHAR(10))</f>
        <v xml:space="preserve">Enter an 'Amount Last Provided to CHFA' value for 'Impact Fees' in cell C44.
</v>
      </c>
      <c r="G817" s="9" t="str">
        <f t="shared" ca="1" si="213"/>
        <v/>
      </c>
    </row>
    <row r="818" spans="1:7" ht="15" customHeight="1">
      <c r="A818" t="str">
        <f ca="1">IF(E818="",F818, "")</f>
        <v/>
      </c>
      <c r="B818" s="52">
        <f>B816+1</f>
        <v>45</v>
      </c>
      <c r="C818" t="str">
        <f ca="1">INDIRECT($F$742 &amp; ADDRESS(B818, 1,4  ))</f>
        <v>Title &amp; Recording</v>
      </c>
      <c r="D818" t="str">
        <f>ADDRESS(B818, 2,4  )</f>
        <v>B45</v>
      </c>
      <c r="E818">
        <f t="shared" ca="1" si="212"/>
        <v>0</v>
      </c>
      <c r="F818" t="str">
        <f ca="1">CONCATENATE("Enter a value for '", C818, "' in cell ", D818, ".", CHAR(10))</f>
        <v xml:space="preserve">Enter a value for 'Title &amp; Recording' in cell B45.
</v>
      </c>
      <c r="G818" s="9" t="str">
        <f t="shared" ca="1" si="213"/>
        <v/>
      </c>
    </row>
    <row r="819" spans="1:7" ht="15" customHeight="1">
      <c r="A819" t="str">
        <f ca="1">IF(AND(OR(Calculations!$B$3:$B$4), E819=""), F819, "")</f>
        <v/>
      </c>
      <c r="B819" t="s">
        <v>461</v>
      </c>
      <c r="C819" t="str">
        <f ca="1">INDIRECT($F$742 &amp; ADDRESS(B818, 1,4  ))</f>
        <v>Title &amp; Recording</v>
      </c>
      <c r="D819" t="str">
        <f>ADDRESS(B818, 3,4  )</f>
        <v>C45</v>
      </c>
      <c r="E819">
        <f t="shared" ca="1" si="212"/>
        <v>0</v>
      </c>
      <c r="F819" t="str">
        <f ca="1">CONCATENATE("Enter an 'Amount Last Provided to CHFA' value for '", C819, "' in cell ", D819, ".", CHAR(10))</f>
        <v xml:space="preserve">Enter an 'Amount Last Provided to CHFA' value for 'Title &amp; Recording' in cell C45.
</v>
      </c>
      <c r="G819" s="9" t="str">
        <f t="shared" ca="1" si="213"/>
        <v/>
      </c>
    </row>
    <row r="820" spans="1:7" ht="15" customHeight="1">
      <c r="A820" t="str">
        <f ca="1">IF(E820="",F820, "")</f>
        <v/>
      </c>
      <c r="B820" s="52">
        <f>B818+1</f>
        <v>46</v>
      </c>
      <c r="C820" t="str">
        <f ca="1">INDIRECT($F$742 &amp; ADDRESS(B820, 1,4  ))</f>
        <v>Legal Fees</v>
      </c>
      <c r="D820" t="str">
        <f>ADDRESS(B820, 2,4  )</f>
        <v>B46</v>
      </c>
      <c r="E820">
        <f t="shared" ca="1" si="212"/>
        <v>0</v>
      </c>
      <c r="F820" t="str">
        <f ca="1">CONCATENATE("Enter a value for '", C820, "' in cell ", D820, ".", CHAR(10))</f>
        <v xml:space="preserve">Enter a value for 'Legal Fees' in cell B46.
</v>
      </c>
      <c r="G820" s="9" t="str">
        <f t="shared" ca="1" si="213"/>
        <v/>
      </c>
    </row>
    <row r="821" spans="1:7" ht="15" customHeight="1">
      <c r="A821" t="str">
        <f ca="1">IF(AND(OR(Calculations!$B$3:$B$4), E821=""), F821, "")</f>
        <v/>
      </c>
      <c r="B821" t="s">
        <v>461</v>
      </c>
      <c r="C821" t="str">
        <f ca="1">INDIRECT($F$742 &amp; ADDRESS(B820, 1,4  ))</f>
        <v>Legal Fees</v>
      </c>
      <c r="D821" t="str">
        <f>ADDRESS(B820, 3,4  )</f>
        <v>C46</v>
      </c>
      <c r="E821">
        <f t="shared" ca="1" si="212"/>
        <v>0</v>
      </c>
      <c r="F821" t="str">
        <f ca="1">CONCATENATE("Enter an 'Amount Last Provided to CHFA' value for '", C821, "' in cell ", D821, ".", CHAR(10))</f>
        <v xml:space="preserve">Enter an 'Amount Last Provided to CHFA' value for 'Legal Fees' in cell C46.
</v>
      </c>
      <c r="G821" s="9" t="str">
        <f t="shared" ca="1" si="213"/>
        <v/>
      </c>
    </row>
    <row r="822" spans="1:7" ht="15" customHeight="1">
      <c r="A822" t="str">
        <f ca="1">IF(E822="",F822, "")</f>
        <v/>
      </c>
      <c r="B822" s="52">
        <f>B820+1</f>
        <v>47</v>
      </c>
      <c r="C822" t="str">
        <f ca="1">INDIRECT($F$742 &amp; ADDRESS(B822, 1,4  ))</f>
        <v>Prop. Taxes during const</v>
      </c>
      <c r="D822" t="str">
        <f>ADDRESS(B822, 2,4  )</f>
        <v>B47</v>
      </c>
      <c r="E822">
        <f t="shared" ca="1" si="212"/>
        <v>0</v>
      </c>
      <c r="F822" t="str">
        <f ca="1">CONCATENATE("Enter a value for '", C822, "' in cell ", D822, ".", CHAR(10))</f>
        <v xml:space="preserve">Enter a value for 'Prop. Taxes during const' in cell B47.
</v>
      </c>
      <c r="G822" s="9" t="str">
        <f t="shared" ca="1" si="213"/>
        <v/>
      </c>
    </row>
    <row r="823" spans="1:7" ht="15" customHeight="1">
      <c r="A823" t="str">
        <f ca="1">IF(AND(OR(Calculations!$B$3:$B$4), E823=""), F823, "")</f>
        <v/>
      </c>
      <c r="B823" t="s">
        <v>461</v>
      </c>
      <c r="C823" t="str">
        <f ca="1">INDIRECT($F$742 &amp; ADDRESS(B822, 1,4  ))</f>
        <v>Prop. Taxes during const</v>
      </c>
      <c r="D823" t="str">
        <f>ADDRESS(B822, 3,4  )</f>
        <v>C47</v>
      </c>
      <c r="E823">
        <f t="shared" ca="1" si="212"/>
        <v>0</v>
      </c>
      <c r="F823" t="str">
        <f ca="1">CONCATENATE("Enter an 'Amount Last Provided to CHFA' value for '", C823, "' in cell ", D823, ".", CHAR(10))</f>
        <v xml:space="preserve">Enter an 'Amount Last Provided to CHFA' value for 'Prop. Taxes during const' in cell C47.
</v>
      </c>
      <c r="G823" s="9" t="str">
        <f t="shared" ca="1" si="213"/>
        <v/>
      </c>
    </row>
    <row r="824" spans="1:7" ht="15" customHeight="1">
      <c r="A824" t="str">
        <f ca="1">IF(E824="",F824, "")</f>
        <v/>
      </c>
      <c r="B824" s="52">
        <f>B822+1</f>
        <v>48</v>
      </c>
      <c r="C824" t="str">
        <f ca="1">INDIRECT($F$742 &amp; ADDRESS(B824, 1,4  ))</f>
        <v>Other (Specify)</v>
      </c>
      <c r="D824" t="str">
        <f>ADDRESS(B824, 2,4  )</f>
        <v>B48</v>
      </c>
      <c r="E824">
        <f t="shared" ca="1" si="212"/>
        <v>0</v>
      </c>
      <c r="F824" t="str">
        <f ca="1">CONCATENATE("Enter a value for '", C824, "' in cell ", D824, ".", CHAR(10))</f>
        <v xml:space="preserve">Enter a value for 'Other (Specify)' in cell B48.
</v>
      </c>
      <c r="G824" s="9" t="str">
        <f t="shared" ca="1" si="213"/>
        <v/>
      </c>
    </row>
    <row r="825" spans="1:7" ht="15" customHeight="1">
      <c r="A825" t="str">
        <f ca="1">IF(AND(OR(Calculations!$B$3:$B$4), E825=""), F825, "")</f>
        <v/>
      </c>
      <c r="B825" t="s">
        <v>461</v>
      </c>
      <c r="C825" t="str">
        <f ca="1">INDIRECT($F$742 &amp; ADDRESS(B824, 1,4  ))</f>
        <v>Other (Specify)</v>
      </c>
      <c r="D825" t="str">
        <f>ADDRESS(B824, 3,4  )</f>
        <v>C48</v>
      </c>
      <c r="E825">
        <f t="shared" ca="1" si="212"/>
        <v>0</v>
      </c>
      <c r="F825" t="str">
        <f ca="1">CONCATENATE("Enter an 'Amount Last Provided to CHFA' value for '", C825, "' in cell ", D825, ".", CHAR(10))</f>
        <v xml:space="preserve">Enter an 'Amount Last Provided to CHFA' value for 'Other (Specify)' in cell C48.
</v>
      </c>
      <c r="G825" s="9" t="str">
        <f t="shared" ca="1" si="213"/>
        <v/>
      </c>
    </row>
    <row r="826" spans="1:7" ht="15" customHeight="1">
      <c r="A826" t="str">
        <f ca="1">IF(AND(E826, SUM(E824:E825) &gt; 0), F826, "")</f>
        <v/>
      </c>
      <c r="C826" t="str">
        <f ca="1">INDIRECT($F$742 &amp; ADDRESS(B824, 1,4  ))</f>
        <v>Other (Specify)</v>
      </c>
      <c r="D826" t="str">
        <f>ADDRESS(B824, 1,4  )</f>
        <v>A48</v>
      </c>
      <c r="E826" t="b">
        <f ca="1">INDIRECT($F$742 &amp; D826)="Other (specify)"</f>
        <v>1</v>
      </c>
      <c r="F826" t="str">
        <f ca="1">CONCATENATE("Please specify value for '", C826, "' in cell ", D826, ".", CHAR(10))</f>
        <v xml:space="preserve">Please specify value for 'Other (Specify)' in cell A48.
</v>
      </c>
      <c r="G826" s="9" t="str">
        <f t="shared" ca="1" si="213"/>
        <v/>
      </c>
    </row>
    <row r="827" spans="1:7" ht="15" customHeight="1">
      <c r="A827" t="str">
        <f ca="1">IF(E827="",F827, "")</f>
        <v/>
      </c>
      <c r="B827" s="52">
        <f>B824+1</f>
        <v>49</v>
      </c>
      <c r="C827" t="str">
        <f ca="1">INDIRECT($F$742 &amp; ADDRESS(B827, 1,4  ))</f>
        <v>Other (Specify)</v>
      </c>
      <c r="D827" t="str">
        <f>ADDRESS(B827, 2,4  )</f>
        <v>B49</v>
      </c>
      <c r="E827">
        <f ca="1">IF(ISBLANK( INDIRECT($F$742 &amp; D827)),"", INDIRECT($F$742 &amp; D827))</f>
        <v>0</v>
      </c>
      <c r="F827" t="str">
        <f ca="1">CONCATENATE("Enter a value for '", C827, "' in cell ", D827, ".", CHAR(10))</f>
        <v xml:space="preserve">Enter a value for 'Other (Specify)' in cell B49.
</v>
      </c>
      <c r="G827" s="9" t="str">
        <f t="shared" ca="1" si="213"/>
        <v/>
      </c>
    </row>
    <row r="828" spans="1:7" ht="15" customHeight="1">
      <c r="A828" t="str">
        <f ca="1">IF(AND(OR(Calculations!$B$3:$B$4), E828=""), F828, "")</f>
        <v/>
      </c>
      <c r="B828" t="s">
        <v>461</v>
      </c>
      <c r="C828" t="str">
        <f ca="1">INDIRECT($F$742 &amp; ADDRESS(B827, 1,4  ))</f>
        <v>Other (Specify)</v>
      </c>
      <c r="D828" t="str">
        <f>ADDRESS(B827, 3,4  )</f>
        <v>C49</v>
      </c>
      <c r="E828">
        <f ca="1">IF(ISBLANK( INDIRECT($F$742 &amp; D828)),"", INDIRECT($F$742 &amp; D828))</f>
        <v>0</v>
      </c>
      <c r="F828" t="str">
        <f ca="1">CONCATENATE("Enter an 'Amount Last Provided to CHFA' value for '", C828, "' in cell ", D828, ".", CHAR(10))</f>
        <v xml:space="preserve">Enter an 'Amount Last Provided to CHFA' value for 'Other (Specify)' in cell C49.
</v>
      </c>
      <c r="G828" s="9" t="str">
        <f t="shared" ca="1" si="213"/>
        <v/>
      </c>
    </row>
    <row r="829" spans="1:7" ht="15" customHeight="1">
      <c r="A829" t="str">
        <f ca="1">IF(AND(E829, SUM(E827:E828) &gt; 0), F829, "")</f>
        <v/>
      </c>
      <c r="C829" t="str">
        <f ca="1">INDIRECT($F$742 &amp; ADDRESS(B827, 1,4  ))</f>
        <v>Other (Specify)</v>
      </c>
      <c r="D829" t="str">
        <f>ADDRESS(B827, 1,4  )</f>
        <v>A49</v>
      </c>
      <c r="E829" t="b">
        <f ca="1">INDIRECT($F$742 &amp; D829)="Other (specify)"</f>
        <v>1</v>
      </c>
      <c r="F829" t="str">
        <f ca="1">CONCATENATE("Please specify value for '", C829, "' in cell ", D829, ".", CHAR(10))</f>
        <v xml:space="preserve">Please specify value for 'Other (Specify)' in cell A49.
</v>
      </c>
      <c r="G829" s="9" t="str">
        <f t="shared" ca="1" si="213"/>
        <v/>
      </c>
    </row>
    <row r="830" spans="1:7" ht="15" customHeight="1">
      <c r="A830" t="str">
        <f ca="1">IF(E830="",F830, "")</f>
        <v/>
      </c>
      <c r="B830" s="52">
        <f>B827+1</f>
        <v>50</v>
      </c>
      <c r="C830" t="str">
        <f ca="1">INDIRECT($F$742 &amp; ADDRESS(B830, 1,4  ))</f>
        <v>Other (Specify)</v>
      </c>
      <c r="D830" t="str">
        <f>ADDRESS(B830, 2,4  )</f>
        <v>B50</v>
      </c>
      <c r="E830">
        <f t="shared" ref="E830:E850" ca="1" si="214">IF(ISBLANK( INDIRECT($F$742 &amp; D830)),"", INDIRECT($F$742 &amp; D830))</f>
        <v>0</v>
      </c>
      <c r="F830" t="str">
        <f ca="1">CONCATENATE("Enter a value for '", C830, "' in cell ", D830, ".", CHAR(10))</f>
        <v xml:space="preserve">Enter a value for 'Other (Specify)' in cell B50.
</v>
      </c>
      <c r="G830" s="9" t="str">
        <f t="shared" ca="1" si="213"/>
        <v/>
      </c>
    </row>
    <row r="831" spans="1:7" ht="15" customHeight="1">
      <c r="A831" t="str">
        <f ca="1">IF(AND(OR(Calculations!$B$3:$B$4), E831=""), F831, "")</f>
        <v/>
      </c>
      <c r="B831" t="s">
        <v>461</v>
      </c>
      <c r="C831" t="str">
        <f ca="1">INDIRECT($F$742 &amp; ADDRESS(B830, 1,4  ))</f>
        <v>Other (Specify)</v>
      </c>
      <c r="D831" t="str">
        <f>ADDRESS(B830, 3,4  )</f>
        <v>C50</v>
      </c>
      <c r="E831">
        <f t="shared" ca="1" si="214"/>
        <v>0</v>
      </c>
      <c r="F831" t="str">
        <f ca="1">CONCATENATE("Enter an 'Amount Last Provided to CHFA' value for '", C831, "' in cell ", D831, ".", CHAR(10))</f>
        <v xml:space="preserve">Enter an 'Amount Last Provided to CHFA' value for 'Other (Specify)' in cell C50.
</v>
      </c>
      <c r="G831" s="9" t="str">
        <f t="shared" ca="1" si="213"/>
        <v/>
      </c>
    </row>
    <row r="832" spans="1:7" ht="15" customHeight="1">
      <c r="A832" t="str">
        <f ca="1">IF(AND(E832, SUM(E830:E831) &gt; 0), F832, "")</f>
        <v/>
      </c>
      <c r="C832" t="str">
        <f ca="1">INDIRECT($F$742 &amp; ADDRESS(B830, 1,4  ))</f>
        <v>Other (Specify)</v>
      </c>
      <c r="D832" t="str">
        <f>ADDRESS(B830, 1,4  )</f>
        <v>A50</v>
      </c>
      <c r="E832" t="b">
        <f ca="1">INDIRECT($F$742 &amp; D832)="Other (specify)"</f>
        <v>1</v>
      </c>
      <c r="F832" t="str">
        <f ca="1">CONCATENATE("Please specify value for '", C832, "' in cell ", D832, ".", CHAR(10))</f>
        <v xml:space="preserve">Please specify value for 'Other (Specify)' in cell A50.
</v>
      </c>
      <c r="G832" s="9" t="str">
        <f t="shared" ca="1" si="213"/>
        <v/>
      </c>
    </row>
    <row r="833" spans="1:7" ht="15" customHeight="1">
      <c r="A833" t="str">
        <f ca="1">IF(E833="",F833, "")</f>
        <v/>
      </c>
      <c r="B833">
        <f>ROW('Commercial Budget'!A53)</f>
        <v>53</v>
      </c>
      <c r="C833" t="str">
        <f ca="1">INDIRECT($F$742 &amp; ADDRESS(B833, 1,4  ))</f>
        <v>Bond Premium</v>
      </c>
      <c r="D833" t="str">
        <f>ADDRESS(B833, 2,4  )</f>
        <v>B53</v>
      </c>
      <c r="E833">
        <f t="shared" ca="1" si="214"/>
        <v>0</v>
      </c>
      <c r="F833" t="str">
        <f ca="1">CONCATENATE("Enter a value for '", C833, "' in cell ", D833, ".", CHAR(10))</f>
        <v xml:space="preserve">Enter a value for 'Bond Premium' in cell B53.
</v>
      </c>
      <c r="G833" s="9" t="str">
        <f t="shared" ca="1" si="213"/>
        <v/>
      </c>
    </row>
    <row r="834" spans="1:7" ht="15" customHeight="1">
      <c r="A834" t="str">
        <f ca="1">IF(AND(OR(Calculations!$B$3:$B$4), E834=""), F834, "")</f>
        <v/>
      </c>
      <c r="B834" t="s">
        <v>461</v>
      </c>
      <c r="C834" t="str">
        <f ca="1">INDIRECT($F$742 &amp; ADDRESS(B833, 1,4  ))</f>
        <v>Bond Premium</v>
      </c>
      <c r="D834" t="str">
        <f>ADDRESS(B833, 3,4  )</f>
        <v>C53</v>
      </c>
      <c r="E834">
        <f t="shared" ca="1" si="214"/>
        <v>0</v>
      </c>
      <c r="F834" t="str">
        <f ca="1">CONCATENATE("Enter an 'Amount Last Provided to CHFA' value for '", C834, "' in cell ", D834, ".", CHAR(10))</f>
        <v xml:space="preserve">Enter an 'Amount Last Provided to CHFA' value for 'Bond Premium' in cell C53.
</v>
      </c>
      <c r="G834" s="9" t="str">
        <f t="shared" ca="1" si="213"/>
        <v/>
      </c>
    </row>
    <row r="835" spans="1:7" ht="15" customHeight="1">
      <c r="A835" t="str">
        <f ca="1">IF(E835="",F835, "")</f>
        <v/>
      </c>
      <c r="B835" s="52">
        <f>B833+1</f>
        <v>54</v>
      </c>
      <c r="C835" t="str">
        <f ca="1">INDIRECT($F$742 &amp; ADDRESS(B835, 1,4  ))</f>
        <v>Bond Issue 30-day lag reserve</v>
      </c>
      <c r="D835" t="str">
        <f>ADDRESS(B835, 2,4  )</f>
        <v>B54</v>
      </c>
      <c r="E835">
        <f t="shared" ca="1" si="214"/>
        <v>0</v>
      </c>
      <c r="F835" t="str">
        <f ca="1">CONCATENATE("Enter a value for '", C835, "' in cell ", D835, ".", CHAR(10))</f>
        <v xml:space="preserve">Enter a value for 'Bond Issue 30-day lag reserve' in cell B54.
</v>
      </c>
      <c r="G835" s="9" t="str">
        <f t="shared" ca="1" si="213"/>
        <v/>
      </c>
    </row>
    <row r="836" spans="1:7" ht="15" customHeight="1">
      <c r="A836" t="str">
        <f ca="1">IF(AND(OR(Calculations!$B$3:$B$4), E836=""), F836, "")</f>
        <v/>
      </c>
      <c r="B836" t="s">
        <v>461</v>
      </c>
      <c r="C836" t="str">
        <f ca="1">INDIRECT($F$742 &amp; ADDRESS(B835, 1,4  ))</f>
        <v>Bond Issue 30-day lag reserve</v>
      </c>
      <c r="D836" t="str">
        <f>ADDRESS(B835, 3,4  )</f>
        <v>C54</v>
      </c>
      <c r="E836">
        <f t="shared" ca="1" si="214"/>
        <v>0</v>
      </c>
      <c r="F836" t="str">
        <f ca="1">CONCATENATE("Enter an 'Amount Last Provided to CHFA' value for '", C836, "' in cell ", D836, ".", CHAR(10))</f>
        <v xml:space="preserve">Enter an 'Amount Last Provided to CHFA' value for 'Bond Issue 30-day lag reserve' in cell C54.
</v>
      </c>
      <c r="G836" s="9" t="str">
        <f t="shared" ca="1" si="213"/>
        <v/>
      </c>
    </row>
    <row r="837" spans="1:7" ht="15" customHeight="1">
      <c r="A837" t="str">
        <f ca="1">IF(E837="",F837, "")</f>
        <v/>
      </c>
      <c r="B837" s="52">
        <f>B835+1</f>
        <v>55</v>
      </c>
      <c r="C837" t="str">
        <f ca="1">INDIRECT($F$742 &amp; ADDRESS(B837, 1,4  ))</f>
        <v>Discount Points</v>
      </c>
      <c r="D837" t="str">
        <f>ADDRESS(B837, 2,4  )</f>
        <v>B55</v>
      </c>
      <c r="E837">
        <f t="shared" ca="1" si="214"/>
        <v>0</v>
      </c>
      <c r="F837" t="str">
        <f ca="1">CONCATENATE("Enter a value for '", C837, "' in cell ", D837, ".", CHAR(10))</f>
        <v xml:space="preserve">Enter a value for 'Discount Points' in cell B55.
</v>
      </c>
      <c r="G837" s="9" t="str">
        <f t="shared" ca="1" si="213"/>
        <v/>
      </c>
    </row>
    <row r="838" spans="1:7" ht="15" customHeight="1">
      <c r="A838" t="str">
        <f ca="1">IF(AND(OR(Calculations!$B$3:$B$4), E838=""), F838, "")</f>
        <v/>
      </c>
      <c r="B838" t="s">
        <v>461</v>
      </c>
      <c r="C838" t="str">
        <f ca="1">INDIRECT($F$742 &amp; ADDRESS(B837, 1,4  ))</f>
        <v>Discount Points</v>
      </c>
      <c r="D838" t="str">
        <f>ADDRESS(B837, 3,4  )</f>
        <v>C55</v>
      </c>
      <c r="E838">
        <f t="shared" ca="1" si="214"/>
        <v>0</v>
      </c>
      <c r="F838" t="str">
        <f ca="1">CONCATENATE("Enter an 'Amount Last Provided to CHFA' value for '", C838, "' in cell ", D838, ".", CHAR(10))</f>
        <v xml:space="preserve">Enter an 'Amount Last Provided to CHFA' value for 'Discount Points' in cell C55.
</v>
      </c>
      <c r="G838" s="9" t="str">
        <f t="shared" ca="1" si="213"/>
        <v/>
      </c>
    </row>
    <row r="839" spans="1:7" ht="15" customHeight="1">
      <c r="A839" t="str">
        <f ca="1">IF(E839="",F839, "")</f>
        <v/>
      </c>
      <c r="B839" s="52">
        <f>B837+1</f>
        <v>56</v>
      </c>
      <c r="C839" t="str">
        <f ca="1">INDIRECT($F$742 &amp; ADDRESS(B839, 1,4  ))</f>
        <v>Perm Loan Origination</v>
      </c>
      <c r="D839" t="str">
        <f>ADDRESS(B839, 2,4  )</f>
        <v>B56</v>
      </c>
      <c r="E839">
        <f t="shared" ca="1" si="214"/>
        <v>0</v>
      </c>
      <c r="F839" t="str">
        <f ca="1">CONCATENATE("Enter a value for '", C839, "' in cell ", D839, ".", CHAR(10))</f>
        <v xml:space="preserve">Enter a value for 'Perm Loan Origination' in cell B56.
</v>
      </c>
      <c r="G839" s="9" t="str">
        <f t="shared" ca="1" si="213"/>
        <v/>
      </c>
    </row>
    <row r="840" spans="1:7" ht="15" customHeight="1">
      <c r="A840" t="str">
        <f ca="1">IF(AND(OR(Calculations!$B$3:$B$4), E840=""), F840, "")</f>
        <v/>
      </c>
      <c r="B840" t="s">
        <v>461</v>
      </c>
      <c r="C840" t="str">
        <f ca="1">INDIRECT($F$742 &amp; ADDRESS(B839, 1,4  ))</f>
        <v>Perm Loan Origination</v>
      </c>
      <c r="D840" t="str">
        <f>ADDRESS(B839, 3,4  )</f>
        <v>C56</v>
      </c>
      <c r="E840">
        <f t="shared" ca="1" si="214"/>
        <v>0</v>
      </c>
      <c r="F840" t="str">
        <f ca="1">CONCATENATE("Enter an 'Amount Last Provided to CHFA' value for '", C840, "' in cell ", D840, ".", CHAR(10))</f>
        <v xml:space="preserve">Enter an 'Amount Last Provided to CHFA' value for 'Perm Loan Origination' in cell C56.
</v>
      </c>
      <c r="G840" s="9" t="str">
        <f t="shared" ca="1" si="213"/>
        <v/>
      </c>
    </row>
    <row r="841" spans="1:7" ht="15" customHeight="1">
      <c r="A841" t="str">
        <f ca="1">IF(E841="",F841, "")</f>
        <v/>
      </c>
      <c r="B841" s="52">
        <f>B839+1</f>
        <v>57</v>
      </c>
      <c r="C841" t="str">
        <f ca="1">INDIRECT($F$742 &amp; ADDRESS(B841, 1,4  ))</f>
        <v>Credit Enhancement</v>
      </c>
      <c r="D841" t="str">
        <f>ADDRESS(B841, 2,4  )</f>
        <v>B57</v>
      </c>
      <c r="E841">
        <f t="shared" ca="1" si="214"/>
        <v>0</v>
      </c>
      <c r="F841" t="str">
        <f ca="1">CONCATENATE("Enter a value for '", C841, "' in cell ", D841, ".", CHAR(10))</f>
        <v xml:space="preserve">Enter a value for 'Credit Enhancement' in cell B57.
</v>
      </c>
      <c r="G841" s="9" t="str">
        <f t="shared" ca="1" si="213"/>
        <v/>
      </c>
    </row>
    <row r="842" spans="1:7" ht="15" customHeight="1">
      <c r="A842" t="str">
        <f ca="1">IF(AND(OR(Calculations!$B$3:$B$4), E842=""), F842, "")</f>
        <v/>
      </c>
      <c r="B842" t="s">
        <v>461</v>
      </c>
      <c r="C842" t="str">
        <f ca="1">INDIRECT($F$742 &amp; ADDRESS(B841, 1,4  ))</f>
        <v>Credit Enhancement</v>
      </c>
      <c r="D842" t="str">
        <f>ADDRESS(B841, 3,4  )</f>
        <v>C57</v>
      </c>
      <c r="E842">
        <f t="shared" ca="1" si="214"/>
        <v>0</v>
      </c>
      <c r="F842" t="str">
        <f ca="1">CONCATENATE("Enter an 'Amount Last Provided to CHFA' value for '", C842, "' in cell ", D842, ".", CHAR(10))</f>
        <v xml:space="preserve">Enter an 'Amount Last Provided to CHFA' value for 'Credit Enhancement' in cell C57.
</v>
      </c>
      <c r="G842" s="9" t="str">
        <f t="shared" ref="G842:G874" ca="1" si="215">OFFSET(G842, -1, 0) &amp; A842</f>
        <v/>
      </c>
    </row>
    <row r="843" spans="1:7" ht="15" customHeight="1">
      <c r="A843" t="str">
        <f ca="1">IF(E843="",F843, "")</f>
        <v/>
      </c>
      <c r="B843" s="52">
        <f>B841+1</f>
        <v>58</v>
      </c>
      <c r="C843" t="str">
        <f ca="1">INDIRECT($F$742 &amp; ADDRESS(B843, 1,4  ))</f>
        <v>Title &amp; Recording</v>
      </c>
      <c r="D843" t="str">
        <f>ADDRESS(B843, 2,4  )</f>
        <v>B58</v>
      </c>
      <c r="E843">
        <f t="shared" ca="1" si="214"/>
        <v>0</v>
      </c>
      <c r="F843" t="str">
        <f ca="1">CONCATENATE("Enter a value for '", C843, "' in cell ", D843, ".", CHAR(10))</f>
        <v xml:space="preserve">Enter a value for 'Title &amp; Recording' in cell B58.
</v>
      </c>
      <c r="G843" s="9" t="str">
        <f t="shared" ca="1" si="215"/>
        <v/>
      </c>
    </row>
    <row r="844" spans="1:7" ht="15" customHeight="1">
      <c r="A844" t="str">
        <f ca="1">IF(AND(OR(Calculations!$B$3:$B$4), E844=""), F844, "")</f>
        <v/>
      </c>
      <c r="B844" t="s">
        <v>461</v>
      </c>
      <c r="C844" t="str">
        <f ca="1">INDIRECT($F$742 &amp; ADDRESS(B843, 1,4  ))</f>
        <v>Title &amp; Recording</v>
      </c>
      <c r="D844" t="str">
        <f>ADDRESS(B843, 3,4  )</f>
        <v>C58</v>
      </c>
      <c r="E844">
        <f t="shared" ca="1" si="214"/>
        <v>0</v>
      </c>
      <c r="F844" t="str">
        <f ca="1">CONCATENATE("Enter an 'Amount Last Provided to CHFA' value for '", C844, "' in cell ", D844, ".", CHAR(10))</f>
        <v xml:space="preserve">Enter an 'Amount Last Provided to CHFA' value for 'Title &amp; Recording' in cell C58.
</v>
      </c>
      <c r="G844" s="9" t="str">
        <f t="shared" ca="1" si="215"/>
        <v/>
      </c>
    </row>
    <row r="845" spans="1:7" ht="15" customHeight="1">
      <c r="A845" t="str">
        <f ca="1">IF(E845="",F845, "")</f>
        <v/>
      </c>
      <c r="B845" s="52">
        <f>B843+1</f>
        <v>59</v>
      </c>
      <c r="C845" t="str">
        <f ca="1">INDIRECT($F$742 &amp; ADDRESS(B845, 1,4  ))</f>
        <v>Legal Fees</v>
      </c>
      <c r="D845" t="str">
        <f>ADDRESS(B845, 2,4  )</f>
        <v>B59</v>
      </c>
      <c r="E845">
        <f t="shared" ca="1" si="214"/>
        <v>0</v>
      </c>
      <c r="F845" t="str">
        <f ca="1">CONCATENATE("Enter a value for '", C845, "' in cell ", D845, ".", CHAR(10))</f>
        <v xml:space="preserve">Enter a value for 'Legal Fees' in cell B59.
</v>
      </c>
      <c r="G845" s="9" t="str">
        <f t="shared" ca="1" si="215"/>
        <v/>
      </c>
    </row>
    <row r="846" spans="1:7" ht="15" customHeight="1">
      <c r="A846" t="str">
        <f ca="1">IF(AND(OR(Calculations!$B$3:$B$4), E846=""), F846, "")</f>
        <v/>
      </c>
      <c r="B846" t="s">
        <v>461</v>
      </c>
      <c r="C846" t="str">
        <f ca="1">INDIRECT($F$742 &amp; ADDRESS(B845, 1,4  ))</f>
        <v>Legal Fees</v>
      </c>
      <c r="D846" t="str">
        <f>ADDRESS(B845, 3,4  )</f>
        <v>C59</v>
      </c>
      <c r="E846">
        <f t="shared" ca="1" si="214"/>
        <v>0</v>
      </c>
      <c r="F846" t="str">
        <f ca="1">CONCATENATE("Enter an 'Amount Last Provided to CHFA' value for '", C846, "' in cell ", D846, ".", CHAR(10))</f>
        <v xml:space="preserve">Enter an 'Amount Last Provided to CHFA' value for 'Legal Fees' in cell C59.
</v>
      </c>
      <c r="G846" s="9" t="str">
        <f t="shared" ca="1" si="215"/>
        <v/>
      </c>
    </row>
    <row r="847" spans="1:7" ht="15" customHeight="1">
      <c r="A847" t="str">
        <f ca="1">IF(E847="",F847, "")</f>
        <v/>
      </c>
      <c r="B847" s="52">
        <f>B845+1</f>
        <v>60</v>
      </c>
      <c r="C847" t="str">
        <f ca="1">INDIRECT($F$742 &amp; ADDRESS(B847, 1,4  ))</f>
        <v>Prepaid MIP</v>
      </c>
      <c r="D847" t="str">
        <f>ADDRESS(B847, 2,4  )</f>
        <v>B60</v>
      </c>
      <c r="E847">
        <f t="shared" ca="1" si="214"/>
        <v>0</v>
      </c>
      <c r="F847" t="str">
        <f ca="1">CONCATENATE("Enter a value for '", C847, "' in cell ", D847, ".", CHAR(10))</f>
        <v xml:space="preserve">Enter a value for 'Prepaid MIP' in cell B60.
</v>
      </c>
      <c r="G847" s="9" t="str">
        <f t="shared" ca="1" si="215"/>
        <v/>
      </c>
    </row>
    <row r="848" spans="1:7" ht="15" customHeight="1">
      <c r="A848" t="str">
        <f ca="1">IF(AND(OR(Calculations!$B$3:$B$4), E848=""), F848, "")</f>
        <v/>
      </c>
      <c r="B848" t="s">
        <v>461</v>
      </c>
      <c r="C848" t="str">
        <f ca="1">INDIRECT($F$742 &amp; ADDRESS(B847, 1,4  ))</f>
        <v>Prepaid MIP</v>
      </c>
      <c r="D848" t="str">
        <f>ADDRESS(B847, 3,4  )</f>
        <v>C60</v>
      </c>
      <c r="E848">
        <f t="shared" ca="1" si="214"/>
        <v>0</v>
      </c>
      <c r="F848" t="str">
        <f ca="1">CONCATENATE("Enter an 'Amount Last Provided to CHFA' value for '", C848, "' in cell ", D848, ".", CHAR(10))</f>
        <v xml:space="preserve">Enter an 'Amount Last Provided to CHFA' value for 'Prepaid MIP' in cell C60.
</v>
      </c>
      <c r="G848" s="9" t="str">
        <f t="shared" ca="1" si="215"/>
        <v/>
      </c>
    </row>
    <row r="849" spans="1:7" ht="15" customHeight="1">
      <c r="A849" t="str">
        <f ca="1">IF(E849="",F849, "")</f>
        <v/>
      </c>
      <c r="B849" s="52">
        <f>B847+1</f>
        <v>61</v>
      </c>
      <c r="C849" t="str">
        <f ca="1">INDIRECT($F$742 &amp; ADDRESS(B849, 1,4  ))</f>
        <v>Other (Specify)</v>
      </c>
      <c r="D849" t="str">
        <f>ADDRESS(B849, 2,4  )</f>
        <v>B61</v>
      </c>
      <c r="E849">
        <f t="shared" ca="1" si="214"/>
        <v>0</v>
      </c>
      <c r="F849" t="str">
        <f ca="1">CONCATENATE("Enter a value for '", C849, "' in cell ", D849, ".", CHAR(10))</f>
        <v xml:space="preserve">Enter a value for 'Other (Specify)' in cell B61.
</v>
      </c>
      <c r="G849" s="9" t="str">
        <f t="shared" ca="1" si="215"/>
        <v/>
      </c>
    </row>
    <row r="850" spans="1:7" ht="15" customHeight="1">
      <c r="A850" t="str">
        <f ca="1">IF(AND(OR(Calculations!$B$3:$B$4), E850=""), F850, "")</f>
        <v/>
      </c>
      <c r="B850" t="s">
        <v>461</v>
      </c>
      <c r="C850" t="str">
        <f ca="1">INDIRECT($F$742 &amp; ADDRESS(B849, 1,4  ))</f>
        <v>Other (Specify)</v>
      </c>
      <c r="D850" t="str">
        <f>ADDRESS(B849, 3,4  )</f>
        <v>C61</v>
      </c>
      <c r="E850">
        <f t="shared" ca="1" si="214"/>
        <v>0</v>
      </c>
      <c r="F850" t="str">
        <f ca="1">CONCATENATE("Enter an 'Amount Last Provided to CHFA' value for '", C850, "' in cell ", D850, ".", CHAR(10))</f>
        <v xml:space="preserve">Enter an 'Amount Last Provided to CHFA' value for 'Other (Specify)' in cell C61.
</v>
      </c>
      <c r="G850" s="9" t="str">
        <f t="shared" ca="1" si="215"/>
        <v/>
      </c>
    </row>
    <row r="851" spans="1:7" ht="15" customHeight="1">
      <c r="A851" t="str">
        <f ca="1">IF(AND(E851, SUM(E849:E850) &gt; 0), F851, "")</f>
        <v/>
      </c>
      <c r="C851" t="str">
        <f ca="1">INDIRECT($F$742 &amp; ADDRESS(B849, 1,4  ))</f>
        <v>Other (Specify)</v>
      </c>
      <c r="D851" t="str">
        <f>ADDRESS(B849, 1,4  )</f>
        <v>A61</v>
      </c>
      <c r="E851" t="b">
        <f ca="1">INDIRECT($F$742 &amp; D851)="Other (specify)"</f>
        <v>1</v>
      </c>
      <c r="F851" t="str">
        <f ca="1">CONCATENATE("Please specify value for '", C851, "' in cell ", D851, ".", CHAR(10))</f>
        <v xml:space="preserve">Please specify value for 'Other (Specify)' in cell A61.
</v>
      </c>
      <c r="G851" s="9" t="str">
        <f t="shared" ca="1" si="215"/>
        <v/>
      </c>
    </row>
    <row r="852" spans="1:7" ht="15" customHeight="1">
      <c r="A852" t="str">
        <f ca="1">IF(E852="",F852, "")</f>
        <v/>
      </c>
      <c r="B852" s="52">
        <f>B849+1</f>
        <v>62</v>
      </c>
      <c r="C852" t="str">
        <f ca="1">INDIRECT($F$742 &amp; ADDRESS(B852, 1,4  ))</f>
        <v>Other (Specify)</v>
      </c>
      <c r="D852" t="str">
        <f>ADDRESS(B852, 2,4  )</f>
        <v>B62</v>
      </c>
      <c r="E852">
        <f ca="1">IF(ISBLANK( INDIRECT($F$742 &amp; D852)),"", INDIRECT($F$742 &amp; D852))</f>
        <v>0</v>
      </c>
      <c r="F852" t="str">
        <f ca="1">CONCATENATE("Enter a value for '", C852, "' in cell ", D852, ".", CHAR(10))</f>
        <v xml:space="preserve">Enter a value for 'Other (Specify)' in cell B62.
</v>
      </c>
      <c r="G852" s="9" t="str">
        <f t="shared" ca="1" si="215"/>
        <v/>
      </c>
    </row>
    <row r="853" spans="1:7" ht="15" customHeight="1">
      <c r="A853" t="str">
        <f ca="1">IF(AND(OR(Calculations!$B$3:$B$4), E853=""), F853, "")</f>
        <v/>
      </c>
      <c r="B853" t="s">
        <v>461</v>
      </c>
      <c r="C853" t="str">
        <f ca="1">INDIRECT($F$742 &amp; ADDRESS(B852, 1,4  ))</f>
        <v>Other (Specify)</v>
      </c>
      <c r="D853" t="str">
        <f>ADDRESS(B852, 3,4  )</f>
        <v>C62</v>
      </c>
      <c r="E853">
        <f ca="1">IF(ISBLANK( INDIRECT($F$742 &amp; D853)),"", INDIRECT($F$742 &amp; D853))</f>
        <v>0</v>
      </c>
      <c r="F853" t="str">
        <f ca="1">CONCATENATE("Enter an 'Amount Last Provided to CHFA' value for '", C853, "' in cell ", D853, ".", CHAR(10))</f>
        <v xml:space="preserve">Enter an 'Amount Last Provided to CHFA' value for 'Other (Specify)' in cell C62.
</v>
      </c>
      <c r="G853" s="9" t="str">
        <f t="shared" ca="1" si="215"/>
        <v/>
      </c>
    </row>
    <row r="854" spans="1:7" ht="15" customHeight="1">
      <c r="A854" t="str">
        <f ca="1">IF(AND(E854, SUM(E852:E853) &gt; 0), F854, "")</f>
        <v/>
      </c>
      <c r="C854" t="str">
        <f ca="1">INDIRECT($F$742 &amp; ADDRESS(B852, 1,4  ))</f>
        <v>Other (Specify)</v>
      </c>
      <c r="D854" t="str">
        <f>ADDRESS(B852, 1,4  )</f>
        <v>A62</v>
      </c>
      <c r="E854" t="b">
        <f ca="1">INDIRECT($F$742 &amp; D854)="Other (specify)"</f>
        <v>1</v>
      </c>
      <c r="F854" t="str">
        <f ca="1">CONCATENATE("Please specify value for '", C854, "' in cell ", D854, ".", CHAR(10))</f>
        <v xml:space="preserve">Please specify value for 'Other (Specify)' in cell A62.
</v>
      </c>
      <c r="G854" s="9" t="str">
        <f t="shared" ca="1" si="215"/>
        <v/>
      </c>
    </row>
    <row r="855" spans="1:7" ht="15" customHeight="1">
      <c r="A855" t="str">
        <f ca="1">IF(E855="",F855, "")</f>
        <v/>
      </c>
      <c r="B855" s="52">
        <f>B852+1</f>
        <v>63</v>
      </c>
      <c r="C855" t="str">
        <f ca="1">INDIRECT($F$742 &amp; ADDRESS(B855, 1,4  ))</f>
        <v>Other (Specify)</v>
      </c>
      <c r="D855" t="str">
        <f>ADDRESS(B855, 2,4  )</f>
        <v>B63</v>
      </c>
      <c r="E855">
        <f ca="1">IF(ISBLANK( INDIRECT($F$742 &amp; D855)),"", INDIRECT($F$742 &amp; D855))</f>
        <v>0</v>
      </c>
      <c r="F855" t="str">
        <f ca="1">CONCATENATE("Enter a value for '", C855, "' in cell ", D855, ".", CHAR(10))</f>
        <v xml:space="preserve">Enter a value for 'Other (Specify)' in cell B63.
</v>
      </c>
      <c r="G855" s="9" t="str">
        <f t="shared" ca="1" si="215"/>
        <v/>
      </c>
    </row>
    <row r="856" spans="1:7" ht="15" customHeight="1">
      <c r="A856" t="str">
        <f ca="1">IF(AND(OR(Calculations!$B$3:$B$4), E856=""), F856, "")</f>
        <v/>
      </c>
      <c r="B856" t="s">
        <v>461</v>
      </c>
      <c r="C856" t="str">
        <f ca="1">INDIRECT($F$742 &amp; ADDRESS(B855, 1,4  ))</f>
        <v>Other (Specify)</v>
      </c>
      <c r="D856" t="str">
        <f>ADDRESS(B855, 3,4  )</f>
        <v>C63</v>
      </c>
      <c r="E856">
        <f ca="1">IF(ISBLANK( INDIRECT($F$742 &amp; D856)),"", INDIRECT($F$742 &amp; D856))</f>
        <v>0</v>
      </c>
      <c r="F856" t="str">
        <f ca="1">CONCATENATE("Enter an 'Amount Last Provided to CHFA' value for '", C856, "' in cell ", D856, ".", CHAR(10))</f>
        <v xml:space="preserve">Enter an 'Amount Last Provided to CHFA' value for 'Other (Specify)' in cell C63.
</v>
      </c>
      <c r="G856" s="9" t="str">
        <f t="shared" ca="1" si="215"/>
        <v/>
      </c>
    </row>
    <row r="857" spans="1:7" ht="15" customHeight="1">
      <c r="A857" t="str">
        <f ca="1">IF(AND(E857, SUM(E855:E856) &gt; 0), F857, "")</f>
        <v/>
      </c>
      <c r="C857" t="str">
        <f ca="1">INDIRECT($F$742 &amp; ADDRESS(B855, 1,4  ))</f>
        <v>Other (Specify)</v>
      </c>
      <c r="D857" t="str">
        <f>ADDRESS(B855, 1,4  )</f>
        <v>A63</v>
      </c>
      <c r="E857" t="b">
        <f ca="1">INDIRECT($F$742 &amp; D857)="Other (specify)"</f>
        <v>1</v>
      </c>
      <c r="F857" t="str">
        <f ca="1">CONCATENATE("Please specify value for '", C857, "' in cell ", D857, ".", CHAR(10))</f>
        <v xml:space="preserve">Please specify value for 'Other (Specify)' in cell A63.
</v>
      </c>
      <c r="G857" s="9" t="str">
        <f t="shared" ca="1" si="215"/>
        <v/>
      </c>
    </row>
    <row r="858" spans="1:7" ht="15" customHeight="1">
      <c r="A858" t="str">
        <f ca="1">IF(E858="",F858, "")</f>
        <v/>
      </c>
      <c r="B858">
        <v>66</v>
      </c>
      <c r="C858" t="str">
        <f ca="1">INDIRECT($F$742 &amp; ADDRESS(B858, 1,4  ))</f>
        <v>Feasibility Study</v>
      </c>
      <c r="D858" t="str">
        <f>ADDRESS(B858, 2,4  )</f>
        <v>B66</v>
      </c>
      <c r="E858">
        <f t="shared" ref="E858:E876" ca="1" si="216">IF(ISBLANK( INDIRECT($F$742 &amp; D858)),"", INDIRECT($F$742 &amp; D858))</f>
        <v>0</v>
      </c>
      <c r="F858" t="str">
        <f ca="1">CONCATENATE("Enter a value for '", C858, "' in cell ", D858, ".", CHAR(10))</f>
        <v xml:space="preserve">Enter a value for 'Feasibility Study' in cell B66.
</v>
      </c>
      <c r="G858" s="9" t="str">
        <f t="shared" ca="1" si="215"/>
        <v/>
      </c>
    </row>
    <row r="859" spans="1:7" ht="15" customHeight="1">
      <c r="A859" t="str">
        <f ca="1">IF(AND(OR(Calculations!$B$3:$B$4), E859=""), F859, "")</f>
        <v/>
      </c>
      <c r="B859" t="s">
        <v>461</v>
      </c>
      <c r="C859" t="str">
        <f ca="1">INDIRECT($F$742 &amp; ADDRESS(B858, 1,4  ))</f>
        <v>Feasibility Study</v>
      </c>
      <c r="D859" t="str">
        <f>ADDRESS(B858, 3,4  )</f>
        <v>C66</v>
      </c>
      <c r="E859">
        <f t="shared" ca="1" si="216"/>
        <v>0</v>
      </c>
      <c r="F859" t="str">
        <f ca="1">CONCATENATE("Enter an 'Amount Last Provided to CHFA' value for '", C859, "' in cell ", D859, ".", CHAR(10))</f>
        <v xml:space="preserve">Enter an 'Amount Last Provided to CHFA' value for 'Feasibility Study' in cell C66.
</v>
      </c>
      <c r="G859" s="9" t="str">
        <f t="shared" ca="1" si="215"/>
        <v/>
      </c>
    </row>
    <row r="860" spans="1:7" ht="15" customHeight="1">
      <c r="A860" t="str">
        <f ca="1">IF(E860="",F860, "")</f>
        <v/>
      </c>
      <c r="B860" s="52">
        <f>B858+1</f>
        <v>67</v>
      </c>
      <c r="C860" t="str">
        <f ca="1">INDIRECT($F$742 &amp; ADDRESS(B860, 1,4  ))</f>
        <v>Market Study</v>
      </c>
      <c r="D860" t="str">
        <f>ADDRESS(B860, 2,4  )</f>
        <v>B67</v>
      </c>
      <c r="E860">
        <f t="shared" ca="1" si="216"/>
        <v>0</v>
      </c>
      <c r="F860" t="str">
        <f ca="1">CONCATENATE("Enter a value for '", C860, "' in cell ", D860, ".", CHAR(10))</f>
        <v xml:space="preserve">Enter a value for 'Market Study' in cell B67.
</v>
      </c>
      <c r="G860" s="9" t="str">
        <f t="shared" ca="1" si="215"/>
        <v/>
      </c>
    </row>
    <row r="861" spans="1:7" ht="15" customHeight="1">
      <c r="A861" t="str">
        <f ca="1">IF(AND(OR(Calculations!$B$3:$B$4), E861=""), F861, "")</f>
        <v/>
      </c>
      <c r="B861" t="s">
        <v>461</v>
      </c>
      <c r="C861" t="str">
        <f ca="1">INDIRECT($F$742 &amp; ADDRESS(B860, 1,4  ))</f>
        <v>Market Study</v>
      </c>
      <c r="D861" t="str">
        <f>ADDRESS(B860, 3,4  )</f>
        <v>C67</v>
      </c>
      <c r="E861">
        <f t="shared" ca="1" si="216"/>
        <v>0</v>
      </c>
      <c r="F861" t="str">
        <f ca="1">CONCATENATE("Enter an 'Amount Last Provided to CHFA' value for '", C861, "' in cell ", D861, ".", CHAR(10))</f>
        <v xml:space="preserve">Enter an 'Amount Last Provided to CHFA' value for 'Market Study' in cell C67.
</v>
      </c>
      <c r="G861" s="9" t="str">
        <f t="shared" ca="1" si="215"/>
        <v/>
      </c>
    </row>
    <row r="862" spans="1:7" ht="15" customHeight="1">
      <c r="A862" t="str">
        <f ca="1">IF(E862="",F862, "")</f>
        <v/>
      </c>
      <c r="B862" s="52">
        <f>B860+1</f>
        <v>68</v>
      </c>
      <c r="C862" t="str">
        <f ca="1">INDIRECT($F$742 &amp; ADDRESS(B862, 1,4  ))</f>
        <v>Environmental Study</v>
      </c>
      <c r="D862" t="str">
        <f>ADDRESS(B862, 2,4  )</f>
        <v>B68</v>
      </c>
      <c r="E862">
        <f t="shared" ca="1" si="216"/>
        <v>0</v>
      </c>
      <c r="F862" t="str">
        <f ca="1">CONCATENATE("Enter a value for '", C862, "' in cell ", D862, ".", CHAR(10))</f>
        <v xml:space="preserve">Enter a value for 'Environmental Study' in cell B68.
</v>
      </c>
      <c r="G862" s="9" t="str">
        <f t="shared" ca="1" si="215"/>
        <v/>
      </c>
    </row>
    <row r="863" spans="1:7" ht="15" customHeight="1">
      <c r="A863" t="str">
        <f ca="1">IF(AND(OR(Calculations!$B$3:$B$4), E863=""), F863, "")</f>
        <v/>
      </c>
      <c r="B863" t="s">
        <v>461</v>
      </c>
      <c r="C863" t="str">
        <f ca="1">INDIRECT($F$742 &amp; ADDRESS(B862, 1,4  ))</f>
        <v>Environmental Study</v>
      </c>
      <c r="D863" t="str">
        <f>ADDRESS(B862, 3,4  )</f>
        <v>C68</v>
      </c>
      <c r="E863">
        <f t="shared" ca="1" si="216"/>
        <v>0</v>
      </c>
      <c r="F863" t="str">
        <f ca="1">CONCATENATE("Enter an 'Amount Last Provided to CHFA' value for '", C863, "' in cell ", D863, ".", CHAR(10))</f>
        <v xml:space="preserve">Enter an 'Amount Last Provided to CHFA' value for 'Environmental Study' in cell C68.
</v>
      </c>
      <c r="G863" s="9" t="str">
        <f t="shared" ca="1" si="215"/>
        <v/>
      </c>
    </row>
    <row r="864" spans="1:7" ht="15" customHeight="1">
      <c r="A864" t="str">
        <f ca="1">IF(E864="",F864, "")</f>
        <v/>
      </c>
      <c r="B864" s="52">
        <f>B862+1</f>
        <v>69</v>
      </c>
      <c r="C864" t="str">
        <f ca="1">INDIRECT($F$742 &amp; ADDRESS(B864, 1,4  ))</f>
        <v>Tax Credit Fees</v>
      </c>
      <c r="D864" t="str">
        <f>ADDRESS(B864, 2,4  )</f>
        <v>B69</v>
      </c>
      <c r="E864">
        <f t="shared" ca="1" si="216"/>
        <v>0</v>
      </c>
      <c r="F864" t="str">
        <f ca="1">CONCATENATE("Enter a value for '", C864, "' in cell ", D864, ".", CHAR(10))</f>
        <v xml:space="preserve">Enter a value for 'Tax Credit Fees' in cell B69.
</v>
      </c>
      <c r="G864" s="9" t="str">
        <f t="shared" ca="1" si="215"/>
        <v/>
      </c>
    </row>
    <row r="865" spans="1:7" ht="15" customHeight="1">
      <c r="A865" t="str">
        <f ca="1">IF(AND(OR(Calculations!$B$3:$B$4), E865=""), F865, "")</f>
        <v/>
      </c>
      <c r="B865" t="s">
        <v>461</v>
      </c>
      <c r="C865" t="str">
        <f ca="1">INDIRECT($F$742 &amp; ADDRESS(B864, 1,4  ))</f>
        <v>Tax Credit Fees</v>
      </c>
      <c r="D865" t="str">
        <f>ADDRESS(B864, 3,4  )</f>
        <v>C69</v>
      </c>
      <c r="E865">
        <f t="shared" ca="1" si="216"/>
        <v>0</v>
      </c>
      <c r="F865" t="str">
        <f ca="1">CONCATENATE("Enter an 'Amount Last Provided to CHFA' value for '", C865, "' in cell ", D865, ".", CHAR(10))</f>
        <v xml:space="preserve">Enter an 'Amount Last Provided to CHFA' value for 'Tax Credit Fees' in cell C69.
</v>
      </c>
      <c r="G865" s="9" t="str">
        <f t="shared" ca="1" si="215"/>
        <v/>
      </c>
    </row>
    <row r="866" spans="1:7" ht="15" customHeight="1">
      <c r="A866" t="str">
        <f ca="1">IF(E866="",F866, "")</f>
        <v/>
      </c>
      <c r="B866" s="52">
        <f>B864+1</f>
        <v>70</v>
      </c>
      <c r="C866" t="str">
        <f ca="1">INDIRECT($F$742 &amp; ADDRESS(B866, 1,4  ))</f>
        <v>Compliance Fees</v>
      </c>
      <c r="D866" t="str">
        <f>ADDRESS(B866, 2,4  )</f>
        <v>B70</v>
      </c>
      <c r="E866">
        <f t="shared" ca="1" si="216"/>
        <v>0</v>
      </c>
      <c r="F866" t="str">
        <f ca="1">CONCATENATE("Enter a value for '", C866, "' in cell ", D866, ".", CHAR(10))</f>
        <v xml:space="preserve">Enter a value for 'Compliance Fees' in cell B70.
</v>
      </c>
      <c r="G866" s="9" t="str">
        <f t="shared" ca="1" si="215"/>
        <v/>
      </c>
    </row>
    <row r="867" spans="1:7" ht="15" customHeight="1">
      <c r="A867" t="str">
        <f ca="1">IF(AND(OR(Calculations!$B$3:$B$4), E867=""), F867, "")</f>
        <v/>
      </c>
      <c r="B867" t="s">
        <v>461</v>
      </c>
      <c r="C867" t="str">
        <f ca="1">INDIRECT($F$742 &amp; ADDRESS(B866, 1,4  ))</f>
        <v>Compliance Fees</v>
      </c>
      <c r="D867" t="str">
        <f>ADDRESS(B866, 3,4  )</f>
        <v>C70</v>
      </c>
      <c r="E867">
        <f t="shared" ca="1" si="216"/>
        <v>0</v>
      </c>
      <c r="F867" t="str">
        <f ca="1">CONCATENATE("Enter an 'Amount Last Provided to CHFA' value for '", C867, "' in cell ", D867, ".", CHAR(10))</f>
        <v xml:space="preserve">Enter an 'Amount Last Provided to CHFA' value for 'Compliance Fees' in cell C70.
</v>
      </c>
      <c r="G867" s="9" t="str">
        <f t="shared" ca="1" si="215"/>
        <v/>
      </c>
    </row>
    <row r="868" spans="1:7" ht="15" customHeight="1">
      <c r="A868" t="str">
        <f ca="1">IF(E868="",F868, "")</f>
        <v/>
      </c>
      <c r="B868" s="52">
        <f>B866+1</f>
        <v>71</v>
      </c>
      <c r="C868" t="str">
        <f ca="1">INDIRECT($F$742 &amp; ADDRESS(B868, 1,4  ))</f>
        <v>Appraisal</v>
      </c>
      <c r="D868" t="str">
        <f>ADDRESS(B868, 2,4  )</f>
        <v>B71</v>
      </c>
      <c r="E868">
        <f t="shared" ca="1" si="216"/>
        <v>0</v>
      </c>
      <c r="F868" t="str">
        <f ca="1">CONCATENATE("Enter a value for '", C868, "' in cell ", D868, ".", CHAR(10))</f>
        <v xml:space="preserve">Enter a value for 'Appraisal' in cell B71.
</v>
      </c>
      <c r="G868" s="9" t="str">
        <f t="shared" ca="1" si="215"/>
        <v/>
      </c>
    </row>
    <row r="869" spans="1:7" ht="15" customHeight="1">
      <c r="A869" t="str">
        <f ca="1">IF(AND(OR(Calculations!$B$3:$B$4), E869=""), F869, "")</f>
        <v/>
      </c>
      <c r="B869" t="s">
        <v>461</v>
      </c>
      <c r="C869" t="str">
        <f ca="1">INDIRECT($F$742 &amp; ADDRESS(B868, 1,4  ))</f>
        <v>Appraisal</v>
      </c>
      <c r="D869" t="str">
        <f>ADDRESS(B868, 3,4  )</f>
        <v>C71</v>
      </c>
      <c r="E869">
        <f t="shared" ca="1" si="216"/>
        <v>0</v>
      </c>
      <c r="F869" t="str">
        <f ca="1">CONCATENATE("Enter an 'Amount Last Provided to CHFA' value for '", C869, "' in cell ", D869, ".", CHAR(10))</f>
        <v xml:space="preserve">Enter an 'Amount Last Provided to CHFA' value for 'Appraisal' in cell C71.
</v>
      </c>
      <c r="G869" s="9" t="str">
        <f t="shared" ca="1" si="215"/>
        <v/>
      </c>
    </row>
    <row r="870" spans="1:7" ht="15" customHeight="1">
      <c r="A870" t="str">
        <f ca="1">IF(E870="",F870, "")</f>
        <v/>
      </c>
      <c r="B870" s="52">
        <f>B868+1</f>
        <v>72</v>
      </c>
      <c r="C870" t="str">
        <f ca="1">INDIRECT($F$742 &amp; ADDRESS(B870, 1,4  ))</f>
        <v>Cost Certification</v>
      </c>
      <c r="D870" t="str">
        <f>ADDRESS(B870, 2,4  )</f>
        <v>B72</v>
      </c>
      <c r="E870">
        <f t="shared" ca="1" si="216"/>
        <v>0</v>
      </c>
      <c r="F870" t="str">
        <f ca="1">CONCATENATE("Enter a value for '", C870, "' in cell ", D870, ".", CHAR(10))</f>
        <v xml:space="preserve">Enter a value for 'Cost Certification' in cell B72.
</v>
      </c>
      <c r="G870" s="9" t="str">
        <f t="shared" ca="1" si="215"/>
        <v/>
      </c>
    </row>
    <row r="871" spans="1:7" ht="15" customHeight="1">
      <c r="A871" t="str">
        <f ca="1">IF(AND(OR(Calculations!$B$3:$B$4), E871=""), F871, "")</f>
        <v/>
      </c>
      <c r="B871" t="s">
        <v>461</v>
      </c>
      <c r="C871" t="str">
        <f ca="1">INDIRECT($F$742 &amp; ADDRESS(B870, 1,4  ))</f>
        <v>Cost Certification</v>
      </c>
      <c r="D871" t="str">
        <f>ADDRESS(B870, 3,4  )</f>
        <v>C72</v>
      </c>
      <c r="E871">
        <f t="shared" ca="1" si="216"/>
        <v>0</v>
      </c>
      <c r="F871" t="str">
        <f ca="1">CONCATENATE("Enter an 'Amount Last Provided to CHFA' value for '", C871, "' in cell ", D871, ".", CHAR(10))</f>
        <v xml:space="preserve">Enter an 'Amount Last Provided to CHFA' value for 'Cost Certification' in cell C72.
</v>
      </c>
      <c r="G871" s="9" t="str">
        <f t="shared" ca="1" si="215"/>
        <v/>
      </c>
    </row>
    <row r="872" spans="1:7" ht="15" customHeight="1">
      <c r="A872" t="str">
        <f ca="1">IF(E872="",F872, "")</f>
        <v/>
      </c>
      <c r="B872" s="52">
        <f>B870+1</f>
        <v>73</v>
      </c>
      <c r="C872" t="str">
        <f ca="1">INDIRECT($F$742 &amp; ADDRESS(B872, 1,4  ))</f>
        <v>Other (Specify)</v>
      </c>
      <c r="D872" t="str">
        <f>ADDRESS(B872, 2,4  )</f>
        <v>B73</v>
      </c>
      <c r="E872">
        <f t="shared" ca="1" si="216"/>
        <v>0</v>
      </c>
      <c r="F872" t="str">
        <f ca="1">CONCATENATE("Enter a value for '", C872, "' in cell ", D872, ".", CHAR(10))</f>
        <v xml:space="preserve">Enter a value for 'Other (Specify)' in cell B73.
</v>
      </c>
      <c r="G872" s="9" t="str">
        <f t="shared" ca="1" si="215"/>
        <v/>
      </c>
    </row>
    <row r="873" spans="1:7" ht="15" customHeight="1">
      <c r="A873" t="str">
        <f ca="1">IF(AND(OR(Calculations!$B$3:$B$4), E873=""), F873, "")</f>
        <v/>
      </c>
      <c r="B873" t="s">
        <v>461</v>
      </c>
      <c r="C873" t="str">
        <f ca="1">INDIRECT($F$742 &amp; ADDRESS(B872, 1,4  ))</f>
        <v>Other (Specify)</v>
      </c>
      <c r="D873" t="str">
        <f>ADDRESS(B872, 3,4  )</f>
        <v>C73</v>
      </c>
      <c r="E873">
        <f t="shared" ca="1" si="216"/>
        <v>0</v>
      </c>
      <c r="F873" t="str">
        <f ca="1">CONCATENATE("Enter an 'Amount Last Provided to CHFA' value for '", C873, "' in cell ", D873, ".", CHAR(10))</f>
        <v xml:space="preserve">Enter an 'Amount Last Provided to CHFA' value for 'Other (Specify)' in cell C73.
</v>
      </c>
      <c r="G873" s="9" t="str">
        <f t="shared" ca="1" si="215"/>
        <v/>
      </c>
    </row>
    <row r="874" spans="1:7" ht="15" customHeight="1">
      <c r="A874" t="str">
        <f ca="1">IF(AND(E874, SUM(E872:E873) &gt; 0), F874, "")</f>
        <v/>
      </c>
      <c r="C874" t="str">
        <f ca="1">INDIRECT($F$742 &amp; ADDRESS(B872, 1,4  ))</f>
        <v>Other (Specify)</v>
      </c>
      <c r="D874" t="str">
        <f>ADDRESS(B872, 1,4  )</f>
        <v>A73</v>
      </c>
      <c r="E874" t="b">
        <f ca="1">INDIRECT($F$742 &amp; D874)="Other (specify)"</f>
        <v>1</v>
      </c>
      <c r="F874" t="str">
        <f ca="1">CONCATENATE("Please specify value for '", C874, "' in cell ", D874, ".", CHAR(10))</f>
        <v xml:space="preserve">Please specify value for 'Other (Specify)' in cell A73.
</v>
      </c>
      <c r="G874" s="9" t="str">
        <f t="shared" ca="1" si="215"/>
        <v/>
      </c>
    </row>
    <row r="875" spans="1:7" ht="15" customHeight="1">
      <c r="A875" t="str">
        <f ca="1">IF(E875="",F875, "")</f>
        <v/>
      </c>
      <c r="B875" s="52">
        <f>B872+1</f>
        <v>74</v>
      </c>
      <c r="C875" t="str">
        <f ca="1">INDIRECT($F$742 &amp; ADDRESS(B875, 1,4  ))</f>
        <v>Other (Specify)</v>
      </c>
      <c r="D875" t="str">
        <f>ADDRESS(B875, 2,4  )</f>
        <v>B74</v>
      </c>
      <c r="E875">
        <f t="shared" ca="1" si="216"/>
        <v>0</v>
      </c>
      <c r="F875" t="str">
        <f ca="1">CONCATENATE("Enter a value for '", C875, "' in cell ", D875, ".", CHAR(10))</f>
        <v xml:space="preserve">Enter a value for 'Other (Specify)' in cell B74.
</v>
      </c>
      <c r="G875" s="9" t="str">
        <f t="shared" ref="G875:G906" ca="1" si="217">OFFSET(G875, -1, 0) &amp; A875</f>
        <v/>
      </c>
    </row>
    <row r="876" spans="1:7" ht="15" customHeight="1">
      <c r="A876" t="str">
        <f ca="1">IF(AND(OR(Calculations!$B$3:$B$4), E876=""), F876, "")</f>
        <v/>
      </c>
      <c r="B876" t="s">
        <v>461</v>
      </c>
      <c r="C876" t="str">
        <f ca="1">INDIRECT($F$742 &amp; ADDRESS(B875, 1,4  ))</f>
        <v>Other (Specify)</v>
      </c>
      <c r="D876" t="str">
        <f>ADDRESS(B875, 3,4  )</f>
        <v>C74</v>
      </c>
      <c r="E876">
        <f t="shared" ca="1" si="216"/>
        <v>0</v>
      </c>
      <c r="F876" t="str">
        <f ca="1">CONCATENATE("Enter an 'Amount Last Provided to CHFA' value for '", C876, "' in cell ", D876, ".", CHAR(10))</f>
        <v xml:space="preserve">Enter an 'Amount Last Provided to CHFA' value for 'Other (Specify)' in cell C74.
</v>
      </c>
      <c r="G876" s="9" t="str">
        <f t="shared" ca="1" si="217"/>
        <v/>
      </c>
    </row>
    <row r="877" spans="1:7" ht="15" customHeight="1">
      <c r="A877" t="str">
        <f ca="1">IF(AND(E877, SUM(E875:E876) &gt; 0), F877, "")</f>
        <v/>
      </c>
      <c r="C877" t="str">
        <f ca="1">INDIRECT($F$742 &amp; ADDRESS(B875, 1,4  ))</f>
        <v>Other (Specify)</v>
      </c>
      <c r="D877" t="str">
        <f>ADDRESS(B875, 1,4  )</f>
        <v>A74</v>
      </c>
      <c r="E877" t="b">
        <f ca="1">INDIRECT($F$742 &amp; D877)="Other (specify)"</f>
        <v>1</v>
      </c>
      <c r="F877" t="str">
        <f ca="1">CONCATENATE("Please specify value for '", C877, "' in cell ", D877, ".", CHAR(10))</f>
        <v xml:space="preserve">Please specify value for 'Other (Specify)' in cell A74.
</v>
      </c>
      <c r="G877" s="9" t="str">
        <f t="shared" ca="1" si="217"/>
        <v/>
      </c>
    </row>
    <row r="878" spans="1:7" ht="15" customHeight="1">
      <c r="A878" t="str">
        <f ca="1">IF(E878="",F878, "")</f>
        <v/>
      </c>
      <c r="B878" s="52">
        <f>B875+1</f>
        <v>75</v>
      </c>
      <c r="C878" t="str">
        <f ca="1">INDIRECT($F$742 &amp; ADDRESS(B878, 1,4  ))</f>
        <v>Other (Specify)</v>
      </c>
      <c r="D878" t="str">
        <f>ADDRESS(B878, 2,4  )</f>
        <v>B75</v>
      </c>
      <c r="E878">
        <f ca="1">IF(ISBLANK( INDIRECT($F$742 &amp; D878)),"", INDIRECT($F$742 &amp; D878))</f>
        <v>0</v>
      </c>
      <c r="F878" t="str">
        <f ca="1">CONCATENATE("Enter a value for '", C878, "' in cell ", D878, ".", CHAR(10))</f>
        <v xml:space="preserve">Enter a value for 'Other (Specify)' in cell B75.
</v>
      </c>
      <c r="G878" s="9" t="str">
        <f t="shared" ca="1" si="217"/>
        <v/>
      </c>
    </row>
    <row r="879" spans="1:7" ht="15" customHeight="1">
      <c r="A879" t="str">
        <f ca="1">IF(AND(OR(Calculations!$B$3:$B$4), E879=""), F879, "")</f>
        <v/>
      </c>
      <c r="B879" t="s">
        <v>461</v>
      </c>
      <c r="C879" t="str">
        <f ca="1">INDIRECT($F$742 &amp; ADDRESS(B878, 1,4  ))</f>
        <v>Other (Specify)</v>
      </c>
      <c r="D879" t="str">
        <f>ADDRESS(B878, 3,4  )</f>
        <v>C75</v>
      </c>
      <c r="E879">
        <f ca="1">IF(ISBLANK( INDIRECT($F$742 &amp; D879)),"", INDIRECT($F$742 &amp; D879))</f>
        <v>0</v>
      </c>
      <c r="F879" t="str">
        <f ca="1">CONCATENATE("Enter an 'Amount Last Provided to CHFA' value for '", C879, "' in cell ", D879, ".", CHAR(10))</f>
        <v xml:space="preserve">Enter an 'Amount Last Provided to CHFA' value for 'Other (Specify)' in cell C75.
</v>
      </c>
      <c r="G879" s="9" t="str">
        <f t="shared" ca="1" si="217"/>
        <v/>
      </c>
    </row>
    <row r="880" spans="1:7" ht="15" customHeight="1">
      <c r="A880" t="str">
        <f ca="1">IF(AND(E880, SUM(E878:E879) &gt; 0), F880, "")</f>
        <v/>
      </c>
      <c r="C880" t="str">
        <f ca="1">INDIRECT($F$742 &amp; ADDRESS(B878, 1,4  ))</f>
        <v>Other (Specify)</v>
      </c>
      <c r="D880" t="str">
        <f>ADDRESS(B878, 1,4  )</f>
        <v>A75</v>
      </c>
      <c r="E880" t="b">
        <f ca="1">INDIRECT($F$742 &amp; D880)="Other (specify)"</f>
        <v>1</v>
      </c>
      <c r="F880" t="str">
        <f ca="1">CONCATENATE("Please specify value for '", C880, "' in cell ", D880, ".", CHAR(10))</f>
        <v xml:space="preserve">Please specify value for 'Other (Specify)' in cell A75.
</v>
      </c>
      <c r="G880" s="9" t="str">
        <f t="shared" ca="1" si="217"/>
        <v/>
      </c>
    </row>
    <row r="881" spans="1:7" ht="15" customHeight="1">
      <c r="A881" t="str">
        <f ca="1">IF(E881="",F881, "")</f>
        <v/>
      </c>
      <c r="B881">
        <f>ROW('Commercial Budget'!A78)</f>
        <v>78</v>
      </c>
      <c r="C881" t="str">
        <f ca="1">INDIRECT($F$742 &amp; ADDRESS(B881, 1,4  ))</f>
        <v>Organization Costs</v>
      </c>
      <c r="D881" t="str">
        <f>ADDRESS(B881, 2,4  )</f>
        <v>B78</v>
      </c>
      <c r="E881">
        <f t="shared" ref="E881:E888" ca="1" si="218">IF(ISBLANK( INDIRECT($F$742 &amp; D881)),"", INDIRECT($F$742 &amp; D881))</f>
        <v>0</v>
      </c>
      <c r="F881" t="str">
        <f ca="1">CONCATENATE("Enter a value for '", C881, "' in cell ", D881, ".", CHAR(10))</f>
        <v xml:space="preserve">Enter a value for 'Organization Costs' in cell B78.
</v>
      </c>
      <c r="G881" s="9" t="str">
        <f t="shared" ca="1" si="217"/>
        <v/>
      </c>
    </row>
    <row r="882" spans="1:7" ht="15" customHeight="1">
      <c r="A882" t="str">
        <f ca="1">IF(AND(OR(Calculations!$B$3:$B$4), E882=""), F882, "")</f>
        <v/>
      </c>
      <c r="B882" t="s">
        <v>461</v>
      </c>
      <c r="C882" t="str">
        <f ca="1">INDIRECT($F$742 &amp; ADDRESS(B881, 1,4  ))</f>
        <v>Organization Costs</v>
      </c>
      <c r="D882" t="str">
        <f>ADDRESS(B881, 3,4  )</f>
        <v>C78</v>
      </c>
      <c r="E882">
        <f t="shared" ca="1" si="218"/>
        <v>0</v>
      </c>
      <c r="F882" t="str">
        <f ca="1">CONCATENATE("Enter an 'Amount Last Provided to CHFA' value for '", C882, "' in cell ", D882, ".", CHAR(10))</f>
        <v xml:space="preserve">Enter an 'Amount Last Provided to CHFA' value for 'Organization Costs' in cell C78.
</v>
      </c>
      <c r="G882" s="9" t="str">
        <f t="shared" ca="1" si="217"/>
        <v/>
      </c>
    </row>
    <row r="883" spans="1:7" ht="15" customHeight="1">
      <c r="A883" t="str">
        <f ca="1">IF(E883="",F883, "")</f>
        <v/>
      </c>
      <c r="B883" s="52">
        <f>B881+1</f>
        <v>79</v>
      </c>
      <c r="C883" t="str">
        <f ca="1">INDIRECT($F$742 &amp; ADDRESS(B883, 1,4  ))</f>
        <v>Bridge Loan</v>
      </c>
      <c r="D883" t="str">
        <f>ADDRESS(B883, 2,4  )</f>
        <v>B79</v>
      </c>
      <c r="E883">
        <f t="shared" ca="1" si="218"/>
        <v>0</v>
      </c>
      <c r="F883" t="str">
        <f ca="1">CONCATENATE("Enter a value for '", C883, "' in cell ", D883, ".", CHAR(10))</f>
        <v xml:space="preserve">Enter a value for 'Bridge Loan' in cell B79.
</v>
      </c>
      <c r="G883" s="9" t="str">
        <f t="shared" ca="1" si="217"/>
        <v/>
      </c>
    </row>
    <row r="884" spans="1:7" ht="15" customHeight="1">
      <c r="A884" t="str">
        <f ca="1">IF(AND(OR(Calculations!$B$3:$B$4), E884=""), F884, "")</f>
        <v/>
      </c>
      <c r="B884" t="s">
        <v>461</v>
      </c>
      <c r="C884" t="str">
        <f ca="1">INDIRECT($F$742 &amp; ADDRESS(B883, 1,4  ))</f>
        <v>Bridge Loan</v>
      </c>
      <c r="D884" t="str">
        <f>ADDRESS(B883, 3,4  )</f>
        <v>C79</v>
      </c>
      <c r="E884">
        <f t="shared" ca="1" si="218"/>
        <v>0</v>
      </c>
      <c r="F884" t="str">
        <f ca="1">CONCATENATE("Enter an 'Amount Last Provided to CHFA' value for '", C884, "' in cell ", D884, ".", CHAR(10))</f>
        <v xml:space="preserve">Enter an 'Amount Last Provided to CHFA' value for 'Bridge Loan' in cell C79.
</v>
      </c>
      <c r="G884" s="9" t="str">
        <f t="shared" ca="1" si="217"/>
        <v/>
      </c>
    </row>
    <row r="885" spans="1:7" ht="15" customHeight="1">
      <c r="A885" t="str">
        <f ca="1">IF(E885="",F885, "")</f>
        <v/>
      </c>
      <c r="B885" s="52">
        <f>B883+1</f>
        <v>80</v>
      </c>
      <c r="C885" t="str">
        <f ca="1">INDIRECT($F$742 &amp; ADDRESS(B885, 1,4  ))</f>
        <v>Tax Opinion</v>
      </c>
      <c r="D885" t="str">
        <f>ADDRESS(B885, 2,4  )</f>
        <v>B80</v>
      </c>
      <c r="E885">
        <f t="shared" ca="1" si="218"/>
        <v>0</v>
      </c>
      <c r="F885" t="str">
        <f ca="1">CONCATENATE("Enter a value for '", C885, "' in cell ", D885, ".", CHAR(10))</f>
        <v xml:space="preserve">Enter a value for 'Tax Opinion' in cell B80.
</v>
      </c>
      <c r="G885" s="9" t="str">
        <f t="shared" ca="1" si="217"/>
        <v/>
      </c>
    </row>
    <row r="886" spans="1:7" ht="15" customHeight="1">
      <c r="A886" t="str">
        <f ca="1">IF(AND(OR(Calculations!$B$3:$B$4), E886=""), F886, "")</f>
        <v/>
      </c>
      <c r="B886" t="s">
        <v>461</v>
      </c>
      <c r="C886" t="str">
        <f ca="1">INDIRECT($F$742 &amp; ADDRESS(B885, 1,4  ))</f>
        <v>Tax Opinion</v>
      </c>
      <c r="D886" t="str">
        <f>ADDRESS(B885, 3,4  )</f>
        <v>C80</v>
      </c>
      <c r="E886">
        <f t="shared" ca="1" si="218"/>
        <v>0</v>
      </c>
      <c r="F886" t="str">
        <f ca="1">CONCATENATE("Enter an 'Amount Last Provided to CHFA' value for '", C886, "' in cell ", D886, ".", CHAR(10))</f>
        <v xml:space="preserve">Enter an 'Amount Last Provided to CHFA' value for 'Tax Opinion' in cell C80.
</v>
      </c>
      <c r="G886" s="9" t="str">
        <f t="shared" ca="1" si="217"/>
        <v/>
      </c>
    </row>
    <row r="887" spans="1:7" ht="15" customHeight="1">
      <c r="A887" t="str">
        <f ca="1">IF(E887="",F887, "")</f>
        <v/>
      </c>
      <c r="B887" s="52">
        <f>B885+1</f>
        <v>81</v>
      </c>
      <c r="C887" t="str">
        <f ca="1">INDIRECT($F$742 &amp; ADDRESS(B887, 1,4  ))</f>
        <v>Other (Specify)</v>
      </c>
      <c r="D887" t="str">
        <f>ADDRESS(B887, 2,4  )</f>
        <v>B81</v>
      </c>
      <c r="E887">
        <f t="shared" ca="1" si="218"/>
        <v>0</v>
      </c>
      <c r="F887" t="str">
        <f ca="1">CONCATENATE("Enter a value for '", C887, "' in cell ", D887, ".", CHAR(10))</f>
        <v xml:space="preserve">Enter a value for 'Other (Specify)' in cell B81.
</v>
      </c>
      <c r="G887" s="9" t="str">
        <f t="shared" ca="1" si="217"/>
        <v/>
      </c>
    </row>
    <row r="888" spans="1:7" ht="15" customHeight="1">
      <c r="A888" t="str">
        <f ca="1">IF(AND(OR(Calculations!$B$3:$B$4), E888=""), F888, "")</f>
        <v/>
      </c>
      <c r="B888" t="s">
        <v>461</v>
      </c>
      <c r="C888" t="str">
        <f ca="1">INDIRECT($F$742 &amp; ADDRESS(B887, 1,4  ))</f>
        <v>Other (Specify)</v>
      </c>
      <c r="D888" t="str">
        <f>ADDRESS(B887, 3,4  )</f>
        <v>C81</v>
      </c>
      <c r="E888">
        <f t="shared" ca="1" si="218"/>
        <v>0</v>
      </c>
      <c r="F888" t="str">
        <f ca="1">CONCATENATE("Enter an 'Amount Last Provided to CHFA' value for '", C888, "' in cell ", D888, ".", CHAR(10))</f>
        <v xml:space="preserve">Enter an 'Amount Last Provided to CHFA' value for 'Other (Specify)' in cell C81.
</v>
      </c>
      <c r="G888" s="9" t="str">
        <f t="shared" ca="1" si="217"/>
        <v/>
      </c>
    </row>
    <row r="889" spans="1:7" ht="15" customHeight="1">
      <c r="A889" t="str">
        <f ca="1">IF(AND(E889, SUM(E887:E888) &gt; 0), F889, "")</f>
        <v/>
      </c>
      <c r="C889" t="str">
        <f ca="1">INDIRECT($F$742 &amp; ADDRESS(B887, 1,4  ))</f>
        <v>Other (Specify)</v>
      </c>
      <c r="D889" t="str">
        <f>ADDRESS(B887, 1,4  )</f>
        <v>A81</v>
      </c>
      <c r="E889" t="b">
        <f ca="1">INDIRECT($F$742 &amp; D889)="Other (specify)"</f>
        <v>1</v>
      </c>
      <c r="F889" t="str">
        <f ca="1">CONCATENATE("Please specify value for '", C889, "' in cell ", D889, ".", CHAR(10))</f>
        <v xml:space="preserve">Please specify value for 'Other (Specify)' in cell A81.
</v>
      </c>
      <c r="G889" s="9" t="str">
        <f t="shared" ca="1" si="217"/>
        <v/>
      </c>
    </row>
    <row r="890" spans="1:7" ht="15" customHeight="1">
      <c r="A890" t="str">
        <f ca="1">IF(E890="",F890, "")</f>
        <v/>
      </c>
      <c r="B890" s="52">
        <f>B887+1</f>
        <v>82</v>
      </c>
      <c r="C890" t="str">
        <f ca="1">INDIRECT($F$742 &amp; ADDRESS(B890, 1,4  ))</f>
        <v>Other (Specify)</v>
      </c>
      <c r="D890" t="str">
        <f>ADDRESS(B890, 2,4  )</f>
        <v>B82</v>
      </c>
      <c r="E890">
        <f ca="1">IF(ISBLANK( INDIRECT($F$742 &amp; D890)),"", INDIRECT($F$742 &amp; D890))</f>
        <v>0</v>
      </c>
      <c r="F890" t="str">
        <f ca="1">CONCATENATE("Enter a value for '", C890, "' in cell ", D890, ".", CHAR(10))</f>
        <v xml:space="preserve">Enter a value for 'Other (Specify)' in cell B82.
</v>
      </c>
      <c r="G890" s="9" t="str">
        <f t="shared" ca="1" si="217"/>
        <v/>
      </c>
    </row>
    <row r="891" spans="1:7" ht="15" customHeight="1">
      <c r="A891" t="str">
        <f ca="1">IF(AND(OR(Calculations!$B$3:$B$4), E891=""), F891, "")</f>
        <v/>
      </c>
      <c r="B891" t="s">
        <v>461</v>
      </c>
      <c r="C891" t="str">
        <f ca="1">INDIRECT($F$742 &amp; ADDRESS(B890, 1,4  ))</f>
        <v>Other (Specify)</v>
      </c>
      <c r="D891" t="str">
        <f>ADDRESS(B890, 3,4  )</f>
        <v>C82</v>
      </c>
      <c r="E891">
        <f ca="1">IF(ISBLANK( INDIRECT($F$742 &amp; D891)),"", INDIRECT($F$742 &amp; D891))</f>
        <v>0</v>
      </c>
      <c r="F891" t="str">
        <f ca="1">CONCATENATE("Enter an 'Amount Last Provided to CHFA' value for '", C891, "' in cell ", D891, ".", CHAR(10))</f>
        <v xml:space="preserve">Enter an 'Amount Last Provided to CHFA' value for 'Other (Specify)' in cell C82.
</v>
      </c>
      <c r="G891" s="9" t="str">
        <f t="shared" ca="1" si="217"/>
        <v/>
      </c>
    </row>
    <row r="892" spans="1:7" ht="15" customHeight="1">
      <c r="A892" t="str">
        <f ca="1">IF(AND(E892, SUM(E890:E891) &gt; 0), F892, "")</f>
        <v/>
      </c>
      <c r="C892" t="str">
        <f ca="1">INDIRECT($F$742 &amp; ADDRESS(B890, 1,4  ))</f>
        <v>Other (Specify)</v>
      </c>
      <c r="D892" t="str">
        <f>ADDRESS(B890, 1,4  )</f>
        <v>A82</v>
      </c>
      <c r="E892" t="b">
        <f ca="1">INDIRECT($F$742 &amp; D892)="Other (specify)"</f>
        <v>1</v>
      </c>
      <c r="F892" t="str">
        <f ca="1">CONCATENATE("Please specify value for '", C892, "' in cell ", D892, ".", CHAR(10))</f>
        <v xml:space="preserve">Please specify value for 'Other (Specify)' in cell A82.
</v>
      </c>
      <c r="G892" s="9" t="str">
        <f t="shared" ca="1" si="217"/>
        <v/>
      </c>
    </row>
    <row r="893" spans="1:7" ht="15" customHeight="1">
      <c r="A893" t="str">
        <f ca="1">IF(E893="",F893, "")</f>
        <v/>
      </c>
      <c r="B893" s="52">
        <f>B890+1</f>
        <v>83</v>
      </c>
      <c r="C893" t="str">
        <f ca="1">INDIRECT($F$742 &amp; ADDRESS(B893, 1,4  ))</f>
        <v>Other - Accounting</v>
      </c>
      <c r="D893" t="str">
        <f>ADDRESS(B893, 2,4  )</f>
        <v>B83</v>
      </c>
      <c r="E893">
        <f t="shared" ref="E893:E902" ca="1" si="219">IF(ISBLANK( INDIRECT($F$742 &amp; D893)),"", INDIRECT($F$742 &amp; D893))</f>
        <v>0</v>
      </c>
      <c r="F893" t="str">
        <f ca="1">CONCATENATE("Enter a value for '", C893, "' in cell ", D893, ".", CHAR(10))</f>
        <v xml:space="preserve">Enter a value for 'Other - Accounting' in cell B83.
</v>
      </c>
      <c r="G893" s="9" t="str">
        <f t="shared" ca="1" si="217"/>
        <v/>
      </c>
    </row>
    <row r="894" spans="1:7" ht="15" customHeight="1">
      <c r="A894" t="str">
        <f ca="1">IF(AND(OR(Calculations!$B$3:$B$4), E894=""), F894, "")</f>
        <v/>
      </c>
      <c r="B894" t="s">
        <v>461</v>
      </c>
      <c r="C894" t="str">
        <f ca="1">INDIRECT($F$742 &amp; ADDRESS(B893, 1,4  ))</f>
        <v>Other - Accounting</v>
      </c>
      <c r="D894" t="str">
        <f>ADDRESS(B893, 3,4  )</f>
        <v>C83</v>
      </c>
      <c r="E894">
        <f t="shared" ca="1" si="219"/>
        <v>0</v>
      </c>
      <c r="F894" t="str">
        <f ca="1">CONCATENATE("Enter an 'Amount Last Provided to CHFA' value for '", C894, "' in cell ", D894, ".", CHAR(10))</f>
        <v xml:space="preserve">Enter an 'Amount Last Provided to CHFA' value for 'Other - Accounting' in cell C83.
</v>
      </c>
      <c r="G894" s="9" t="str">
        <f t="shared" ca="1" si="217"/>
        <v/>
      </c>
    </row>
    <row r="895" spans="1:7" ht="15" customHeight="1">
      <c r="A895" t="str">
        <f ca="1">IF(E895="",F895, "")</f>
        <v/>
      </c>
      <c r="B895">
        <f>ROW('Commercial Budget'!A86)</f>
        <v>86</v>
      </c>
      <c r="C895" t="str">
        <f ca="1">INDIRECT($F$742 &amp; ADDRESS(B895, 1,4  ))</f>
        <v>Developer Fee</v>
      </c>
      <c r="D895" t="str">
        <f>ADDRESS(B895, 2,4  )</f>
        <v>B86</v>
      </c>
      <c r="E895">
        <f t="shared" ca="1" si="219"/>
        <v>0</v>
      </c>
      <c r="F895" t="str">
        <f ca="1">CONCATENATE("Enter a value for '", C895, "' in cell ", D895, ".", CHAR(10))</f>
        <v xml:space="preserve">Enter a value for 'Developer Fee' in cell B86.
</v>
      </c>
      <c r="G895" s="9" t="str">
        <f t="shared" ca="1" si="217"/>
        <v/>
      </c>
    </row>
    <row r="896" spans="1:7" ht="15" customHeight="1">
      <c r="A896" t="str">
        <f ca="1">IF(AND(OR(Calculations!$B$3:$B$4), E896=""), F896, "")</f>
        <v/>
      </c>
      <c r="B896" t="s">
        <v>461</v>
      </c>
      <c r="C896" t="str">
        <f ca="1">INDIRECT($F$742 &amp; ADDRESS(B895, 1,4  ))</f>
        <v>Developer Fee</v>
      </c>
      <c r="D896" t="str">
        <f>ADDRESS(B895, 3,4  )</f>
        <v>C86</v>
      </c>
      <c r="E896">
        <f t="shared" ca="1" si="219"/>
        <v>0</v>
      </c>
      <c r="F896" t="str">
        <f ca="1">CONCATENATE("Enter an 'Amount Last Provided to CHFA' value for '", C896, "' in cell ", D896, ".", CHAR(10))</f>
        <v xml:space="preserve">Enter an 'Amount Last Provided to CHFA' value for 'Developer Fee' in cell C86.
</v>
      </c>
      <c r="G896" s="9" t="str">
        <f t="shared" ca="1" si="217"/>
        <v/>
      </c>
    </row>
    <row r="897" spans="1:7" ht="15" customHeight="1">
      <c r="A897" t="str">
        <f ca="1">IF(E897="",F897, "")</f>
        <v/>
      </c>
      <c r="B897" s="52">
        <f>B895+1</f>
        <v>87</v>
      </c>
      <c r="C897" t="str">
        <f ca="1">INDIRECT($F$742 &amp; ADDRESS(B897, 1,4  ))</f>
        <v>Developer Overhead</v>
      </c>
      <c r="D897" t="str">
        <f>ADDRESS(B897, 2,4  )</f>
        <v>B87</v>
      </c>
      <c r="E897">
        <f t="shared" ca="1" si="219"/>
        <v>0</v>
      </c>
      <c r="F897" t="str">
        <f ca="1">CONCATENATE("Enter a value for '", C897, "' in cell ", D897, ".", CHAR(10))</f>
        <v xml:space="preserve">Enter a value for 'Developer Overhead' in cell B87.
</v>
      </c>
      <c r="G897" s="9" t="str">
        <f t="shared" ca="1" si="217"/>
        <v/>
      </c>
    </row>
    <row r="898" spans="1:7" ht="15" customHeight="1">
      <c r="A898" t="str">
        <f ca="1">IF(AND(OR(Calculations!$B$3:$B$4), E898=""), F898, "")</f>
        <v/>
      </c>
      <c r="B898" t="s">
        <v>461</v>
      </c>
      <c r="C898" t="str">
        <f ca="1">INDIRECT($F$742 &amp; ADDRESS(B897, 1,4  ))</f>
        <v>Developer Overhead</v>
      </c>
      <c r="D898" t="str">
        <f>ADDRESS(B897, 3,4  )</f>
        <v>C87</v>
      </c>
      <c r="E898">
        <f t="shared" ca="1" si="219"/>
        <v>0</v>
      </c>
      <c r="F898" t="str">
        <f ca="1">CONCATENATE("Enter an 'Amount Last Provided to CHFA' value for '", C898, "' in cell ", D898, ".", CHAR(10))</f>
        <v xml:space="preserve">Enter an 'Amount Last Provided to CHFA' value for 'Developer Overhead' in cell C87.
</v>
      </c>
      <c r="G898" s="9" t="str">
        <f t="shared" ca="1" si="217"/>
        <v/>
      </c>
    </row>
    <row r="899" spans="1:7" ht="15" customHeight="1">
      <c r="A899" t="str">
        <f ca="1">IF(E899="",F899, "")</f>
        <v/>
      </c>
      <c r="B899" s="52">
        <f>B897+1</f>
        <v>88</v>
      </c>
      <c r="C899" t="str">
        <f ca="1">INDIRECT($F$742 &amp; ADDRESS(B899, 1,4  ))</f>
        <v>Developer Profit</v>
      </c>
      <c r="D899" t="str">
        <f>ADDRESS(B899, 2,4  )</f>
        <v>B88</v>
      </c>
      <c r="E899">
        <f t="shared" ca="1" si="219"/>
        <v>0</v>
      </c>
      <c r="F899" t="str">
        <f ca="1">CONCATENATE("Enter a value for '", C899, "' in cell ", D899, ".", CHAR(10))</f>
        <v xml:space="preserve">Enter a value for 'Developer Profit' in cell B88.
</v>
      </c>
      <c r="G899" s="9" t="str">
        <f t="shared" ca="1" si="217"/>
        <v/>
      </c>
    </row>
    <row r="900" spans="1:7" ht="15" customHeight="1">
      <c r="A900" t="str">
        <f ca="1">IF(AND(OR(Calculations!$B$3:$B$4), E900=""), F900, "")</f>
        <v/>
      </c>
      <c r="B900" t="s">
        <v>461</v>
      </c>
      <c r="C900" t="str">
        <f ca="1">INDIRECT($F$742 &amp; ADDRESS(B899, 1,4  ))</f>
        <v>Developer Profit</v>
      </c>
      <c r="D900" t="str">
        <f>ADDRESS(B899, 3,4  )</f>
        <v>C88</v>
      </c>
      <c r="E900">
        <f t="shared" ca="1" si="219"/>
        <v>0</v>
      </c>
      <c r="F900" t="str">
        <f ca="1">CONCATENATE("Enter an 'Amount Last Provided to CHFA' value for '", C900, "' in cell ", D900, ".", CHAR(10))</f>
        <v xml:space="preserve">Enter an 'Amount Last Provided to CHFA' value for 'Developer Profit' in cell C88.
</v>
      </c>
      <c r="G900" s="9" t="str">
        <f t="shared" ca="1" si="217"/>
        <v/>
      </c>
    </row>
    <row r="901" spans="1:7" ht="15" customHeight="1">
      <c r="A901" t="str">
        <f ca="1">IF(E901="",F901, "")</f>
        <v/>
      </c>
      <c r="B901" s="52">
        <f>B899+1</f>
        <v>89</v>
      </c>
      <c r="C901" t="str">
        <f ca="1">INDIRECT($F$742 &amp; ADDRESS(B901, 1,4  ))</f>
        <v>Other (Specify)</v>
      </c>
      <c r="D901" t="str">
        <f>ADDRESS(B901, 2,4  )</f>
        <v>B89</v>
      </c>
      <c r="E901">
        <f t="shared" ca="1" si="219"/>
        <v>0</v>
      </c>
      <c r="F901" t="str">
        <f ca="1">CONCATENATE("Enter a value for '", C901, "' in cell ", D901, ".", CHAR(10))</f>
        <v xml:space="preserve">Enter a value for 'Other (Specify)' in cell B89.
</v>
      </c>
      <c r="G901" s="9" t="str">
        <f t="shared" ca="1" si="217"/>
        <v/>
      </c>
    </row>
    <row r="902" spans="1:7" ht="15" customHeight="1">
      <c r="A902" t="str">
        <f ca="1">IF(AND(OR(Calculations!$B$3:$B$4), E902=""), F902, "")</f>
        <v/>
      </c>
      <c r="B902" t="s">
        <v>461</v>
      </c>
      <c r="C902" t="str">
        <f ca="1">INDIRECT($F$742 &amp; ADDRESS(B901, 1,4  ))</f>
        <v>Other (Specify)</v>
      </c>
      <c r="D902" t="str">
        <f>ADDRESS(B901, 3,4  )</f>
        <v>C89</v>
      </c>
      <c r="E902">
        <f t="shared" ca="1" si="219"/>
        <v>0</v>
      </c>
      <c r="F902" t="str">
        <f ca="1">CONCATENATE("Enter an 'Amount Last Provided to CHFA' value for '", C902, "' in cell ", D902, ".", CHAR(10))</f>
        <v xml:space="preserve">Enter an 'Amount Last Provided to CHFA' value for 'Other (Specify)' in cell C89.
</v>
      </c>
      <c r="G902" s="9" t="str">
        <f t="shared" ca="1" si="217"/>
        <v/>
      </c>
    </row>
    <row r="903" spans="1:7" ht="15" customHeight="1">
      <c r="A903" t="str">
        <f ca="1">IF(AND(E903, SUM(E901:E902) &gt; 0), F903, "")</f>
        <v/>
      </c>
      <c r="C903" t="str">
        <f ca="1">INDIRECT($F$742 &amp; ADDRESS(B901, 1,4  ))</f>
        <v>Other (Specify)</v>
      </c>
      <c r="D903" t="str">
        <f>ADDRESS(B901, 1,4  )</f>
        <v>A89</v>
      </c>
      <c r="E903" t="b">
        <f ca="1">INDIRECT($F$742 &amp; D903)="Other (specify)"</f>
        <v>1</v>
      </c>
      <c r="F903" t="str">
        <f ca="1">CONCATENATE("Please specify value for '", C903, "' in cell ", D903, ".", CHAR(10))</f>
        <v xml:space="preserve">Please specify value for 'Other (Specify)' in cell A89.
</v>
      </c>
      <c r="G903" s="9" t="str">
        <f t="shared" ca="1" si="217"/>
        <v/>
      </c>
    </row>
    <row r="904" spans="1:7" ht="15" customHeight="1">
      <c r="A904" t="str">
        <f ca="1">IF(E904="",F904, "")</f>
        <v/>
      </c>
      <c r="B904">
        <f>ROW('Commercial Budget'!A92)</f>
        <v>92</v>
      </c>
      <c r="C904" t="str">
        <f ca="1">INDIRECT($F$742 &amp; ADDRESS(B904, 1,4  ))</f>
        <v>Rent-up Reserves</v>
      </c>
      <c r="D904" t="str">
        <f>ADDRESS(B904, 2,4  )</f>
        <v>B92</v>
      </c>
      <c r="E904">
        <f t="shared" ref="E904:E913" ca="1" si="220">IF(ISBLANK( INDIRECT($F$742 &amp; D904)),"", INDIRECT($F$742 &amp; D904))</f>
        <v>0</v>
      </c>
      <c r="F904" t="str">
        <f ca="1">CONCATENATE("Enter a value for '", C904, "' in cell ", D904, ".", CHAR(10))</f>
        <v xml:space="preserve">Enter a value for 'Rent-up Reserves' in cell B92.
</v>
      </c>
      <c r="G904" s="9" t="str">
        <f t="shared" ca="1" si="217"/>
        <v/>
      </c>
    </row>
    <row r="905" spans="1:7" ht="15" customHeight="1">
      <c r="A905" t="str">
        <f ca="1">IF(AND(OR(Calculations!$B$3:$B$4), E905=""), F905, "")</f>
        <v/>
      </c>
      <c r="B905" t="s">
        <v>461</v>
      </c>
      <c r="C905" t="str">
        <f ca="1">INDIRECT($F$742 &amp; ADDRESS(B904, 1,4  ))</f>
        <v>Rent-up Reserves</v>
      </c>
      <c r="D905" t="str">
        <f>ADDRESS(B904, 3,4  )</f>
        <v>C92</v>
      </c>
      <c r="E905">
        <f t="shared" ca="1" si="220"/>
        <v>0</v>
      </c>
      <c r="F905" t="str">
        <f ca="1">CONCATENATE("Enter an 'Amount Last Provided to CHFA' value for '", C905, "' in cell ", D905, ".", CHAR(10))</f>
        <v xml:space="preserve">Enter an 'Amount Last Provided to CHFA' value for 'Rent-up Reserves' in cell C92.
</v>
      </c>
      <c r="G905" s="9" t="str">
        <f t="shared" ca="1" si="217"/>
        <v/>
      </c>
    </row>
    <row r="906" spans="1:7" ht="15" customHeight="1">
      <c r="A906" t="str">
        <f ca="1">IF(E906="",F906, "")</f>
        <v/>
      </c>
      <c r="B906" s="52">
        <f>B904+1</f>
        <v>93</v>
      </c>
      <c r="C906" t="str">
        <f ca="1">INDIRECT($F$742 &amp; ADDRESS(B906, 1,4  ))</f>
        <v>Operating Reserves</v>
      </c>
      <c r="D906" t="str">
        <f>ADDRESS(B906, 2,4  )</f>
        <v>B93</v>
      </c>
      <c r="E906">
        <f t="shared" ca="1" si="220"/>
        <v>0</v>
      </c>
      <c r="F906" t="str">
        <f ca="1">CONCATENATE("Enter a value for '", C906, "' in cell ", D906, ".", CHAR(10))</f>
        <v xml:space="preserve">Enter a value for 'Operating Reserves' in cell B93.
</v>
      </c>
      <c r="G906" s="9" t="str">
        <f t="shared" ca="1" si="217"/>
        <v/>
      </c>
    </row>
    <row r="907" spans="1:7" ht="15" customHeight="1">
      <c r="A907" t="str">
        <f ca="1">IF(AND(OR(Calculations!$B$3:$B$4), E907=""), F907, "")</f>
        <v/>
      </c>
      <c r="B907" t="s">
        <v>461</v>
      </c>
      <c r="C907" t="str">
        <f ca="1">INDIRECT($F$742 &amp; ADDRESS(B906, 1,4  ))</f>
        <v>Operating Reserves</v>
      </c>
      <c r="D907" t="str">
        <f>ADDRESS(B906, 3,4  )</f>
        <v>C93</v>
      </c>
      <c r="E907">
        <f t="shared" ca="1" si="220"/>
        <v>0</v>
      </c>
      <c r="F907" t="str">
        <f ca="1">CONCATENATE("Enter an 'Amount Last Provided to CHFA' value for '", C907, "' in cell ", D907, ".", CHAR(10))</f>
        <v xml:space="preserve">Enter an 'Amount Last Provided to CHFA' value for 'Operating Reserves' in cell C93.
</v>
      </c>
      <c r="G907" s="9" t="str">
        <f t="shared" ref="G907:G917" ca="1" si="221">OFFSET(G907, -1, 0) &amp; A907</f>
        <v/>
      </c>
    </row>
    <row r="908" spans="1:7" ht="15" customHeight="1">
      <c r="A908" t="str">
        <f ca="1">IF(E908="",F908, "")</f>
        <v/>
      </c>
      <c r="B908" s="52">
        <f>B906+1</f>
        <v>94</v>
      </c>
      <c r="C908" t="str">
        <f ca="1">INDIRECT($F$742 &amp; ADDRESS(B908, 1,4  ))</f>
        <v>Replacement Reserves</v>
      </c>
      <c r="D908" t="str">
        <f>ADDRESS(B908, 2,4  )</f>
        <v>B94</v>
      </c>
      <c r="E908">
        <f t="shared" ca="1" si="220"/>
        <v>0</v>
      </c>
      <c r="F908" t="str">
        <f ca="1">CONCATENATE("Enter a value for '", C908, "' in cell ", D908, ".", CHAR(10))</f>
        <v xml:space="preserve">Enter a value for 'Replacement Reserves' in cell B94.
</v>
      </c>
      <c r="G908" s="9" t="str">
        <f t="shared" ca="1" si="221"/>
        <v/>
      </c>
    </row>
    <row r="909" spans="1:7" ht="15" customHeight="1">
      <c r="A909" t="str">
        <f ca="1">IF(AND(OR(Calculations!$B$3:$B$4), E909=""), F909, "")</f>
        <v/>
      </c>
      <c r="B909" t="s">
        <v>461</v>
      </c>
      <c r="C909" t="str">
        <f ca="1">INDIRECT($F$742 &amp; ADDRESS(B908, 1,4  ))</f>
        <v>Replacement Reserves</v>
      </c>
      <c r="D909" t="str">
        <f>ADDRESS(B908, 3,4  )</f>
        <v>C94</v>
      </c>
      <c r="E909">
        <f t="shared" ca="1" si="220"/>
        <v>0</v>
      </c>
      <c r="F909" t="str">
        <f ca="1">CONCATENATE("Enter an 'Amount Last Provided to CHFA' value for '", C909, "' in cell ", D909, ".", CHAR(10))</f>
        <v xml:space="preserve">Enter an 'Amount Last Provided to CHFA' value for 'Replacement Reserves' in cell C94.
</v>
      </c>
      <c r="G909" s="9" t="str">
        <f t="shared" ca="1" si="221"/>
        <v/>
      </c>
    </row>
    <row r="910" spans="1:7" ht="15" customHeight="1">
      <c r="A910" t="str">
        <f ca="1">IF(E910="",F910, "")</f>
        <v/>
      </c>
      <c r="B910" s="52">
        <f>B908+1</f>
        <v>95</v>
      </c>
      <c r="C910" t="str">
        <f ca="1">INDIRECT($F$742 &amp; ADDRESS(B910, 1,4  ))</f>
        <v>Escrows</v>
      </c>
      <c r="D910" t="str">
        <f>ADDRESS(B910, 2,4  )</f>
        <v>B95</v>
      </c>
      <c r="E910">
        <f t="shared" ca="1" si="220"/>
        <v>0</v>
      </c>
      <c r="F910" t="str">
        <f ca="1">CONCATENATE("Enter a value for '", C910, "' in cell ", D910, ".", CHAR(10))</f>
        <v xml:space="preserve">Enter a value for 'Escrows' in cell B95.
</v>
      </c>
      <c r="G910" s="9" t="str">
        <f t="shared" ca="1" si="221"/>
        <v/>
      </c>
    </row>
    <row r="911" spans="1:7" ht="15" customHeight="1">
      <c r="A911" t="str">
        <f ca="1">IF(AND(OR(Calculations!$B$3:$B$4), E911=""), F911, "")</f>
        <v/>
      </c>
      <c r="B911" t="s">
        <v>461</v>
      </c>
      <c r="C911" t="str">
        <f ca="1">INDIRECT($F$742 &amp; ADDRESS(B910, 1,4  ))</f>
        <v>Escrows</v>
      </c>
      <c r="D911" t="str">
        <f>ADDRESS(B910, 3,4  )</f>
        <v>C95</v>
      </c>
      <c r="E911">
        <f t="shared" ca="1" si="220"/>
        <v>0</v>
      </c>
      <c r="F911" t="str">
        <f ca="1">CONCATENATE("Enter an 'Amount Last Provided to CHFA' value for '", C911, "' in cell ", D911, ".", CHAR(10))</f>
        <v xml:space="preserve">Enter an 'Amount Last Provided to CHFA' value for 'Escrows' in cell C95.
</v>
      </c>
      <c r="G911" s="9" t="str">
        <f t="shared" ca="1" si="221"/>
        <v/>
      </c>
    </row>
    <row r="912" spans="1:7" ht="15" customHeight="1">
      <c r="A912" t="str">
        <f ca="1">IF(E912="",F912, "")</f>
        <v/>
      </c>
      <c r="B912" s="52">
        <f>B910+1</f>
        <v>96</v>
      </c>
      <c r="C912" t="str">
        <f ca="1">INDIRECT($F$742 &amp; ADDRESS(B912, 1,4  ))</f>
        <v>Other (Specify)</v>
      </c>
      <c r="D912" t="str">
        <f>ADDRESS(B912, 2,4  )</f>
        <v>B96</v>
      </c>
      <c r="E912">
        <f t="shared" ca="1" si="220"/>
        <v>0</v>
      </c>
      <c r="F912" t="str">
        <f ca="1">CONCATENATE("Enter a value for '", C912, "' in cell ", D912, ".", CHAR(10))</f>
        <v xml:space="preserve">Enter a value for 'Other (Specify)' in cell B96.
</v>
      </c>
      <c r="G912" s="9" t="str">
        <f t="shared" ca="1" si="221"/>
        <v/>
      </c>
    </row>
    <row r="913" spans="1:12" ht="15" customHeight="1">
      <c r="A913" t="str">
        <f ca="1">IF(AND(OR(Calculations!$B$3:$B$4), E913=""), F913, "")</f>
        <v/>
      </c>
      <c r="B913" t="s">
        <v>461</v>
      </c>
      <c r="C913" t="str">
        <f ca="1">INDIRECT($F$742 &amp; ADDRESS(B912, 1,4  ))</f>
        <v>Other (Specify)</v>
      </c>
      <c r="D913" t="str">
        <f>ADDRESS(B912, 3,4  )</f>
        <v>C96</v>
      </c>
      <c r="E913">
        <f t="shared" ca="1" si="220"/>
        <v>0</v>
      </c>
      <c r="F913" t="str">
        <f ca="1">CONCATENATE("Enter an 'Amount Last Provided to CHFA' value for '", C913, "' in cell ", D913, ".", CHAR(10))</f>
        <v xml:space="preserve">Enter an 'Amount Last Provided to CHFA' value for 'Other (Specify)' in cell C96.
</v>
      </c>
      <c r="G913" s="9" t="str">
        <f t="shared" ca="1" si="221"/>
        <v/>
      </c>
    </row>
    <row r="914" spans="1:12" ht="15" customHeight="1">
      <c r="A914" t="str">
        <f ca="1">IF(AND(E914, SUM(E912:E913) &gt; 0), F914, "")</f>
        <v/>
      </c>
      <c r="C914" t="str">
        <f ca="1">INDIRECT($F$742 &amp; ADDRESS(B912, 1,4  ))</f>
        <v>Other (Specify)</v>
      </c>
      <c r="D914" t="str">
        <f>ADDRESS(B912, 1,4  )</f>
        <v>A96</v>
      </c>
      <c r="E914" t="b">
        <f ca="1">INDIRECT($F$742 &amp; D914)="Other (specify)"</f>
        <v>1</v>
      </c>
      <c r="F914" t="str">
        <f ca="1">CONCATENATE("Please specify value for '", C914, "' in cell ", D914, ".", CHAR(10))</f>
        <v xml:space="preserve">Please specify value for 'Other (Specify)' in cell A96.
</v>
      </c>
      <c r="G914" s="9" t="str">
        <f t="shared" ca="1" si="221"/>
        <v/>
      </c>
    </row>
    <row r="915" spans="1:12" ht="15" customHeight="1">
      <c r="G915" s="9" t="str">
        <f t="shared" ca="1" si="221"/>
        <v/>
      </c>
    </row>
    <row r="916" spans="1:12" ht="15" customHeight="1">
      <c r="G916" s="9" t="str">
        <f t="shared" ca="1" si="221"/>
        <v/>
      </c>
    </row>
    <row r="917" spans="1:12" ht="15" customHeight="1">
      <c r="G917" s="9" t="str">
        <f t="shared" ca="1" si="221"/>
        <v/>
      </c>
    </row>
    <row r="918" spans="1:12" ht="15" customHeight="1">
      <c r="A918" s="55" t="s">
        <v>3836</v>
      </c>
      <c r="B918" s="53"/>
      <c r="C918" s="53"/>
      <c r="D918" s="53"/>
      <c r="E918" s="53"/>
      <c r="F918" s="53"/>
      <c r="G918" s="56" t="str">
        <f ca="1">OFFSET(G918, -1, 0)</f>
        <v/>
      </c>
    </row>
    <row r="919" spans="1:12" ht="15" customHeight="1"/>
    <row r="920" spans="1:12" ht="15" customHeight="1"/>
    <row r="921" spans="1:12" ht="15" customHeight="1">
      <c r="A921" s="22" t="s">
        <v>95</v>
      </c>
      <c r="F921" s="49" t="s">
        <v>3837</v>
      </c>
    </row>
    <row r="922" spans="1:12" ht="15" customHeight="1">
      <c r="A922" s="53" t="s">
        <v>3792</v>
      </c>
      <c r="B922" s="53" t="s">
        <v>3793</v>
      </c>
      <c r="C922" s="53" t="s">
        <v>3794</v>
      </c>
      <c r="D922" s="53" t="s">
        <v>3795</v>
      </c>
      <c r="E922" s="53" t="s">
        <v>3796</v>
      </c>
      <c r="F922" s="53" t="s">
        <v>3797</v>
      </c>
      <c r="G922" s="54" t="s">
        <v>3798</v>
      </c>
    </row>
    <row r="923" spans="1:12" ht="15" customHeight="1">
      <c r="A923" t="str">
        <f t="shared" ref="A923:A952" ca="1" si="222">IF(E923="", F923, "")</f>
        <v/>
      </c>
      <c r="B923">
        <f>ROW('Proforma, Income &amp; Expense'!A4)</f>
        <v>4</v>
      </c>
      <c r="C923" t="str">
        <f t="shared" ref="C923:C952" ca="1" si="223">INDIRECT($F$921 &amp; ADDRESS(B923, 1,4  ))</f>
        <v>Partnership/Asset Mgt. Fees</v>
      </c>
      <c r="D923" t="str">
        <f>ADDRESS($B$923, 2,4  )</f>
        <v>B4</v>
      </c>
      <c r="E923">
        <f t="shared" ref="E923:E952" ca="1" si="224">IF(ISBLANK( INDIRECT($F$921 &amp; D923)),"", INDIRECT($F$921 &amp; D923))</f>
        <v>0</v>
      </c>
      <c r="F923" t="str">
        <f t="shared" ref="F923:F952" ca="1" si="225">CONCATENATE("Enter a '", H923,"' value for '", C923, "' in cell ", D923, ".", CHAR(10))</f>
        <v xml:space="preserve">Enter a 'Year 1' value for 'Partnership/Asset Mgt. Fees' in cell B4.
</v>
      </c>
      <c r="G923" s="9" t="str">
        <f ca="1">A923</f>
        <v/>
      </c>
      <c r="H923" s="52" t="str">
        <f t="shared" ref="H923:H937" ca="1" si="226">OFFSET(INDIRECT($F$921&amp;D923), -1, 0)</f>
        <v>Year 1</v>
      </c>
    </row>
    <row r="924" spans="1:12" ht="15" customHeight="1">
      <c r="A924" t="str">
        <f t="shared" ca="1" si="222"/>
        <v/>
      </c>
      <c r="B924" s="52">
        <f t="shared" ref="B924:B937" si="227">B923</f>
        <v>4</v>
      </c>
      <c r="C924" t="str">
        <f t="shared" ca="1" si="223"/>
        <v>Partnership/Asset Mgt. Fees</v>
      </c>
      <c r="D924" t="str">
        <f>ADDRESS($B$923, 3,4  )</f>
        <v>C4</v>
      </c>
      <c r="E924">
        <f t="shared" ca="1" si="224"/>
        <v>0</v>
      </c>
      <c r="F924" t="str">
        <f t="shared" ca="1" si="225"/>
        <v xml:space="preserve">Enter a 'Year 2' value for 'Partnership/Asset Mgt. Fees' in cell C4.
</v>
      </c>
      <c r="G924" s="9" t="str">
        <f t="shared" ref="G924:G937" ca="1" si="228">OFFSET(G924, -1, 0) &amp; A924</f>
        <v/>
      </c>
      <c r="H924" s="52" t="str">
        <f t="shared" ca="1" si="226"/>
        <v>Year 2</v>
      </c>
    </row>
    <row r="925" spans="1:12" ht="15" customHeight="1">
      <c r="A925" t="str">
        <f t="shared" ca="1" si="222"/>
        <v/>
      </c>
      <c r="B925" s="52">
        <f t="shared" si="227"/>
        <v>4</v>
      </c>
      <c r="C925" t="str">
        <f t="shared" ca="1" si="223"/>
        <v>Partnership/Asset Mgt. Fees</v>
      </c>
      <c r="D925" t="str">
        <f>ADDRESS($B$923, 4,4  )</f>
        <v>D4</v>
      </c>
      <c r="E925">
        <f t="shared" ca="1" si="224"/>
        <v>0</v>
      </c>
      <c r="F925" t="str">
        <f t="shared" ca="1" si="225"/>
        <v xml:space="preserve">Enter a 'Year 3' value for 'Partnership/Asset Mgt. Fees' in cell D4.
</v>
      </c>
      <c r="G925" s="9" t="str">
        <f t="shared" ca="1" si="228"/>
        <v/>
      </c>
      <c r="H925" s="52" t="str">
        <f t="shared" ca="1" si="226"/>
        <v>Year 3</v>
      </c>
    </row>
    <row r="926" spans="1:12" ht="15" customHeight="1">
      <c r="A926" t="str">
        <f t="shared" ca="1" si="222"/>
        <v/>
      </c>
      <c r="B926" s="52">
        <f t="shared" si="227"/>
        <v>4</v>
      </c>
      <c r="C926" t="str">
        <f t="shared" ca="1" si="223"/>
        <v>Partnership/Asset Mgt. Fees</v>
      </c>
      <c r="D926" t="str">
        <f>ADDRESS($B$923, 5,4  )</f>
        <v>E4</v>
      </c>
      <c r="E926">
        <f t="shared" ca="1" si="224"/>
        <v>0</v>
      </c>
      <c r="F926" t="str">
        <f t="shared" ca="1" si="225"/>
        <v xml:space="preserve">Enter a 'Year 4' value for 'Partnership/Asset Mgt. Fees' in cell E4.
</v>
      </c>
      <c r="G926" s="9" t="str">
        <f t="shared" ca="1" si="228"/>
        <v/>
      </c>
      <c r="H926" s="52" t="str">
        <f t="shared" ca="1" si="226"/>
        <v>Year 4</v>
      </c>
    </row>
    <row r="927" spans="1:12" ht="15" customHeight="1">
      <c r="A927" t="str">
        <f t="shared" ca="1" si="222"/>
        <v/>
      </c>
      <c r="B927" s="52">
        <f t="shared" si="227"/>
        <v>4</v>
      </c>
      <c r="C927" t="str">
        <f t="shared" ca="1" si="223"/>
        <v>Partnership/Asset Mgt. Fees</v>
      </c>
      <c r="D927" t="str">
        <f>ADDRESS($B$923, 6,4  )</f>
        <v>F4</v>
      </c>
      <c r="E927">
        <f t="shared" ca="1" si="224"/>
        <v>0</v>
      </c>
      <c r="F927" t="str">
        <f t="shared" ca="1" si="225"/>
        <v xml:space="preserve">Enter a 'Year 5' value for 'Partnership/Asset Mgt. Fees' in cell F4.
</v>
      </c>
      <c r="G927" s="9" t="str">
        <f t="shared" ca="1" si="228"/>
        <v/>
      </c>
      <c r="H927" s="52" t="str">
        <f t="shared" ca="1" si="226"/>
        <v>Year 5</v>
      </c>
      <c r="L927" s="49"/>
    </row>
    <row r="928" spans="1:12" ht="15" customHeight="1">
      <c r="A928" t="str">
        <f t="shared" ca="1" si="222"/>
        <v/>
      </c>
      <c r="B928" s="52">
        <f t="shared" si="227"/>
        <v>4</v>
      </c>
      <c r="C928" t="str">
        <f t="shared" ca="1" si="223"/>
        <v>Partnership/Asset Mgt. Fees</v>
      </c>
      <c r="D928" t="str">
        <f>ADDRESS($B$923, 7,4  )</f>
        <v>G4</v>
      </c>
      <c r="E928">
        <f t="shared" ca="1" si="224"/>
        <v>0</v>
      </c>
      <c r="F928" t="str">
        <f t="shared" ca="1" si="225"/>
        <v xml:space="preserve">Enter a 'Year 6' value for 'Partnership/Asset Mgt. Fees' in cell G4.
</v>
      </c>
      <c r="G928" s="9" t="str">
        <f t="shared" ca="1" si="228"/>
        <v/>
      </c>
      <c r="H928" s="52" t="str">
        <f t="shared" ca="1" si="226"/>
        <v>Year 6</v>
      </c>
    </row>
    <row r="929" spans="1:8" ht="15" customHeight="1">
      <c r="A929" t="str">
        <f t="shared" ca="1" si="222"/>
        <v/>
      </c>
      <c r="B929" s="52">
        <f t="shared" si="227"/>
        <v>4</v>
      </c>
      <c r="C929" t="str">
        <f t="shared" ca="1" si="223"/>
        <v>Partnership/Asset Mgt. Fees</v>
      </c>
      <c r="D929" t="str">
        <f>ADDRESS($B$923, 8,4  )</f>
        <v>H4</v>
      </c>
      <c r="E929">
        <f t="shared" ca="1" si="224"/>
        <v>0</v>
      </c>
      <c r="F929" t="str">
        <f t="shared" ca="1" si="225"/>
        <v xml:space="preserve">Enter a 'Year 7' value for 'Partnership/Asset Mgt. Fees' in cell H4.
</v>
      </c>
      <c r="G929" s="9" t="str">
        <f t="shared" ca="1" si="228"/>
        <v/>
      </c>
      <c r="H929" s="52" t="str">
        <f t="shared" ca="1" si="226"/>
        <v>Year 7</v>
      </c>
    </row>
    <row r="930" spans="1:8" ht="15" customHeight="1">
      <c r="A930" t="str">
        <f t="shared" ca="1" si="222"/>
        <v/>
      </c>
      <c r="B930" s="52">
        <f t="shared" si="227"/>
        <v>4</v>
      </c>
      <c r="C930" t="str">
        <f t="shared" ca="1" si="223"/>
        <v>Partnership/Asset Mgt. Fees</v>
      </c>
      <c r="D930" t="str">
        <f>ADDRESS($B$923, 9,4  )</f>
        <v>I4</v>
      </c>
      <c r="E930">
        <f t="shared" ca="1" si="224"/>
        <v>0</v>
      </c>
      <c r="F930" t="str">
        <f t="shared" ca="1" si="225"/>
        <v xml:space="preserve">Enter a 'Year 8' value for 'Partnership/Asset Mgt. Fees' in cell I4.
</v>
      </c>
      <c r="G930" s="9" t="str">
        <f t="shared" ca="1" si="228"/>
        <v/>
      </c>
      <c r="H930" s="52" t="str">
        <f t="shared" ca="1" si="226"/>
        <v>Year 8</v>
      </c>
    </row>
    <row r="931" spans="1:8" ht="15" customHeight="1">
      <c r="A931" t="str">
        <f t="shared" ca="1" si="222"/>
        <v/>
      </c>
      <c r="B931" s="52">
        <f t="shared" si="227"/>
        <v>4</v>
      </c>
      <c r="C931" t="str">
        <f t="shared" ca="1" si="223"/>
        <v>Partnership/Asset Mgt. Fees</v>
      </c>
      <c r="D931" t="str">
        <f>ADDRESS($B$923, 10,4  )</f>
        <v>J4</v>
      </c>
      <c r="E931">
        <f t="shared" ca="1" si="224"/>
        <v>0</v>
      </c>
      <c r="F931" t="str">
        <f t="shared" ca="1" si="225"/>
        <v xml:space="preserve">Enter a 'Year 9' value for 'Partnership/Asset Mgt. Fees' in cell J4.
</v>
      </c>
      <c r="G931" s="9" t="str">
        <f t="shared" ca="1" si="228"/>
        <v/>
      </c>
      <c r="H931" s="52" t="str">
        <f t="shared" ca="1" si="226"/>
        <v>Year 9</v>
      </c>
    </row>
    <row r="932" spans="1:8" ht="15" customHeight="1">
      <c r="A932" t="str">
        <f t="shared" ca="1" si="222"/>
        <v/>
      </c>
      <c r="B932" s="52">
        <f t="shared" si="227"/>
        <v>4</v>
      </c>
      <c r="C932" t="str">
        <f t="shared" ca="1" si="223"/>
        <v>Partnership/Asset Mgt. Fees</v>
      </c>
      <c r="D932" t="str">
        <f>ADDRESS($B$923,11,4  )</f>
        <v>K4</v>
      </c>
      <c r="E932">
        <f t="shared" ca="1" si="224"/>
        <v>0</v>
      </c>
      <c r="F932" t="str">
        <f t="shared" ca="1" si="225"/>
        <v xml:space="preserve">Enter a 'Year 10' value for 'Partnership/Asset Mgt. Fees' in cell K4.
</v>
      </c>
      <c r="G932" s="9" t="str">
        <f t="shared" ca="1" si="228"/>
        <v/>
      </c>
      <c r="H932" s="52" t="str">
        <f t="shared" ca="1" si="226"/>
        <v>Year 10</v>
      </c>
    </row>
    <row r="933" spans="1:8" ht="15" customHeight="1">
      <c r="A933" t="str">
        <f t="shared" ca="1" si="222"/>
        <v/>
      </c>
      <c r="B933" s="52">
        <f t="shared" si="227"/>
        <v>4</v>
      </c>
      <c r="C933" t="str">
        <f t="shared" ca="1" si="223"/>
        <v>Partnership/Asset Mgt. Fees</v>
      </c>
      <c r="D933" t="str">
        <f>ADDRESS($B$923,12,4  )</f>
        <v>L4</v>
      </c>
      <c r="E933">
        <f t="shared" ca="1" si="224"/>
        <v>0</v>
      </c>
      <c r="F933" t="str">
        <f t="shared" ca="1" si="225"/>
        <v xml:space="preserve">Enter a 'Year 11' value for 'Partnership/Asset Mgt. Fees' in cell L4.
</v>
      </c>
      <c r="G933" s="9" t="str">
        <f t="shared" ca="1" si="228"/>
        <v/>
      </c>
      <c r="H933" s="52" t="str">
        <f t="shared" ca="1" si="226"/>
        <v>Year 11</v>
      </c>
    </row>
    <row r="934" spans="1:8" ht="15" customHeight="1">
      <c r="A934" t="str">
        <f t="shared" ca="1" si="222"/>
        <v/>
      </c>
      <c r="B934" s="52">
        <f t="shared" si="227"/>
        <v>4</v>
      </c>
      <c r="C934" t="str">
        <f t="shared" ca="1" si="223"/>
        <v>Partnership/Asset Mgt. Fees</v>
      </c>
      <c r="D934" t="str">
        <f>ADDRESS($B$923,13,4  )</f>
        <v>M4</v>
      </c>
      <c r="E934">
        <f t="shared" ca="1" si="224"/>
        <v>0</v>
      </c>
      <c r="F934" t="str">
        <f t="shared" ca="1" si="225"/>
        <v xml:space="preserve">Enter a 'Year 12' value for 'Partnership/Asset Mgt. Fees' in cell M4.
</v>
      </c>
      <c r="G934" s="9" t="str">
        <f t="shared" ca="1" si="228"/>
        <v/>
      </c>
      <c r="H934" s="52" t="str">
        <f t="shared" ca="1" si="226"/>
        <v>Year 12</v>
      </c>
    </row>
    <row r="935" spans="1:8" ht="15" customHeight="1">
      <c r="A935" t="str">
        <f t="shared" ca="1" si="222"/>
        <v/>
      </c>
      <c r="B935" s="52">
        <f t="shared" si="227"/>
        <v>4</v>
      </c>
      <c r="C935" t="str">
        <f t="shared" ca="1" si="223"/>
        <v>Partnership/Asset Mgt. Fees</v>
      </c>
      <c r="D935" t="str">
        <f>ADDRESS($B$923,14,4  )</f>
        <v>N4</v>
      </c>
      <c r="E935">
        <f t="shared" ca="1" si="224"/>
        <v>0</v>
      </c>
      <c r="F935" t="str">
        <f t="shared" ca="1" si="225"/>
        <v xml:space="preserve">Enter a 'Year 13' value for 'Partnership/Asset Mgt. Fees' in cell N4.
</v>
      </c>
      <c r="G935" s="9" t="str">
        <f t="shared" ca="1" si="228"/>
        <v/>
      </c>
      <c r="H935" s="52" t="str">
        <f t="shared" ca="1" si="226"/>
        <v>Year 13</v>
      </c>
    </row>
    <row r="936" spans="1:8" ht="15" customHeight="1">
      <c r="A936" t="str">
        <f t="shared" ca="1" si="222"/>
        <v/>
      </c>
      <c r="B936" s="52">
        <f t="shared" si="227"/>
        <v>4</v>
      </c>
      <c r="C936" t="str">
        <f t="shared" ca="1" si="223"/>
        <v>Partnership/Asset Mgt. Fees</v>
      </c>
      <c r="D936" t="str">
        <f>ADDRESS($B$923,15,4  )</f>
        <v>O4</v>
      </c>
      <c r="E936">
        <f t="shared" ca="1" si="224"/>
        <v>0</v>
      </c>
      <c r="F936" t="str">
        <f t="shared" ca="1" si="225"/>
        <v xml:space="preserve">Enter a 'Year 14' value for 'Partnership/Asset Mgt. Fees' in cell O4.
</v>
      </c>
      <c r="G936" s="9" t="str">
        <f t="shared" ca="1" si="228"/>
        <v/>
      </c>
      <c r="H936" s="52" t="str">
        <f t="shared" ca="1" si="226"/>
        <v>Year 14</v>
      </c>
    </row>
    <row r="937" spans="1:8" ht="15" customHeight="1">
      <c r="A937" t="str">
        <f t="shared" ca="1" si="222"/>
        <v/>
      </c>
      <c r="B937" s="52">
        <f t="shared" si="227"/>
        <v>4</v>
      </c>
      <c r="C937" t="str">
        <f t="shared" ca="1" si="223"/>
        <v>Partnership/Asset Mgt. Fees</v>
      </c>
      <c r="D937" t="str">
        <f>ADDRESS($B$923,16,4  )</f>
        <v>P4</v>
      </c>
      <c r="E937">
        <f t="shared" ca="1" si="224"/>
        <v>0</v>
      </c>
      <c r="F937" t="str">
        <f t="shared" ca="1" si="225"/>
        <v xml:space="preserve">Enter a 'Year 15' value for 'Partnership/Asset Mgt. Fees' in cell P4.
</v>
      </c>
      <c r="G937" s="9" t="str">
        <f t="shared" ca="1" si="228"/>
        <v/>
      </c>
      <c r="H937" s="52" t="str">
        <f t="shared" ca="1" si="226"/>
        <v>Year 15</v>
      </c>
    </row>
    <row r="938" spans="1:8" ht="15" customHeight="1">
      <c r="A938" t="str">
        <f t="shared" ca="1" si="222"/>
        <v/>
      </c>
      <c r="B938">
        <f>ROW('Proforma, Income &amp; Expense'!A5)</f>
        <v>5</v>
      </c>
      <c r="C938" t="str">
        <f t="shared" ca="1" si="223"/>
        <v>Bond Fees (if applicable)</v>
      </c>
      <c r="D938" t="str">
        <f>ADDRESS($B$923, 2,4  )</f>
        <v>B4</v>
      </c>
      <c r="E938">
        <f t="shared" ca="1" si="224"/>
        <v>0</v>
      </c>
      <c r="F938" t="str">
        <f t="shared" ca="1" si="225"/>
        <v xml:space="preserve">Enter a '5' value for 'Bond Fees (if applicable)' in cell B4.
</v>
      </c>
      <c r="G938">
        <f t="shared" ref="G938:G952" si="229">IF(K938="", L938, "")</f>
        <v>0</v>
      </c>
      <c r="H938">
        <f>ROW('Proforma, Income &amp; Expense'!G5)</f>
        <v>5</v>
      </c>
    </row>
    <row r="939" spans="1:8" ht="15" customHeight="1">
      <c r="A939" t="str">
        <f t="shared" ca="1" si="222"/>
        <v/>
      </c>
      <c r="B939" s="52">
        <f t="shared" ref="B939:B967" si="230">B938</f>
        <v>5</v>
      </c>
      <c r="C939" t="str">
        <f t="shared" ca="1" si="223"/>
        <v>Bond Fees (if applicable)</v>
      </c>
      <c r="D939" t="str">
        <f>ADDRESS($B$923, 3,4  )</f>
        <v>C4</v>
      </c>
      <c r="E939">
        <f t="shared" ca="1" si="224"/>
        <v>0</v>
      </c>
      <c r="F939" t="str">
        <f t="shared" ca="1" si="225"/>
        <v xml:space="preserve">Enter a '5' value for 'Bond Fees (if applicable)' in cell C4.
</v>
      </c>
      <c r="G939">
        <f t="shared" si="229"/>
        <v>0</v>
      </c>
      <c r="H939" s="52">
        <f t="shared" ref="H939:H967" si="231">H938</f>
        <v>5</v>
      </c>
    </row>
    <row r="940" spans="1:8" ht="15" customHeight="1">
      <c r="A940" t="str">
        <f t="shared" ca="1" si="222"/>
        <v/>
      </c>
      <c r="B940" s="52">
        <f t="shared" si="230"/>
        <v>5</v>
      </c>
      <c r="C940" t="str">
        <f t="shared" ca="1" si="223"/>
        <v>Bond Fees (if applicable)</v>
      </c>
      <c r="D940" t="str">
        <f>ADDRESS($B$923, 4,4  )</f>
        <v>D4</v>
      </c>
      <c r="E940">
        <f t="shared" ca="1" si="224"/>
        <v>0</v>
      </c>
      <c r="F940" t="str">
        <f t="shared" ca="1" si="225"/>
        <v xml:space="preserve">Enter a '5' value for 'Bond Fees (if applicable)' in cell D4.
</v>
      </c>
      <c r="G940">
        <f t="shared" si="229"/>
        <v>0</v>
      </c>
      <c r="H940" s="52">
        <f t="shared" si="231"/>
        <v>5</v>
      </c>
    </row>
    <row r="941" spans="1:8" ht="15" customHeight="1">
      <c r="A941" t="str">
        <f t="shared" ca="1" si="222"/>
        <v/>
      </c>
      <c r="B941" s="52">
        <f t="shared" si="230"/>
        <v>5</v>
      </c>
      <c r="C941" t="str">
        <f t="shared" ca="1" si="223"/>
        <v>Bond Fees (if applicable)</v>
      </c>
      <c r="D941" t="str">
        <f>ADDRESS($B$923, 5,4  )</f>
        <v>E4</v>
      </c>
      <c r="E941">
        <f t="shared" ca="1" si="224"/>
        <v>0</v>
      </c>
      <c r="F941" t="str">
        <f t="shared" ca="1" si="225"/>
        <v xml:space="preserve">Enter a '5' value for 'Bond Fees (if applicable)' in cell E4.
</v>
      </c>
      <c r="G941">
        <f t="shared" si="229"/>
        <v>0</v>
      </c>
      <c r="H941" s="52">
        <f t="shared" si="231"/>
        <v>5</v>
      </c>
    </row>
    <row r="942" spans="1:8" ht="15" customHeight="1">
      <c r="A942" t="str">
        <f t="shared" ca="1" si="222"/>
        <v/>
      </c>
      <c r="B942" s="52">
        <f t="shared" si="230"/>
        <v>5</v>
      </c>
      <c r="C942" t="str">
        <f t="shared" ca="1" si="223"/>
        <v>Bond Fees (if applicable)</v>
      </c>
      <c r="D942" t="str">
        <f>ADDRESS($B$923, 6,4  )</f>
        <v>F4</v>
      </c>
      <c r="E942">
        <f t="shared" ca="1" si="224"/>
        <v>0</v>
      </c>
      <c r="F942" t="str">
        <f t="shared" ca="1" si="225"/>
        <v xml:space="preserve">Enter a '5' value for 'Bond Fees (if applicable)' in cell F4.
</v>
      </c>
      <c r="G942">
        <f t="shared" si="229"/>
        <v>0</v>
      </c>
      <c r="H942" s="52">
        <f t="shared" si="231"/>
        <v>5</v>
      </c>
    </row>
    <row r="943" spans="1:8" ht="15" customHeight="1">
      <c r="A943" t="str">
        <f t="shared" ca="1" si="222"/>
        <v/>
      </c>
      <c r="B943" s="52">
        <f t="shared" si="230"/>
        <v>5</v>
      </c>
      <c r="C943" t="str">
        <f t="shared" ca="1" si="223"/>
        <v>Bond Fees (if applicable)</v>
      </c>
      <c r="D943" t="str">
        <f>ADDRESS($B$923, 7,4  )</f>
        <v>G4</v>
      </c>
      <c r="E943">
        <f t="shared" ca="1" si="224"/>
        <v>0</v>
      </c>
      <c r="F943" t="str">
        <f t="shared" ca="1" si="225"/>
        <v xml:space="preserve">Enter a '5' value for 'Bond Fees (if applicable)' in cell G4.
</v>
      </c>
      <c r="G943">
        <f t="shared" si="229"/>
        <v>0</v>
      </c>
      <c r="H943" s="52">
        <f t="shared" si="231"/>
        <v>5</v>
      </c>
    </row>
    <row r="944" spans="1:8" ht="15" customHeight="1">
      <c r="A944" t="str">
        <f t="shared" ca="1" si="222"/>
        <v/>
      </c>
      <c r="B944" s="52">
        <f t="shared" si="230"/>
        <v>5</v>
      </c>
      <c r="C944" t="str">
        <f t="shared" ca="1" si="223"/>
        <v>Bond Fees (if applicable)</v>
      </c>
      <c r="D944" t="str">
        <f>ADDRESS($B$923, 8,4  )</f>
        <v>H4</v>
      </c>
      <c r="E944">
        <f t="shared" ca="1" si="224"/>
        <v>0</v>
      </c>
      <c r="F944" t="str">
        <f t="shared" ca="1" si="225"/>
        <v xml:space="preserve">Enter a '5' value for 'Bond Fees (if applicable)' in cell H4.
</v>
      </c>
      <c r="G944">
        <f t="shared" si="229"/>
        <v>0</v>
      </c>
      <c r="H944" s="52">
        <f t="shared" si="231"/>
        <v>5</v>
      </c>
    </row>
    <row r="945" spans="1:8" ht="15" customHeight="1">
      <c r="A945" t="str">
        <f t="shared" ca="1" si="222"/>
        <v/>
      </c>
      <c r="B945" s="52">
        <f t="shared" si="230"/>
        <v>5</v>
      </c>
      <c r="C945" t="str">
        <f t="shared" ca="1" si="223"/>
        <v>Bond Fees (if applicable)</v>
      </c>
      <c r="D945" t="str">
        <f>ADDRESS($B$923, 9,4  )</f>
        <v>I4</v>
      </c>
      <c r="E945">
        <f t="shared" ca="1" si="224"/>
        <v>0</v>
      </c>
      <c r="F945" t="str">
        <f t="shared" ca="1" si="225"/>
        <v xml:space="preserve">Enter a '5' value for 'Bond Fees (if applicable)' in cell I4.
</v>
      </c>
      <c r="G945">
        <f t="shared" si="229"/>
        <v>0</v>
      </c>
      <c r="H945" s="52">
        <f t="shared" si="231"/>
        <v>5</v>
      </c>
    </row>
    <row r="946" spans="1:8" ht="15" customHeight="1">
      <c r="A946" t="str">
        <f t="shared" ca="1" si="222"/>
        <v/>
      </c>
      <c r="B946" s="52">
        <f t="shared" si="230"/>
        <v>5</v>
      </c>
      <c r="C946" t="str">
        <f t="shared" ca="1" si="223"/>
        <v>Bond Fees (if applicable)</v>
      </c>
      <c r="D946" t="str">
        <f>ADDRESS($B$923, 10,4  )</f>
        <v>J4</v>
      </c>
      <c r="E946">
        <f t="shared" ca="1" si="224"/>
        <v>0</v>
      </c>
      <c r="F946" t="str">
        <f t="shared" ca="1" si="225"/>
        <v xml:space="preserve">Enter a '5' value for 'Bond Fees (if applicable)' in cell J4.
</v>
      </c>
      <c r="G946">
        <f t="shared" si="229"/>
        <v>0</v>
      </c>
      <c r="H946" s="52">
        <f t="shared" si="231"/>
        <v>5</v>
      </c>
    </row>
    <row r="947" spans="1:8" ht="15" customHeight="1">
      <c r="A947" t="str">
        <f t="shared" ca="1" si="222"/>
        <v/>
      </c>
      <c r="B947" s="52">
        <f t="shared" si="230"/>
        <v>5</v>
      </c>
      <c r="C947" t="str">
        <f t="shared" ca="1" si="223"/>
        <v>Bond Fees (if applicable)</v>
      </c>
      <c r="D947" t="str">
        <f>ADDRESS($B$923,11,4  )</f>
        <v>K4</v>
      </c>
      <c r="E947">
        <f t="shared" ca="1" si="224"/>
        <v>0</v>
      </c>
      <c r="F947" t="str">
        <f t="shared" ca="1" si="225"/>
        <v xml:space="preserve">Enter a '5' value for 'Bond Fees (if applicable)' in cell K4.
</v>
      </c>
      <c r="G947">
        <f t="shared" si="229"/>
        <v>0</v>
      </c>
      <c r="H947" s="52">
        <f t="shared" si="231"/>
        <v>5</v>
      </c>
    </row>
    <row r="948" spans="1:8" ht="15" customHeight="1">
      <c r="A948" t="str">
        <f t="shared" ca="1" si="222"/>
        <v/>
      </c>
      <c r="B948" s="52">
        <f t="shared" si="230"/>
        <v>5</v>
      </c>
      <c r="C948" t="str">
        <f t="shared" ca="1" si="223"/>
        <v>Bond Fees (if applicable)</v>
      </c>
      <c r="D948" t="str">
        <f>ADDRESS($B$923,12,4  )</f>
        <v>L4</v>
      </c>
      <c r="E948">
        <f t="shared" ca="1" si="224"/>
        <v>0</v>
      </c>
      <c r="F948" t="str">
        <f t="shared" ca="1" si="225"/>
        <v xml:space="preserve">Enter a '5' value for 'Bond Fees (if applicable)' in cell L4.
</v>
      </c>
      <c r="G948">
        <f t="shared" si="229"/>
        <v>0</v>
      </c>
      <c r="H948" s="52">
        <f t="shared" si="231"/>
        <v>5</v>
      </c>
    </row>
    <row r="949" spans="1:8" ht="15" customHeight="1">
      <c r="A949" t="str">
        <f t="shared" ca="1" si="222"/>
        <v/>
      </c>
      <c r="B949" s="52">
        <f t="shared" si="230"/>
        <v>5</v>
      </c>
      <c r="C949" t="str">
        <f t="shared" ca="1" si="223"/>
        <v>Bond Fees (if applicable)</v>
      </c>
      <c r="D949" t="str">
        <f>ADDRESS($B$923,13,4  )</f>
        <v>M4</v>
      </c>
      <c r="E949">
        <f t="shared" ca="1" si="224"/>
        <v>0</v>
      </c>
      <c r="F949" t="str">
        <f t="shared" ca="1" si="225"/>
        <v xml:space="preserve">Enter a '5' value for 'Bond Fees (if applicable)' in cell M4.
</v>
      </c>
      <c r="G949">
        <f t="shared" si="229"/>
        <v>0</v>
      </c>
      <c r="H949" s="52">
        <f t="shared" si="231"/>
        <v>5</v>
      </c>
    </row>
    <row r="950" spans="1:8" ht="15" customHeight="1">
      <c r="A950" t="str">
        <f t="shared" ca="1" si="222"/>
        <v/>
      </c>
      <c r="B950" s="52">
        <f t="shared" si="230"/>
        <v>5</v>
      </c>
      <c r="C950" t="str">
        <f t="shared" ca="1" si="223"/>
        <v>Bond Fees (if applicable)</v>
      </c>
      <c r="D950" t="str">
        <f>ADDRESS($B$923,14,4  )</f>
        <v>N4</v>
      </c>
      <c r="E950">
        <f t="shared" ca="1" si="224"/>
        <v>0</v>
      </c>
      <c r="F950" t="str">
        <f t="shared" ca="1" si="225"/>
        <v xml:space="preserve">Enter a '5' value for 'Bond Fees (if applicable)' in cell N4.
</v>
      </c>
      <c r="G950">
        <f t="shared" si="229"/>
        <v>0</v>
      </c>
      <c r="H950" s="52">
        <f t="shared" si="231"/>
        <v>5</v>
      </c>
    </row>
    <row r="951" spans="1:8" ht="15" customHeight="1">
      <c r="A951" t="str">
        <f t="shared" ca="1" si="222"/>
        <v/>
      </c>
      <c r="B951" s="52">
        <f t="shared" si="230"/>
        <v>5</v>
      </c>
      <c r="C951" t="str">
        <f t="shared" ca="1" si="223"/>
        <v>Bond Fees (if applicable)</v>
      </c>
      <c r="D951" t="str">
        <f>ADDRESS($B$923,15,4  )</f>
        <v>O4</v>
      </c>
      <c r="E951">
        <f t="shared" ca="1" si="224"/>
        <v>0</v>
      </c>
      <c r="F951" t="str">
        <f t="shared" ca="1" si="225"/>
        <v xml:space="preserve">Enter a '5' value for 'Bond Fees (if applicable)' in cell O4.
</v>
      </c>
      <c r="G951">
        <f t="shared" si="229"/>
        <v>0</v>
      </c>
      <c r="H951" s="52">
        <f t="shared" si="231"/>
        <v>5</v>
      </c>
    </row>
    <row r="952" spans="1:8" ht="15" customHeight="1">
      <c r="A952" t="str">
        <f t="shared" ca="1" si="222"/>
        <v/>
      </c>
      <c r="B952" s="52">
        <f t="shared" si="230"/>
        <v>5</v>
      </c>
      <c r="C952" t="str">
        <f t="shared" ca="1" si="223"/>
        <v>Bond Fees (if applicable)</v>
      </c>
      <c r="D952" t="str">
        <f>ADDRESS($B$923,16,4  )</f>
        <v>P4</v>
      </c>
      <c r="E952">
        <f t="shared" ca="1" si="224"/>
        <v>0</v>
      </c>
      <c r="F952" t="str">
        <f t="shared" ca="1" si="225"/>
        <v xml:space="preserve">Enter a '5' value for 'Bond Fees (if applicable)' in cell P4.
</v>
      </c>
      <c r="G952">
        <f t="shared" si="229"/>
        <v>0</v>
      </c>
      <c r="H952" s="52">
        <f t="shared" si="231"/>
        <v>5</v>
      </c>
    </row>
    <row r="953" spans="1:8" ht="15" customHeight="1">
      <c r="A953" t="str">
        <f t="shared" ref="A953:A967" ca="1" si="232">IF(E953="", F953, "")</f>
        <v/>
      </c>
      <c r="B953">
        <f>ROW('Proforma, Income &amp; Expense'!A6)</f>
        <v>6</v>
      </c>
      <c r="C953" t="str">
        <f t="shared" ref="C953:C967" ca="1" si="233">INDIRECT($F$921 &amp; ADDRESS(B953, 1,4  ))</f>
        <v>Deferred Developer Fee Repayment*</v>
      </c>
      <c r="D953" t="str">
        <f>ADDRESS($B$923, 2,4  )</f>
        <v>B4</v>
      </c>
      <c r="E953">
        <f t="shared" ref="E953:E967" ca="1" si="234">IF(ISBLANK( INDIRECT($F$921 &amp; D953)),"", INDIRECT($F$921 &amp; D953))</f>
        <v>0</v>
      </c>
      <c r="F953" t="str">
        <f t="shared" ref="F953:F967" ca="1" si="235">CONCATENATE("Enter a '", H953,"' value for '", C953, "' in cell ", D953, ".", CHAR(10))</f>
        <v xml:space="preserve">Enter a '20' value for 'Deferred Developer Fee Repayment*' in cell B4.
</v>
      </c>
      <c r="G953">
        <f t="shared" ref="G953:G967" si="236">IF(K953="", L953, "")</f>
        <v>0</v>
      </c>
      <c r="H953">
        <f>ROW('Proforma, Income &amp; Expense'!G20)</f>
        <v>20</v>
      </c>
    </row>
    <row r="954" spans="1:8" ht="15" customHeight="1">
      <c r="A954" t="str">
        <f t="shared" ca="1" si="232"/>
        <v/>
      </c>
      <c r="B954" s="52">
        <f t="shared" si="230"/>
        <v>6</v>
      </c>
      <c r="C954" t="str">
        <f t="shared" ca="1" si="233"/>
        <v>Deferred Developer Fee Repayment*</v>
      </c>
      <c r="D954" t="str">
        <f>ADDRESS($B$923, 3,4  )</f>
        <v>C4</v>
      </c>
      <c r="E954">
        <f t="shared" ca="1" si="234"/>
        <v>0</v>
      </c>
      <c r="F954" t="str">
        <f t="shared" ca="1" si="235"/>
        <v xml:space="preserve">Enter a '20' value for 'Deferred Developer Fee Repayment*' in cell C4.
</v>
      </c>
      <c r="G954">
        <f t="shared" si="236"/>
        <v>0</v>
      </c>
      <c r="H954" s="52">
        <f t="shared" si="231"/>
        <v>20</v>
      </c>
    </row>
    <row r="955" spans="1:8" ht="15" customHeight="1">
      <c r="A955" t="str">
        <f t="shared" ca="1" si="232"/>
        <v/>
      </c>
      <c r="B955" s="52">
        <f t="shared" si="230"/>
        <v>6</v>
      </c>
      <c r="C955" t="str">
        <f t="shared" ca="1" si="233"/>
        <v>Deferred Developer Fee Repayment*</v>
      </c>
      <c r="D955" t="str">
        <f>ADDRESS($B$923, 4,4  )</f>
        <v>D4</v>
      </c>
      <c r="E955">
        <f t="shared" ca="1" si="234"/>
        <v>0</v>
      </c>
      <c r="F955" t="str">
        <f t="shared" ca="1" si="235"/>
        <v xml:space="preserve">Enter a '20' value for 'Deferred Developer Fee Repayment*' in cell D4.
</v>
      </c>
      <c r="G955">
        <f t="shared" si="236"/>
        <v>0</v>
      </c>
      <c r="H955" s="52">
        <f t="shared" si="231"/>
        <v>20</v>
      </c>
    </row>
    <row r="956" spans="1:8" ht="15" customHeight="1">
      <c r="A956" t="str">
        <f t="shared" ca="1" si="232"/>
        <v/>
      </c>
      <c r="B956" s="52">
        <f t="shared" si="230"/>
        <v>6</v>
      </c>
      <c r="C956" t="str">
        <f t="shared" ca="1" si="233"/>
        <v>Deferred Developer Fee Repayment*</v>
      </c>
      <c r="D956" t="str">
        <f>ADDRESS($B$923, 5,4  )</f>
        <v>E4</v>
      </c>
      <c r="E956">
        <f t="shared" ca="1" si="234"/>
        <v>0</v>
      </c>
      <c r="F956" t="str">
        <f t="shared" ca="1" si="235"/>
        <v xml:space="preserve">Enter a '20' value for 'Deferred Developer Fee Repayment*' in cell E4.
</v>
      </c>
      <c r="G956">
        <f t="shared" si="236"/>
        <v>0</v>
      </c>
      <c r="H956" s="52">
        <f t="shared" si="231"/>
        <v>20</v>
      </c>
    </row>
    <row r="957" spans="1:8" ht="15" customHeight="1">
      <c r="A957" t="str">
        <f t="shared" ca="1" si="232"/>
        <v/>
      </c>
      <c r="B957" s="52">
        <f t="shared" si="230"/>
        <v>6</v>
      </c>
      <c r="C957" t="str">
        <f t="shared" ca="1" si="233"/>
        <v>Deferred Developer Fee Repayment*</v>
      </c>
      <c r="D957" t="str">
        <f>ADDRESS($B$923, 6,4  )</f>
        <v>F4</v>
      </c>
      <c r="E957">
        <f t="shared" ca="1" si="234"/>
        <v>0</v>
      </c>
      <c r="F957" t="str">
        <f t="shared" ca="1" si="235"/>
        <v xml:space="preserve">Enter a '20' value for 'Deferred Developer Fee Repayment*' in cell F4.
</v>
      </c>
      <c r="G957">
        <f t="shared" si="236"/>
        <v>0</v>
      </c>
      <c r="H957" s="52">
        <f t="shared" si="231"/>
        <v>20</v>
      </c>
    </row>
    <row r="958" spans="1:8" ht="15" customHeight="1">
      <c r="A958" t="str">
        <f t="shared" ca="1" si="232"/>
        <v/>
      </c>
      <c r="B958" s="52">
        <f t="shared" si="230"/>
        <v>6</v>
      </c>
      <c r="C958" t="str">
        <f t="shared" ca="1" si="233"/>
        <v>Deferred Developer Fee Repayment*</v>
      </c>
      <c r="D958" t="str">
        <f>ADDRESS($B$923, 7,4  )</f>
        <v>G4</v>
      </c>
      <c r="E958">
        <f t="shared" ca="1" si="234"/>
        <v>0</v>
      </c>
      <c r="F958" t="str">
        <f t="shared" ca="1" si="235"/>
        <v xml:space="preserve">Enter a '20' value for 'Deferred Developer Fee Repayment*' in cell G4.
</v>
      </c>
      <c r="G958">
        <f t="shared" si="236"/>
        <v>0</v>
      </c>
      <c r="H958" s="52">
        <f t="shared" si="231"/>
        <v>20</v>
      </c>
    </row>
    <row r="959" spans="1:8" ht="15" customHeight="1">
      <c r="A959" t="str">
        <f t="shared" ca="1" si="232"/>
        <v/>
      </c>
      <c r="B959" s="52">
        <f t="shared" si="230"/>
        <v>6</v>
      </c>
      <c r="C959" t="str">
        <f t="shared" ca="1" si="233"/>
        <v>Deferred Developer Fee Repayment*</v>
      </c>
      <c r="D959" t="str">
        <f>ADDRESS($B$923, 8,4  )</f>
        <v>H4</v>
      </c>
      <c r="E959">
        <f t="shared" ca="1" si="234"/>
        <v>0</v>
      </c>
      <c r="F959" t="str">
        <f t="shared" ca="1" si="235"/>
        <v xml:space="preserve">Enter a '20' value for 'Deferred Developer Fee Repayment*' in cell H4.
</v>
      </c>
      <c r="G959">
        <f t="shared" si="236"/>
        <v>0</v>
      </c>
      <c r="H959" s="52">
        <f t="shared" si="231"/>
        <v>20</v>
      </c>
    </row>
    <row r="960" spans="1:8" ht="15" customHeight="1">
      <c r="A960" t="str">
        <f t="shared" ca="1" si="232"/>
        <v/>
      </c>
      <c r="B960" s="52">
        <f t="shared" si="230"/>
        <v>6</v>
      </c>
      <c r="C960" t="str">
        <f t="shared" ca="1" si="233"/>
        <v>Deferred Developer Fee Repayment*</v>
      </c>
      <c r="D960" t="str">
        <f>ADDRESS($B$923, 9,4  )</f>
        <v>I4</v>
      </c>
      <c r="E960">
        <f t="shared" ca="1" si="234"/>
        <v>0</v>
      </c>
      <c r="F960" t="str">
        <f t="shared" ca="1" si="235"/>
        <v xml:space="preserve">Enter a '20' value for 'Deferred Developer Fee Repayment*' in cell I4.
</v>
      </c>
      <c r="G960">
        <f t="shared" si="236"/>
        <v>0</v>
      </c>
      <c r="H960" s="52">
        <f t="shared" si="231"/>
        <v>20</v>
      </c>
    </row>
    <row r="961" spans="1:8" ht="15" customHeight="1">
      <c r="A961" t="str">
        <f t="shared" ca="1" si="232"/>
        <v/>
      </c>
      <c r="B961" s="52">
        <f t="shared" si="230"/>
        <v>6</v>
      </c>
      <c r="C961" t="str">
        <f t="shared" ca="1" si="233"/>
        <v>Deferred Developer Fee Repayment*</v>
      </c>
      <c r="D961" t="str">
        <f>ADDRESS($B$923, 10,4  )</f>
        <v>J4</v>
      </c>
      <c r="E961">
        <f t="shared" ca="1" si="234"/>
        <v>0</v>
      </c>
      <c r="F961" t="str">
        <f t="shared" ca="1" si="235"/>
        <v xml:space="preserve">Enter a '20' value for 'Deferred Developer Fee Repayment*' in cell J4.
</v>
      </c>
      <c r="G961">
        <f t="shared" si="236"/>
        <v>0</v>
      </c>
      <c r="H961" s="52">
        <f t="shared" si="231"/>
        <v>20</v>
      </c>
    </row>
    <row r="962" spans="1:8" ht="15" customHeight="1">
      <c r="A962" t="str">
        <f t="shared" ca="1" si="232"/>
        <v/>
      </c>
      <c r="B962" s="52">
        <f t="shared" si="230"/>
        <v>6</v>
      </c>
      <c r="C962" t="str">
        <f t="shared" ca="1" si="233"/>
        <v>Deferred Developer Fee Repayment*</v>
      </c>
      <c r="D962" t="str">
        <f>ADDRESS($B$923,11,4  )</f>
        <v>K4</v>
      </c>
      <c r="E962">
        <f t="shared" ca="1" si="234"/>
        <v>0</v>
      </c>
      <c r="F962" t="str">
        <f t="shared" ca="1" si="235"/>
        <v xml:space="preserve">Enter a '20' value for 'Deferred Developer Fee Repayment*' in cell K4.
</v>
      </c>
      <c r="G962">
        <f t="shared" si="236"/>
        <v>0</v>
      </c>
      <c r="H962" s="52">
        <f t="shared" si="231"/>
        <v>20</v>
      </c>
    </row>
    <row r="963" spans="1:8" ht="15" customHeight="1">
      <c r="A963" t="str">
        <f t="shared" ca="1" si="232"/>
        <v/>
      </c>
      <c r="B963" s="52">
        <f t="shared" si="230"/>
        <v>6</v>
      </c>
      <c r="C963" t="str">
        <f t="shared" ca="1" si="233"/>
        <v>Deferred Developer Fee Repayment*</v>
      </c>
      <c r="D963" t="str">
        <f>ADDRESS($B$923,12,4  )</f>
        <v>L4</v>
      </c>
      <c r="E963">
        <f t="shared" ca="1" si="234"/>
        <v>0</v>
      </c>
      <c r="F963" t="str">
        <f t="shared" ca="1" si="235"/>
        <v xml:space="preserve">Enter a '20' value for 'Deferred Developer Fee Repayment*' in cell L4.
</v>
      </c>
      <c r="G963">
        <f t="shared" si="236"/>
        <v>0</v>
      </c>
      <c r="H963" s="52">
        <f t="shared" si="231"/>
        <v>20</v>
      </c>
    </row>
    <row r="964" spans="1:8" ht="15" customHeight="1">
      <c r="A964" t="str">
        <f t="shared" ca="1" si="232"/>
        <v/>
      </c>
      <c r="B964" s="52">
        <f t="shared" si="230"/>
        <v>6</v>
      </c>
      <c r="C964" t="str">
        <f t="shared" ca="1" si="233"/>
        <v>Deferred Developer Fee Repayment*</v>
      </c>
      <c r="D964" t="str">
        <f>ADDRESS($B$923,13,4  )</f>
        <v>M4</v>
      </c>
      <c r="E964">
        <f t="shared" ca="1" si="234"/>
        <v>0</v>
      </c>
      <c r="F964" t="str">
        <f t="shared" ca="1" si="235"/>
        <v xml:space="preserve">Enter a '20' value for 'Deferred Developer Fee Repayment*' in cell M4.
</v>
      </c>
      <c r="G964">
        <f t="shared" si="236"/>
        <v>0</v>
      </c>
      <c r="H964" s="52">
        <f t="shared" si="231"/>
        <v>20</v>
      </c>
    </row>
    <row r="965" spans="1:8" ht="15" customHeight="1">
      <c r="A965" t="str">
        <f t="shared" ca="1" si="232"/>
        <v/>
      </c>
      <c r="B965" s="52">
        <f t="shared" si="230"/>
        <v>6</v>
      </c>
      <c r="C965" t="str">
        <f t="shared" ca="1" si="233"/>
        <v>Deferred Developer Fee Repayment*</v>
      </c>
      <c r="D965" t="str">
        <f>ADDRESS($B$923,14,4  )</f>
        <v>N4</v>
      </c>
      <c r="E965">
        <f t="shared" ca="1" si="234"/>
        <v>0</v>
      </c>
      <c r="F965" t="str">
        <f t="shared" ca="1" si="235"/>
        <v xml:space="preserve">Enter a '20' value for 'Deferred Developer Fee Repayment*' in cell N4.
</v>
      </c>
      <c r="G965">
        <f t="shared" si="236"/>
        <v>0</v>
      </c>
      <c r="H965" s="52">
        <f t="shared" si="231"/>
        <v>20</v>
      </c>
    </row>
    <row r="966" spans="1:8" ht="15" customHeight="1">
      <c r="A966" t="str">
        <f t="shared" ca="1" si="232"/>
        <v/>
      </c>
      <c r="B966" s="52">
        <f t="shared" si="230"/>
        <v>6</v>
      </c>
      <c r="C966" t="str">
        <f t="shared" ca="1" si="233"/>
        <v>Deferred Developer Fee Repayment*</v>
      </c>
      <c r="D966" t="str">
        <f>ADDRESS($B$923,15,4  )</f>
        <v>O4</v>
      </c>
      <c r="E966">
        <f t="shared" ca="1" si="234"/>
        <v>0</v>
      </c>
      <c r="F966" t="str">
        <f t="shared" ca="1" si="235"/>
        <v xml:space="preserve">Enter a '20' value for 'Deferred Developer Fee Repayment*' in cell O4.
</v>
      </c>
      <c r="G966">
        <f t="shared" si="236"/>
        <v>0</v>
      </c>
      <c r="H966" s="52">
        <f t="shared" si="231"/>
        <v>20</v>
      </c>
    </row>
    <row r="967" spans="1:8" ht="15" customHeight="1">
      <c r="A967" t="str">
        <f t="shared" ca="1" si="232"/>
        <v/>
      </c>
      <c r="B967" s="52">
        <f t="shared" si="230"/>
        <v>6</v>
      </c>
      <c r="C967" t="str">
        <f t="shared" ca="1" si="233"/>
        <v>Deferred Developer Fee Repayment*</v>
      </c>
      <c r="D967" t="str">
        <f>ADDRESS($B$923,16,4  )</f>
        <v>P4</v>
      </c>
      <c r="E967">
        <f t="shared" ca="1" si="234"/>
        <v>0</v>
      </c>
      <c r="F967" t="str">
        <f t="shared" ca="1" si="235"/>
        <v xml:space="preserve">Enter a '20' value for 'Deferred Developer Fee Repayment*' in cell P4.
</v>
      </c>
      <c r="G967">
        <f t="shared" si="236"/>
        <v>0</v>
      </c>
      <c r="H967" s="52">
        <f t="shared" si="231"/>
        <v>20</v>
      </c>
    </row>
    <row r="968" spans="1:8" ht="15" customHeight="1">
      <c r="A968" t="str">
        <f t="shared" ref="A968:A982" ca="1" si="237">IF(E968="", F968, "")</f>
        <v/>
      </c>
      <c r="B968">
        <f>ROW('Proforma, Income &amp; Expense'!A7)</f>
        <v>7</v>
      </c>
      <c r="C968" t="str">
        <f t="shared" ref="C968:C986" ca="1" si="238">INDIRECT($F$921 &amp; ADDRESS(B968, 1,4  ))</f>
        <v>Other (Specify)</v>
      </c>
      <c r="D968" t="str">
        <f>ADDRESS($B$923, 2,4  )</f>
        <v>B4</v>
      </c>
      <c r="E968">
        <f t="shared" ref="E968:E986" ca="1" si="239">IF(ISBLANK( INDIRECT($F$921 &amp; D968)),"", INDIRECT($F$921 &amp; D968))</f>
        <v>0</v>
      </c>
      <c r="F968" t="str">
        <f t="shared" ref="F968:F982" ca="1" si="240">CONCATENATE("Enter a '", H968,"' value for '", C968, "' in cell ", D968, ".", CHAR(10))</f>
        <v xml:space="preserve">Enter a 'Year 1' value for 'Other (Specify)' in cell B4.
</v>
      </c>
      <c r="G968" s="9" t="str">
        <f t="shared" ref="G968:G987" ca="1" si="241">OFFSET(G968, -1, 0) &amp; A968</f>
        <v>0</v>
      </c>
      <c r="H968" s="52" t="str">
        <f t="shared" ref="H968:H982" ca="1" si="242">OFFSET(INDIRECT($F$921&amp;D968), -1, 0)</f>
        <v>Year 1</v>
      </c>
    </row>
    <row r="969" spans="1:8" ht="15" customHeight="1">
      <c r="A969" t="str">
        <f t="shared" ca="1" si="237"/>
        <v/>
      </c>
      <c r="B969" s="52">
        <f t="shared" ref="B969:B982" si="243">B968</f>
        <v>7</v>
      </c>
      <c r="C969" t="str">
        <f t="shared" ca="1" si="238"/>
        <v>Other (Specify)</v>
      </c>
      <c r="D969" t="str">
        <f>ADDRESS($B$923, 3,4  )</f>
        <v>C4</v>
      </c>
      <c r="E969">
        <f t="shared" ca="1" si="239"/>
        <v>0</v>
      </c>
      <c r="F969" t="str">
        <f t="shared" ca="1" si="240"/>
        <v xml:space="preserve">Enter a 'Year 2' value for 'Other (Specify)' in cell C4.
</v>
      </c>
      <c r="G969" s="9" t="str">
        <f t="shared" ca="1" si="241"/>
        <v>0</v>
      </c>
      <c r="H969" s="52" t="str">
        <f t="shared" ca="1" si="242"/>
        <v>Year 2</v>
      </c>
    </row>
    <row r="970" spans="1:8" ht="15" customHeight="1">
      <c r="A970" t="str">
        <f t="shared" ca="1" si="237"/>
        <v/>
      </c>
      <c r="B970" s="52">
        <f t="shared" si="243"/>
        <v>7</v>
      </c>
      <c r="C970" t="str">
        <f t="shared" ca="1" si="238"/>
        <v>Other (Specify)</v>
      </c>
      <c r="D970" t="str">
        <f>ADDRESS($B$923, 4,4  )</f>
        <v>D4</v>
      </c>
      <c r="E970">
        <f t="shared" ca="1" si="239"/>
        <v>0</v>
      </c>
      <c r="F970" t="str">
        <f t="shared" ca="1" si="240"/>
        <v xml:space="preserve">Enter a 'Year 3' value for 'Other (Specify)' in cell D4.
</v>
      </c>
      <c r="G970" s="9" t="str">
        <f t="shared" ca="1" si="241"/>
        <v>0</v>
      </c>
      <c r="H970" s="52" t="str">
        <f t="shared" ca="1" si="242"/>
        <v>Year 3</v>
      </c>
    </row>
    <row r="971" spans="1:8" ht="15" customHeight="1">
      <c r="A971" t="str">
        <f t="shared" ca="1" si="237"/>
        <v/>
      </c>
      <c r="B971" s="52">
        <f t="shared" si="243"/>
        <v>7</v>
      </c>
      <c r="C971" t="str">
        <f t="shared" ca="1" si="238"/>
        <v>Other (Specify)</v>
      </c>
      <c r="D971" t="str">
        <f>ADDRESS($B$923, 5,4  )</f>
        <v>E4</v>
      </c>
      <c r="E971">
        <f t="shared" ca="1" si="239"/>
        <v>0</v>
      </c>
      <c r="F971" t="str">
        <f t="shared" ca="1" si="240"/>
        <v xml:space="preserve">Enter a 'Year 4' value for 'Other (Specify)' in cell E4.
</v>
      </c>
      <c r="G971" s="9" t="str">
        <f t="shared" ca="1" si="241"/>
        <v>0</v>
      </c>
      <c r="H971" s="52" t="str">
        <f t="shared" ca="1" si="242"/>
        <v>Year 4</v>
      </c>
    </row>
    <row r="972" spans="1:8" ht="15" customHeight="1">
      <c r="A972" t="str">
        <f t="shared" ca="1" si="237"/>
        <v/>
      </c>
      <c r="B972" s="52">
        <f t="shared" si="243"/>
        <v>7</v>
      </c>
      <c r="C972" t="str">
        <f t="shared" ca="1" si="238"/>
        <v>Other (Specify)</v>
      </c>
      <c r="D972" t="str">
        <f>ADDRESS($B$923, 6,4  )</f>
        <v>F4</v>
      </c>
      <c r="E972">
        <f t="shared" ca="1" si="239"/>
        <v>0</v>
      </c>
      <c r="F972" t="str">
        <f t="shared" ca="1" si="240"/>
        <v xml:space="preserve">Enter a 'Year 5' value for 'Other (Specify)' in cell F4.
</v>
      </c>
      <c r="G972" s="9" t="str">
        <f t="shared" ca="1" si="241"/>
        <v>0</v>
      </c>
      <c r="H972" s="52" t="str">
        <f t="shared" ca="1" si="242"/>
        <v>Year 5</v>
      </c>
    </row>
    <row r="973" spans="1:8" ht="15" customHeight="1">
      <c r="A973" t="str">
        <f t="shared" ca="1" si="237"/>
        <v/>
      </c>
      <c r="B973" s="52">
        <f t="shared" si="243"/>
        <v>7</v>
      </c>
      <c r="C973" t="str">
        <f t="shared" ca="1" si="238"/>
        <v>Other (Specify)</v>
      </c>
      <c r="D973" t="str">
        <f>ADDRESS($B$923, 7,4  )</f>
        <v>G4</v>
      </c>
      <c r="E973">
        <f t="shared" ca="1" si="239"/>
        <v>0</v>
      </c>
      <c r="F973" t="str">
        <f t="shared" ca="1" si="240"/>
        <v xml:space="preserve">Enter a 'Year 6' value for 'Other (Specify)' in cell G4.
</v>
      </c>
      <c r="G973" s="9" t="str">
        <f t="shared" ca="1" si="241"/>
        <v>0</v>
      </c>
      <c r="H973" s="52" t="str">
        <f t="shared" ca="1" si="242"/>
        <v>Year 6</v>
      </c>
    </row>
    <row r="974" spans="1:8" ht="15" customHeight="1">
      <c r="A974" t="str">
        <f t="shared" ca="1" si="237"/>
        <v/>
      </c>
      <c r="B974" s="52">
        <f t="shared" si="243"/>
        <v>7</v>
      </c>
      <c r="C974" t="str">
        <f t="shared" ca="1" si="238"/>
        <v>Other (Specify)</v>
      </c>
      <c r="D974" t="str">
        <f>ADDRESS($B$923, 8,4  )</f>
        <v>H4</v>
      </c>
      <c r="E974">
        <f t="shared" ca="1" si="239"/>
        <v>0</v>
      </c>
      <c r="F974" t="str">
        <f t="shared" ca="1" si="240"/>
        <v xml:space="preserve">Enter a 'Year 7' value for 'Other (Specify)' in cell H4.
</v>
      </c>
      <c r="G974" s="9" t="str">
        <f t="shared" ca="1" si="241"/>
        <v>0</v>
      </c>
      <c r="H974" s="52" t="str">
        <f t="shared" ca="1" si="242"/>
        <v>Year 7</v>
      </c>
    </row>
    <row r="975" spans="1:8" ht="15" customHeight="1">
      <c r="A975" t="str">
        <f t="shared" ca="1" si="237"/>
        <v/>
      </c>
      <c r="B975" s="52">
        <f t="shared" si="243"/>
        <v>7</v>
      </c>
      <c r="C975" t="str">
        <f t="shared" ca="1" si="238"/>
        <v>Other (Specify)</v>
      </c>
      <c r="D975" t="str">
        <f>ADDRESS($B$923, 9,4  )</f>
        <v>I4</v>
      </c>
      <c r="E975">
        <f t="shared" ca="1" si="239"/>
        <v>0</v>
      </c>
      <c r="F975" t="str">
        <f t="shared" ca="1" si="240"/>
        <v xml:space="preserve">Enter a 'Year 8' value for 'Other (Specify)' in cell I4.
</v>
      </c>
      <c r="G975" s="9" t="str">
        <f t="shared" ca="1" si="241"/>
        <v>0</v>
      </c>
      <c r="H975" s="52" t="str">
        <f t="shared" ca="1" si="242"/>
        <v>Year 8</v>
      </c>
    </row>
    <row r="976" spans="1:8" ht="15" customHeight="1">
      <c r="A976" t="str">
        <f t="shared" ca="1" si="237"/>
        <v/>
      </c>
      <c r="B976" s="52">
        <f t="shared" si="243"/>
        <v>7</v>
      </c>
      <c r="C976" t="str">
        <f t="shared" ca="1" si="238"/>
        <v>Other (Specify)</v>
      </c>
      <c r="D976" t="str">
        <f>ADDRESS($B$923, 10,4  )</f>
        <v>J4</v>
      </c>
      <c r="E976">
        <f t="shared" ca="1" si="239"/>
        <v>0</v>
      </c>
      <c r="F976" t="str">
        <f t="shared" ca="1" si="240"/>
        <v xml:space="preserve">Enter a 'Year 9' value for 'Other (Specify)' in cell J4.
</v>
      </c>
      <c r="G976" s="9" t="str">
        <f t="shared" ca="1" si="241"/>
        <v>0</v>
      </c>
      <c r="H976" s="52" t="str">
        <f t="shared" ca="1" si="242"/>
        <v>Year 9</v>
      </c>
    </row>
    <row r="977" spans="1:8" ht="15" customHeight="1">
      <c r="A977" t="str">
        <f t="shared" ca="1" si="237"/>
        <v/>
      </c>
      <c r="B977" s="52">
        <f t="shared" si="243"/>
        <v>7</v>
      </c>
      <c r="C977" t="str">
        <f t="shared" ca="1" si="238"/>
        <v>Other (Specify)</v>
      </c>
      <c r="D977" t="str">
        <f>ADDRESS($B$923,11,4  )</f>
        <v>K4</v>
      </c>
      <c r="E977">
        <f t="shared" ca="1" si="239"/>
        <v>0</v>
      </c>
      <c r="F977" t="str">
        <f t="shared" ca="1" si="240"/>
        <v xml:space="preserve">Enter a 'Year 10' value for 'Other (Specify)' in cell K4.
</v>
      </c>
      <c r="G977" s="9" t="str">
        <f t="shared" ca="1" si="241"/>
        <v>0</v>
      </c>
      <c r="H977" s="52" t="str">
        <f t="shared" ca="1" si="242"/>
        <v>Year 10</v>
      </c>
    </row>
    <row r="978" spans="1:8" ht="15" customHeight="1">
      <c r="A978" t="str">
        <f t="shared" ca="1" si="237"/>
        <v/>
      </c>
      <c r="B978" s="52">
        <f t="shared" si="243"/>
        <v>7</v>
      </c>
      <c r="C978" t="str">
        <f t="shared" ca="1" si="238"/>
        <v>Other (Specify)</v>
      </c>
      <c r="D978" t="str">
        <f>ADDRESS($B$923,12,4  )</f>
        <v>L4</v>
      </c>
      <c r="E978">
        <f t="shared" ca="1" si="239"/>
        <v>0</v>
      </c>
      <c r="F978" t="str">
        <f t="shared" ca="1" si="240"/>
        <v xml:space="preserve">Enter a 'Year 11' value for 'Other (Specify)' in cell L4.
</v>
      </c>
      <c r="G978" s="9" t="str">
        <f t="shared" ca="1" si="241"/>
        <v>0</v>
      </c>
      <c r="H978" s="52" t="str">
        <f t="shared" ca="1" si="242"/>
        <v>Year 11</v>
      </c>
    </row>
    <row r="979" spans="1:8" ht="15" customHeight="1">
      <c r="A979" t="str">
        <f t="shared" ca="1" si="237"/>
        <v/>
      </c>
      <c r="B979" s="52">
        <f t="shared" si="243"/>
        <v>7</v>
      </c>
      <c r="C979" t="str">
        <f t="shared" ca="1" si="238"/>
        <v>Other (Specify)</v>
      </c>
      <c r="D979" t="str">
        <f>ADDRESS($B$923,13,4  )</f>
        <v>M4</v>
      </c>
      <c r="E979">
        <f t="shared" ca="1" si="239"/>
        <v>0</v>
      </c>
      <c r="F979" t="str">
        <f t="shared" ca="1" si="240"/>
        <v xml:space="preserve">Enter a 'Year 12' value for 'Other (Specify)' in cell M4.
</v>
      </c>
      <c r="G979" s="9" t="str">
        <f t="shared" ca="1" si="241"/>
        <v>0</v>
      </c>
      <c r="H979" s="52" t="str">
        <f t="shared" ca="1" si="242"/>
        <v>Year 12</v>
      </c>
    </row>
    <row r="980" spans="1:8" ht="15" customHeight="1">
      <c r="A980" t="str">
        <f t="shared" ca="1" si="237"/>
        <v/>
      </c>
      <c r="B980" s="52">
        <f t="shared" si="243"/>
        <v>7</v>
      </c>
      <c r="C980" t="str">
        <f t="shared" ca="1" si="238"/>
        <v>Other (Specify)</v>
      </c>
      <c r="D980" t="str">
        <f>ADDRESS($B$923,14,4  )</f>
        <v>N4</v>
      </c>
      <c r="E980">
        <f t="shared" ca="1" si="239"/>
        <v>0</v>
      </c>
      <c r="F980" t="str">
        <f t="shared" ca="1" si="240"/>
        <v xml:space="preserve">Enter a 'Year 13' value for 'Other (Specify)' in cell N4.
</v>
      </c>
      <c r="G980" s="9" t="str">
        <f t="shared" ca="1" si="241"/>
        <v>0</v>
      </c>
      <c r="H980" s="52" t="str">
        <f t="shared" ca="1" si="242"/>
        <v>Year 13</v>
      </c>
    </row>
    <row r="981" spans="1:8" ht="15" customHeight="1">
      <c r="A981" t="str">
        <f t="shared" ca="1" si="237"/>
        <v/>
      </c>
      <c r="B981" s="52">
        <f t="shared" si="243"/>
        <v>7</v>
      </c>
      <c r="C981" t="str">
        <f t="shared" ca="1" si="238"/>
        <v>Other (Specify)</v>
      </c>
      <c r="D981" t="str">
        <f>ADDRESS($B$923,15,4  )</f>
        <v>O4</v>
      </c>
      <c r="E981">
        <f t="shared" ca="1" si="239"/>
        <v>0</v>
      </c>
      <c r="F981" t="str">
        <f t="shared" ca="1" si="240"/>
        <v xml:space="preserve">Enter a 'Year 14' value for 'Other (Specify)' in cell O4.
</v>
      </c>
      <c r="G981" s="9" t="str">
        <f t="shared" ca="1" si="241"/>
        <v>0</v>
      </c>
      <c r="H981" s="52" t="str">
        <f t="shared" ca="1" si="242"/>
        <v>Year 14</v>
      </c>
    </row>
    <row r="982" spans="1:8" ht="15" customHeight="1">
      <c r="A982" t="str">
        <f t="shared" ca="1" si="237"/>
        <v/>
      </c>
      <c r="B982" s="52">
        <f t="shared" si="243"/>
        <v>7</v>
      </c>
      <c r="C982" t="str">
        <f t="shared" ca="1" si="238"/>
        <v>Other (Specify)</v>
      </c>
      <c r="D982" t="str">
        <f>ADDRESS($B$923,16,4  )</f>
        <v>P4</v>
      </c>
      <c r="E982">
        <f t="shared" ca="1" si="239"/>
        <v>0</v>
      </c>
      <c r="F982" t="str">
        <f t="shared" ca="1" si="240"/>
        <v xml:space="preserve">Enter a 'Year 15' value for 'Other (Specify)' in cell P4.
</v>
      </c>
      <c r="G982" s="9" t="str">
        <f t="shared" ca="1" si="241"/>
        <v>0</v>
      </c>
      <c r="H982" s="52" t="str">
        <f t="shared" ca="1" si="242"/>
        <v>Year 15</v>
      </c>
    </row>
    <row r="983" spans="1:8" ht="15" customHeight="1">
      <c r="A983" t="str">
        <f ca="1">IF(E983="",F983, "")</f>
        <v/>
      </c>
      <c r="B983">
        <f>ROW('Proforma, Income &amp; Expense'!B12)</f>
        <v>12</v>
      </c>
      <c r="C983" t="str">
        <f t="shared" ca="1" si="238"/>
        <v>Laundry Revenue</v>
      </c>
      <c r="D983" t="str">
        <f>ADDRESS(B983, 2,4  )</f>
        <v>B12</v>
      </c>
      <c r="E983">
        <f t="shared" ca="1" si="239"/>
        <v>0</v>
      </c>
      <c r="F983" t="str">
        <f ca="1">CONCATENATE("Enter a value for '", C983, "' in cell ", D983, ".", CHAR(10))</f>
        <v xml:space="preserve">Enter a value for 'Laundry Revenue' in cell B12.
</v>
      </c>
      <c r="G983" s="9" t="str">
        <f t="shared" ca="1" si="241"/>
        <v>0</v>
      </c>
    </row>
    <row r="984" spans="1:8" ht="15" customHeight="1">
      <c r="A984" t="str">
        <f ca="1">IF(AND(OR(Calculations!$B$3:$B$4), E984=""), F984, "")</f>
        <v/>
      </c>
      <c r="B984" s="52">
        <f>B983</f>
        <v>12</v>
      </c>
      <c r="C984" t="str">
        <f t="shared" ca="1" si="238"/>
        <v>Laundry Revenue</v>
      </c>
      <c r="D984" t="str">
        <f>ADDRESS(B983, 3,4  )</f>
        <v>C12</v>
      </c>
      <c r="E984">
        <f t="shared" ca="1" si="239"/>
        <v>0</v>
      </c>
      <c r="F984" t="str">
        <f ca="1">CONCATENATE("Enter an 'Amount Last Provided to CHFA' value for '", C984, "' in cell ", D984, ".", CHAR(10))</f>
        <v xml:space="preserve">Enter an 'Amount Last Provided to CHFA' value for 'Laundry Revenue' in cell C12.
</v>
      </c>
      <c r="G984" s="9" t="str">
        <f t="shared" ca="1" si="241"/>
        <v>0</v>
      </c>
    </row>
    <row r="985" spans="1:8" ht="15" customHeight="1">
      <c r="A985" t="str">
        <f ca="1">IF(E985="",F985, "")</f>
        <v/>
      </c>
      <c r="B985">
        <f>ROW('Proforma, Income &amp; Expense'!B13)</f>
        <v>13</v>
      </c>
      <c r="C985" t="str">
        <f t="shared" ca="1" si="238"/>
        <v>Parking Revenue</v>
      </c>
      <c r="D985" t="str">
        <f>ADDRESS(B985, 2,4  )</f>
        <v>B13</v>
      </c>
      <c r="E985">
        <f t="shared" ca="1" si="239"/>
        <v>0</v>
      </c>
      <c r="F985" t="str">
        <f ca="1">CONCATENATE("Enter a value for '", C985, "' in cell ", D985, ".", CHAR(10))</f>
        <v xml:space="preserve">Enter a value for 'Parking Revenue' in cell B13.
</v>
      </c>
      <c r="G985" s="9" t="str">
        <f t="shared" ca="1" si="241"/>
        <v>0</v>
      </c>
    </row>
    <row r="986" spans="1:8" ht="15" customHeight="1">
      <c r="A986" t="str">
        <f ca="1">IF(AND(OR(Calculations!$B$3:$B$4), E986=""), F986, "")</f>
        <v/>
      </c>
      <c r="B986" s="52">
        <f>B985</f>
        <v>13</v>
      </c>
      <c r="C986" t="str">
        <f t="shared" ca="1" si="238"/>
        <v>Parking Revenue</v>
      </c>
      <c r="D986" t="str">
        <f>ADDRESS(B985, 3,4  )</f>
        <v>C13</v>
      </c>
      <c r="E986">
        <f t="shared" ca="1" si="239"/>
        <v>0</v>
      </c>
      <c r="F986" t="str">
        <f ca="1">CONCATENATE("Enter an 'Amount Last Provided to CHFA' value for '", C986, "' in cell ", D986, ".", CHAR(10))</f>
        <v xml:space="preserve">Enter an 'Amount Last Provided to CHFA' value for 'Parking Revenue' in cell C13.
</v>
      </c>
      <c r="G986" s="9" t="str">
        <f t="shared" ca="1" si="241"/>
        <v>0</v>
      </c>
    </row>
    <row r="987" spans="1:8" ht="15" customHeight="1">
      <c r="A987" t="str">
        <f ca="1">IF(E987="",F987, "")</f>
        <v/>
      </c>
      <c r="B987">
        <f>ROW('Proforma, Income &amp; Expense'!B14)</f>
        <v>14</v>
      </c>
      <c r="C987" t="str">
        <f t="shared" ref="C987:C988" ca="1" si="244">INDIRECT($F$921 &amp; ADDRESS(B987, 1,4  ))</f>
        <v>Other (Specify)</v>
      </c>
      <c r="D987" t="str">
        <f>ADDRESS(B987, 2,4  )</f>
        <v>B14</v>
      </c>
      <c r="E987">
        <f t="shared" ref="E987:E988" ca="1" si="245">IF(ISBLANK( INDIRECT($F$921 &amp; D987)),"", INDIRECT($F$921 &amp; D987))</f>
        <v>0</v>
      </c>
      <c r="F987" t="str">
        <f ca="1">CONCATENATE("Enter a value for '", C987, "' in cell ", D987, ".", CHAR(10))</f>
        <v xml:space="preserve">Enter a value for 'Other (Specify)' in cell B14.
</v>
      </c>
      <c r="G987" s="9" t="str">
        <f t="shared" ca="1" si="241"/>
        <v>0</v>
      </c>
    </row>
    <row r="988" spans="1:8" ht="15" customHeight="1">
      <c r="A988" t="str">
        <f ca="1">IF(AND(OR(Calculations!$B$3:$B$4), E988=""), F988, "")</f>
        <v/>
      </c>
      <c r="B988" s="52">
        <f>B987</f>
        <v>14</v>
      </c>
      <c r="C988" t="str">
        <f t="shared" ca="1" si="244"/>
        <v>Other (Specify)</v>
      </c>
      <c r="D988" t="str">
        <f>ADDRESS(B987, 3,4  )</f>
        <v>C14</v>
      </c>
      <c r="E988">
        <f t="shared" ca="1" si="245"/>
        <v>0</v>
      </c>
      <c r="F988" t="str">
        <f ca="1">CONCATENATE("Enter an 'Amount Last Provided to CHFA' value for '", C988, "' in cell ", D988, ".", CHAR(10))</f>
        <v xml:space="preserve">Enter an 'Amount Last Provided to CHFA' value for 'Other (Specify)' in cell C14.
</v>
      </c>
      <c r="G988" s="9" t="str">
        <f t="shared" ref="G988:G1019" ca="1" si="246">OFFSET(G988, -1, 0) &amp; A988</f>
        <v>0</v>
      </c>
    </row>
    <row r="989" spans="1:8" ht="15" customHeight="1">
      <c r="A989" t="str">
        <f ca="1">IF(AND(E989, SUM(E987:E988) &gt; 0), F989, "")</f>
        <v/>
      </c>
      <c r="C989" t="str">
        <f ca="1">INDIRECT($F$921 &amp; ADDRESS(B987, 1,4  ))</f>
        <v>Other (Specify)</v>
      </c>
      <c r="D989" t="str">
        <f>ADDRESS(B987, 1,4  )</f>
        <v>A14</v>
      </c>
      <c r="E989" t="b">
        <f ca="1">INDIRECT($F$921 &amp; D989)="Other (specify)"</f>
        <v>1</v>
      </c>
      <c r="F989" t="str">
        <f ca="1">CONCATENATE("Please specify value for '", C989, "' in cell ", D989, ".", CHAR(10))</f>
        <v xml:space="preserve">Please specify value for 'Other (Specify)' in cell A14.
</v>
      </c>
      <c r="G989" s="9" t="str">
        <f t="shared" ca="1" si="246"/>
        <v>0</v>
      </c>
    </row>
    <row r="990" spans="1:8" ht="15" customHeight="1">
      <c r="A990" t="str">
        <f ca="1">IF(E990="",F990, "")</f>
        <v/>
      </c>
      <c r="B990">
        <f>ROW('Proforma, Income &amp; Expense'!B15)</f>
        <v>15</v>
      </c>
      <c r="C990" t="str">
        <f ca="1">INDIRECT($F$921 &amp; ADDRESS(B990, 1,4  ))</f>
        <v>Other (Specify)</v>
      </c>
      <c r="D990" t="str">
        <f>ADDRESS(B990, 2,4  )</f>
        <v>B15</v>
      </c>
      <c r="E990">
        <f ca="1">IF(ISBLANK( INDIRECT($F$921 &amp; D990)),"", INDIRECT($F$921 &amp; D990))</f>
        <v>0</v>
      </c>
      <c r="F990" t="str">
        <f ca="1">CONCATENATE("Enter a value for '", C990, "' in cell ", D990, ".", CHAR(10))</f>
        <v xml:space="preserve">Enter a value for 'Other (Specify)' in cell B15.
</v>
      </c>
      <c r="G990" s="9" t="str">
        <f t="shared" ca="1" si="246"/>
        <v>0</v>
      </c>
    </row>
    <row r="991" spans="1:8" ht="15" customHeight="1">
      <c r="A991" t="str">
        <f ca="1">IF(AND(OR(Calculations!$B$3:$B$4), E991=""), F991, "")</f>
        <v/>
      </c>
      <c r="B991" s="52">
        <f>B990</f>
        <v>15</v>
      </c>
      <c r="C991" t="str">
        <f ca="1">INDIRECT($F$921 &amp; ADDRESS(B991, 1,4  ))</f>
        <v>Other (Specify)</v>
      </c>
      <c r="D991" t="str">
        <f>ADDRESS(B990, 3,4  )</f>
        <v>C15</v>
      </c>
      <c r="E991">
        <f ca="1">IF(ISBLANK( INDIRECT($F$921 &amp; D991)),"", INDIRECT($F$921 &amp; D991))</f>
        <v>0</v>
      </c>
      <c r="F991" t="str">
        <f ca="1">CONCATENATE("Enter an 'Amount Last Provided to CHFA' value for '", C991, "' in cell ", D991, ".", CHAR(10))</f>
        <v xml:space="preserve">Enter an 'Amount Last Provided to CHFA' value for 'Other (Specify)' in cell C15.
</v>
      </c>
      <c r="G991" s="9" t="str">
        <f t="shared" ca="1" si="246"/>
        <v>0</v>
      </c>
    </row>
    <row r="992" spans="1:8" ht="15" customHeight="1">
      <c r="A992" t="str">
        <f ca="1">IF(AND(E992, SUM(E990:E991) &gt; 0), F992, "")</f>
        <v/>
      </c>
      <c r="C992" t="str">
        <f ca="1">INDIRECT($F$921 &amp; ADDRESS(B990, 1,4  ))</f>
        <v>Other (Specify)</v>
      </c>
      <c r="D992" t="str">
        <f>ADDRESS(B990, 1,4  )</f>
        <v>A15</v>
      </c>
      <c r="E992" t="b">
        <f ca="1">INDIRECT($F$921 &amp; D992)="Other (specify)"</f>
        <v>1</v>
      </c>
      <c r="F992" t="str">
        <f ca="1">CONCATENATE("Please specify value for '", C992, "' in cell ", D992, ".", CHAR(10))</f>
        <v xml:space="preserve">Please specify value for 'Other (Specify)' in cell A15.
</v>
      </c>
      <c r="G992" s="9" t="str">
        <f t="shared" ca="1" si="246"/>
        <v>0</v>
      </c>
    </row>
    <row r="993" spans="1:7" ht="15" customHeight="1">
      <c r="A993" t="str">
        <f ca="1">IF(AND(Calculations!$B$25, E993=""),F993, "")</f>
        <v/>
      </c>
      <c r="B993">
        <f>ROW('Proforma, Income &amp; Expense'!B18)</f>
        <v>18</v>
      </c>
      <c r="C993" t="str">
        <f t="shared" ref="C993:C1015" ca="1" si="247">INDIRECT($F$921 &amp; ADDRESS(B993, 1,4  ))</f>
        <v>Total Annual Retail/Commercial Income</v>
      </c>
      <c r="D993" t="str">
        <f>ADDRESS(B993, 2,4  )</f>
        <v>B18</v>
      </c>
      <c r="E993">
        <f t="shared" ref="E993:E1015" ca="1" si="248">IF(ISBLANK( INDIRECT($F$921 &amp; D993)),"", INDIRECT($F$921 &amp; D993))</f>
        <v>0</v>
      </c>
      <c r="F993" t="str">
        <f ca="1">CONCATENATE("Enter a value for '", C993, "' in cell ", D993, ".", CHAR(10))</f>
        <v xml:space="preserve">Enter a value for 'Total Annual Retail/Commercial Income' in cell B18.
</v>
      </c>
      <c r="G993" s="9" t="str">
        <f t="shared" ca="1" si="246"/>
        <v>0</v>
      </c>
    </row>
    <row r="994" spans="1:7" ht="15" customHeight="1">
      <c r="A994" t="str">
        <f ca="1">IF(E994="",F994, "")</f>
        <v/>
      </c>
      <c r="B994">
        <f>ROW('Proforma, Income &amp; Expense'!B22)</f>
        <v>22</v>
      </c>
      <c r="C994" t="str">
        <f t="shared" ca="1" si="247"/>
        <v>Accounting</v>
      </c>
      <c r="D994" t="str">
        <f>ADDRESS(B994, 2,4  )</f>
        <v>B22</v>
      </c>
      <c r="E994">
        <f t="shared" ca="1" si="248"/>
        <v>0</v>
      </c>
      <c r="F994" t="str">
        <f ca="1">CONCATENATE("Enter a residential value for '", C994, "' in cell ", D994, ".", CHAR(10))</f>
        <v xml:space="preserve">Enter a residential value for 'Accounting' in cell B22.
</v>
      </c>
      <c r="G994" s="9" t="str">
        <f t="shared" ca="1" si="246"/>
        <v>0</v>
      </c>
    </row>
    <row r="995" spans="1:7" ht="15" customHeight="1">
      <c r="A995" t="str">
        <f ca="1">IF(AND(OR(Calculations!$B$3:$B$4), E995=""), F995, "")</f>
        <v/>
      </c>
      <c r="B995" s="52">
        <f>B994</f>
        <v>22</v>
      </c>
      <c r="C995" t="str">
        <f t="shared" ca="1" si="247"/>
        <v>Accounting</v>
      </c>
      <c r="D995" t="str">
        <f>ADDRESS(B994, 3,4  )</f>
        <v>C22</v>
      </c>
      <c r="E995">
        <f t="shared" ca="1" si="248"/>
        <v>0</v>
      </c>
      <c r="F995" t="str">
        <f ca="1">CONCATENATE("Enter a residential 'Amount Last Provided to CHFA' value for '", C995, "' in cell ", D995, ".", CHAR(10))</f>
        <v xml:space="preserve">Enter a residential 'Amount Last Provided to CHFA' value for 'Accounting' in cell C22.
</v>
      </c>
      <c r="G995" s="9" t="str">
        <f t="shared" ca="1" si="246"/>
        <v>0</v>
      </c>
    </row>
    <row r="996" spans="1:7" ht="15" customHeight="1">
      <c r="A996" t="str">
        <f ca="1">IF(E996="",F996, "")</f>
        <v/>
      </c>
      <c r="B996">
        <f>ROW('Proforma, Income &amp; Expense'!B23)</f>
        <v>23</v>
      </c>
      <c r="C996" t="str">
        <f t="shared" ca="1" si="247"/>
        <v>Advertising</v>
      </c>
      <c r="D996" t="str">
        <f>ADDRESS(B996, 2,4  )</f>
        <v>B23</v>
      </c>
      <c r="E996">
        <f t="shared" ca="1" si="248"/>
        <v>0</v>
      </c>
      <c r="F996" t="str">
        <f ca="1">CONCATENATE("Enter a residential value for '", C996, "' in cell ", D996, ".", CHAR(10))</f>
        <v xml:space="preserve">Enter a residential value for 'Advertising' in cell B23.
</v>
      </c>
      <c r="G996" s="9" t="str">
        <f t="shared" ca="1" si="246"/>
        <v>0</v>
      </c>
    </row>
    <row r="997" spans="1:7" ht="15" customHeight="1">
      <c r="A997" t="str">
        <f ca="1">IF(AND(OR(Calculations!$B$3:$B$4), E997=""), F997, "")</f>
        <v/>
      </c>
      <c r="B997" s="52">
        <f>B996</f>
        <v>23</v>
      </c>
      <c r="C997" t="str">
        <f t="shared" ca="1" si="247"/>
        <v>Advertising</v>
      </c>
      <c r="D997" t="str">
        <f>ADDRESS(B996, 3,4  )</f>
        <v>C23</v>
      </c>
      <c r="E997">
        <f t="shared" ca="1" si="248"/>
        <v>0</v>
      </c>
      <c r="F997" t="str">
        <f ca="1">CONCATENATE("Enter a residential 'Amount Last Provided to CHFA' value for '", C997, "' in cell ", D997, ".", CHAR(10))</f>
        <v xml:space="preserve">Enter a residential 'Amount Last Provided to CHFA' value for 'Advertising' in cell C23.
</v>
      </c>
      <c r="G997" s="9" t="str">
        <f t="shared" ca="1" si="246"/>
        <v>0</v>
      </c>
    </row>
    <row r="998" spans="1:7" ht="15" customHeight="1">
      <c r="A998" t="str">
        <f ca="1">IF(E998="",F998, "")</f>
        <v/>
      </c>
      <c r="B998">
        <f>ROW('Proforma, Income &amp; Expense'!B24)</f>
        <v>24</v>
      </c>
      <c r="C998" t="str">
        <f t="shared" ca="1" si="247"/>
        <v>Legal</v>
      </c>
      <c r="D998" t="str">
        <f>ADDRESS(B998, 2,4  )</f>
        <v>B24</v>
      </c>
      <c r="E998">
        <f t="shared" ca="1" si="248"/>
        <v>0</v>
      </c>
      <c r="F998" t="str">
        <f ca="1">CONCATENATE("Enter a residential value for '", C998, "' in cell ", D998, ".", CHAR(10))</f>
        <v xml:space="preserve">Enter a residential value for 'Legal' in cell B24.
</v>
      </c>
      <c r="G998" s="9" t="str">
        <f t="shared" ca="1" si="246"/>
        <v>0</v>
      </c>
    </row>
    <row r="999" spans="1:7" ht="15" customHeight="1">
      <c r="A999" t="str">
        <f ca="1">IF(AND(OR(Calculations!$B$3:$B$4), E999=""), F999, "")</f>
        <v/>
      </c>
      <c r="B999" s="52">
        <f>B998</f>
        <v>24</v>
      </c>
      <c r="C999" t="str">
        <f t="shared" ca="1" si="247"/>
        <v>Legal</v>
      </c>
      <c r="D999" t="str">
        <f>ADDRESS(B998, 3,4  )</f>
        <v>C24</v>
      </c>
      <c r="E999">
        <f t="shared" ca="1" si="248"/>
        <v>0</v>
      </c>
      <c r="F999" t="str">
        <f ca="1">CONCATENATE("Enter a residential 'Amount Last Provided to CHFA' value for '", C999, "' in cell ", D999, ".", CHAR(10))</f>
        <v xml:space="preserve">Enter a residential 'Amount Last Provided to CHFA' value for 'Legal' in cell C24.
</v>
      </c>
      <c r="G999" s="9" t="str">
        <f t="shared" ca="1" si="246"/>
        <v>0</v>
      </c>
    </row>
    <row r="1000" spans="1:7" ht="15" customHeight="1">
      <c r="A1000" t="str">
        <f ca="1">IF(E1000="",F1000, "")</f>
        <v/>
      </c>
      <c r="B1000">
        <f>ROW('Proforma, Income &amp; Expense'!B25)</f>
        <v>25</v>
      </c>
      <c r="C1000" t="str">
        <f t="shared" ca="1" si="247"/>
        <v>Leased Equipment</v>
      </c>
      <c r="D1000" t="str">
        <f>ADDRESS(B1000, 2,4  )</f>
        <v>B25</v>
      </c>
      <c r="E1000">
        <f t="shared" ca="1" si="248"/>
        <v>0</v>
      </c>
      <c r="F1000" t="str">
        <f ca="1">CONCATENATE("Enter a residential value for '", C1000, "' in cell ", D1000, ".", CHAR(10))</f>
        <v xml:space="preserve">Enter a residential value for 'Leased Equipment' in cell B25.
</v>
      </c>
      <c r="G1000" s="9" t="str">
        <f t="shared" ca="1" si="246"/>
        <v>0</v>
      </c>
    </row>
    <row r="1001" spans="1:7" ht="15" customHeight="1">
      <c r="A1001" t="str">
        <f ca="1">IF(AND(OR(Calculations!$B$3:$B$4), E1001=""), F1001, "")</f>
        <v/>
      </c>
      <c r="B1001" s="52">
        <f>B1000</f>
        <v>25</v>
      </c>
      <c r="C1001" t="str">
        <f t="shared" ca="1" si="247"/>
        <v>Leased Equipment</v>
      </c>
      <c r="D1001" t="str">
        <f>ADDRESS(B1000, 3,4  )</f>
        <v>C25</v>
      </c>
      <c r="E1001">
        <f t="shared" ca="1" si="248"/>
        <v>0</v>
      </c>
      <c r="F1001" t="str">
        <f ca="1">CONCATENATE("Enter a residential 'Amount Last Provided to CHFA' value for '", C1001, "' in cell ", D1001, ".", CHAR(10))</f>
        <v xml:space="preserve">Enter a residential 'Amount Last Provided to CHFA' value for 'Leased Equipment' in cell C25.
</v>
      </c>
      <c r="G1001" s="9" t="str">
        <f t="shared" ca="1" si="246"/>
        <v>0</v>
      </c>
    </row>
    <row r="1002" spans="1:7" ht="15" customHeight="1">
      <c r="A1002" t="str">
        <f ca="1">IF(E1002="",F1002, "")</f>
        <v/>
      </c>
      <c r="B1002">
        <f>ROW('Proforma, Income &amp; Expense'!B26)</f>
        <v>26</v>
      </c>
      <c r="C1002" t="str">
        <f t="shared" ca="1" si="247"/>
        <v>Management Fees</v>
      </c>
      <c r="D1002" t="str">
        <f>ADDRESS(B1002, 2,4  )</f>
        <v>B26</v>
      </c>
      <c r="E1002">
        <f t="shared" ca="1" si="248"/>
        <v>0</v>
      </c>
      <c r="F1002" t="str">
        <f ca="1">CONCATENATE("Enter a residential value for '", C1002, "' in cell ", D1002, ".", CHAR(10))</f>
        <v xml:space="preserve">Enter a residential value for 'Management Fees' in cell B26.
</v>
      </c>
      <c r="G1002" s="9" t="str">
        <f t="shared" ca="1" si="246"/>
        <v>0</v>
      </c>
    </row>
    <row r="1003" spans="1:7" ht="15" customHeight="1">
      <c r="A1003" t="str">
        <f ca="1">IF(AND(OR(Calculations!$B$3:$B$4), E1003=""), F1003, "")</f>
        <v/>
      </c>
      <c r="B1003" s="52">
        <f>B1002</f>
        <v>26</v>
      </c>
      <c r="C1003" t="str">
        <f t="shared" ca="1" si="247"/>
        <v>Management Fees</v>
      </c>
      <c r="D1003" t="str">
        <f>ADDRESS(B1002, 3,4  )</f>
        <v>C26</v>
      </c>
      <c r="E1003">
        <f t="shared" ca="1" si="248"/>
        <v>0</v>
      </c>
      <c r="F1003" t="str">
        <f ca="1">CONCATENATE("Enter a residential 'Amount Last Provided to CHFA' value for '", C1003, "' in cell ", D1003, ".", CHAR(10))</f>
        <v xml:space="preserve">Enter a residential 'Amount Last Provided to CHFA' value for 'Management Fees' in cell C26.
</v>
      </c>
      <c r="G1003" s="9" t="str">
        <f t="shared" ca="1" si="246"/>
        <v>0</v>
      </c>
    </row>
    <row r="1004" spans="1:7" ht="15" customHeight="1">
      <c r="A1004" t="str">
        <f ca="1">IF(E1004="",F1004, "")</f>
        <v/>
      </c>
      <c r="B1004">
        <f>ROW('Proforma, Income &amp; Expense'!B27)</f>
        <v>27</v>
      </c>
      <c r="C1004" t="str">
        <f t="shared" ca="1" si="247"/>
        <v>Management Salaries</v>
      </c>
      <c r="D1004" t="str">
        <f>ADDRESS(B1004, 2,4  )</f>
        <v>B27</v>
      </c>
      <c r="E1004">
        <f t="shared" ca="1" si="248"/>
        <v>0</v>
      </c>
      <c r="F1004" t="str">
        <f ca="1">CONCATENATE("Enter a residential value for '", C1004, "' in cell ", D1004, ".", CHAR(10))</f>
        <v xml:space="preserve">Enter a residential value for 'Management Salaries' in cell B27.
</v>
      </c>
      <c r="G1004" s="9" t="str">
        <f t="shared" ca="1" si="246"/>
        <v>0</v>
      </c>
    </row>
    <row r="1005" spans="1:7" ht="15" customHeight="1">
      <c r="A1005" t="str">
        <f ca="1">IF(AND(OR(Calculations!$B$3:$B$4), E1005=""), F1005, "")</f>
        <v/>
      </c>
      <c r="B1005" s="52">
        <f>B1004</f>
        <v>27</v>
      </c>
      <c r="C1005" t="str">
        <f t="shared" ca="1" si="247"/>
        <v>Management Salaries</v>
      </c>
      <c r="D1005" t="str">
        <f>ADDRESS(B1004, 3,4  )</f>
        <v>C27</v>
      </c>
      <c r="E1005">
        <f t="shared" ca="1" si="248"/>
        <v>0</v>
      </c>
      <c r="F1005" t="str">
        <f ca="1">CONCATENATE("Enter a residential 'Amount Last Provided to CHFA' value for '", C1005, "' in cell ", D1005, ".", CHAR(10))</f>
        <v xml:space="preserve">Enter a residential 'Amount Last Provided to CHFA' value for 'Management Salaries' in cell C27.
</v>
      </c>
      <c r="G1005" s="9" t="str">
        <f t="shared" ca="1" si="246"/>
        <v>0</v>
      </c>
    </row>
    <row r="1006" spans="1:7" ht="15" customHeight="1">
      <c r="A1006" t="str">
        <f ca="1">IF(E1006="",F1006, "")</f>
        <v/>
      </c>
      <c r="B1006">
        <f>ROW('Proforma, Income &amp; Expense'!B28)</f>
        <v>28</v>
      </c>
      <c r="C1006" t="str">
        <f t="shared" ca="1" si="247"/>
        <v>Management Payroll Tax</v>
      </c>
      <c r="D1006" t="str">
        <f>ADDRESS(B1006, 2,4  )</f>
        <v>B28</v>
      </c>
      <c r="E1006">
        <f t="shared" ca="1" si="248"/>
        <v>0</v>
      </c>
      <c r="F1006" t="str">
        <f ca="1">CONCATENATE("Enter a residential value for '", C1006, "' in cell ", D1006, ".", CHAR(10))</f>
        <v xml:space="preserve">Enter a residential value for 'Management Payroll Tax' in cell B28.
</v>
      </c>
      <c r="G1006" s="9" t="str">
        <f t="shared" ca="1" si="246"/>
        <v>0</v>
      </c>
    </row>
    <row r="1007" spans="1:7" ht="15" customHeight="1">
      <c r="A1007" t="str">
        <f ca="1">IF(AND(OR(Calculations!$B$3:$B$4), E1007=""), F1007, "")</f>
        <v/>
      </c>
      <c r="B1007" s="52">
        <f>B1006</f>
        <v>28</v>
      </c>
      <c r="C1007" t="str">
        <f t="shared" ca="1" si="247"/>
        <v>Management Payroll Tax</v>
      </c>
      <c r="D1007" t="str">
        <f>ADDRESS(B1006, 3,4  )</f>
        <v>C28</v>
      </c>
      <c r="E1007">
        <f t="shared" ca="1" si="248"/>
        <v>0</v>
      </c>
      <c r="F1007" t="str">
        <f ca="1">CONCATENATE("Enter a residential 'Amount Last Provided to CHFA' value for '", C1007, "' in cell ", D1007, ".", CHAR(10))</f>
        <v xml:space="preserve">Enter a residential 'Amount Last Provided to CHFA' value for 'Management Payroll Tax' in cell C28.
</v>
      </c>
      <c r="G1007" s="9" t="str">
        <f t="shared" ca="1" si="246"/>
        <v>0</v>
      </c>
    </row>
    <row r="1008" spans="1:7" ht="15" customHeight="1">
      <c r="A1008" t="str">
        <f ca="1">IF(E1008="",F1008, "")</f>
        <v/>
      </c>
      <c r="B1008">
        <f>ROW('Proforma, Income &amp; Expense'!B29)</f>
        <v>29</v>
      </c>
      <c r="C1008" t="str">
        <f t="shared" ca="1" si="247"/>
        <v>Model Apartment</v>
      </c>
      <c r="D1008" t="str">
        <f>ADDRESS(B1008, 2,4  )</f>
        <v>B29</v>
      </c>
      <c r="E1008">
        <f t="shared" ca="1" si="248"/>
        <v>0</v>
      </c>
      <c r="F1008" t="str">
        <f ca="1">CONCATENATE("Enter a residential value for '", C1008, "' in cell ", D1008, ".", CHAR(10))</f>
        <v xml:space="preserve">Enter a residential value for 'Model Apartment' in cell B29.
</v>
      </c>
      <c r="G1008" s="9" t="str">
        <f t="shared" ca="1" si="246"/>
        <v>0</v>
      </c>
    </row>
    <row r="1009" spans="1:7" ht="15" customHeight="1">
      <c r="A1009" t="str">
        <f ca="1">IF(AND(OR(Calculations!$B$3:$B$4), E1009=""), F1009, "")</f>
        <v/>
      </c>
      <c r="B1009" s="52">
        <f>B1008</f>
        <v>29</v>
      </c>
      <c r="C1009" t="str">
        <f t="shared" ca="1" si="247"/>
        <v>Model Apartment</v>
      </c>
      <c r="D1009" t="str">
        <f>ADDRESS(B1008, 3,4  )</f>
        <v>C29</v>
      </c>
      <c r="E1009">
        <f t="shared" ca="1" si="248"/>
        <v>0</v>
      </c>
      <c r="F1009" t="str">
        <f ca="1">CONCATENATE("Enter a residential 'Amount Last Provided to CHFA' value for '", C1009, "' in cell ", D1009, ".", CHAR(10))</f>
        <v xml:space="preserve">Enter a residential 'Amount Last Provided to CHFA' value for 'Model Apartment' in cell C29.
</v>
      </c>
      <c r="G1009" s="9" t="str">
        <f t="shared" ca="1" si="246"/>
        <v>0</v>
      </c>
    </row>
    <row r="1010" spans="1:7" ht="15" customHeight="1">
      <c r="A1010" t="str">
        <f ca="1">IF(E1010="",F1010, "")</f>
        <v/>
      </c>
      <c r="B1010">
        <f>ROW('Proforma, Income &amp; Expense'!B30)</f>
        <v>30</v>
      </c>
      <c r="C1010" t="str">
        <f t="shared" ca="1" si="247"/>
        <v>Office Supplies</v>
      </c>
      <c r="D1010" t="str">
        <f>ADDRESS(B1010, 2,4  )</f>
        <v>B30</v>
      </c>
      <c r="E1010">
        <f t="shared" ca="1" si="248"/>
        <v>0</v>
      </c>
      <c r="F1010" t="str">
        <f ca="1">CONCATENATE("Enter a residential value for '", C1010, "' in cell ", D1010, ".", CHAR(10))</f>
        <v xml:space="preserve">Enter a residential value for 'Office Supplies' in cell B30.
</v>
      </c>
      <c r="G1010" s="9" t="str">
        <f t="shared" ca="1" si="246"/>
        <v>0</v>
      </c>
    </row>
    <row r="1011" spans="1:7" ht="15" customHeight="1">
      <c r="A1011" t="str">
        <f ca="1">IF(AND(OR(Calculations!$B$3:$B$4), E1011=""), F1011, "")</f>
        <v/>
      </c>
      <c r="B1011" s="52">
        <f>B1010</f>
        <v>30</v>
      </c>
      <c r="C1011" t="str">
        <f t="shared" ca="1" si="247"/>
        <v>Office Supplies</v>
      </c>
      <c r="D1011" t="str">
        <f>ADDRESS(B1010, 3,4  )</f>
        <v>C30</v>
      </c>
      <c r="E1011">
        <f t="shared" ca="1" si="248"/>
        <v>0</v>
      </c>
      <c r="F1011" t="str">
        <f ca="1">CONCATENATE("Enter a residential 'Amount Last Provided to CHFA' value for '", C1011, "' in cell ", D1011, ".", CHAR(10))</f>
        <v xml:space="preserve">Enter a residential 'Amount Last Provided to CHFA' value for 'Office Supplies' in cell C30.
</v>
      </c>
      <c r="G1011" s="9" t="str">
        <f t="shared" ca="1" si="246"/>
        <v>0</v>
      </c>
    </row>
    <row r="1012" spans="1:7" ht="15" customHeight="1">
      <c r="A1012" t="str">
        <f ca="1">IF(E1012="",F1012, "")</f>
        <v/>
      </c>
      <c r="B1012">
        <f>ROW('Proforma, Income &amp; Expense'!B31)</f>
        <v>31</v>
      </c>
      <c r="C1012" t="str">
        <f t="shared" ca="1" si="247"/>
        <v>Telephone</v>
      </c>
      <c r="D1012" t="str">
        <f>ADDRESS(B1012, 2,4  )</f>
        <v>B31</v>
      </c>
      <c r="E1012">
        <f t="shared" ca="1" si="248"/>
        <v>0</v>
      </c>
      <c r="F1012" t="str">
        <f ca="1">CONCATENATE("Enter a residential value for '", C1012, "' in cell ", D1012, ".", CHAR(10))</f>
        <v xml:space="preserve">Enter a residential value for 'Telephone' in cell B31.
</v>
      </c>
      <c r="G1012" s="9" t="str">
        <f t="shared" ca="1" si="246"/>
        <v>0</v>
      </c>
    </row>
    <row r="1013" spans="1:7" ht="15" customHeight="1">
      <c r="A1013" t="str">
        <f ca="1">IF(AND(OR(Calculations!$B$3:$B$4), E1013=""), F1013, "")</f>
        <v/>
      </c>
      <c r="B1013" s="52">
        <f>B1012</f>
        <v>31</v>
      </c>
      <c r="C1013" t="str">
        <f t="shared" ca="1" si="247"/>
        <v>Telephone</v>
      </c>
      <c r="D1013" t="str">
        <f>ADDRESS(B1012, 3,4  )</f>
        <v>C31</v>
      </c>
      <c r="E1013">
        <f t="shared" ca="1" si="248"/>
        <v>0</v>
      </c>
      <c r="F1013" t="str">
        <f ca="1">CONCATENATE("Enter a residential 'Amount Last Provided to CHFA' value for '", C1013, "' in cell ", D1013, ".", CHAR(10))</f>
        <v xml:space="preserve">Enter a residential 'Amount Last Provided to CHFA' value for 'Telephone' in cell C31.
</v>
      </c>
      <c r="G1013" s="9" t="str">
        <f t="shared" ca="1" si="246"/>
        <v>0</v>
      </c>
    </row>
    <row r="1014" spans="1:7" ht="15" customHeight="1">
      <c r="A1014" t="str">
        <f ca="1">IF(E1014="",F1014, "")</f>
        <v/>
      </c>
      <c r="B1014">
        <f>ROW('Proforma, Income &amp; Expense'!B32)</f>
        <v>32</v>
      </c>
      <c r="C1014" t="str">
        <f t="shared" ca="1" si="247"/>
        <v>Other (Specify)</v>
      </c>
      <c r="D1014" t="str">
        <f>ADDRESS(B1014, 2,4  )</f>
        <v>B32</v>
      </c>
      <c r="E1014">
        <f t="shared" ca="1" si="248"/>
        <v>0</v>
      </c>
      <c r="F1014" t="str">
        <f ca="1">CONCATENATE("Enter a residential value for '", C1014, "' in cell ", D1014, ".", CHAR(10))</f>
        <v xml:space="preserve">Enter a residential value for 'Other (Specify)' in cell B32.
</v>
      </c>
      <c r="G1014" s="9" t="str">
        <f t="shared" ca="1" si="246"/>
        <v>0</v>
      </c>
    </row>
    <row r="1015" spans="1:7" ht="15" customHeight="1">
      <c r="A1015" t="str">
        <f ca="1">IF(AND(OR(Calculations!$B$3:$B$4), E1015=""), F1015, "")</f>
        <v/>
      </c>
      <c r="B1015" s="52">
        <f>B1014</f>
        <v>32</v>
      </c>
      <c r="C1015" t="str">
        <f t="shared" ca="1" si="247"/>
        <v>Other (Specify)</v>
      </c>
      <c r="D1015" t="str">
        <f>ADDRESS(B1014, 3,4  )</f>
        <v>C32</v>
      </c>
      <c r="E1015">
        <f t="shared" ca="1" si="248"/>
        <v>0</v>
      </c>
      <c r="F1015" t="str">
        <f ca="1">CONCATENATE("Enter a residential 'Amount Last Provided to CHFA' value for '", C1015, "' in cell ", D1015, ".", CHAR(10))</f>
        <v xml:space="preserve">Enter a residential 'Amount Last Provided to CHFA' value for 'Other (Specify)' in cell C32.
</v>
      </c>
      <c r="G1015" s="9" t="str">
        <f t="shared" ca="1" si="246"/>
        <v>0</v>
      </c>
    </row>
    <row r="1016" spans="1:7" ht="15" customHeight="1">
      <c r="A1016" t="str">
        <f ca="1">IF(AND(E1016, SUM(E1014:E1015) &gt; 0), F1016, "")</f>
        <v/>
      </c>
      <c r="C1016" t="str">
        <f ca="1">INDIRECT($F$921 &amp; ADDRESS(B1015, 1,4  ))</f>
        <v>Other (Specify)</v>
      </c>
      <c r="D1016" t="str">
        <f>ADDRESS(B1015, 1,4  )</f>
        <v>A32</v>
      </c>
      <c r="E1016" t="b">
        <f ca="1">INDIRECT($F$921 &amp; D1016)="Other (specify)"</f>
        <v>1</v>
      </c>
      <c r="F1016" t="str">
        <f ca="1">CONCATENATE("Please specify value for '", C1016, "' in cell ", D1016, ".", CHAR(10))</f>
        <v xml:space="preserve">Please specify value for 'Other (Specify)' in cell A32.
</v>
      </c>
      <c r="G1016" s="9" t="str">
        <f t="shared" ca="1" si="246"/>
        <v>0</v>
      </c>
    </row>
    <row r="1017" spans="1:7" ht="15" customHeight="1">
      <c r="A1017" t="str">
        <f ca="1">IF(E1017="",F1017, "")</f>
        <v/>
      </c>
      <c r="B1017">
        <f>ROW('Proforma, Income &amp; Expense'!B33)</f>
        <v>33</v>
      </c>
      <c r="C1017" t="str">
        <f ca="1">INDIRECT($F$921 &amp; ADDRESS(B1017, 1,4  ))</f>
        <v>Other (Specify)</v>
      </c>
      <c r="D1017" t="str">
        <f>ADDRESS(B1017, 2,4  )</f>
        <v>B33</v>
      </c>
      <c r="E1017">
        <f ca="1">IF(ISBLANK( INDIRECT($F$921 &amp; D1017)),"", INDIRECT($F$921 &amp; D1017))</f>
        <v>0</v>
      </c>
      <c r="F1017" t="str">
        <f ca="1">CONCATENATE("Enter a residential value for '", C1017, "' in cell ", D1017, ".", CHAR(10))</f>
        <v xml:space="preserve">Enter a residential value for 'Other (Specify)' in cell B33.
</v>
      </c>
      <c r="G1017" s="9" t="str">
        <f t="shared" ca="1" si="246"/>
        <v>0</v>
      </c>
    </row>
    <row r="1018" spans="1:7" ht="15" customHeight="1">
      <c r="A1018" t="str">
        <f ca="1">IF(AND(OR(Calculations!$B$3:$B$4), E1018=""), F1018, "")</f>
        <v/>
      </c>
      <c r="B1018" s="52">
        <f>B1017</f>
        <v>33</v>
      </c>
      <c r="C1018" t="str">
        <f ca="1">INDIRECT($F$921 &amp; ADDRESS(B1018, 1,4  ))</f>
        <v>Other (Specify)</v>
      </c>
      <c r="D1018" t="str">
        <f>ADDRESS(B1017, 3,4  )</f>
        <v>C33</v>
      </c>
      <c r="E1018">
        <f ca="1">IF(ISBLANK( INDIRECT($F$921 &amp; D1018)),"", INDIRECT($F$921 &amp; D1018))</f>
        <v>0</v>
      </c>
      <c r="F1018" t="str">
        <f ca="1">CONCATENATE("Enter a residential 'Amount Last Provided to CHFA' value for '", C1018, "' in cell ", D1018, ".", CHAR(10))</f>
        <v xml:space="preserve">Enter a residential 'Amount Last Provided to CHFA' value for 'Other (Specify)' in cell C33.
</v>
      </c>
      <c r="G1018" s="9" t="str">
        <f t="shared" ca="1" si="246"/>
        <v>0</v>
      </c>
    </row>
    <row r="1019" spans="1:7" ht="15" customHeight="1">
      <c r="A1019" t="str">
        <f ca="1">IF(AND(E1019, SUM(E1017:E1018) &gt; 0), F1019, "")</f>
        <v/>
      </c>
      <c r="C1019" t="str">
        <f ca="1">INDIRECT($F$921 &amp; ADDRESS(B1018, 1,4  ))</f>
        <v>Other (Specify)</v>
      </c>
      <c r="D1019" t="str">
        <f>ADDRESS(B1018, 1,4  )</f>
        <v>A33</v>
      </c>
      <c r="E1019" t="b">
        <f ca="1">INDIRECT($F$921 &amp; D1019)="Other (specify)"</f>
        <v>1</v>
      </c>
      <c r="F1019" t="str">
        <f ca="1">CONCATENATE("Please specify value for '", C1019, "' in cell ", D1019, ".", CHAR(10))</f>
        <v xml:space="preserve">Please specify value for 'Other (Specify)' in cell A33.
</v>
      </c>
      <c r="G1019" s="9" t="str">
        <f t="shared" ca="1" si="246"/>
        <v>0</v>
      </c>
    </row>
    <row r="1020" spans="1:7" ht="15" customHeight="1">
      <c r="A1020" t="str">
        <f ca="1">IF(E1020="",F1020, "")</f>
        <v/>
      </c>
      <c r="B1020">
        <f>ROW('Proforma, Income &amp; Expense'!B34)</f>
        <v>34</v>
      </c>
      <c r="C1020" t="str">
        <f ca="1">INDIRECT($F$921 &amp; ADDRESS(B1020, 1,4  ))</f>
        <v>Other (Specify)</v>
      </c>
      <c r="D1020" t="str">
        <f>ADDRESS(B1020, 2,4  )</f>
        <v>B34</v>
      </c>
      <c r="E1020">
        <f ca="1">IF(ISBLANK( INDIRECT($F$921 &amp; D1020)),"", INDIRECT($F$921 &amp; D1020))</f>
        <v>0</v>
      </c>
      <c r="F1020" t="str">
        <f ca="1">CONCATENATE("Enter a residential value for '", C1020, "' in cell ", D1020, ".", CHAR(10))</f>
        <v xml:space="preserve">Enter a residential value for 'Other (Specify)' in cell B34.
</v>
      </c>
      <c r="G1020" s="9" t="str">
        <f t="shared" ref="G1020:G1051" ca="1" si="249">OFFSET(G1020, -1, 0) &amp; A1020</f>
        <v>0</v>
      </c>
    </row>
    <row r="1021" spans="1:7" ht="15" customHeight="1">
      <c r="A1021" t="str">
        <f ca="1">IF(AND(OR(Calculations!$B$3:$B$4), E1021=""), F1021, "")</f>
        <v/>
      </c>
      <c r="B1021" s="52">
        <f>B1020</f>
        <v>34</v>
      </c>
      <c r="C1021" t="str">
        <f ca="1">INDIRECT($F$921 &amp; ADDRESS(B1021, 1,4  ))</f>
        <v>Other (Specify)</v>
      </c>
      <c r="D1021" t="str">
        <f>ADDRESS(B1020, 3,4  )</f>
        <v>C34</v>
      </c>
      <c r="E1021">
        <f ca="1">IF(ISBLANK( INDIRECT($F$921 &amp; D1021)),"", INDIRECT($F$921 &amp; D1021))</f>
        <v>0</v>
      </c>
      <c r="F1021" t="str">
        <f ca="1">CONCATENATE("Enter a residential 'Amount Last Provided to CHFA' value for '", C1021, "' in cell ", D1021, ".", CHAR(10))</f>
        <v xml:space="preserve">Enter a residential 'Amount Last Provided to CHFA' value for 'Other (Specify)' in cell C34.
</v>
      </c>
      <c r="G1021" s="9" t="str">
        <f t="shared" ca="1" si="249"/>
        <v>0</v>
      </c>
    </row>
    <row r="1022" spans="1:7" ht="15" customHeight="1">
      <c r="A1022" t="str">
        <f ca="1">IF(AND(E1022, SUM(E1020:E1021) &gt; 0), F1022, "")</f>
        <v/>
      </c>
      <c r="C1022" t="str">
        <f ca="1">INDIRECT($F$921 &amp; ADDRESS(B1021, 1,4  ))</f>
        <v>Other (Specify)</v>
      </c>
      <c r="D1022" t="str">
        <f>ADDRESS(B1021, 1,4  )</f>
        <v>A34</v>
      </c>
      <c r="E1022" t="b">
        <f ca="1">INDIRECT($F$921 &amp; D1022)="Other (specify)"</f>
        <v>1</v>
      </c>
      <c r="F1022" t="str">
        <f ca="1">CONCATENATE("Please specify value for '", C1022, "' in cell ", D1022, ".", CHAR(10))</f>
        <v xml:space="preserve">Please specify value for 'Other (Specify)' in cell A34.
</v>
      </c>
      <c r="G1022" s="9" t="str">
        <f t="shared" ca="1" si="249"/>
        <v>0</v>
      </c>
    </row>
    <row r="1023" spans="1:7" ht="15" customHeight="1">
      <c r="A1023" t="str">
        <f ca="1">IF(E1023="",F1023, "")</f>
        <v/>
      </c>
      <c r="B1023">
        <f>ROW('Proforma, Income &amp; Expense'!B37)</f>
        <v>37</v>
      </c>
      <c r="C1023" t="str">
        <f t="shared" ref="C1023:C1040" ca="1" si="250">INDIRECT($F$921 &amp; ADDRESS(B1023, 1,4  ))</f>
        <v>Fuel (Heat/Water)</v>
      </c>
      <c r="D1023" t="str">
        <f>ADDRESS(B1023, 2,4  )</f>
        <v>B37</v>
      </c>
      <c r="E1023">
        <f t="shared" ref="E1023:E1040" ca="1" si="251">IF(ISBLANK( INDIRECT($F$921 &amp; D1023)),"", INDIRECT($F$921 &amp; D1023))</f>
        <v>0</v>
      </c>
      <c r="F1023" t="str">
        <f ca="1">CONCATENATE("Enter a residential value for '", C1023, "' in cell ", D1023, ".", CHAR(10))</f>
        <v xml:space="preserve">Enter a residential value for 'Fuel (Heat/Water)' in cell B37.
</v>
      </c>
      <c r="G1023" s="9" t="str">
        <f t="shared" ca="1" si="249"/>
        <v>0</v>
      </c>
    </row>
    <row r="1024" spans="1:7" ht="15" customHeight="1">
      <c r="A1024" t="str">
        <f ca="1">IF(AND(OR(Calculations!$B$3:$B$4), E1024=""), F1024, "")</f>
        <v/>
      </c>
      <c r="B1024" s="52">
        <f>B1023</f>
        <v>37</v>
      </c>
      <c r="C1024" t="str">
        <f t="shared" ca="1" si="250"/>
        <v>Fuel (Heat/Water)</v>
      </c>
      <c r="D1024" t="str">
        <f>ADDRESS(B1023, 3,4  )</f>
        <v>C37</v>
      </c>
      <c r="E1024">
        <f t="shared" ca="1" si="251"/>
        <v>0</v>
      </c>
      <c r="F1024" t="str">
        <f ca="1">CONCATENATE("Enter a residential 'Amount Last Provided to CHFA' value for '", C1024, "' in cell ", D1024, ".", CHAR(10))</f>
        <v xml:space="preserve">Enter a residential 'Amount Last Provided to CHFA' value for 'Fuel (Heat/Water)' in cell C37.
</v>
      </c>
      <c r="G1024" s="9" t="str">
        <f t="shared" ca="1" si="249"/>
        <v>0</v>
      </c>
    </row>
    <row r="1025" spans="1:7" ht="15" customHeight="1">
      <c r="A1025" t="str">
        <f ca="1">IF(E1025="",F1025, "")</f>
        <v/>
      </c>
      <c r="B1025">
        <f>ROW('Proforma, Income &amp; Expense'!B38)</f>
        <v>38</v>
      </c>
      <c r="C1025" t="str">
        <f t="shared" ca="1" si="250"/>
        <v>Electricity</v>
      </c>
      <c r="D1025" t="str">
        <f>ADDRESS(B1025, 2,4  )</f>
        <v>B38</v>
      </c>
      <c r="E1025">
        <f t="shared" ca="1" si="251"/>
        <v>0</v>
      </c>
      <c r="F1025" t="str">
        <f ca="1">CONCATENATE("Enter a residential value for '", C1025, "' in cell ", D1025, ".", CHAR(10))</f>
        <v xml:space="preserve">Enter a residential value for 'Electricity' in cell B38.
</v>
      </c>
      <c r="G1025" s="9" t="str">
        <f t="shared" ca="1" si="249"/>
        <v>0</v>
      </c>
    </row>
    <row r="1026" spans="1:7" ht="15" customHeight="1">
      <c r="A1026" t="str">
        <f ca="1">IF(AND(OR(Calculations!$B$3:$B$4), E1026=""), F1026, "")</f>
        <v/>
      </c>
      <c r="B1026" s="52">
        <f>B1025</f>
        <v>38</v>
      </c>
      <c r="C1026" t="str">
        <f t="shared" ca="1" si="250"/>
        <v>Electricity</v>
      </c>
      <c r="D1026" t="str">
        <f>ADDRESS(B1025, 3,4  )</f>
        <v>C38</v>
      </c>
      <c r="E1026">
        <f t="shared" ca="1" si="251"/>
        <v>0</v>
      </c>
      <c r="F1026" t="str">
        <f ca="1">CONCATENATE("Enter a residential 'Amount Last Provided to CHFA' value for '", C1026, "' in cell ", D1026, ".", CHAR(10))</f>
        <v xml:space="preserve">Enter a residential 'Amount Last Provided to CHFA' value for 'Electricity' in cell C38.
</v>
      </c>
      <c r="G1026" s="9" t="str">
        <f t="shared" ca="1" si="249"/>
        <v>0</v>
      </c>
    </row>
    <row r="1027" spans="1:7" ht="15" customHeight="1">
      <c r="A1027" t="str">
        <f ca="1">IF(E1027="",F1027, "")</f>
        <v/>
      </c>
      <c r="B1027">
        <f>ROW('Proforma, Income &amp; Expense'!B39)</f>
        <v>39</v>
      </c>
      <c r="C1027" t="str">
        <f t="shared" ca="1" si="250"/>
        <v>Water</v>
      </c>
      <c r="D1027" t="str">
        <f>ADDRESS(B1027, 2,4  )</f>
        <v>B39</v>
      </c>
      <c r="E1027">
        <f t="shared" ca="1" si="251"/>
        <v>0</v>
      </c>
      <c r="F1027" t="str">
        <f ca="1">CONCATENATE("Enter a residential value for '", C1027, "' in cell ", D1027, ".", CHAR(10))</f>
        <v xml:space="preserve">Enter a residential value for 'Water' in cell B39.
</v>
      </c>
      <c r="G1027" s="9" t="str">
        <f t="shared" ca="1" si="249"/>
        <v>0</v>
      </c>
    </row>
    <row r="1028" spans="1:7" ht="15" customHeight="1">
      <c r="A1028" t="str">
        <f ca="1">IF(AND(OR(Calculations!$B$3:$B$4), E1028=""), F1028, "")</f>
        <v/>
      </c>
      <c r="B1028" s="52">
        <f>B1027</f>
        <v>39</v>
      </c>
      <c r="C1028" t="str">
        <f t="shared" ca="1" si="250"/>
        <v>Water</v>
      </c>
      <c r="D1028" t="str">
        <f>ADDRESS(B1027, 3,4  )</f>
        <v>C39</v>
      </c>
      <c r="E1028">
        <f t="shared" ca="1" si="251"/>
        <v>0</v>
      </c>
      <c r="F1028" t="str">
        <f ca="1">CONCATENATE("Enter a residential 'Amount Last Provided to CHFA' value for '", C1028, "' in cell ", D1028, ".", CHAR(10))</f>
        <v xml:space="preserve">Enter a residential 'Amount Last Provided to CHFA' value for 'Water' in cell C39.
</v>
      </c>
      <c r="G1028" s="9" t="str">
        <f t="shared" ca="1" si="249"/>
        <v>0</v>
      </c>
    </row>
    <row r="1029" spans="1:7" ht="15" customHeight="1">
      <c r="A1029" t="str">
        <f ca="1">IF(E1029="",F1029, "")</f>
        <v/>
      </c>
      <c r="B1029">
        <f>ROW('Proforma, Income &amp; Expense'!B40)</f>
        <v>40</v>
      </c>
      <c r="C1029" t="str">
        <f t="shared" ca="1" si="250"/>
        <v>Sewer</v>
      </c>
      <c r="D1029" t="str">
        <f>ADDRESS(B1029, 2,4  )</f>
        <v>B40</v>
      </c>
      <c r="E1029">
        <f t="shared" ca="1" si="251"/>
        <v>0</v>
      </c>
      <c r="F1029" t="str">
        <f ca="1">CONCATENATE("Enter a residential value for '", C1029, "' in cell ", D1029, ".", CHAR(10))</f>
        <v xml:space="preserve">Enter a residential value for 'Sewer' in cell B40.
</v>
      </c>
      <c r="G1029" s="9" t="str">
        <f t="shared" ca="1" si="249"/>
        <v>0</v>
      </c>
    </row>
    <row r="1030" spans="1:7" ht="15" customHeight="1">
      <c r="A1030" t="str">
        <f ca="1">IF(AND(OR(Calculations!$B$3:$B$4), E1030=""), F1030, "")</f>
        <v/>
      </c>
      <c r="B1030" s="52">
        <f>B1029</f>
        <v>40</v>
      </c>
      <c r="C1030" t="str">
        <f t="shared" ca="1" si="250"/>
        <v>Sewer</v>
      </c>
      <c r="D1030" t="str">
        <f>ADDRESS(B1029, 3,4  )</f>
        <v>C40</v>
      </c>
      <c r="E1030">
        <f t="shared" ca="1" si="251"/>
        <v>0</v>
      </c>
      <c r="F1030" t="str">
        <f ca="1">CONCATENATE("Enter a residential 'Amount Last Provided to CHFA' value for '", C1030, "' in cell ", D1030, ".", CHAR(10))</f>
        <v xml:space="preserve">Enter a residential 'Amount Last Provided to CHFA' value for 'Sewer' in cell C40.
</v>
      </c>
      <c r="G1030" s="9" t="str">
        <f t="shared" ca="1" si="249"/>
        <v>0</v>
      </c>
    </row>
    <row r="1031" spans="1:7" ht="15" customHeight="1">
      <c r="A1031" t="str">
        <f ca="1">IF(E1031="",F1031, "")</f>
        <v/>
      </c>
      <c r="B1031">
        <f>ROW('Proforma, Income &amp; Expense'!B41)</f>
        <v>41</v>
      </c>
      <c r="C1031" t="str">
        <f t="shared" ca="1" si="250"/>
        <v>Gas</v>
      </c>
      <c r="D1031" t="str">
        <f>ADDRESS(B1031, 2,4  )</f>
        <v>B41</v>
      </c>
      <c r="E1031">
        <f t="shared" ca="1" si="251"/>
        <v>0</v>
      </c>
      <c r="F1031" t="str">
        <f ca="1">CONCATENATE("Enter a residential value for '", C1031, "' in cell ", D1031, ".", CHAR(10))</f>
        <v xml:space="preserve">Enter a residential value for 'Gas' in cell B41.
</v>
      </c>
      <c r="G1031" s="9" t="str">
        <f t="shared" ca="1" si="249"/>
        <v>0</v>
      </c>
    </row>
    <row r="1032" spans="1:7" ht="15" customHeight="1">
      <c r="A1032" t="str">
        <f ca="1">IF(AND(OR(Calculations!$B$3:$B$4), E1032=""), F1032, "")</f>
        <v/>
      </c>
      <c r="B1032" s="52">
        <f>B1031</f>
        <v>41</v>
      </c>
      <c r="C1032" t="str">
        <f t="shared" ca="1" si="250"/>
        <v>Gas</v>
      </c>
      <c r="D1032" t="str">
        <f>ADDRESS(B1031, 3,4  )</f>
        <v>C41</v>
      </c>
      <c r="E1032">
        <f t="shared" ca="1" si="251"/>
        <v>0</v>
      </c>
      <c r="F1032" t="str">
        <f ca="1">CONCATENATE("Enter a residential 'Amount Last Provided to CHFA' value for '", C1032, "' in cell ", D1032, ".", CHAR(10))</f>
        <v xml:space="preserve">Enter a residential 'Amount Last Provided to CHFA' value for 'Gas' in cell C41.
</v>
      </c>
      <c r="G1032" s="9" t="str">
        <f t="shared" ca="1" si="249"/>
        <v>0</v>
      </c>
    </row>
    <row r="1033" spans="1:7" ht="15" customHeight="1">
      <c r="A1033" t="str">
        <f ca="1">IF(E1033="",F1033, "")</f>
        <v/>
      </c>
      <c r="B1033">
        <f>ROW('Proforma, Income &amp; Expense'!B42)</f>
        <v>42</v>
      </c>
      <c r="C1033" t="str">
        <f t="shared" ca="1" si="250"/>
        <v>Trash</v>
      </c>
      <c r="D1033" t="str">
        <f>ADDRESS(B1033, 2,4  )</f>
        <v>B42</v>
      </c>
      <c r="E1033">
        <f t="shared" ca="1" si="251"/>
        <v>0</v>
      </c>
      <c r="F1033" t="str">
        <f ca="1">CONCATENATE("Enter a residential value for '", C1033, "' in cell ", D1033, ".", CHAR(10))</f>
        <v xml:space="preserve">Enter a residential value for 'Trash' in cell B42.
</v>
      </c>
      <c r="G1033" s="9" t="str">
        <f t="shared" ca="1" si="249"/>
        <v>0</v>
      </c>
    </row>
    <row r="1034" spans="1:7" ht="15" customHeight="1">
      <c r="A1034" t="str">
        <f ca="1">IF(AND(OR(Calculations!$B$3:$B$4), E1034=""), F1034, "")</f>
        <v/>
      </c>
      <c r="B1034" s="52">
        <f>B1033</f>
        <v>42</v>
      </c>
      <c r="C1034" t="str">
        <f t="shared" ca="1" si="250"/>
        <v>Trash</v>
      </c>
      <c r="D1034" t="str">
        <f>ADDRESS(B1033, 3,4  )</f>
        <v>C42</v>
      </c>
      <c r="E1034">
        <f t="shared" ca="1" si="251"/>
        <v>0</v>
      </c>
      <c r="F1034" t="str">
        <f ca="1">CONCATENATE("Enter a residential 'Amount Last Provided to CHFA' value for '", C1034, "' in cell ", D1034, ".", CHAR(10))</f>
        <v xml:space="preserve">Enter a residential 'Amount Last Provided to CHFA' value for 'Trash' in cell C42.
</v>
      </c>
      <c r="G1034" s="9" t="str">
        <f t="shared" ca="1" si="249"/>
        <v>0</v>
      </c>
    </row>
    <row r="1035" spans="1:7" ht="15" customHeight="1">
      <c r="A1035" t="str">
        <f ca="1">IF(E1035="",F1035, "")</f>
        <v/>
      </c>
      <c r="B1035">
        <f>ROW('Proforma, Income &amp; Expense'!B43)</f>
        <v>43</v>
      </c>
      <c r="C1035" t="str">
        <f t="shared" ca="1" si="250"/>
        <v>Security</v>
      </c>
      <c r="D1035" t="str">
        <f>ADDRESS(B1035, 2,4  )</f>
        <v>B43</v>
      </c>
      <c r="E1035">
        <f t="shared" ca="1" si="251"/>
        <v>0</v>
      </c>
      <c r="F1035" t="str">
        <f ca="1">CONCATENATE("Enter a residential value for '", C1035, "' in cell ", D1035, ".", CHAR(10))</f>
        <v xml:space="preserve">Enter a residential value for 'Security' in cell B43.
</v>
      </c>
      <c r="G1035" s="9" t="str">
        <f t="shared" ca="1" si="249"/>
        <v>0</v>
      </c>
    </row>
    <row r="1036" spans="1:7" ht="15" customHeight="1">
      <c r="A1036" t="str">
        <f ca="1">IF(AND(OR(Calculations!$B$3:$B$4), E1036=""), F1036, "")</f>
        <v/>
      </c>
      <c r="B1036" s="52">
        <f>B1035</f>
        <v>43</v>
      </c>
      <c r="C1036" t="str">
        <f t="shared" ca="1" si="250"/>
        <v>Security</v>
      </c>
      <c r="D1036" t="str">
        <f>ADDRESS(B1035, 3,4  )</f>
        <v>C43</v>
      </c>
      <c r="E1036">
        <f t="shared" ca="1" si="251"/>
        <v>0</v>
      </c>
      <c r="F1036" t="str">
        <f ca="1">CONCATENATE("Enter a residential 'Amount Last Provided to CHFA' value for '", C1036, "' in cell ", D1036, ".", CHAR(10))</f>
        <v xml:space="preserve">Enter a residential 'Amount Last Provided to CHFA' value for 'Security' in cell C43.
</v>
      </c>
      <c r="G1036" s="9" t="str">
        <f t="shared" ca="1" si="249"/>
        <v>0</v>
      </c>
    </row>
    <row r="1037" spans="1:7" ht="15" customHeight="1">
      <c r="A1037" t="str">
        <f ca="1">IF(E1037="",F1037, "")</f>
        <v/>
      </c>
      <c r="B1037">
        <f>ROW('Proforma, Income &amp; Expense'!B44)</f>
        <v>44</v>
      </c>
      <c r="C1037" t="str">
        <f t="shared" ca="1" si="250"/>
        <v>Cable</v>
      </c>
      <c r="D1037" t="str">
        <f>ADDRESS(B1037, 2,4  )</f>
        <v>B44</v>
      </c>
      <c r="E1037">
        <f t="shared" ca="1" si="251"/>
        <v>0</v>
      </c>
      <c r="F1037" t="str">
        <f ca="1">CONCATENATE("Enter a residential value for '", C1037, "' in cell ", D1037, ".", CHAR(10))</f>
        <v xml:space="preserve">Enter a residential value for 'Cable' in cell B44.
</v>
      </c>
      <c r="G1037" s="9" t="str">
        <f t="shared" ca="1" si="249"/>
        <v>0</v>
      </c>
    </row>
    <row r="1038" spans="1:7" ht="15" customHeight="1">
      <c r="A1038" t="str">
        <f ca="1">IF(AND(OR(Calculations!$B$3:$B$4), E1038=""), F1038, "")</f>
        <v/>
      </c>
      <c r="B1038" s="52">
        <f>B1037</f>
        <v>44</v>
      </c>
      <c r="C1038" t="str">
        <f t="shared" ca="1" si="250"/>
        <v>Cable</v>
      </c>
      <c r="D1038" t="str">
        <f>ADDRESS(B1037, 3,4  )</f>
        <v>C44</v>
      </c>
      <c r="E1038">
        <f t="shared" ca="1" si="251"/>
        <v>0</v>
      </c>
      <c r="F1038" t="str">
        <f ca="1">CONCATENATE("Enter a residential 'Amount Last Provided to CHFA' value for '", C1038, "' in cell ", D1038, ".", CHAR(10))</f>
        <v xml:space="preserve">Enter a residential 'Amount Last Provided to CHFA' value for 'Cable' in cell C44.
</v>
      </c>
      <c r="G1038" s="9" t="str">
        <f t="shared" ca="1" si="249"/>
        <v>0</v>
      </c>
    </row>
    <row r="1039" spans="1:7" ht="15" customHeight="1">
      <c r="A1039" t="str">
        <f ca="1">IF(E1039="",F1039, "")</f>
        <v/>
      </c>
      <c r="B1039">
        <f>ROW('Proforma, Income &amp; Expense'!B45)</f>
        <v>45</v>
      </c>
      <c r="C1039" t="str">
        <f t="shared" ca="1" si="250"/>
        <v>Other (Specify)</v>
      </c>
      <c r="D1039" t="str">
        <f>ADDRESS(B1039, 2,4  )</f>
        <v>B45</v>
      </c>
      <c r="E1039">
        <f t="shared" ca="1" si="251"/>
        <v>0</v>
      </c>
      <c r="F1039" t="str">
        <f ca="1">CONCATENATE("Enter a residential value for '", C1039, "' in cell ", D1039, ".", CHAR(10))</f>
        <v xml:space="preserve">Enter a residential value for 'Other (Specify)' in cell B45.
</v>
      </c>
      <c r="G1039" s="9" t="str">
        <f t="shared" ca="1" si="249"/>
        <v>0</v>
      </c>
    </row>
    <row r="1040" spans="1:7" ht="15" customHeight="1">
      <c r="A1040" t="str">
        <f ca="1">IF(AND(OR(Calculations!$B$3:$B$4), E1040=""), F1040, "")</f>
        <v/>
      </c>
      <c r="B1040" s="52">
        <f>B1039</f>
        <v>45</v>
      </c>
      <c r="C1040" t="str">
        <f t="shared" ca="1" si="250"/>
        <v>Other (Specify)</v>
      </c>
      <c r="D1040" t="str">
        <f>ADDRESS(B1039, 3,4  )</f>
        <v>C45</v>
      </c>
      <c r="E1040">
        <f t="shared" ca="1" si="251"/>
        <v>0</v>
      </c>
      <c r="F1040" t="str">
        <f ca="1">CONCATENATE("Enter a residential 'Amount Last Provided to CHFA' value for '", C1040, "' in cell ", D1040, ".", CHAR(10))</f>
        <v xml:space="preserve">Enter a residential 'Amount Last Provided to CHFA' value for 'Other (Specify)' in cell C45.
</v>
      </c>
      <c r="G1040" s="9" t="str">
        <f t="shared" ca="1" si="249"/>
        <v>0</v>
      </c>
    </row>
    <row r="1041" spans="1:7" ht="15" customHeight="1">
      <c r="A1041" t="str">
        <f ca="1">IF(AND(E1041, SUM(E1039:E1040) &gt; 0), F1041, "")</f>
        <v/>
      </c>
      <c r="C1041" t="str">
        <f ca="1">INDIRECT($F$921 &amp; ADDRESS(B1040, 1,4  ))</f>
        <v>Other (Specify)</v>
      </c>
      <c r="D1041" t="str">
        <f>ADDRESS(B1040, 1,4  )</f>
        <v>A45</v>
      </c>
      <c r="E1041" t="b">
        <f ca="1">INDIRECT($F$921 &amp; D1041)="Other (specify)"</f>
        <v>1</v>
      </c>
      <c r="F1041" t="str">
        <f ca="1">CONCATENATE("Please specify value for '", C1041, "' in cell ", D1041, ".", CHAR(10))</f>
        <v xml:space="preserve">Please specify value for 'Other (Specify)' in cell A45.
</v>
      </c>
      <c r="G1041" s="9" t="str">
        <f t="shared" ca="1" si="249"/>
        <v>0</v>
      </c>
    </row>
    <row r="1042" spans="1:7" ht="15" customHeight="1">
      <c r="A1042" t="str">
        <f ca="1">IF(E1042="",F1042, "")</f>
        <v/>
      </c>
      <c r="B1042">
        <f>ROW('Proforma, Income &amp; Expense'!B46)</f>
        <v>46</v>
      </c>
      <c r="C1042" t="str">
        <f ca="1">INDIRECT($F$921 &amp; ADDRESS(B1042, 1,4  ))</f>
        <v>Other (Specify)</v>
      </c>
      <c r="D1042" t="str">
        <f>ADDRESS(B1042, 2,4  )</f>
        <v>B46</v>
      </c>
      <c r="E1042">
        <f ca="1">IF(ISBLANK( INDIRECT($F$921 &amp; D1042)),"", INDIRECT($F$921 &amp; D1042))</f>
        <v>0</v>
      </c>
      <c r="F1042" t="str">
        <f ca="1">CONCATENATE("Enter a residential value for '", C1042, "' in cell ", D1042, ".", CHAR(10))</f>
        <v xml:space="preserve">Enter a residential value for 'Other (Specify)' in cell B46.
</v>
      </c>
      <c r="G1042" s="9" t="str">
        <f t="shared" ca="1" si="249"/>
        <v>0</v>
      </c>
    </row>
    <row r="1043" spans="1:7" ht="15" customHeight="1">
      <c r="A1043" t="str">
        <f ca="1">IF(AND(OR(Calculations!$B$3:$B$4), E1043=""), F1043, "")</f>
        <v/>
      </c>
      <c r="B1043" s="52">
        <f>B1042</f>
        <v>46</v>
      </c>
      <c r="C1043" t="str">
        <f ca="1">INDIRECT($F$921 &amp; ADDRESS(B1043, 1,4  ))</f>
        <v>Other (Specify)</v>
      </c>
      <c r="D1043" t="str">
        <f>ADDRESS(B1042, 3,4  )</f>
        <v>C46</v>
      </c>
      <c r="E1043">
        <f ca="1">IF(ISBLANK( INDIRECT($F$921 &amp; D1043)),"", INDIRECT($F$921 &amp; D1043))</f>
        <v>0</v>
      </c>
      <c r="F1043" t="str">
        <f ca="1">CONCATENATE("Enter a residential 'Amount Last Provided to CHFA' value for '", C1043, "' in cell ", D1043, ".", CHAR(10))</f>
        <v xml:space="preserve">Enter a residential 'Amount Last Provided to CHFA' value for 'Other (Specify)' in cell C46.
</v>
      </c>
      <c r="G1043" s="9" t="str">
        <f t="shared" ca="1" si="249"/>
        <v>0</v>
      </c>
    </row>
    <row r="1044" spans="1:7" ht="15" customHeight="1">
      <c r="A1044" t="str">
        <f ca="1">IF(AND(E1044, SUM(E1042:E1043) &gt; 0), F1044, "")</f>
        <v/>
      </c>
      <c r="C1044" t="str">
        <f ca="1">INDIRECT($F$921 &amp; ADDRESS(B1043, 1,4  ))</f>
        <v>Other (Specify)</v>
      </c>
      <c r="D1044" t="str">
        <f>ADDRESS(B1043, 1,4  )</f>
        <v>A46</v>
      </c>
      <c r="E1044" t="b">
        <f ca="1">INDIRECT($F$921 &amp; D1044)="Other (specify)"</f>
        <v>1</v>
      </c>
      <c r="F1044" t="str">
        <f ca="1">CONCATENATE("Please specify value for '", C1044, "' in cell ", D1044, ".", CHAR(10))</f>
        <v xml:space="preserve">Please specify value for 'Other (Specify)' in cell A46.
</v>
      </c>
      <c r="G1044" s="9" t="str">
        <f t="shared" ca="1" si="249"/>
        <v>0</v>
      </c>
    </row>
    <row r="1045" spans="1:7" ht="15" customHeight="1">
      <c r="A1045" t="str">
        <f ca="1">IF(E1045="",F1045, "")</f>
        <v/>
      </c>
      <c r="B1045">
        <f>ROW('Proforma, Income &amp; Expense'!B47)</f>
        <v>47</v>
      </c>
      <c r="C1045" t="str">
        <f ca="1">INDIRECT($F$921 &amp; ADDRESS(B1045, 1,4  ))</f>
        <v>Other (Specify)</v>
      </c>
      <c r="D1045" t="str">
        <f>ADDRESS(B1045, 2,4  )</f>
        <v>B47</v>
      </c>
      <c r="E1045">
        <f ca="1">IF(ISBLANK( INDIRECT($F$921 &amp; D1045)),"", INDIRECT($F$921 &amp; D1045))</f>
        <v>0</v>
      </c>
      <c r="F1045" t="str">
        <f ca="1">CONCATENATE("Enter a residential value for '", C1045, "' in cell ", D1045, ".", CHAR(10))</f>
        <v xml:space="preserve">Enter a residential value for 'Other (Specify)' in cell B47.
</v>
      </c>
      <c r="G1045" s="9" t="str">
        <f t="shared" ca="1" si="249"/>
        <v>0</v>
      </c>
    </row>
    <row r="1046" spans="1:7" ht="15" customHeight="1">
      <c r="A1046" t="str">
        <f ca="1">IF(AND(OR(Calculations!$B$3:$B$4), E1046=""), F1046, "")</f>
        <v/>
      </c>
      <c r="B1046" s="52">
        <f>B1045</f>
        <v>47</v>
      </c>
      <c r="C1046" t="str">
        <f ca="1">INDIRECT($F$921 &amp; ADDRESS(B1046, 1,4  ))</f>
        <v>Other (Specify)</v>
      </c>
      <c r="D1046" t="str">
        <f>ADDRESS(B1045, 3,4  )</f>
        <v>C47</v>
      </c>
      <c r="E1046">
        <f ca="1">IF(ISBLANK( INDIRECT($F$921 &amp; D1046)),"", INDIRECT($F$921 &amp; D1046))</f>
        <v>0</v>
      </c>
      <c r="F1046" t="str">
        <f ca="1">CONCATENATE("Enter a residential 'Amount Last Provided to CHFA' value for '", C1046, "' in cell ", D1046, ".", CHAR(10))</f>
        <v xml:space="preserve">Enter a residential 'Amount Last Provided to CHFA' value for 'Other (Specify)' in cell C47.
</v>
      </c>
      <c r="G1046" s="9" t="str">
        <f t="shared" ca="1" si="249"/>
        <v>0</v>
      </c>
    </row>
    <row r="1047" spans="1:7" ht="15" customHeight="1">
      <c r="A1047" t="str">
        <f ca="1">IF(AND(E1047, SUM(E1045:E1046) &gt; 0), F1047, "")</f>
        <v/>
      </c>
      <c r="C1047" t="str">
        <f ca="1">INDIRECT($F$921 &amp; ADDRESS(B1046, 1,4  ))</f>
        <v>Other (Specify)</v>
      </c>
      <c r="D1047" t="str">
        <f>ADDRESS(B1046, 1,4  )</f>
        <v>A47</v>
      </c>
      <c r="E1047" t="b">
        <f ca="1">INDIRECT($F$921 &amp; D1047)="Other (specify)"</f>
        <v>1</v>
      </c>
      <c r="F1047" t="str">
        <f ca="1">CONCATENATE("Please specify value for '", C1047, "' in cell ", D1047, ".", CHAR(10))</f>
        <v xml:space="preserve">Please specify value for 'Other (Specify)' in cell A47.
</v>
      </c>
      <c r="G1047" s="9" t="str">
        <f t="shared" ca="1" si="249"/>
        <v>0</v>
      </c>
    </row>
    <row r="1048" spans="1:7" ht="15" customHeight="1">
      <c r="A1048" t="str">
        <f ca="1">IF(E1048="",F1048, "")</f>
        <v/>
      </c>
      <c r="B1048">
        <f>ROW('Proforma, Income &amp; Expense'!B48)</f>
        <v>48</v>
      </c>
      <c r="C1048" t="str">
        <f ca="1">INDIRECT($F$921 &amp; ADDRESS(B1048, 1,4  ))</f>
        <v>Other (Specify)</v>
      </c>
      <c r="D1048" t="str">
        <f>ADDRESS(B1048, 2,4  )</f>
        <v>B48</v>
      </c>
      <c r="E1048">
        <f ca="1">IF(ISBLANK( INDIRECT($F$921 &amp; D1048)),"", INDIRECT($F$921 &amp; D1048))</f>
        <v>0</v>
      </c>
      <c r="F1048" t="str">
        <f ca="1">CONCATENATE("Enter a residential value for '", C1048, "' in cell ", D1048, ".", CHAR(10))</f>
        <v xml:space="preserve">Enter a residential value for 'Other (Specify)' in cell B48.
</v>
      </c>
      <c r="G1048" s="9" t="str">
        <f t="shared" ca="1" si="249"/>
        <v>0</v>
      </c>
    </row>
    <row r="1049" spans="1:7" ht="15" customHeight="1">
      <c r="A1049" t="str">
        <f ca="1">IF(AND(OR(Calculations!$B$3:$B$4), E1049=""), F1049, "")</f>
        <v/>
      </c>
      <c r="B1049" s="52">
        <f>B1048</f>
        <v>48</v>
      </c>
      <c r="C1049" t="str">
        <f ca="1">INDIRECT($F$921 &amp; ADDRESS(B1049, 1,4  ))</f>
        <v>Other (Specify)</v>
      </c>
      <c r="D1049" t="str">
        <f>ADDRESS(B1048, 3,4  )</f>
        <v>C48</v>
      </c>
      <c r="E1049">
        <f ca="1">IF(ISBLANK( INDIRECT($F$921 &amp; D1049)),"", INDIRECT($F$921 &amp; D1049))</f>
        <v>0</v>
      </c>
      <c r="F1049" t="str">
        <f ca="1">CONCATENATE("Enter a residential 'Amount Last Provided to CHFA' value for '", C1049, "' in cell ", D1049, ".", CHAR(10))</f>
        <v xml:space="preserve">Enter a residential 'Amount Last Provided to CHFA' value for 'Other (Specify)' in cell C48.
</v>
      </c>
      <c r="G1049" s="9" t="str">
        <f t="shared" ca="1" si="249"/>
        <v>0</v>
      </c>
    </row>
    <row r="1050" spans="1:7" ht="15" customHeight="1">
      <c r="A1050" t="str">
        <f ca="1">IF(AND(E1050, SUM(E1048:E1049) &gt; 0), F1050, "")</f>
        <v/>
      </c>
      <c r="C1050" t="str">
        <f ca="1">INDIRECT($F$921 &amp; ADDRESS(B1049, 1,4  ))</f>
        <v>Other (Specify)</v>
      </c>
      <c r="D1050" t="str">
        <f>ADDRESS(B1049, 1,4  )</f>
        <v>A48</v>
      </c>
      <c r="E1050" t="b">
        <f ca="1">INDIRECT($F$921 &amp; D1050)="Other (specify)"</f>
        <v>1</v>
      </c>
      <c r="F1050" t="str">
        <f ca="1">CONCATENATE("Please specify value for '", C1050, "' in cell ", D1050, ".", CHAR(10))</f>
        <v xml:space="preserve">Please specify value for 'Other (Specify)' in cell A48.
</v>
      </c>
      <c r="G1050" s="9" t="str">
        <f t="shared" ca="1" si="249"/>
        <v>0</v>
      </c>
    </row>
    <row r="1051" spans="1:7" ht="15" customHeight="1">
      <c r="A1051" t="str">
        <f ca="1">IF(E1051="",F1051, "")</f>
        <v/>
      </c>
      <c r="B1051">
        <f>ROW('Proforma, Income &amp; Expense'!B51)</f>
        <v>51</v>
      </c>
      <c r="C1051" t="str">
        <f t="shared" ref="C1051:C1070" ca="1" si="252">INDIRECT($F$921 &amp; ADDRESS(B1051, 1,4  ))</f>
        <v>Elevator</v>
      </c>
      <c r="D1051" t="str">
        <f>ADDRESS(B1051, 2,4  )</f>
        <v>B51</v>
      </c>
      <c r="E1051">
        <f t="shared" ref="E1051:E1070" ca="1" si="253">IF(ISBLANK( INDIRECT($F$921 &amp; D1051)),"", INDIRECT($F$921 &amp; D1051))</f>
        <v>0</v>
      </c>
      <c r="F1051" t="str">
        <f ca="1">CONCATENATE("Enter a residential value for '", C1051, "' in cell ", D1051, ".", CHAR(10))</f>
        <v xml:space="preserve">Enter a residential value for 'Elevator' in cell B51.
</v>
      </c>
      <c r="G1051" s="9" t="str">
        <f t="shared" ca="1" si="249"/>
        <v>0</v>
      </c>
    </row>
    <row r="1052" spans="1:7" ht="15" customHeight="1">
      <c r="A1052" t="str">
        <f ca="1">IF(AND(OR(Calculations!$B$3:$B$4), E1052=""), F1052, "")</f>
        <v/>
      </c>
      <c r="B1052" s="52">
        <f>B1051</f>
        <v>51</v>
      </c>
      <c r="C1052" t="str">
        <f t="shared" ca="1" si="252"/>
        <v>Elevator</v>
      </c>
      <c r="D1052" t="str">
        <f>ADDRESS(B1051, 3,4  )</f>
        <v>C51</v>
      </c>
      <c r="E1052">
        <f t="shared" ca="1" si="253"/>
        <v>0</v>
      </c>
      <c r="F1052" t="str">
        <f ca="1">CONCATENATE("Enter a residential 'Amount Last Provided to CHFA' value for '", C1052, "' in cell ", D1052, ".", CHAR(10))</f>
        <v xml:space="preserve">Enter a residential 'Amount Last Provided to CHFA' value for 'Elevator' in cell C51.
</v>
      </c>
      <c r="G1052" s="9" t="str">
        <f t="shared" ref="G1052:G1083" ca="1" si="254">OFFSET(G1052, -1, 0) &amp; A1052</f>
        <v>0</v>
      </c>
    </row>
    <row r="1053" spans="1:7" ht="15" customHeight="1">
      <c r="A1053" t="str">
        <f ca="1">IF(E1053="",F1053, "")</f>
        <v/>
      </c>
      <c r="B1053">
        <f>ROW('Proforma, Income &amp; Expense'!B52)</f>
        <v>52</v>
      </c>
      <c r="C1053" t="str">
        <f t="shared" ca="1" si="252"/>
        <v>Extermination</v>
      </c>
      <c r="D1053" t="str">
        <f>ADDRESS(B1053, 2,4  )</f>
        <v>B52</v>
      </c>
      <c r="E1053">
        <f t="shared" ca="1" si="253"/>
        <v>0</v>
      </c>
      <c r="F1053" t="str">
        <f ca="1">CONCATENATE("Enter a residential value for '", C1053, "' in cell ", D1053, ".", CHAR(10))</f>
        <v xml:space="preserve">Enter a residential value for 'Extermination' in cell B52.
</v>
      </c>
      <c r="G1053" s="9" t="str">
        <f t="shared" ca="1" si="254"/>
        <v>0</v>
      </c>
    </row>
    <row r="1054" spans="1:7" ht="15" customHeight="1">
      <c r="A1054" t="str">
        <f ca="1">IF(AND(OR(Calculations!$B$3:$B$4), E1054=""), F1054, "")</f>
        <v/>
      </c>
      <c r="B1054" s="52">
        <f>B1053</f>
        <v>52</v>
      </c>
      <c r="C1054" t="str">
        <f t="shared" ca="1" si="252"/>
        <v>Extermination</v>
      </c>
      <c r="D1054" t="str">
        <f>ADDRESS(B1053, 3,4  )</f>
        <v>C52</v>
      </c>
      <c r="E1054">
        <f t="shared" ca="1" si="253"/>
        <v>0</v>
      </c>
      <c r="F1054" t="str">
        <f ca="1">CONCATENATE("Enter a residential 'Amount Last Provided to CHFA' value for '", C1054, "' in cell ", D1054, ".", CHAR(10))</f>
        <v xml:space="preserve">Enter a residential 'Amount Last Provided to CHFA' value for 'Extermination' in cell C52.
</v>
      </c>
      <c r="G1054" s="9" t="str">
        <f t="shared" ca="1" si="254"/>
        <v>0</v>
      </c>
    </row>
    <row r="1055" spans="1:7" ht="15" customHeight="1">
      <c r="A1055" t="str">
        <f ca="1">IF(E1055="",F1055, "")</f>
        <v/>
      </c>
      <c r="B1055">
        <f>ROW('Proforma, Income &amp; Expense'!B53)</f>
        <v>53</v>
      </c>
      <c r="C1055" t="str">
        <f t="shared" ca="1" si="252"/>
        <v>Grounds</v>
      </c>
      <c r="D1055" t="str">
        <f>ADDRESS(B1055, 2,4  )</f>
        <v>B53</v>
      </c>
      <c r="E1055">
        <f t="shared" ca="1" si="253"/>
        <v>0</v>
      </c>
      <c r="F1055" t="str">
        <f ca="1">CONCATENATE("Enter a residential value for '", C1055, "' in cell ", D1055, ".", CHAR(10))</f>
        <v xml:space="preserve">Enter a residential value for 'Grounds' in cell B53.
</v>
      </c>
      <c r="G1055" s="9" t="str">
        <f t="shared" ca="1" si="254"/>
        <v>0</v>
      </c>
    </row>
    <row r="1056" spans="1:7" ht="15" customHeight="1">
      <c r="A1056" t="str">
        <f ca="1">IF(AND(OR(Calculations!$B$3:$B$4), E1056=""), F1056, "")</f>
        <v/>
      </c>
      <c r="B1056" s="52">
        <f>B1055</f>
        <v>53</v>
      </c>
      <c r="C1056" t="str">
        <f t="shared" ca="1" si="252"/>
        <v>Grounds</v>
      </c>
      <c r="D1056" t="str">
        <f>ADDRESS(B1055, 3,4  )</f>
        <v>C53</v>
      </c>
      <c r="E1056">
        <f t="shared" ca="1" si="253"/>
        <v>0</v>
      </c>
      <c r="F1056" t="str">
        <f ca="1">CONCATENATE("Enter a residential 'Amount Last Provided to CHFA' value for '", C1056, "' in cell ", D1056, ".", CHAR(10))</f>
        <v xml:space="preserve">Enter a residential 'Amount Last Provided to CHFA' value for 'Grounds' in cell C53.
</v>
      </c>
      <c r="G1056" s="9" t="str">
        <f t="shared" ca="1" si="254"/>
        <v>0</v>
      </c>
    </row>
    <row r="1057" spans="1:7" ht="15" customHeight="1">
      <c r="A1057" t="str">
        <f ca="1">IF(E1057="",F1057, "")</f>
        <v/>
      </c>
      <c r="B1057">
        <f>ROW('Proforma, Income &amp; Expense'!B54)</f>
        <v>54</v>
      </c>
      <c r="C1057" t="str">
        <f t="shared" ca="1" si="252"/>
        <v>Repairs</v>
      </c>
      <c r="D1057" t="str">
        <f>ADDRESS(B1057, 2,4  )</f>
        <v>B54</v>
      </c>
      <c r="E1057">
        <f t="shared" ca="1" si="253"/>
        <v>0</v>
      </c>
      <c r="F1057" t="str">
        <f ca="1">CONCATENATE("Enter a residential value for '", C1057, "' in cell ", D1057, ".", CHAR(10))</f>
        <v xml:space="preserve">Enter a residential value for 'Repairs' in cell B54.
</v>
      </c>
      <c r="G1057" s="9" t="str">
        <f t="shared" ca="1" si="254"/>
        <v>0</v>
      </c>
    </row>
    <row r="1058" spans="1:7" ht="15" customHeight="1">
      <c r="A1058" t="str">
        <f ca="1">IF(AND(OR(Calculations!$B$3:$B$4), E1058=""), F1058, "")</f>
        <v/>
      </c>
      <c r="B1058" s="52">
        <f>B1057</f>
        <v>54</v>
      </c>
      <c r="C1058" t="str">
        <f t="shared" ca="1" si="252"/>
        <v>Repairs</v>
      </c>
      <c r="D1058" t="str">
        <f>ADDRESS(B1057, 3,4  )</f>
        <v>C54</v>
      </c>
      <c r="E1058">
        <f t="shared" ca="1" si="253"/>
        <v>0</v>
      </c>
      <c r="F1058" t="str">
        <f ca="1">CONCATENATE("Enter a residential 'Amount Last Provided to CHFA' value for '", C1058, "' in cell ", D1058, ".", CHAR(10))</f>
        <v xml:space="preserve">Enter a residential 'Amount Last Provided to CHFA' value for 'Repairs' in cell C54.
</v>
      </c>
      <c r="G1058" s="9" t="str">
        <f t="shared" ca="1" si="254"/>
        <v>0</v>
      </c>
    </row>
    <row r="1059" spans="1:7" ht="15" customHeight="1">
      <c r="A1059" t="str">
        <f ca="1">IF(E1059="",F1059, "")</f>
        <v/>
      </c>
      <c r="B1059">
        <f>ROW('Proforma, Income &amp; Expense'!B55)</f>
        <v>55</v>
      </c>
      <c r="C1059" t="str">
        <f t="shared" ca="1" si="252"/>
        <v>Maintenance Salaries</v>
      </c>
      <c r="D1059" t="str">
        <f>ADDRESS(B1059, 2,4  )</f>
        <v>B55</v>
      </c>
      <c r="E1059">
        <f t="shared" ca="1" si="253"/>
        <v>0</v>
      </c>
      <c r="F1059" t="str">
        <f ca="1">CONCATENATE("Enter a residential value for '", C1059, "' in cell ", D1059, ".", CHAR(10))</f>
        <v xml:space="preserve">Enter a residential value for 'Maintenance Salaries' in cell B55.
</v>
      </c>
      <c r="G1059" s="9" t="str">
        <f t="shared" ca="1" si="254"/>
        <v>0</v>
      </c>
    </row>
    <row r="1060" spans="1:7" ht="15" customHeight="1">
      <c r="A1060" t="str">
        <f ca="1">IF(AND(OR(Calculations!$B$3:$B$4), E1060=""), F1060, "")</f>
        <v/>
      </c>
      <c r="B1060" s="52">
        <f>B1059</f>
        <v>55</v>
      </c>
      <c r="C1060" t="str">
        <f t="shared" ca="1" si="252"/>
        <v>Maintenance Salaries</v>
      </c>
      <c r="D1060" t="str">
        <f>ADDRESS(B1059, 3,4  )</f>
        <v>C55</v>
      </c>
      <c r="E1060">
        <f t="shared" ca="1" si="253"/>
        <v>0</v>
      </c>
      <c r="F1060" t="str">
        <f ca="1">CONCATENATE("Enter a residential 'Amount Last Provided to CHFA' value for '", C1060, "' in cell ", D1060, ".", CHAR(10))</f>
        <v xml:space="preserve">Enter a residential 'Amount Last Provided to CHFA' value for 'Maintenance Salaries' in cell C55.
</v>
      </c>
      <c r="G1060" s="9" t="str">
        <f t="shared" ca="1" si="254"/>
        <v>0</v>
      </c>
    </row>
    <row r="1061" spans="1:7" ht="15" customHeight="1">
      <c r="A1061" t="str">
        <f ca="1">IF(E1061="",F1061, "")</f>
        <v/>
      </c>
      <c r="B1061">
        <f>ROW('Proforma, Income &amp; Expense'!B56)</f>
        <v>56</v>
      </c>
      <c r="C1061" t="str">
        <f t="shared" ca="1" si="252"/>
        <v>Maintenance Supplies</v>
      </c>
      <c r="D1061" t="str">
        <f>ADDRESS(B1061, 2,4  )</f>
        <v>B56</v>
      </c>
      <c r="E1061">
        <f t="shared" ca="1" si="253"/>
        <v>0</v>
      </c>
      <c r="F1061" t="str">
        <f ca="1">CONCATENATE("Enter a residential value for '", C1061, "' in cell ", D1061, ".", CHAR(10))</f>
        <v xml:space="preserve">Enter a residential value for 'Maintenance Supplies' in cell B56.
</v>
      </c>
      <c r="G1061" s="9" t="str">
        <f t="shared" ca="1" si="254"/>
        <v>0</v>
      </c>
    </row>
    <row r="1062" spans="1:7" ht="15" customHeight="1">
      <c r="A1062" t="str">
        <f ca="1">IF(AND(OR(Calculations!$B$3:$B$4), E1062=""), F1062, "")</f>
        <v/>
      </c>
      <c r="B1062" s="52">
        <f>B1061</f>
        <v>56</v>
      </c>
      <c r="C1062" t="str">
        <f t="shared" ca="1" si="252"/>
        <v>Maintenance Supplies</v>
      </c>
      <c r="D1062" t="str">
        <f>ADDRESS(B1061, 3,4  )</f>
        <v>C56</v>
      </c>
      <c r="E1062">
        <f t="shared" ca="1" si="253"/>
        <v>0</v>
      </c>
      <c r="F1062" t="str">
        <f ca="1">CONCATENATE("Enter a residential 'Amount Last Provided to CHFA' value for '", C1062, "' in cell ", D1062, ".", CHAR(10))</f>
        <v xml:space="preserve">Enter a residential 'Amount Last Provided to CHFA' value for 'Maintenance Supplies' in cell C56.
</v>
      </c>
      <c r="G1062" s="9" t="str">
        <f t="shared" ca="1" si="254"/>
        <v>0</v>
      </c>
    </row>
    <row r="1063" spans="1:7" ht="15" customHeight="1">
      <c r="A1063" t="str">
        <f ca="1">IF(E1063="",F1063, "")</f>
        <v/>
      </c>
      <c r="B1063">
        <f>ROW('Proforma, Income &amp; Expense'!B57)</f>
        <v>57</v>
      </c>
      <c r="C1063" t="str">
        <f t="shared" ca="1" si="252"/>
        <v>Contracts</v>
      </c>
      <c r="D1063" t="str">
        <f>ADDRESS(B1063, 2,4  )</f>
        <v>B57</v>
      </c>
      <c r="E1063">
        <f t="shared" ca="1" si="253"/>
        <v>0</v>
      </c>
      <c r="F1063" t="str">
        <f ca="1">CONCATENATE("Enter a residential value for '", C1063, "' in cell ", D1063, ".", CHAR(10))</f>
        <v xml:space="preserve">Enter a residential value for 'Contracts' in cell B57.
</v>
      </c>
      <c r="G1063" s="9" t="str">
        <f t="shared" ca="1" si="254"/>
        <v>0</v>
      </c>
    </row>
    <row r="1064" spans="1:7" ht="15" customHeight="1">
      <c r="A1064" t="str">
        <f ca="1">IF(AND(OR(Calculations!$B$3:$B$4), E1064=""), F1064, "")</f>
        <v/>
      </c>
      <c r="B1064" s="52">
        <f>B1063</f>
        <v>57</v>
      </c>
      <c r="C1064" t="str">
        <f t="shared" ca="1" si="252"/>
        <v>Contracts</v>
      </c>
      <c r="D1064" t="str">
        <f>ADDRESS(B1063, 3,4  )</f>
        <v>C57</v>
      </c>
      <c r="E1064">
        <f t="shared" ca="1" si="253"/>
        <v>0</v>
      </c>
      <c r="F1064" t="str">
        <f ca="1">CONCATENATE("Enter a residential 'Amount Last Provided to CHFA' value for '", C1064, "' in cell ", D1064, ".", CHAR(10))</f>
        <v xml:space="preserve">Enter a residential 'Amount Last Provided to CHFA' value for 'Contracts' in cell C57.
</v>
      </c>
      <c r="G1064" s="9" t="str">
        <f t="shared" ca="1" si="254"/>
        <v>0</v>
      </c>
    </row>
    <row r="1065" spans="1:7" ht="15" customHeight="1">
      <c r="A1065" t="str">
        <f ca="1">IF(E1065="",F1065, "")</f>
        <v/>
      </c>
      <c r="B1065">
        <f>ROW('Proforma, Income &amp; Expense'!B58)</f>
        <v>58</v>
      </c>
      <c r="C1065" t="str">
        <f t="shared" ca="1" si="252"/>
        <v>Decorating</v>
      </c>
      <c r="D1065" t="str">
        <f>ADDRESS(B1065, 2,4  )</f>
        <v>B58</v>
      </c>
      <c r="E1065">
        <f t="shared" ca="1" si="253"/>
        <v>0</v>
      </c>
      <c r="F1065" t="str">
        <f ca="1">CONCATENATE("Enter a residential value for '", C1065, "' in cell ", D1065, ".", CHAR(10))</f>
        <v xml:space="preserve">Enter a residential value for 'Decorating' in cell B58.
</v>
      </c>
      <c r="G1065" s="9" t="str">
        <f t="shared" ca="1" si="254"/>
        <v>0</v>
      </c>
    </row>
    <row r="1066" spans="1:7" ht="15" customHeight="1">
      <c r="A1066" t="str">
        <f ca="1">IF(AND(OR(Calculations!$B$3:$B$4), E1066=""), F1066, "")</f>
        <v/>
      </c>
      <c r="B1066" s="52">
        <f>B1065</f>
        <v>58</v>
      </c>
      <c r="C1066" t="str">
        <f t="shared" ca="1" si="252"/>
        <v>Decorating</v>
      </c>
      <c r="D1066" t="str">
        <f>ADDRESS(B1065, 3,4  )</f>
        <v>C58</v>
      </c>
      <c r="E1066">
        <f t="shared" ca="1" si="253"/>
        <v>0</v>
      </c>
      <c r="F1066" t="str">
        <f ca="1">CONCATENATE("Enter a residential 'Amount Last Provided to CHFA' value for '", C1066, "' in cell ", D1066, ".", CHAR(10))</f>
        <v xml:space="preserve">Enter a residential 'Amount Last Provided to CHFA' value for 'Decorating' in cell C58.
</v>
      </c>
      <c r="G1066" s="9" t="str">
        <f t="shared" ca="1" si="254"/>
        <v>0</v>
      </c>
    </row>
    <row r="1067" spans="1:7" ht="15" customHeight="1">
      <c r="A1067" t="str">
        <f ca="1">IF(E1067="",F1067, "")</f>
        <v/>
      </c>
      <c r="B1067">
        <f>ROW('Proforma, Income &amp; Expense'!B59)</f>
        <v>59</v>
      </c>
      <c r="C1067" t="str">
        <f t="shared" ca="1" si="252"/>
        <v>Snow Removal</v>
      </c>
      <c r="D1067" t="str">
        <f>ADDRESS(B1067, 2,4  )</f>
        <v>B59</v>
      </c>
      <c r="E1067">
        <f t="shared" ca="1" si="253"/>
        <v>0</v>
      </c>
      <c r="F1067" t="str">
        <f ca="1">CONCATENATE("Enter a residential value for '", C1067, "' in cell ", D1067, ".", CHAR(10))</f>
        <v xml:space="preserve">Enter a residential value for 'Snow Removal' in cell B59.
</v>
      </c>
      <c r="G1067" s="9" t="str">
        <f t="shared" ca="1" si="254"/>
        <v>0</v>
      </c>
    </row>
    <row r="1068" spans="1:7" ht="15" customHeight="1">
      <c r="A1068" t="str">
        <f ca="1">IF(AND(OR(Calculations!$B$3:$B$4), E1068=""), F1068, "")</f>
        <v/>
      </c>
      <c r="B1068" s="52">
        <f>B1067</f>
        <v>59</v>
      </c>
      <c r="C1068" t="str">
        <f t="shared" ca="1" si="252"/>
        <v>Snow Removal</v>
      </c>
      <c r="D1068" t="str">
        <f>ADDRESS(B1067, 3,4  )</f>
        <v>C59</v>
      </c>
      <c r="E1068">
        <f t="shared" ca="1" si="253"/>
        <v>0</v>
      </c>
      <c r="F1068" t="str">
        <f ca="1">CONCATENATE("Enter a residential 'Amount Last Provided to CHFA' value for '", C1068, "' in cell ", D1068, ".", CHAR(10))</f>
        <v xml:space="preserve">Enter a residential 'Amount Last Provided to CHFA' value for 'Snow Removal' in cell C59.
</v>
      </c>
      <c r="G1068" s="9" t="str">
        <f t="shared" ca="1" si="254"/>
        <v>0</v>
      </c>
    </row>
    <row r="1069" spans="1:7" ht="15" customHeight="1">
      <c r="A1069" t="str">
        <f ca="1">IF(E1069="",F1069, "")</f>
        <v/>
      </c>
      <c r="B1069">
        <f>ROW('Proforma, Income &amp; Expense'!B60)</f>
        <v>60</v>
      </c>
      <c r="C1069" t="str">
        <f t="shared" ca="1" si="252"/>
        <v>Other (Specify)</v>
      </c>
      <c r="D1069" t="str">
        <f>ADDRESS(B1069, 2,4  )</f>
        <v>B60</v>
      </c>
      <c r="E1069">
        <f t="shared" ca="1" si="253"/>
        <v>0</v>
      </c>
      <c r="F1069" t="str">
        <f ca="1">CONCATENATE("Enter a residential value for '", C1069, "' in cell ", D1069, ".", CHAR(10))</f>
        <v xml:space="preserve">Enter a residential value for 'Other (Specify)' in cell B60.
</v>
      </c>
      <c r="G1069" s="9" t="str">
        <f t="shared" ca="1" si="254"/>
        <v>0</v>
      </c>
    </row>
    <row r="1070" spans="1:7" ht="15" customHeight="1">
      <c r="A1070" t="str">
        <f ca="1">IF(AND(OR(Calculations!$B$3:$B$4), E1070=""), F1070, "")</f>
        <v/>
      </c>
      <c r="B1070" s="52">
        <f>B1069</f>
        <v>60</v>
      </c>
      <c r="C1070" t="str">
        <f t="shared" ca="1" si="252"/>
        <v>Other (Specify)</v>
      </c>
      <c r="D1070" t="str">
        <f>ADDRESS(B1069, 3,4  )</f>
        <v>C60</v>
      </c>
      <c r="E1070">
        <f t="shared" ca="1" si="253"/>
        <v>0</v>
      </c>
      <c r="F1070" t="str">
        <f ca="1">CONCATENATE("Enter a residential 'Amount Last Provided to CHFA' value for '", C1070, "' in cell ", D1070, ".", CHAR(10))</f>
        <v xml:space="preserve">Enter a residential 'Amount Last Provided to CHFA' value for 'Other (Specify)' in cell C60.
</v>
      </c>
      <c r="G1070" s="9" t="str">
        <f t="shared" ca="1" si="254"/>
        <v>0</v>
      </c>
    </row>
    <row r="1071" spans="1:7" ht="15" customHeight="1">
      <c r="A1071" t="str">
        <f ca="1">IF(AND(E1071, SUM(E1069:E1070) &gt; 0), F1071, "")</f>
        <v/>
      </c>
      <c r="C1071" t="str">
        <f ca="1">INDIRECT($F$921 &amp; ADDRESS(B1070, 1,4  ))</f>
        <v>Other (Specify)</v>
      </c>
      <c r="D1071" t="str">
        <f>ADDRESS(B1070, 1,4  )</f>
        <v>A60</v>
      </c>
      <c r="E1071" t="b">
        <f ca="1">INDIRECT($F$921 &amp; D1071)="Other (specify)"</f>
        <v>1</v>
      </c>
      <c r="F1071" t="str">
        <f ca="1">CONCATENATE("Please specify value for '", C1071, "' in cell ", D1071, ".", CHAR(10))</f>
        <v xml:space="preserve">Please specify value for 'Other (Specify)' in cell A60.
</v>
      </c>
      <c r="G1071" s="9" t="str">
        <f t="shared" ca="1" si="254"/>
        <v>0</v>
      </c>
    </row>
    <row r="1072" spans="1:7" ht="15" customHeight="1">
      <c r="A1072" t="str">
        <f ca="1">IF(E1072="",F1072, "")</f>
        <v/>
      </c>
      <c r="B1072">
        <f>ROW('Proforma, Income &amp; Expense'!B61)</f>
        <v>61</v>
      </c>
      <c r="C1072" t="str">
        <f ca="1">INDIRECT($F$921 &amp; ADDRESS(B1072, 1,4  ))</f>
        <v>Other (Specify)</v>
      </c>
      <c r="D1072" t="str">
        <f>ADDRESS(B1072, 2,4  )</f>
        <v>B61</v>
      </c>
      <c r="E1072">
        <f ca="1">IF(ISBLANK( INDIRECT($F$921 &amp; D1072)),"", INDIRECT($F$921 &amp; D1072))</f>
        <v>0</v>
      </c>
      <c r="F1072" t="str">
        <f ca="1">CONCATENATE("Enter a residential value for '", C1072, "' in cell ", D1072, ".", CHAR(10))</f>
        <v xml:space="preserve">Enter a residential value for 'Other (Specify)' in cell B61.
</v>
      </c>
      <c r="G1072" s="9" t="str">
        <f t="shared" ca="1" si="254"/>
        <v>0</v>
      </c>
    </row>
    <row r="1073" spans="1:7" ht="15" customHeight="1">
      <c r="A1073" t="str">
        <f ca="1">IF(AND(OR(Calculations!$B$3:$B$4), E1073=""), F1073, "")</f>
        <v/>
      </c>
      <c r="B1073" s="52">
        <f>B1072</f>
        <v>61</v>
      </c>
      <c r="C1073" t="str">
        <f ca="1">INDIRECT($F$921 &amp; ADDRESS(B1073, 1,4  ))</f>
        <v>Other (Specify)</v>
      </c>
      <c r="D1073" t="str">
        <f>ADDRESS(B1072, 3,4  )</f>
        <v>C61</v>
      </c>
      <c r="E1073">
        <f ca="1">IF(ISBLANK( INDIRECT($F$921 &amp; D1073)),"", INDIRECT($F$921 &amp; D1073))</f>
        <v>0</v>
      </c>
      <c r="F1073" t="str">
        <f ca="1">CONCATENATE("Enter a residential 'Amount Last Provided to CHFA' value for '", C1073, "' in cell ", D1073, ".", CHAR(10))</f>
        <v xml:space="preserve">Enter a residential 'Amount Last Provided to CHFA' value for 'Other (Specify)' in cell C61.
</v>
      </c>
      <c r="G1073" s="9" t="str">
        <f t="shared" ca="1" si="254"/>
        <v>0</v>
      </c>
    </row>
    <row r="1074" spans="1:7" ht="15" customHeight="1">
      <c r="A1074" t="str">
        <f ca="1">IF(AND(E1074, SUM(E1072:E1073) &gt; 0), F1074, "")</f>
        <v/>
      </c>
      <c r="C1074" t="str">
        <f ca="1">INDIRECT($F$921 &amp; ADDRESS(B1073, 1,4  ))</f>
        <v>Other (Specify)</v>
      </c>
      <c r="D1074" t="str">
        <f>ADDRESS(B1073, 1,4  )</f>
        <v>A61</v>
      </c>
      <c r="E1074" t="b">
        <f ca="1">INDIRECT($F$921 &amp; D1074)="Other (specify)"</f>
        <v>1</v>
      </c>
      <c r="F1074" t="str">
        <f ca="1">CONCATENATE("Please specify value for '", C1074, "' in cell ", D1074, ".", CHAR(10))</f>
        <v xml:space="preserve">Please specify value for 'Other (Specify)' in cell A61.
</v>
      </c>
      <c r="G1074" s="9" t="str">
        <f t="shared" ca="1" si="254"/>
        <v>0</v>
      </c>
    </row>
    <row r="1075" spans="1:7" ht="15" customHeight="1">
      <c r="A1075" t="str">
        <f ca="1">IF(E1075="",F1075, "")</f>
        <v/>
      </c>
      <c r="B1075">
        <f>ROW('Proforma, Income &amp; Expense'!B62)</f>
        <v>62</v>
      </c>
      <c r="C1075" t="str">
        <f ca="1">INDIRECT($F$921 &amp; ADDRESS(B1075, 1,4  ))</f>
        <v>Other (Specify)</v>
      </c>
      <c r="D1075" t="str">
        <f>ADDRESS(B1075, 2,4  )</f>
        <v>B62</v>
      </c>
      <c r="E1075">
        <f ca="1">IF(ISBLANK( INDIRECT($F$921 &amp; D1075)),"", INDIRECT($F$921 &amp; D1075))</f>
        <v>0</v>
      </c>
      <c r="F1075" t="str">
        <f ca="1">CONCATENATE("Enter a residential value for '", C1075, "' in cell ", D1075, ".", CHAR(10))</f>
        <v xml:space="preserve">Enter a residential value for 'Other (Specify)' in cell B62.
</v>
      </c>
      <c r="G1075" s="9" t="str">
        <f t="shared" ca="1" si="254"/>
        <v>0</v>
      </c>
    </row>
    <row r="1076" spans="1:7" ht="15" customHeight="1">
      <c r="A1076" t="str">
        <f ca="1">IF(AND(OR(Calculations!$B$3:$B$4), E1076=""), F1076, "")</f>
        <v/>
      </c>
      <c r="B1076" s="52">
        <f>B1075</f>
        <v>62</v>
      </c>
      <c r="C1076" t="str">
        <f ca="1">INDIRECT($F$921 &amp; ADDRESS(B1076, 1,4  ))</f>
        <v>Other (Specify)</v>
      </c>
      <c r="D1076" t="str">
        <f>ADDRESS(B1075, 3,4  )</f>
        <v>C62</v>
      </c>
      <c r="E1076">
        <f ca="1">IF(ISBLANK( INDIRECT($F$921 &amp; D1076)),"", INDIRECT($F$921 &amp; D1076))</f>
        <v>0</v>
      </c>
      <c r="F1076" t="str">
        <f ca="1">CONCATENATE("Enter a residential 'Amount Last Provided to CHFA' value for '", C1076, "' in cell ", D1076, ".", CHAR(10))</f>
        <v xml:space="preserve">Enter a residential 'Amount Last Provided to CHFA' value for 'Other (Specify)' in cell C62.
</v>
      </c>
      <c r="G1076" s="9" t="str">
        <f t="shared" ca="1" si="254"/>
        <v>0</v>
      </c>
    </row>
    <row r="1077" spans="1:7" ht="15" customHeight="1">
      <c r="A1077" t="str">
        <f ca="1">IF(AND(E1077, SUM(E1075:E1076) &gt; 0), F1077, "")</f>
        <v/>
      </c>
      <c r="C1077" t="str">
        <f ca="1">INDIRECT($F$921 &amp; ADDRESS(B1076, 1,4  ))</f>
        <v>Other (Specify)</v>
      </c>
      <c r="D1077" t="str">
        <f>ADDRESS(B1076, 1,4  )</f>
        <v>A62</v>
      </c>
      <c r="E1077" t="b">
        <f ca="1">INDIRECT($F$921 &amp; D1077)="Other (specify)"</f>
        <v>1</v>
      </c>
      <c r="F1077" t="str">
        <f ca="1">CONCATENATE("Please specify value for '", C1077, "' in cell ", D1077, ".", CHAR(10))</f>
        <v xml:space="preserve">Please specify value for 'Other (Specify)' in cell A62.
</v>
      </c>
      <c r="G1077" s="9" t="str">
        <f t="shared" ca="1" si="254"/>
        <v>0</v>
      </c>
    </row>
    <row r="1078" spans="1:7" ht="15" customHeight="1">
      <c r="A1078" t="str">
        <f ca="1">IF(E1078="",F1078, "")</f>
        <v/>
      </c>
      <c r="B1078">
        <f>ROW('Proforma, Income &amp; Expense'!B65)</f>
        <v>65</v>
      </c>
      <c r="C1078" t="str">
        <f t="shared" ref="C1078:C1089" ca="1" si="255">INDIRECT($F$921 &amp; ADDRESS(B1078, 1,4  ))</f>
        <v>Real Estate Taxes</v>
      </c>
      <c r="D1078" t="str">
        <f>ADDRESS(B1078, 2,4  )</f>
        <v>B65</v>
      </c>
      <c r="E1078">
        <f t="shared" ref="E1078:E1089" ca="1" si="256">IF(ISBLANK( INDIRECT($F$921 &amp; D1078)),"", INDIRECT($F$921 &amp; D1078))</f>
        <v>0</v>
      </c>
      <c r="F1078" t="str">
        <f ca="1">CONCATENATE("Enter a residential value for '", C1078, "' in cell ", D1078, ".", CHAR(10))</f>
        <v xml:space="preserve">Enter a residential value for 'Real Estate Taxes' in cell B65.
</v>
      </c>
      <c r="G1078" s="9" t="str">
        <f t="shared" ca="1" si="254"/>
        <v>0</v>
      </c>
    </row>
    <row r="1079" spans="1:7" ht="15" customHeight="1">
      <c r="A1079" t="str">
        <f ca="1">IF(AND(OR(Calculations!$B$3:$B$4), E1079=""), F1079, "")</f>
        <v/>
      </c>
      <c r="B1079" s="52">
        <f>B1078</f>
        <v>65</v>
      </c>
      <c r="C1079" t="str">
        <f t="shared" ca="1" si="255"/>
        <v>Real Estate Taxes</v>
      </c>
      <c r="D1079" t="str">
        <f>ADDRESS(B1078, 3,4  )</f>
        <v>C65</v>
      </c>
      <c r="E1079">
        <f t="shared" ca="1" si="256"/>
        <v>0</v>
      </c>
      <c r="F1079" t="str">
        <f ca="1">CONCATENATE("Enter a residential 'Amount Last Provided to CHFA' value for '", C1079, "' in cell ", D1079, ".", CHAR(10))</f>
        <v xml:space="preserve">Enter a residential 'Amount Last Provided to CHFA' value for 'Real Estate Taxes' in cell C65.
</v>
      </c>
      <c r="G1079" s="9" t="str">
        <f t="shared" ca="1" si="254"/>
        <v>0</v>
      </c>
    </row>
    <row r="1080" spans="1:7" ht="15" customHeight="1">
      <c r="A1080" t="str">
        <f ca="1">IF(E1080="",F1080, "")</f>
        <v/>
      </c>
      <c r="B1080">
        <f>ROW('Proforma, Income &amp; Expense'!B66)</f>
        <v>66</v>
      </c>
      <c r="C1080" t="str">
        <f t="shared" ca="1" si="255"/>
        <v>Payment in Lieu of Taxes</v>
      </c>
      <c r="D1080" t="str">
        <f>ADDRESS(B1080, 2,4  )</f>
        <v>B66</v>
      </c>
      <c r="E1080">
        <f t="shared" ca="1" si="256"/>
        <v>0</v>
      </c>
      <c r="F1080" t="str">
        <f ca="1">CONCATENATE("Enter a residential value for '", C1080, "' in cell ", D1080, ".", CHAR(10))</f>
        <v xml:space="preserve">Enter a residential value for 'Payment in Lieu of Taxes' in cell B66.
</v>
      </c>
      <c r="G1080" s="9" t="str">
        <f t="shared" ca="1" si="254"/>
        <v>0</v>
      </c>
    </row>
    <row r="1081" spans="1:7" ht="15" customHeight="1">
      <c r="A1081" t="str">
        <f ca="1">IF(AND(OR(Calculations!$B$3:$B$4), E1081=""), F1081, "")</f>
        <v/>
      </c>
      <c r="B1081" s="52">
        <f>B1080</f>
        <v>66</v>
      </c>
      <c r="C1081" t="str">
        <f t="shared" ca="1" si="255"/>
        <v>Payment in Lieu of Taxes</v>
      </c>
      <c r="D1081" t="str">
        <f>ADDRESS(B1080, 3,4  )</f>
        <v>C66</v>
      </c>
      <c r="E1081">
        <f t="shared" ca="1" si="256"/>
        <v>0</v>
      </c>
      <c r="F1081" t="str">
        <f ca="1">CONCATENATE("Enter a residential 'Amount Last Provided to CHFA' value for '", C1081, "' in cell ", D1081, ".", CHAR(10))</f>
        <v xml:space="preserve">Enter a residential 'Amount Last Provided to CHFA' value for 'Payment in Lieu of Taxes' in cell C66.
</v>
      </c>
      <c r="G1081" s="9" t="str">
        <f t="shared" ca="1" si="254"/>
        <v>0</v>
      </c>
    </row>
    <row r="1082" spans="1:7" ht="15" customHeight="1">
      <c r="A1082" t="str">
        <f ca="1">IF(E1082="",F1082, "")</f>
        <v/>
      </c>
      <c r="B1082">
        <f>ROW('Proforma, Income &amp; Expense'!B67)</f>
        <v>67</v>
      </c>
      <c r="C1082" t="str">
        <f t="shared" ca="1" si="255"/>
        <v>Other Tax Assessments</v>
      </c>
      <c r="D1082" t="str">
        <f>ADDRESS(B1082, 2,4  )</f>
        <v>B67</v>
      </c>
      <c r="E1082">
        <f t="shared" ca="1" si="256"/>
        <v>0</v>
      </c>
      <c r="F1082" t="str">
        <f ca="1">CONCATENATE("Enter a residential value for '", C1082, "' in cell ", D1082, ".", CHAR(10))</f>
        <v xml:space="preserve">Enter a residential value for 'Other Tax Assessments' in cell B67.
</v>
      </c>
      <c r="G1082" s="9" t="str">
        <f t="shared" ca="1" si="254"/>
        <v>0</v>
      </c>
    </row>
    <row r="1083" spans="1:7" ht="15" customHeight="1">
      <c r="A1083" t="str">
        <f ca="1">IF(AND(OR(Calculations!$B$3:$B$4), E1083=""), F1083, "")</f>
        <v/>
      </c>
      <c r="B1083" s="52">
        <f>B1082</f>
        <v>67</v>
      </c>
      <c r="C1083" t="str">
        <f t="shared" ca="1" si="255"/>
        <v>Other Tax Assessments</v>
      </c>
      <c r="D1083" t="str">
        <f>ADDRESS(B1082, 3,4  )</f>
        <v>C67</v>
      </c>
      <c r="E1083">
        <f t="shared" ca="1" si="256"/>
        <v>0</v>
      </c>
      <c r="F1083" t="str">
        <f ca="1">CONCATENATE("Enter a residential 'Amount Last Provided to CHFA' value for '", C1083, "' in cell ", D1083, ".", CHAR(10))</f>
        <v xml:space="preserve">Enter a residential 'Amount Last Provided to CHFA' value for 'Other Tax Assessments' in cell C67.
</v>
      </c>
      <c r="G1083" s="9" t="str">
        <f t="shared" ca="1" si="254"/>
        <v>0</v>
      </c>
    </row>
    <row r="1084" spans="1:7" ht="15" customHeight="1">
      <c r="A1084" t="str">
        <f ca="1">IF(E1084="",F1084, "")</f>
        <v/>
      </c>
      <c r="B1084">
        <f>ROW('Proforma, Income &amp; Expense'!B68)</f>
        <v>68</v>
      </c>
      <c r="C1084" t="str">
        <f t="shared" ca="1" si="255"/>
        <v>Insurance</v>
      </c>
      <c r="D1084" t="str">
        <f>ADDRESS(B1084, 2,4  )</f>
        <v>B68</v>
      </c>
      <c r="E1084">
        <f t="shared" ca="1" si="256"/>
        <v>0</v>
      </c>
      <c r="F1084" t="str">
        <f ca="1">CONCATENATE("Enter a residential value for '", C1084, "' in cell ", D1084, ".", CHAR(10))</f>
        <v xml:space="preserve">Enter a residential value for 'Insurance' in cell B68.
</v>
      </c>
      <c r="G1084" s="9" t="str">
        <f t="shared" ref="G1084:G1094" ca="1" si="257">OFFSET(G1084, -1, 0) &amp; A1084</f>
        <v>0</v>
      </c>
    </row>
    <row r="1085" spans="1:7" ht="15" customHeight="1">
      <c r="A1085" t="str">
        <f ca="1">IF(AND(OR(Calculations!$B$3:$B$4), E1085=""), F1085, "")</f>
        <v/>
      </c>
      <c r="B1085" s="52">
        <f>B1084</f>
        <v>68</v>
      </c>
      <c r="C1085" t="str">
        <f t="shared" ca="1" si="255"/>
        <v>Insurance</v>
      </c>
      <c r="D1085" t="str">
        <f>ADDRESS(B1084, 3,4  )</f>
        <v>C68</v>
      </c>
      <c r="E1085">
        <f t="shared" ca="1" si="256"/>
        <v>0</v>
      </c>
      <c r="F1085" t="str">
        <f ca="1">CONCATENATE("Enter a residential 'Amount Last Provided to CHFA' value for '", C1085, "' in cell ", D1085, ".", CHAR(10))</f>
        <v xml:space="preserve">Enter a residential 'Amount Last Provided to CHFA' value for 'Insurance' in cell C68.
</v>
      </c>
      <c r="G1085" s="9" t="str">
        <f t="shared" ca="1" si="257"/>
        <v>0</v>
      </c>
    </row>
    <row r="1086" spans="1:7" ht="15" customHeight="1">
      <c r="A1086" t="str">
        <f ca="1">IF(E1086="",F1086, "")</f>
        <v/>
      </c>
      <c r="B1086">
        <f>ROW('Proforma, Income &amp; Expense'!B69)</f>
        <v>69</v>
      </c>
      <c r="C1086" t="str">
        <f t="shared" ca="1" si="255"/>
        <v>Payroll Tax</v>
      </c>
      <c r="D1086" t="str">
        <f>ADDRESS(B1086, 2,4  )</f>
        <v>B69</v>
      </c>
      <c r="E1086">
        <f t="shared" ca="1" si="256"/>
        <v>0</v>
      </c>
      <c r="F1086" t="str">
        <f ca="1">CONCATENATE("Enter a residential value for '", C1086, "' in cell ", D1086, ".", CHAR(10))</f>
        <v xml:space="preserve">Enter a residential value for 'Payroll Tax' in cell B69.
</v>
      </c>
      <c r="G1086" s="9" t="str">
        <f t="shared" ca="1" si="257"/>
        <v>0</v>
      </c>
    </row>
    <row r="1087" spans="1:7" ht="15" customHeight="1">
      <c r="A1087" t="str">
        <f ca="1">IF(AND(OR(Calculations!$B$3:$B$4), E1087=""), F1087, "")</f>
        <v/>
      </c>
      <c r="B1087" s="52">
        <f>B1086</f>
        <v>69</v>
      </c>
      <c r="C1087" t="str">
        <f t="shared" ca="1" si="255"/>
        <v>Payroll Tax</v>
      </c>
      <c r="D1087" t="str">
        <f>ADDRESS(B1086, 3,4  )</f>
        <v>C69</v>
      </c>
      <c r="E1087">
        <f t="shared" ca="1" si="256"/>
        <v>0</v>
      </c>
      <c r="F1087" t="str">
        <f ca="1">CONCATENATE("Enter a residential 'Amount Last Provided to CHFA' value for '", C1087, "' in cell ", D1087, ".", CHAR(10))</f>
        <v xml:space="preserve">Enter a residential 'Amount Last Provided to CHFA' value for 'Payroll Tax' in cell C69.
</v>
      </c>
      <c r="G1087" s="9" t="str">
        <f t="shared" ca="1" si="257"/>
        <v>0</v>
      </c>
    </row>
    <row r="1088" spans="1:7" ht="15" customHeight="1">
      <c r="A1088" t="str">
        <f ca="1">IF(E1088="",F1088, "")</f>
        <v/>
      </c>
      <c r="B1088">
        <f>ROW('Proforma, Income &amp; Expense'!B70)</f>
        <v>70</v>
      </c>
      <c r="C1088" t="str">
        <f t="shared" ca="1" si="255"/>
        <v>Other (Specify)</v>
      </c>
      <c r="D1088" t="str">
        <f>ADDRESS(B1088, 2,4  )</f>
        <v>B70</v>
      </c>
      <c r="E1088">
        <f t="shared" ca="1" si="256"/>
        <v>0</v>
      </c>
      <c r="F1088" t="str">
        <f ca="1">CONCATENATE("Enter a residential value for '", C1088, "' in cell ", D1088, ".", CHAR(10))</f>
        <v xml:space="preserve">Enter a residential value for 'Other (Specify)' in cell B70.
</v>
      </c>
      <c r="G1088" s="9" t="str">
        <f t="shared" ca="1" si="257"/>
        <v>0</v>
      </c>
    </row>
    <row r="1089" spans="1:19" ht="15" customHeight="1">
      <c r="A1089" t="str">
        <f ca="1">IF(AND(OR(Calculations!$B$3:$B$4), E1089=""), F1089, "")</f>
        <v/>
      </c>
      <c r="B1089" s="52">
        <f>B1088</f>
        <v>70</v>
      </c>
      <c r="C1089" t="str">
        <f t="shared" ca="1" si="255"/>
        <v>Other (Specify)</v>
      </c>
      <c r="D1089" t="str">
        <f>ADDRESS(B1088, 3,4  )</f>
        <v>C70</v>
      </c>
      <c r="E1089">
        <f t="shared" ca="1" si="256"/>
        <v>0</v>
      </c>
      <c r="F1089" t="str">
        <f ca="1">CONCATENATE("Enter a residential 'Amount Last Provided to CHFA' value for '", C1089, "' in cell ", D1089, ".", CHAR(10))</f>
        <v xml:space="preserve">Enter a residential 'Amount Last Provided to CHFA' value for 'Other (Specify)' in cell C70.
</v>
      </c>
      <c r="G1089" s="9" t="str">
        <f t="shared" ca="1" si="257"/>
        <v>0</v>
      </c>
    </row>
    <row r="1090" spans="1:19" ht="15" customHeight="1">
      <c r="A1090" t="str">
        <f ca="1">IF(AND(E1090, SUM(E1088:E1089) &gt; 0), F1090, "")</f>
        <v/>
      </c>
      <c r="C1090" t="str">
        <f ca="1">INDIRECT($F$921 &amp; ADDRESS(B1089, 1,4  ))</f>
        <v>Other (Specify)</v>
      </c>
      <c r="D1090" t="str">
        <f>ADDRESS(B1089, 1,4  )</f>
        <v>A70</v>
      </c>
      <c r="E1090" t="b">
        <f ca="1">INDIRECT($F$921 &amp; D1090)="Other (specify)"</f>
        <v>1</v>
      </c>
      <c r="F1090" t="str">
        <f ca="1">CONCATENATE("Please specify value for '", C1090, "' in cell ", D1090, ".", CHAR(10))</f>
        <v xml:space="preserve">Please specify value for 'Other (Specify)' in cell A70.
</v>
      </c>
      <c r="G1090" s="9" t="str">
        <f t="shared" ca="1" si="257"/>
        <v>0</v>
      </c>
    </row>
    <row r="1091" spans="1:19" ht="15" customHeight="1">
      <c r="A1091" t="str">
        <f ca="1">IF(E1091="",F1091, "")</f>
        <v/>
      </c>
      <c r="B1091">
        <f>ROW('Proforma, Income &amp; Expense'!B71)</f>
        <v>71</v>
      </c>
      <c r="C1091" t="str">
        <f ca="1">INDIRECT($F$921 &amp; ADDRESS(B1091, 1,4  ))</f>
        <v>Other (Specify)</v>
      </c>
      <c r="D1091" t="str">
        <f>ADDRESS(B1091, 2,4  )</f>
        <v>B71</v>
      </c>
      <c r="E1091">
        <f ca="1">IF(ISBLANK( INDIRECT($F$921 &amp; D1091)),"", INDIRECT($F$921 &amp; D1091))</f>
        <v>0</v>
      </c>
      <c r="F1091" t="str">
        <f ca="1">CONCATENATE("Enter a residential value for '", C1091, "' in cell ", D1091, ".", CHAR(10))</f>
        <v xml:space="preserve">Enter a residential value for 'Other (Specify)' in cell B71.
</v>
      </c>
      <c r="G1091" s="9" t="str">
        <f t="shared" ca="1" si="257"/>
        <v>0</v>
      </c>
    </row>
    <row r="1092" spans="1:19" ht="15" customHeight="1">
      <c r="A1092" t="str">
        <f ca="1">IF(AND(OR(Calculations!$B$3:$B$4), E1092=""), F1092, "")</f>
        <v/>
      </c>
      <c r="B1092" s="52">
        <f>B1091</f>
        <v>71</v>
      </c>
      <c r="C1092" t="str">
        <f ca="1">INDIRECT($F$921 &amp; ADDRESS(B1092, 1,4  ))</f>
        <v>Other (Specify)</v>
      </c>
      <c r="D1092" t="str">
        <f>ADDRESS(B1091, 3,4  )</f>
        <v>C71</v>
      </c>
      <c r="E1092">
        <f ca="1">IF(ISBLANK( INDIRECT($F$921 &amp; D1092)),"", INDIRECT($F$921 &amp; D1092))</f>
        <v>0</v>
      </c>
      <c r="F1092" t="str">
        <f ca="1">CONCATENATE("Enter a residential 'Amount Last Provided to CHFA' value for '", C1092, "' in cell ", D1092, ".", CHAR(10))</f>
        <v xml:space="preserve">Enter a residential 'Amount Last Provided to CHFA' value for 'Other (Specify)' in cell C71.
</v>
      </c>
      <c r="G1092" s="9" t="str">
        <f t="shared" ca="1" si="257"/>
        <v>0</v>
      </c>
    </row>
    <row r="1093" spans="1:19" ht="15" customHeight="1">
      <c r="A1093" t="str">
        <f ca="1">IF(AND(E1093, SUM(E1091:E1092) &gt; 0), F1093, "")</f>
        <v/>
      </c>
      <c r="C1093" t="str">
        <f ca="1">INDIRECT($F$921 &amp; ADDRESS(B1092, 1,4  ))</f>
        <v>Other (Specify)</v>
      </c>
      <c r="D1093" t="str">
        <f>ADDRESS(B1092, 1,4  )</f>
        <v>A71</v>
      </c>
      <c r="E1093" t="b">
        <f ca="1">INDIRECT($F$921 &amp; D1093)="Other (specify)"</f>
        <v>1</v>
      </c>
      <c r="F1093" t="str">
        <f ca="1">CONCATENATE("Please specify value for '", C1093, "' in cell ", D1093, ".", CHAR(10))</f>
        <v xml:space="preserve">Please specify value for 'Other (Specify)' in cell A71.
</v>
      </c>
      <c r="G1093" s="9" t="str">
        <f t="shared" ca="1" si="257"/>
        <v>0</v>
      </c>
    </row>
    <row r="1094" spans="1:19" ht="15" customHeight="1">
      <c r="A1094" t="str">
        <f ca="1">IF(E1094="",F1094, "")</f>
        <v xml:space="preserve">Enter a value for 'Total Per Unit Annual Replacement Reserves' in cell B76.
</v>
      </c>
      <c r="B1094">
        <f>ROW('Proforma, Income &amp; Expense'!B76)</f>
        <v>76</v>
      </c>
      <c r="C1094" t="str">
        <f ca="1">INDIRECT($F$921 &amp; ADDRESS(B1094, 1,4  ))</f>
        <v>Total Per Unit Annual Replacement Reserves</v>
      </c>
      <c r="D1094" t="str">
        <f>ADDRESS(B1094, 2,4  )</f>
        <v>B76</v>
      </c>
      <c r="E1094" t="str">
        <f ca="1">IF(ISBLANK( INDIRECT($F$921 &amp; D1094)),"", INDIRECT($F$921 &amp; D1094))</f>
        <v/>
      </c>
      <c r="F1094" t="str">
        <f ca="1">CONCATENATE("Enter a value for '", C1094, "' in cell ", D1094, ".", CHAR(10))</f>
        <v xml:space="preserve">Enter a value for 'Total Per Unit Annual Replacement Reserves' in cell B76.
</v>
      </c>
      <c r="G1094" s="9" t="str">
        <f t="shared" ca="1" si="257"/>
        <v xml:space="preserve">0Enter a value for 'Total Per Unit Annual Replacement Reserves' in cell B76.
</v>
      </c>
    </row>
    <row r="1095" spans="1:19" ht="15" customHeight="1">
      <c r="A1095" t="str">
        <f t="shared" ref="A1095" ca="1" si="258">IF(E1095="",F1095, "")</f>
        <v/>
      </c>
      <c r="B1095">
        <f>ROW('Proforma, Income &amp; Expense'!B77)</f>
        <v>77</v>
      </c>
      <c r="C1095" t="str">
        <f t="shared" ref="C1095" ca="1" si="259">INDIRECT($F$921 &amp; ADDRESS(B1095, 1,4  ))</f>
        <v>Indicate if requesting waiver of Minimum PUPA Requirement.</v>
      </c>
      <c r="D1095" t="str">
        <f t="shared" ref="D1095" si="260">ADDRESS(B1095, 2,4  )</f>
        <v>B77</v>
      </c>
      <c r="E1095" t="str">
        <f t="shared" ref="E1095" ca="1" si="261">IF(ISBLANK( INDIRECT($F$921 &amp; D1095)),"", INDIRECT($F$921 &amp; D1095))</f>
        <v>No</v>
      </c>
      <c r="F1095" t="str">
        <f t="shared" ref="F1095" ca="1" si="262">CONCATENATE("Enter a value for '", C1095, "' in cell ", D1095, ".", CHAR(10))</f>
        <v xml:space="preserve">Enter a value for 'Indicate if requesting waiver of Minimum PUPA Requirement.' in cell B77.
</v>
      </c>
      <c r="G1095" s="9" t="str">
        <f t="shared" ref="G1095" ca="1" si="263">OFFSET(G1095, -1, 0) &amp; A1095</f>
        <v xml:space="preserve">0Enter a value for 'Total Per Unit Annual Replacement Reserves' in cell B76.
</v>
      </c>
    </row>
    <row r="1096" spans="1:19" ht="15" customHeight="1">
      <c r="G1096" s="9"/>
    </row>
    <row r="1097" spans="1:19" ht="15" customHeight="1">
      <c r="G1097" s="9"/>
    </row>
    <row r="1098" spans="1:19" ht="15" customHeight="1">
      <c r="A1098" s="55" t="s">
        <v>3838</v>
      </c>
      <c r="B1098" s="53"/>
      <c r="C1098" s="53"/>
      <c r="D1098" s="53"/>
      <c r="E1098" s="53"/>
      <c r="F1098" s="53"/>
      <c r="G1098" s="866">
        <f ca="1">OFFSET(G1098,-1,0)</f>
        <v>0</v>
      </c>
    </row>
    <row r="1099" spans="1:19" ht="15" customHeight="1"/>
    <row r="1100" spans="1:19" ht="15" customHeight="1"/>
    <row r="1101" spans="1:19" ht="15" customHeight="1">
      <c r="A1101" s="22" t="s">
        <v>89</v>
      </c>
      <c r="F1101" s="49" t="s">
        <v>3839</v>
      </c>
    </row>
    <row r="1102" spans="1:19" ht="15" customHeight="1">
      <c r="A1102" s="53" t="s">
        <v>3792</v>
      </c>
      <c r="B1102" s="53" t="s">
        <v>3793</v>
      </c>
      <c r="C1102" s="53" t="s">
        <v>3794</v>
      </c>
      <c r="D1102" s="53" t="s">
        <v>3795</v>
      </c>
      <c r="E1102" s="53" t="s">
        <v>3796</v>
      </c>
      <c r="F1102" s="53" t="s">
        <v>3797</v>
      </c>
      <c r="G1102" s="54" t="s">
        <v>3798</v>
      </c>
      <c r="H1102" s="53" t="s">
        <v>3840</v>
      </c>
      <c r="I1102" s="53" t="s">
        <v>3841</v>
      </c>
    </row>
    <row r="1103" spans="1:19" ht="15" customHeight="1">
      <c r="A1103" t="str">
        <f t="shared" ref="A1103:A1109" ca="1" si="264">IF(AND(E1103, H1103), F1103, "")</f>
        <v xml:space="preserve">Enter all information for Applicant to be Published on Reports.
</v>
      </c>
      <c r="B1103">
        <f>ROW('Contact Information'!B4)</f>
        <v>4</v>
      </c>
      <c r="C1103" t="str">
        <f ca="1">INDIRECT($F$1101 &amp; ADDRESS(B1103-1, 1,4  ))</f>
        <v>Applicant to be Published on Reports</v>
      </c>
      <c r="D1103" t="str">
        <f t="shared" ref="D1103:D1137" si="265">CONCATENATE(ADDRESS(B1103, 2, 4), ":", ADDRESS(B1103+I1103-1, 2,4))</f>
        <v>B4:B8</v>
      </c>
      <c r="E1103" t="b">
        <f t="shared" ref="E1103:E1137" ca="1" si="266">(J1103+K1103) - I1103 &lt;&gt; 0</f>
        <v>1</v>
      </c>
      <c r="F1103" t="str">
        <f t="shared" ref="F1103:F1137" ca="1" si="267">CONCATENATE("Enter all information for " &amp; C1103 &amp; ".", CHAR(10))</f>
        <v xml:space="preserve">Enter all information for Applicant to be Published on Reports.
</v>
      </c>
      <c r="G1103" t="str">
        <f ca="1">A1103</f>
        <v xml:space="preserve">Enter all information for Applicant to be Published on Reports.
</v>
      </c>
      <c r="H1103" t="b">
        <f>TRUE</f>
        <v>1</v>
      </c>
      <c r="I1103">
        <v>5</v>
      </c>
      <c r="J1103" s="52">
        <f ca="1">SUMPRODUCT(--ISTEXT(INDIRECT(L1103)))</f>
        <v>0</v>
      </c>
      <c r="K1103" s="52">
        <f ca="1">SUMPRODUCT(--ISNUMBER(INDIRECT(L1103)))</f>
        <v>0</v>
      </c>
      <c r="L1103" s="52" t="str">
        <f t="shared" ref="L1103:L1137" si="268">$F$1101 &amp; D1103</f>
        <v>'Contact Information'!B4:B8</v>
      </c>
      <c r="S1103" t="s">
        <v>3842</v>
      </c>
    </row>
    <row r="1104" spans="1:19" ht="15" customHeight="1">
      <c r="A1104" t="str">
        <f t="shared" ca="1" si="264"/>
        <v xml:space="preserve">Enter all information for Applicant Contact for Application Questions .
</v>
      </c>
      <c r="B1104">
        <f>ROW('Contact Information'!B11)</f>
        <v>11</v>
      </c>
      <c r="C1104" t="str">
        <f t="shared" ref="C1104:C1137" ca="1" si="269">INDIRECT($F$1101 &amp; ADDRESS(B1104-1, 1,4  ))</f>
        <v xml:space="preserve">Applicant Contact for Application Questions </v>
      </c>
      <c r="D1104" t="str">
        <f t="shared" si="265"/>
        <v>B11:B19</v>
      </c>
      <c r="E1104" t="b">
        <f t="shared" ca="1" si="266"/>
        <v>1</v>
      </c>
      <c r="F1104" t="str">
        <f t="shared" ca="1" si="267"/>
        <v xml:space="preserve">Enter all information for Applicant Contact for Application Questions .
</v>
      </c>
      <c r="G1104" s="9" t="str">
        <f t="shared" ref="G1104:G1105" ca="1" si="270">OFFSET(G1104, -1, 0) &amp; A1104</f>
        <v xml:space="preserve">Enter all information for Applicant to be Published on Reports.
Enter all information for Applicant Contact for Application Questions .
</v>
      </c>
      <c r="H1104" t="b">
        <f>TRUE</f>
        <v>1</v>
      </c>
      <c r="I1104" s="9">
        <v>9</v>
      </c>
      <c r="J1104" s="52">
        <f ca="1">SUMPRODUCT(--ISTEXT(INDIRECT(L1104)))</f>
        <v>0</v>
      </c>
      <c r="K1104" s="52">
        <f ca="1">SUMPRODUCT(--ISNUMBER(INDIRECT(L1104)))</f>
        <v>0</v>
      </c>
      <c r="L1104" s="52" t="str">
        <f t="shared" si="268"/>
        <v>'Contact Information'!B11:B19</v>
      </c>
      <c r="S1104" t="s">
        <v>3843</v>
      </c>
    </row>
    <row r="1105" spans="1:16" ht="15" customHeight="1">
      <c r="A1105" t="str">
        <f t="shared" ca="1" si="264"/>
        <v xml:space="preserve">Enter all information for Developer Contact .
</v>
      </c>
      <c r="B1105">
        <f>ROW('Contact Information'!B51)</f>
        <v>51</v>
      </c>
      <c r="C1105" t="str">
        <f t="shared" ca="1" si="269"/>
        <v xml:space="preserve">Developer Contact </v>
      </c>
      <c r="D1105" t="str">
        <f t="shared" si="265"/>
        <v>B51:B59</v>
      </c>
      <c r="E1105" t="b">
        <f t="shared" ca="1" si="266"/>
        <v>1</v>
      </c>
      <c r="F1105" t="str">
        <f t="shared" ca="1" si="267"/>
        <v xml:space="preserve">Enter all information for Developer Contact .
</v>
      </c>
      <c r="G1105" s="9" t="str">
        <f t="shared" ca="1" si="270"/>
        <v xml:space="preserve">Enter all information for Applicant to be Published on Reports.
Enter all information for Applicant Contact for Application Questions .
Enter all information for Developer Contact .
</v>
      </c>
      <c r="H1105" t="b">
        <f>TRUE</f>
        <v>1</v>
      </c>
      <c r="I1105" s="9">
        <v>9</v>
      </c>
      <c r="J1105" s="52">
        <f t="shared" ref="J1105" ca="1" si="271">SUMPRODUCT(--ISTEXT(INDIRECT(L1105)))</f>
        <v>0</v>
      </c>
      <c r="K1105" s="52">
        <f t="shared" ref="K1105:K1136" ca="1" si="272">SUMPRODUCT(--ISNUMBER(INDIRECT(L1105)))</f>
        <v>0</v>
      </c>
      <c r="L1105" s="52" t="str">
        <f t="shared" si="268"/>
        <v>'Contact Information'!B51:B59</v>
      </c>
    </row>
    <row r="1106" spans="1:16" ht="15" customHeight="1">
      <c r="A1106" t="str">
        <f ca="1">IF(AND(E1106, H1106), F1106, "")</f>
        <v xml:space="preserve">Enter all information for Syndicator/Investor .
</v>
      </c>
      <c r="B1106">
        <f>ROW('Contact Information'!B65)</f>
        <v>65</v>
      </c>
      <c r="C1106" t="str">
        <f t="shared" ca="1" si="269"/>
        <v xml:space="preserve">Syndicator/Investor </v>
      </c>
      <c r="D1106" t="str">
        <f t="shared" si="265"/>
        <v>B65:B73</v>
      </c>
      <c r="E1106" t="b">
        <f t="shared" ca="1" si="266"/>
        <v>1</v>
      </c>
      <c r="F1106" t="str">
        <f t="shared" ca="1" si="267"/>
        <v xml:space="preserve">Enter all information for Syndicator/Investor .
</v>
      </c>
      <c r="G1106" s="9" t="str">
        <f t="shared" ref="G1106:G1124" ca="1" si="273">OFFSET(G1106, -1, 0) &amp; A1106</f>
        <v xml:space="preserve">Enter all information for Applicant to be Published on Reports.
Enter all information for Applicant Contact for Application Questions .
Enter all information for Developer Contact .
Enter all information for Syndicator/Investor .
</v>
      </c>
      <c r="H1106" t="b">
        <f>TRUE</f>
        <v>1</v>
      </c>
      <c r="I1106" s="9">
        <v>9</v>
      </c>
      <c r="J1106" s="52">
        <f t="shared" ref="J1106:J1114" ca="1" si="274">SUMPRODUCT(--ISTEXT(INDIRECT(L1106)))</f>
        <v>0</v>
      </c>
      <c r="K1106" s="52">
        <f t="shared" ca="1" si="272"/>
        <v>0</v>
      </c>
      <c r="L1106" s="52" t="str">
        <f t="shared" si="268"/>
        <v>'Contact Information'!B65:B73</v>
      </c>
    </row>
    <row r="1107" spans="1:16" ht="15" customHeight="1">
      <c r="A1107" t="str">
        <f t="shared" ca="1" si="264"/>
        <v xml:space="preserve">Enter all information for State TC Syndicator/Investor.
</v>
      </c>
      <c r="B1107">
        <f>ROW('Contact Information'!B76)</f>
        <v>76</v>
      </c>
      <c r="C1107" t="str">
        <f t="shared" ca="1" si="269"/>
        <v>State TC Syndicator/Investor</v>
      </c>
      <c r="D1107" t="str">
        <f t="shared" si="265"/>
        <v>B76:B84</v>
      </c>
      <c r="E1107" t="b">
        <f t="shared" ca="1" si="266"/>
        <v>1</v>
      </c>
      <c r="F1107" t="str">
        <f t="shared" ca="1" si="267"/>
        <v xml:space="preserve">Enter all information for State TC Syndicator/Investor.
</v>
      </c>
      <c r="G1107"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v>
      </c>
      <c r="H1107" t="b">
        <f>TRUE</f>
        <v>1</v>
      </c>
      <c r="I1107" s="9">
        <v>9</v>
      </c>
      <c r="J1107" s="52">
        <f t="shared" ca="1" si="274"/>
        <v>0</v>
      </c>
      <c r="K1107" s="52">
        <f t="shared" ca="1" si="272"/>
        <v>0</v>
      </c>
      <c r="L1107" s="52" t="str">
        <f t="shared" si="268"/>
        <v>'Contact Information'!B76:B84</v>
      </c>
    </row>
    <row r="1108" spans="1:16" ht="15" customHeight="1">
      <c r="A1108" t="str">
        <f t="shared" ca="1" si="264"/>
        <v xml:space="preserve">Enter all information for Ownership Entity (if formed, required for Carryover, PIS/Final and CHFA Loan).
</v>
      </c>
      <c r="B1108">
        <f>ROW('Contact Information'!B87)</f>
        <v>87</v>
      </c>
      <c r="C1108" t="str">
        <f t="shared" ca="1" si="269"/>
        <v>Ownership Entity (if formed, required for Carryover, PIS/Final and CHFA Loan)</v>
      </c>
      <c r="D1108" t="str">
        <f t="shared" si="265"/>
        <v>B87:B97</v>
      </c>
      <c r="E1108" t="b">
        <f t="shared" ca="1" si="266"/>
        <v>1</v>
      </c>
      <c r="F1108" t="str">
        <f t="shared" ca="1" si="267"/>
        <v xml:space="preserve">Enter all information for Ownership Entity (if formed, required for Carryover, PIS/Final and CHFA Loan).
</v>
      </c>
      <c r="G1108"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v>
      </c>
      <c r="H1108" t="b">
        <f>TRUE</f>
        <v>1</v>
      </c>
      <c r="I1108" s="9">
        <v>11</v>
      </c>
      <c r="J1108" s="52">
        <f t="shared" ca="1" si="274"/>
        <v>0</v>
      </c>
      <c r="K1108" s="52">
        <f t="shared" ca="1" si="272"/>
        <v>0</v>
      </c>
      <c r="L1108" s="52" t="str">
        <f t="shared" si="268"/>
        <v>'Contact Information'!B87:B97</v>
      </c>
    </row>
    <row r="1109" spans="1:16" ht="15" customHeight="1">
      <c r="A1109" t="str">
        <f t="shared" ca="1" si="264"/>
        <v xml:space="preserve">Enter all information for Participating Nonprofit or PHA.
</v>
      </c>
      <c r="B1109">
        <f>ROW('Contact Information'!B102)</f>
        <v>102</v>
      </c>
      <c r="C1109" t="str">
        <f t="shared" ca="1" si="269"/>
        <v>Participating Nonprofit or PHA</v>
      </c>
      <c r="D1109" t="str">
        <f t="shared" si="265"/>
        <v>B102:B112</v>
      </c>
      <c r="E1109" t="b">
        <f t="shared" ca="1" si="266"/>
        <v>1</v>
      </c>
      <c r="F1109" t="str">
        <f t="shared" ca="1" si="267"/>
        <v xml:space="preserve">Enter all information for Participating Nonprofit or PHA.
</v>
      </c>
      <c r="G1109"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v>
      </c>
      <c r="H1109" t="b">
        <f>TRUE</f>
        <v>1</v>
      </c>
      <c r="I1109" s="9">
        <v>11</v>
      </c>
      <c r="J1109" s="52">
        <f t="shared" ca="1" si="274"/>
        <v>0</v>
      </c>
      <c r="K1109" s="52">
        <f t="shared" ca="1" si="272"/>
        <v>0</v>
      </c>
      <c r="L1109" s="52" t="str">
        <f t="shared" si="268"/>
        <v>'Contact Information'!B102:B112</v>
      </c>
      <c r="P1109" t="s">
        <v>3844</v>
      </c>
    </row>
    <row r="1110" spans="1:16" ht="15" customHeight="1">
      <c r="A1110" t="str">
        <f t="shared" ref="A1110:A1137" ca="1" si="275">IF(AND(E1110, H1110), F1110, "")</f>
        <v/>
      </c>
      <c r="B1110">
        <f>ROW('Contact Information'!B132)</f>
        <v>132</v>
      </c>
      <c r="C1110" t="str">
        <f t="shared" ca="1" si="269"/>
        <v>3rd Party Estimator</v>
      </c>
      <c r="D1110" t="str">
        <f t="shared" si="265"/>
        <v>B132:B140</v>
      </c>
      <c r="E1110" t="b">
        <f t="shared" ca="1" si="266"/>
        <v>1</v>
      </c>
      <c r="F1110" t="str">
        <f t="shared" ca="1" si="267"/>
        <v xml:space="preserve">Enter all information for 3rd Party Estimator.
</v>
      </c>
      <c r="G1110"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v>
      </c>
      <c r="H1110" t="b">
        <f>Calculations!$B$2</f>
        <v>0</v>
      </c>
      <c r="I1110" s="9">
        <v>9</v>
      </c>
      <c r="J1110" s="52">
        <f t="shared" ca="1" si="274"/>
        <v>0</v>
      </c>
      <c r="K1110" s="52">
        <f t="shared" ca="1" si="272"/>
        <v>0</v>
      </c>
      <c r="L1110" s="52" t="str">
        <f t="shared" si="268"/>
        <v>'Contact Information'!B132:B140</v>
      </c>
    </row>
    <row r="1111" spans="1:16" ht="15" customHeight="1">
      <c r="A1111" t="str">
        <f t="shared" ca="1" si="275"/>
        <v xml:space="preserve">Enter all information for General Partner.
</v>
      </c>
      <c r="B1111">
        <f>ROW('Contact Information'!B143)</f>
        <v>143</v>
      </c>
      <c r="C1111" t="str">
        <f t="shared" ca="1" si="269"/>
        <v>General Partner</v>
      </c>
      <c r="D1111" t="str">
        <f t="shared" si="265"/>
        <v>B143:B151</v>
      </c>
      <c r="E1111" t="b">
        <f t="shared" ca="1" si="266"/>
        <v>1</v>
      </c>
      <c r="F1111" t="str">
        <f t="shared" ca="1" si="267"/>
        <v xml:space="preserve">Enter all information for General Partner.
</v>
      </c>
      <c r="G1111"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v>
      </c>
      <c r="H1111" t="b">
        <f>TRUE</f>
        <v>1</v>
      </c>
      <c r="I1111" s="9">
        <v>9</v>
      </c>
      <c r="J1111" s="52">
        <f t="shared" ca="1" si="274"/>
        <v>0</v>
      </c>
      <c r="K1111" s="52">
        <f t="shared" ca="1" si="272"/>
        <v>0</v>
      </c>
      <c r="L1111" s="52" t="str">
        <f t="shared" si="268"/>
        <v>'Contact Information'!B143:B151</v>
      </c>
    </row>
    <row r="1112" spans="1:16" ht="15" customHeight="1">
      <c r="A1112" t="str">
        <f t="shared" ca="1" si="275"/>
        <v xml:space="preserve">Enter all information for General Contractor.
</v>
      </c>
      <c r="B1112">
        <f>ROW('Contact Information'!B157)</f>
        <v>157</v>
      </c>
      <c r="C1112" t="str">
        <f t="shared" ca="1" si="269"/>
        <v>General Contractor</v>
      </c>
      <c r="D1112" t="str">
        <f t="shared" si="265"/>
        <v>B157:B165</v>
      </c>
      <c r="E1112" t="b">
        <f t="shared" ca="1" si="266"/>
        <v>1</v>
      </c>
      <c r="F1112" t="str">
        <f t="shared" ca="1" si="267"/>
        <v xml:space="preserve">Enter all information for General Contractor.
</v>
      </c>
      <c r="G1112"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v>
      </c>
      <c r="H1112" t="b">
        <f>TRUE</f>
        <v>1</v>
      </c>
      <c r="I1112" s="9">
        <v>9</v>
      </c>
      <c r="J1112" s="52">
        <f t="shared" ca="1" si="274"/>
        <v>0</v>
      </c>
      <c r="K1112" s="52">
        <f t="shared" ca="1" si="272"/>
        <v>0</v>
      </c>
      <c r="L1112" s="52" t="str">
        <f t="shared" si="268"/>
        <v>'Contact Information'!B157:B165</v>
      </c>
    </row>
    <row r="1113" spans="1:16" ht="15" customHeight="1">
      <c r="A1113" t="str">
        <f t="shared" ca="1" si="275"/>
        <v xml:space="preserve">Enter all information for Management Company.
</v>
      </c>
      <c r="B1113">
        <f>ROW('Contact Information'!B171)</f>
        <v>171</v>
      </c>
      <c r="C1113" t="str">
        <f t="shared" ca="1" si="269"/>
        <v>Management Company</v>
      </c>
      <c r="D1113" t="str">
        <f t="shared" si="265"/>
        <v>B171:B179</v>
      </c>
      <c r="E1113" t="b">
        <f t="shared" ca="1" si="266"/>
        <v>1</v>
      </c>
      <c r="F1113" t="str">
        <f t="shared" ca="1" si="267"/>
        <v xml:space="preserve">Enter all information for Management Company.
</v>
      </c>
      <c r="G1113"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v>
      </c>
      <c r="H1113" t="b">
        <f>TRUE</f>
        <v>1</v>
      </c>
      <c r="I1113" s="9">
        <v>9</v>
      </c>
      <c r="J1113" s="52">
        <f t="shared" ca="1" si="274"/>
        <v>0</v>
      </c>
      <c r="K1113" s="52">
        <f t="shared" ca="1" si="272"/>
        <v>0</v>
      </c>
      <c r="L1113" s="52" t="str">
        <f t="shared" si="268"/>
        <v>'Contact Information'!B171:B179</v>
      </c>
    </row>
    <row r="1114" spans="1:16" ht="15" customHeight="1">
      <c r="A1114" t="str">
        <f t="shared" ca="1" si="275"/>
        <v/>
      </c>
      <c r="B1114">
        <f>ROW('Contact Information'!B185)</f>
        <v>185</v>
      </c>
      <c r="C1114" t="str">
        <f t="shared" ca="1" si="269"/>
        <v>Fee/Turnkey Developer</v>
      </c>
      <c r="D1114" t="str">
        <f t="shared" si="265"/>
        <v>B185:B193</v>
      </c>
      <c r="E1114" t="b">
        <f t="shared" ca="1" si="266"/>
        <v>1</v>
      </c>
      <c r="F1114" t="str">
        <f t="shared" ca="1" si="267"/>
        <v xml:space="preserve">Enter all information for Fee/Turnkey Developer.
</v>
      </c>
      <c r="G1114" s="9" t="str">
        <f t="shared" ref="G1114" ca="1" si="276">OFFSET(G1114, -1, 0) &amp; A1114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v>
      </c>
      <c r="H1114" t="b">
        <f>Calculations!$B$2</f>
        <v>0</v>
      </c>
      <c r="I1114" s="9">
        <v>9</v>
      </c>
      <c r="J1114" s="52">
        <f t="shared" ca="1" si="274"/>
        <v>0</v>
      </c>
      <c r="K1114" s="52">
        <f t="shared" ref="K1114" ca="1" si="277">SUMPRODUCT(--ISNUMBER(INDIRECT(L1114)))</f>
        <v>0</v>
      </c>
      <c r="L1114" s="52" t="str">
        <f t="shared" si="268"/>
        <v>'Contact Information'!B185:B193</v>
      </c>
      <c r="P1114" t="s">
        <v>3844</v>
      </c>
    </row>
    <row r="1115" spans="1:16" ht="15" customHeight="1">
      <c r="A1115" t="str">
        <f t="shared" ca="1" si="275"/>
        <v xml:space="preserve">Enter all information for Consultant (specify).
</v>
      </c>
      <c r="B1115">
        <f>ROW('Contact Information'!B199)</f>
        <v>199</v>
      </c>
      <c r="C1115" t="str">
        <f t="shared" ca="1" si="269"/>
        <v>Consultant (specify)</v>
      </c>
      <c r="D1115" t="str">
        <f t="shared" si="265"/>
        <v>B199:B207</v>
      </c>
      <c r="E1115" t="b">
        <f t="shared" ca="1" si="266"/>
        <v>1</v>
      </c>
      <c r="F1115" t="str">
        <f t="shared" ca="1" si="267"/>
        <v xml:space="preserve">Enter all information for Consultant (specify).
</v>
      </c>
      <c r="G1115"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15" t="b">
        <f>TRUE</f>
        <v>1</v>
      </c>
      <c r="I1115" s="9">
        <v>9</v>
      </c>
      <c r="J1115" s="52">
        <f t="shared" ref="J1115:J1128" ca="1" si="278">SUMPRODUCT(--ISTEXT(INDIRECT(L1115)))</f>
        <v>0</v>
      </c>
      <c r="K1115" s="52">
        <f t="shared" ca="1" si="272"/>
        <v>0</v>
      </c>
      <c r="L1115" s="52" t="str">
        <f t="shared" si="268"/>
        <v>'Contact Information'!B199:B207</v>
      </c>
      <c r="P1115" t="s">
        <v>3844</v>
      </c>
    </row>
    <row r="1116" spans="1:16" ht="15" customHeight="1">
      <c r="A1116" t="str">
        <f t="shared" ca="1" si="275"/>
        <v/>
      </c>
      <c r="B1116">
        <f>ROW('Contact Information'!B211)</f>
        <v>211</v>
      </c>
      <c r="C1116" t="str">
        <f t="shared" ca="1" si="269"/>
        <v>Consultant (specify)</v>
      </c>
      <c r="D1116" t="str">
        <f t="shared" si="265"/>
        <v>B211:B219</v>
      </c>
      <c r="E1116" t="b">
        <f t="shared" ca="1" si="266"/>
        <v>1</v>
      </c>
      <c r="F1116" t="str">
        <f t="shared" ca="1" si="267"/>
        <v xml:space="preserve">Enter all information for Consultant (specify).
</v>
      </c>
      <c r="G1116"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16" t="b">
        <f>Calculations!$B$2</f>
        <v>0</v>
      </c>
      <c r="I1116" s="9">
        <v>9</v>
      </c>
      <c r="J1116" s="52">
        <f t="shared" ca="1" si="278"/>
        <v>0</v>
      </c>
      <c r="K1116" s="52">
        <f t="shared" ca="1" si="272"/>
        <v>0</v>
      </c>
      <c r="L1116" s="52" t="str">
        <f t="shared" si="268"/>
        <v>'Contact Information'!B211:B219</v>
      </c>
      <c r="P1116" t="s">
        <v>3844</v>
      </c>
    </row>
    <row r="1117" spans="1:16" ht="15" customHeight="1">
      <c r="A1117" t="str">
        <f t="shared" ca="1" si="275"/>
        <v/>
      </c>
      <c r="B1117">
        <f>ROW('Contact Information'!B223)</f>
        <v>223</v>
      </c>
      <c r="C1117" t="str">
        <f t="shared" ca="1" si="269"/>
        <v>Consultant (specify)</v>
      </c>
      <c r="D1117" t="str">
        <f t="shared" si="265"/>
        <v>B223:B231</v>
      </c>
      <c r="E1117" t="b">
        <f t="shared" ca="1" si="266"/>
        <v>1</v>
      </c>
      <c r="F1117" t="str">
        <f t="shared" ca="1" si="267"/>
        <v xml:space="preserve">Enter all information for Consultant (specify).
</v>
      </c>
      <c r="G1117"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17" t="b">
        <f>Calculations!$B$2</f>
        <v>0</v>
      </c>
      <c r="I1117" s="9">
        <v>9</v>
      </c>
      <c r="J1117" s="52">
        <f t="shared" ca="1" si="278"/>
        <v>0</v>
      </c>
      <c r="K1117" s="52">
        <f t="shared" ca="1" si="272"/>
        <v>0</v>
      </c>
      <c r="L1117" s="52" t="str">
        <f t="shared" si="268"/>
        <v>'Contact Information'!B223:B231</v>
      </c>
    </row>
    <row r="1118" spans="1:16" ht="15" customHeight="1">
      <c r="A1118" t="str">
        <f t="shared" ca="1" si="275"/>
        <v xml:space="preserve">Enter all information for Tax Attorney Firm.
</v>
      </c>
      <c r="B1118">
        <f>ROW('Contact Information'!B235)</f>
        <v>235</v>
      </c>
      <c r="C1118" t="str">
        <f t="shared" ca="1" si="269"/>
        <v>Tax Attorney Firm</v>
      </c>
      <c r="D1118" t="str">
        <f t="shared" si="265"/>
        <v>B235:B243</v>
      </c>
      <c r="E1118" t="b">
        <f t="shared" ca="1" si="266"/>
        <v>1</v>
      </c>
      <c r="F1118" t="str">
        <f t="shared" ca="1" si="267"/>
        <v xml:space="preserve">Enter all information for Tax Attorney Firm.
</v>
      </c>
      <c r="G1118"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v>
      </c>
      <c r="H1118" t="b">
        <f>TRUE</f>
        <v>1</v>
      </c>
      <c r="I1118" s="9">
        <v>9</v>
      </c>
      <c r="J1118" s="52">
        <f t="shared" ca="1" si="278"/>
        <v>0</v>
      </c>
      <c r="K1118" s="52">
        <f t="shared" ca="1" si="272"/>
        <v>0</v>
      </c>
      <c r="L1118" s="52" t="str">
        <f t="shared" si="268"/>
        <v>'Contact Information'!B235:B243</v>
      </c>
    </row>
    <row r="1119" spans="1:16" ht="15" customHeight="1">
      <c r="A1119" t="str">
        <f t="shared" ca="1" si="275"/>
        <v xml:space="preserve">Enter all information for CPA Firm.
</v>
      </c>
      <c r="B1119">
        <f>ROW('Contact Information'!B246)</f>
        <v>246</v>
      </c>
      <c r="C1119" t="str">
        <f t="shared" ca="1" si="269"/>
        <v>CPA Firm</v>
      </c>
      <c r="D1119" t="str">
        <f t="shared" si="265"/>
        <v>B246:B254</v>
      </c>
      <c r="E1119" t="b">
        <f t="shared" ca="1" si="266"/>
        <v>1</v>
      </c>
      <c r="F1119" t="str">
        <f t="shared" ca="1" si="267"/>
        <v xml:space="preserve">Enter all information for CPA Firm.
</v>
      </c>
      <c r="G1119"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v>
      </c>
      <c r="H1119" t="b">
        <f>TRUE</f>
        <v>1</v>
      </c>
      <c r="I1119" s="9">
        <v>9</v>
      </c>
      <c r="J1119" s="52">
        <f t="shared" ca="1" si="278"/>
        <v>0</v>
      </c>
      <c r="K1119" s="52">
        <f t="shared" ca="1" si="272"/>
        <v>0</v>
      </c>
      <c r="L1119" s="52" t="str">
        <f t="shared" si="268"/>
        <v>'Contact Information'!B246:B254</v>
      </c>
    </row>
    <row r="1120" spans="1:16" ht="15" customHeight="1">
      <c r="A1120" t="str">
        <f t="shared" ca="1" si="275"/>
        <v xml:space="preserve">Enter all information for Architect Firm.
</v>
      </c>
      <c r="B1120">
        <f>ROW('Contact Information'!B257)</f>
        <v>257</v>
      </c>
      <c r="C1120" t="str">
        <f t="shared" ca="1" si="269"/>
        <v>Architect Firm</v>
      </c>
      <c r="D1120" t="str">
        <f t="shared" si="265"/>
        <v>B257:B265</v>
      </c>
      <c r="E1120" t="b">
        <f t="shared" ca="1" si="266"/>
        <v>1</v>
      </c>
      <c r="F1120" t="str">
        <f t="shared" ca="1" si="267"/>
        <v xml:space="preserve">Enter all information for Architect Firm.
</v>
      </c>
      <c r="G1120"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v>
      </c>
      <c r="H1120" t="b">
        <f>TRUE</f>
        <v>1</v>
      </c>
      <c r="I1120" s="9">
        <v>9</v>
      </c>
      <c r="J1120" s="52">
        <f t="shared" ca="1" si="278"/>
        <v>0</v>
      </c>
      <c r="K1120" s="52">
        <f t="shared" ca="1" si="272"/>
        <v>0</v>
      </c>
      <c r="L1120" s="52" t="str">
        <f t="shared" si="268"/>
        <v>'Contact Information'!B257:B265</v>
      </c>
    </row>
    <row r="1121" spans="1:19" ht="15" customHeight="1">
      <c r="A1121" t="str">
        <f t="shared" ca="1" si="275"/>
        <v xml:space="preserve">Enter all information for Permanent Lender.
</v>
      </c>
      <c r="B1121">
        <f>ROW('Contact Information'!B268)</f>
        <v>268</v>
      </c>
      <c r="C1121" t="str">
        <f t="shared" ca="1" si="269"/>
        <v>Permanent Lender</v>
      </c>
      <c r="D1121" t="str">
        <f t="shared" si="265"/>
        <v>B268:B276</v>
      </c>
      <c r="E1121" t="b">
        <f t="shared" ca="1" si="266"/>
        <v>1</v>
      </c>
      <c r="F1121" t="str">
        <f t="shared" ca="1" si="267"/>
        <v xml:space="preserve">Enter all information for Permanent Lender.
</v>
      </c>
      <c r="G1121"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v>
      </c>
      <c r="H1121" t="b">
        <f>TRUE</f>
        <v>1</v>
      </c>
      <c r="I1121" s="9">
        <v>9</v>
      </c>
      <c r="J1121" s="52">
        <f t="shared" ca="1" si="278"/>
        <v>0</v>
      </c>
      <c r="K1121" s="52">
        <f t="shared" ca="1" si="272"/>
        <v>0</v>
      </c>
      <c r="L1121" s="52" t="str">
        <f t="shared" si="268"/>
        <v>'Contact Information'!B268:B276</v>
      </c>
      <c r="P1121" t="s">
        <v>3844</v>
      </c>
    </row>
    <row r="1122" spans="1:19" ht="15" customHeight="1">
      <c r="A1122" t="str">
        <f t="shared" ca="1" si="275"/>
        <v xml:space="preserve">Enter all information for Commercial Lender.
</v>
      </c>
      <c r="B1122">
        <f>ROW('Contact Information'!B279)</f>
        <v>279</v>
      </c>
      <c r="C1122" t="str">
        <f t="shared" ca="1" si="269"/>
        <v>Commercial Lender</v>
      </c>
      <c r="D1122" t="str">
        <f t="shared" si="265"/>
        <v>B279:B287</v>
      </c>
      <c r="E1122" t="b">
        <f t="shared" ca="1" si="266"/>
        <v>1</v>
      </c>
      <c r="F1122" t="str">
        <f t="shared" ca="1" si="267"/>
        <v xml:space="preserve">Enter all information for Commercial Lender.
</v>
      </c>
      <c r="G1122"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v>
      </c>
      <c r="H1122" t="b">
        <f>TRUE</f>
        <v>1</v>
      </c>
      <c r="I1122" s="9">
        <v>9</v>
      </c>
      <c r="J1122" s="52">
        <f t="shared" ca="1" si="278"/>
        <v>0</v>
      </c>
      <c r="K1122" s="52">
        <f t="shared" ca="1" si="272"/>
        <v>0</v>
      </c>
      <c r="L1122" s="52" t="str">
        <f t="shared" si="268"/>
        <v>'Contact Information'!B279:B287</v>
      </c>
    </row>
    <row r="1123" spans="1:19" ht="15" customHeight="1">
      <c r="A1123" t="str">
        <f t="shared" ca="1" si="275"/>
        <v xml:space="preserve">Enter all information for Construction Lender.
</v>
      </c>
      <c r="B1123">
        <f>ROW('Contact Information'!B290)</f>
        <v>290</v>
      </c>
      <c r="C1123" t="str">
        <f t="shared" ca="1" si="269"/>
        <v>Construction Lender</v>
      </c>
      <c r="D1123" t="str">
        <f t="shared" si="265"/>
        <v>B290:B298</v>
      </c>
      <c r="E1123" t="b">
        <f t="shared" ca="1" si="266"/>
        <v>1</v>
      </c>
      <c r="F1123" t="str">
        <f t="shared" ca="1" si="267"/>
        <v xml:space="preserve">Enter all information for Construction Lender.
</v>
      </c>
      <c r="G1123"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3" t="b">
        <f>TRUE</f>
        <v>1</v>
      </c>
      <c r="I1123" s="9">
        <v>9</v>
      </c>
      <c r="J1123" s="52">
        <f t="shared" ca="1" si="278"/>
        <v>0</v>
      </c>
      <c r="K1123" s="52">
        <f t="shared" ca="1" si="272"/>
        <v>0</v>
      </c>
      <c r="L1123" s="52" t="str">
        <f t="shared" si="268"/>
        <v>'Contact Information'!B290:B298</v>
      </c>
    </row>
    <row r="1124" spans="1:19" ht="15" customHeight="1">
      <c r="A1124" t="str">
        <f t="shared" ca="1" si="275"/>
        <v/>
      </c>
      <c r="B1124">
        <f>ROW('Contact Information'!B301)</f>
        <v>301</v>
      </c>
      <c r="C1124" t="str">
        <f t="shared" ca="1" si="269"/>
        <v>Environmental Phase I Preparer</v>
      </c>
      <c r="D1124" t="str">
        <f t="shared" si="265"/>
        <v>B301:B309</v>
      </c>
      <c r="E1124" t="b">
        <f t="shared" ca="1" si="266"/>
        <v>1</v>
      </c>
      <c r="F1124" t="str">
        <f t="shared" ca="1" si="267"/>
        <v xml:space="preserve">Enter all information for Environmental Phase I Preparer.
</v>
      </c>
      <c r="G1124"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4" t="b">
        <f>Calculations!$B$2</f>
        <v>0</v>
      </c>
      <c r="I1124" s="9">
        <v>9</v>
      </c>
      <c r="J1124" s="52">
        <f t="shared" ca="1" si="278"/>
        <v>0</v>
      </c>
      <c r="K1124" s="52">
        <f t="shared" ca="1" si="272"/>
        <v>0</v>
      </c>
      <c r="L1124" s="52" t="str">
        <f t="shared" si="268"/>
        <v>'Contact Information'!B301:B309</v>
      </c>
      <c r="P1124" t="s">
        <v>3844</v>
      </c>
    </row>
    <row r="1125" spans="1:19" ht="15" customHeight="1">
      <c r="A1125" t="str">
        <f t="shared" ca="1" si="275"/>
        <v/>
      </c>
      <c r="B1125">
        <f>ROW('Contact Information'!B312)</f>
        <v>312</v>
      </c>
      <c r="C1125" t="str">
        <f t="shared" ca="1" si="269"/>
        <v>Capital Needs Report Preparer</v>
      </c>
      <c r="D1125" t="str">
        <f t="shared" si="265"/>
        <v>B312:B320</v>
      </c>
      <c r="E1125" t="b">
        <f t="shared" ca="1" si="266"/>
        <v>1</v>
      </c>
      <c r="F1125" t="str">
        <f t="shared" ca="1" si="267"/>
        <v xml:space="preserve">Enter all information for Capital Needs Report Preparer.
</v>
      </c>
      <c r="G1125" s="9" t="str">
        <f t="shared" ref="G1125:G1138" ca="1" si="279">OFFSET(G1125, -1, 0) &amp; A1125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5" t="b">
        <f>Calculations!$B$2</f>
        <v>0</v>
      </c>
      <c r="I1125" s="9">
        <v>9</v>
      </c>
      <c r="J1125" s="52">
        <f t="shared" ca="1" si="278"/>
        <v>0</v>
      </c>
      <c r="K1125" s="52">
        <f t="shared" ca="1" si="272"/>
        <v>0</v>
      </c>
      <c r="L1125" s="52" t="str">
        <f t="shared" si="268"/>
        <v>'Contact Information'!B312:B320</v>
      </c>
      <c r="P1125" t="s">
        <v>3844</v>
      </c>
    </row>
    <row r="1126" spans="1:19" ht="15" customHeight="1">
      <c r="A1126" t="str">
        <f t="shared" ca="1" si="275"/>
        <v/>
      </c>
      <c r="B1126">
        <f>ROW('Contact Information'!B323)</f>
        <v>323</v>
      </c>
      <c r="C1126" t="str">
        <f t="shared" ca="1" si="269"/>
        <v>Green Consultant</v>
      </c>
      <c r="D1126" t="str">
        <f t="shared" si="265"/>
        <v>B323:B331</v>
      </c>
      <c r="E1126" t="b">
        <f t="shared" ca="1" si="266"/>
        <v>1</v>
      </c>
      <c r="F1126" t="str">
        <f t="shared" ca="1" si="267"/>
        <v xml:space="preserve">Enter all information for Green Consultant.
</v>
      </c>
      <c r="G1126"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6" t="b">
        <f>Calculations!$B$2</f>
        <v>0</v>
      </c>
      <c r="I1126" s="9">
        <v>9</v>
      </c>
      <c r="J1126" s="52">
        <f t="shared" ca="1" si="278"/>
        <v>0</v>
      </c>
      <c r="K1126" s="52">
        <f t="shared" ca="1" si="272"/>
        <v>0</v>
      </c>
      <c r="L1126" s="52" t="str">
        <f t="shared" si="268"/>
        <v>'Contact Information'!B323:B331</v>
      </c>
      <c r="P1126" t="s">
        <v>3845</v>
      </c>
    </row>
    <row r="1127" spans="1:19" ht="15" customHeight="1">
      <c r="A1127" t="str">
        <f t="shared" ca="1" si="275"/>
        <v xml:space="preserve">Enter all information for Bond Purchaser.
</v>
      </c>
      <c r="B1127">
        <f>ROW('Contact Information'!B334)</f>
        <v>334</v>
      </c>
      <c r="C1127" t="str">
        <f t="shared" ca="1" si="269"/>
        <v>Bond Purchaser</v>
      </c>
      <c r="D1127" t="str">
        <f t="shared" si="265"/>
        <v>B334:B342</v>
      </c>
      <c r="E1127" t="b">
        <f t="shared" ca="1" si="266"/>
        <v>1</v>
      </c>
      <c r="F1127" t="str">
        <f t="shared" ca="1" si="267"/>
        <v xml:space="preserve">Enter all information for Bond Purchaser.
</v>
      </c>
      <c r="G1127"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v>
      </c>
      <c r="H1127" t="b">
        <f>TRUE</f>
        <v>1</v>
      </c>
      <c r="I1127" s="9">
        <v>9</v>
      </c>
      <c r="J1127" s="52">
        <f t="shared" ca="1" si="278"/>
        <v>0</v>
      </c>
      <c r="K1127" s="52">
        <f t="shared" ca="1" si="272"/>
        <v>0</v>
      </c>
      <c r="L1127" s="52" t="str">
        <f t="shared" si="268"/>
        <v>'Contact Information'!B334:B342</v>
      </c>
      <c r="P1127" t="s">
        <v>3845</v>
      </c>
      <c r="S1127" s="1" t="s">
        <v>3846</v>
      </c>
    </row>
    <row r="1128" spans="1:19" ht="15" customHeight="1">
      <c r="A1128" t="str">
        <f t="shared" ca="1" si="275"/>
        <v xml:space="preserve">Enter all information for Bond Issuer (if not CHFA).
</v>
      </c>
      <c r="B1128">
        <f>ROW('Contact Information'!B346)</f>
        <v>346</v>
      </c>
      <c r="C1128" t="str">
        <f t="shared" ca="1" si="269"/>
        <v>Bond Issuer (if not CHFA)</v>
      </c>
      <c r="D1128" t="str">
        <f t="shared" si="265"/>
        <v>B346:B354</v>
      </c>
      <c r="E1128" t="b">
        <f t="shared" ca="1" si="266"/>
        <v>1</v>
      </c>
      <c r="F1128" t="str">
        <f t="shared" ca="1" si="267"/>
        <v xml:space="preserve">Enter all information for Bond Issuer (if not CHFA).
</v>
      </c>
      <c r="G1128"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28" t="b">
        <f>TRUE</f>
        <v>1</v>
      </c>
      <c r="I1128" s="9">
        <v>9</v>
      </c>
      <c r="J1128" s="52">
        <f t="shared" ca="1" si="278"/>
        <v>0</v>
      </c>
      <c r="K1128" s="52">
        <f t="shared" ca="1" si="272"/>
        <v>0</v>
      </c>
      <c r="L1128" s="52" t="str">
        <f t="shared" si="268"/>
        <v>'Contact Information'!B346:B354</v>
      </c>
      <c r="P1128" t="s">
        <v>3845</v>
      </c>
      <c r="S1128" s="1" t="b">
        <f>AND(Calculations!B5, NOT(Calculations!B6))</f>
        <v>0</v>
      </c>
    </row>
    <row r="1129" spans="1:19" ht="15" customHeight="1">
      <c r="A1129" t="str">
        <f t="shared" ca="1" si="275"/>
        <v/>
      </c>
      <c r="B1129">
        <f>ROW('Contact Information'!B357)</f>
        <v>357</v>
      </c>
      <c r="C1129" t="str">
        <f t="shared" ca="1" si="269"/>
        <v>Bond Counsel (if not CHFA)</v>
      </c>
      <c r="D1129" t="str">
        <f t="shared" si="265"/>
        <v>B357:B365</v>
      </c>
      <c r="E1129" t="b">
        <f t="shared" ca="1" si="266"/>
        <v>1</v>
      </c>
      <c r="F1129" t="str">
        <f t="shared" ca="1" si="267"/>
        <v xml:space="preserve">Enter all information for Bond Counsel (if not CHFA).
</v>
      </c>
      <c r="G1129"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29" t="b">
        <f>Calculations!$B$2</f>
        <v>0</v>
      </c>
      <c r="I1129" s="9">
        <v>9</v>
      </c>
      <c r="J1129" s="52">
        <f t="shared" ref="J1129:J1136" ca="1" si="280">SUMPRODUCT(--ISTEXT(INDIRECT(L1129)))</f>
        <v>0</v>
      </c>
      <c r="K1129" s="52">
        <f t="shared" ca="1" si="272"/>
        <v>0</v>
      </c>
      <c r="L1129" s="52" t="str">
        <f t="shared" si="268"/>
        <v>'Contact Information'!B357:B365</v>
      </c>
    </row>
    <row r="1130" spans="1:19" ht="15" customHeight="1">
      <c r="A1130" t="str">
        <f t="shared" ca="1" si="275"/>
        <v/>
      </c>
      <c r="B1130">
        <f>ROW('Contact Information'!B368)</f>
        <v>368</v>
      </c>
      <c r="C1130" t="str">
        <f t="shared" ca="1" si="269"/>
        <v>Mayor/Elected Official/Jurisdiction</v>
      </c>
      <c r="D1130" t="str">
        <f t="shared" si="265"/>
        <v>B368:B376</v>
      </c>
      <c r="E1130" t="b">
        <f t="shared" ca="1" si="266"/>
        <v>1</v>
      </c>
      <c r="F1130" t="str">
        <f t="shared" ca="1" si="267"/>
        <v xml:space="preserve">Enter all information for Mayor/Elected Official/Jurisdiction.
</v>
      </c>
      <c r="G1130"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30" t="b">
        <f>Calculations!$B$2</f>
        <v>0</v>
      </c>
      <c r="I1130" s="9">
        <v>9</v>
      </c>
      <c r="J1130" s="52">
        <f t="shared" ca="1" si="280"/>
        <v>0</v>
      </c>
      <c r="K1130" s="52">
        <f t="shared" ca="1" si="272"/>
        <v>0</v>
      </c>
      <c r="L1130" s="52" t="str">
        <f t="shared" si="268"/>
        <v>'Contact Information'!B368:B376</v>
      </c>
    </row>
    <row r="1131" spans="1:19" ht="15" customHeight="1">
      <c r="A1131" t="str">
        <f t="shared" ca="1" si="275"/>
        <v/>
      </c>
      <c r="B1131">
        <f>ROW('Contact Information'!B380)</f>
        <v>380</v>
      </c>
      <c r="C1131" t="str">
        <f t="shared" ca="1" si="269"/>
        <v>Council Member</v>
      </c>
      <c r="D1131" t="str">
        <f t="shared" si="265"/>
        <v>B380:B388</v>
      </c>
      <c r="E1131" t="b">
        <f t="shared" ca="1" si="266"/>
        <v>1</v>
      </c>
      <c r="F1131" t="str">
        <f t="shared" ca="1" si="267"/>
        <v xml:space="preserve">Enter all information for Council Member.
</v>
      </c>
      <c r="G1131"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31" t="b">
        <f>Calculations!$B$2</f>
        <v>0</v>
      </c>
      <c r="I1131" s="9">
        <v>9</v>
      </c>
      <c r="J1131" s="52">
        <f t="shared" ca="1" si="280"/>
        <v>0</v>
      </c>
      <c r="K1131" s="52">
        <f t="shared" ca="1" si="272"/>
        <v>0</v>
      </c>
      <c r="L1131" s="52" t="str">
        <f t="shared" si="268"/>
        <v>'Contact Information'!B380:B388</v>
      </c>
    </row>
    <row r="1132" spans="1:19" ht="15" customHeight="1">
      <c r="A1132" t="str">
        <f t="shared" ca="1" si="275"/>
        <v/>
      </c>
      <c r="B1132">
        <f>ROW('Contact Information'!B403)</f>
        <v>403</v>
      </c>
      <c r="C1132" t="str">
        <f t="shared" ca="1" si="269"/>
        <v>City Planner</v>
      </c>
      <c r="D1132" t="str">
        <f t="shared" si="265"/>
        <v>B403:B411</v>
      </c>
      <c r="E1132" t="b">
        <f t="shared" ca="1" si="266"/>
        <v>1</v>
      </c>
      <c r="F1132" t="str">
        <f t="shared" ca="1" si="267"/>
        <v xml:space="preserve">Enter all information for City Planner.
</v>
      </c>
      <c r="G1132"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32" t="b">
        <f>Calculations!$B$2</f>
        <v>0</v>
      </c>
      <c r="I1132" s="9">
        <v>9</v>
      </c>
      <c r="J1132" s="52">
        <f t="shared" ca="1" si="280"/>
        <v>0</v>
      </c>
      <c r="K1132" s="52">
        <f t="shared" ca="1" si="272"/>
        <v>0</v>
      </c>
      <c r="L1132" s="52" t="str">
        <f t="shared" si="268"/>
        <v>'Contact Information'!B403:B411</v>
      </c>
    </row>
    <row r="1133" spans="1:19" ht="15" customHeight="1">
      <c r="A1133" t="str">
        <f t="shared" ca="1" si="275"/>
        <v xml:space="preserve">Enter all information for Local Housing Authortity.
</v>
      </c>
      <c r="B1133">
        <f>ROW('Contact Information'!B414)</f>
        <v>414</v>
      </c>
      <c r="C1133" t="str">
        <f t="shared" ca="1" si="269"/>
        <v>Local Housing Authortity</v>
      </c>
      <c r="D1133" t="str">
        <f t="shared" si="265"/>
        <v>B414:B422</v>
      </c>
      <c r="E1133" t="b">
        <f t="shared" ca="1" si="266"/>
        <v>1</v>
      </c>
      <c r="F1133" t="str">
        <f t="shared" ca="1" si="267"/>
        <v xml:space="preserve">Enter all information for Local Housing Authortity.
</v>
      </c>
      <c r="G1133"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3" t="b">
        <f>TRUE</f>
        <v>1</v>
      </c>
      <c r="I1133" s="9">
        <v>9</v>
      </c>
      <c r="J1133" s="52">
        <f t="shared" ca="1" si="280"/>
        <v>0</v>
      </c>
      <c r="K1133" s="52">
        <f t="shared" ca="1" si="272"/>
        <v>0</v>
      </c>
      <c r="L1133" s="52" t="str">
        <f t="shared" si="268"/>
        <v>'Contact Information'!B414:B422</v>
      </c>
      <c r="P1133" t="s">
        <v>3844</v>
      </c>
    </row>
    <row r="1134" spans="1:19" ht="15" customHeight="1">
      <c r="A1134" t="str">
        <f t="shared" ca="1" si="275"/>
        <v/>
      </c>
      <c r="B1134">
        <f>ROW('Contact Information'!B426)</f>
        <v>426</v>
      </c>
      <c r="C1134" t="str">
        <f t="shared" ca="1" si="269"/>
        <v>Construction/Completion Guarantee</v>
      </c>
      <c r="D1134" t="str">
        <f t="shared" si="265"/>
        <v>B426:B434</v>
      </c>
      <c r="E1134" t="b">
        <f t="shared" ca="1" si="266"/>
        <v>1</v>
      </c>
      <c r="F1134" t="str">
        <f t="shared" ca="1" si="267"/>
        <v xml:space="preserve">Enter all information for Construction/Completion Guarantee.
</v>
      </c>
      <c r="G1134"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4" t="b">
        <f>Calculations!$B$2</f>
        <v>0</v>
      </c>
      <c r="I1134" s="9">
        <v>9</v>
      </c>
      <c r="J1134" s="52">
        <f t="shared" ca="1" si="280"/>
        <v>0</v>
      </c>
      <c r="K1134" s="52">
        <f t="shared" ca="1" si="272"/>
        <v>0</v>
      </c>
      <c r="L1134" s="52" t="str">
        <f t="shared" si="268"/>
        <v>'Contact Information'!B426:B434</v>
      </c>
      <c r="P1134" t="s">
        <v>3844</v>
      </c>
    </row>
    <row r="1135" spans="1:19" ht="15" customHeight="1">
      <c r="A1135" t="str">
        <f t="shared" ca="1" si="275"/>
        <v/>
      </c>
      <c r="B1135">
        <f>ROW('Contact Information'!B437)</f>
        <v>437</v>
      </c>
      <c r="C1135" t="str">
        <f t="shared" ca="1" si="269"/>
        <v>Lease Up Guarantee</v>
      </c>
      <c r="D1135" t="str">
        <f t="shared" si="265"/>
        <v>B437:B445</v>
      </c>
      <c r="E1135" t="b">
        <f t="shared" ca="1" si="266"/>
        <v>1</v>
      </c>
      <c r="F1135" t="str">
        <f t="shared" ca="1" si="267"/>
        <v xml:space="preserve">Enter all information for Lease Up Guarantee.
</v>
      </c>
      <c r="G1135"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5" t="b">
        <f>Calculations!$B$2</f>
        <v>0</v>
      </c>
      <c r="I1135" s="9">
        <v>9</v>
      </c>
      <c r="J1135" s="52">
        <f t="shared" ca="1" si="280"/>
        <v>0</v>
      </c>
      <c r="K1135" s="52">
        <f t="shared" ca="1" si="272"/>
        <v>0</v>
      </c>
      <c r="L1135" s="52" t="str">
        <f t="shared" si="268"/>
        <v>'Contact Information'!B437:B445</v>
      </c>
      <c r="P1135" t="s">
        <v>3844</v>
      </c>
    </row>
    <row r="1136" spans="1:19" ht="15" customHeight="1">
      <c r="A1136" t="str">
        <f t="shared" ca="1" si="275"/>
        <v/>
      </c>
      <c r="B1136">
        <f>ROW('Contact Information'!B448)</f>
        <v>448</v>
      </c>
      <c r="C1136" t="str">
        <f t="shared" ca="1" si="269"/>
        <v xml:space="preserve">Operating Deficit Guarantee </v>
      </c>
      <c r="D1136" t="str">
        <f t="shared" si="265"/>
        <v>B448:B456</v>
      </c>
      <c r="E1136" t="b">
        <f t="shared" ca="1" si="266"/>
        <v>1</v>
      </c>
      <c r="F1136" t="str">
        <f t="shared" ca="1" si="267"/>
        <v xml:space="preserve">Enter all information for Operating Deficit Guarantee .
</v>
      </c>
      <c r="G1136"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6" t="b">
        <f>Calculations!$B$2</f>
        <v>0</v>
      </c>
      <c r="I1136" s="9">
        <v>9</v>
      </c>
      <c r="J1136" s="52">
        <f t="shared" ca="1" si="280"/>
        <v>0</v>
      </c>
      <c r="K1136" s="52">
        <f t="shared" ca="1" si="272"/>
        <v>0</v>
      </c>
      <c r="L1136" s="52" t="str">
        <f t="shared" si="268"/>
        <v>'Contact Information'!B448:B456</v>
      </c>
      <c r="P1136" t="s">
        <v>3844</v>
      </c>
    </row>
    <row r="1137" spans="1:16" ht="15" customHeight="1">
      <c r="A1137" t="str">
        <f t="shared" ca="1" si="275"/>
        <v/>
      </c>
      <c r="B1137">
        <f>ROW('Contact Information'!B459)</f>
        <v>459</v>
      </c>
      <c r="C1137" t="str">
        <f t="shared" ca="1" si="269"/>
        <v xml:space="preserve">Compliance Guarantee </v>
      </c>
      <c r="D1137" t="str">
        <f t="shared" si="265"/>
        <v>B459:B467</v>
      </c>
      <c r="E1137" t="b">
        <f t="shared" ca="1" si="266"/>
        <v>1</v>
      </c>
      <c r="F1137" t="str">
        <f t="shared" ca="1" si="267"/>
        <v xml:space="preserve">Enter all information for Compliance Guarantee .
</v>
      </c>
      <c r="G1137" s="9" t="str">
        <f t="shared" ref="G1137" ca="1" si="281">OFFSET(G1137, -1, 0) &amp; A1137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7" t="b">
        <f>Calculations!$B$2</f>
        <v>0</v>
      </c>
      <c r="I1137" s="9">
        <v>9</v>
      </c>
      <c r="J1137" s="52">
        <f t="shared" ref="J1137" ca="1" si="282">SUMPRODUCT(--ISTEXT(INDIRECT(L1137)))</f>
        <v>0</v>
      </c>
      <c r="K1137" s="52">
        <f t="shared" ref="K1137" ca="1" si="283">SUMPRODUCT(--ISNUMBER(INDIRECT(L1137)))</f>
        <v>0</v>
      </c>
      <c r="L1137" s="52" t="str">
        <f t="shared" si="268"/>
        <v>'Contact Information'!B459:B467</v>
      </c>
      <c r="P1137" t="s">
        <v>3844</v>
      </c>
    </row>
    <row r="1138" spans="1:16" ht="15" customHeight="1">
      <c r="A1138" t="str">
        <f ca="1">IF(AND(H1138, NOT($E$1104), E1138=""),F1138, "")</f>
        <v/>
      </c>
      <c r="B1138">
        <f>ROW('Contact Information'!B3)</f>
        <v>3</v>
      </c>
      <c r="C1138" t="str">
        <f t="shared" ref="C1138:C1142" ca="1" si="284">INDIRECT($F$1101 &amp; ADDRESS(B1138, 1,4  ))</f>
        <v>Applicant to be Published on Reports</v>
      </c>
      <c r="D1138" t="str">
        <f t="shared" ref="D1138:D1201" si="285">ADDRESS(B1138+K1138, 2,4  )</f>
        <v>B4</v>
      </c>
      <c r="E1138" t="str">
        <f t="shared" ref="E1138:E1150" ca="1" si="286">IF(ISBLANK( INDIRECT($F$1101 &amp; D1138)),"", INDIRECT($F$1101 &amp; D1138))</f>
        <v/>
      </c>
      <c r="F1138" t="str">
        <f ca="1">CONCATENATE("Enter a "&amp; J1138 &amp;" for '", C1138, "' in cell ", D1138, ".", CHAR(10))</f>
        <v xml:space="preserve">Enter a Organization for 'Applicant to be Published on Reports' in cell B4.
</v>
      </c>
      <c r="G1138"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8" t="b">
        <f>TRUE</f>
        <v>1</v>
      </c>
      <c r="I1138" s="9"/>
      <c r="J1138" s="52" t="str">
        <f t="shared" ref="J1138:J1201" ca="1" si="287">INDIRECT($F$1101 &amp; ADDRESS(B1138+K1138, 1,4))</f>
        <v>Organization</v>
      </c>
      <c r="K1138" s="52">
        <v>1</v>
      </c>
    </row>
    <row r="1139" spans="1:16" ht="15" customHeight="1">
      <c r="A1139" t="str">
        <f t="shared" ref="A1139:A1202" ca="1" si="288">IF(AND(H1139, NOT($E$1104), E1139=""),F1139, "")</f>
        <v/>
      </c>
      <c r="B1139" s="52">
        <f t="shared" ref="B1139:B1142" si="289">B1138</f>
        <v>3</v>
      </c>
      <c r="C1139" t="str">
        <f t="shared" ca="1" si="284"/>
        <v>Applicant to be Published on Reports</v>
      </c>
      <c r="D1139" t="str">
        <f t="shared" si="285"/>
        <v>B5</v>
      </c>
      <c r="E1139" t="str">
        <f t="shared" ca="1" si="286"/>
        <v/>
      </c>
      <c r="F1139" t="str">
        <f ca="1">CONCATENATE("Enter an "&amp; J1139 &amp;" for '", C1139, "' in cell ", D1139, ".", CHAR(10))</f>
        <v xml:space="preserve">Enter an Contact First Name for 'Applicant to be Published on Reports' in cell B5.
</v>
      </c>
      <c r="G1139" s="9" t="str">
        <f t="shared" ref="G1139:G1142" ca="1" si="290">OFFSET(G1139, -1, 0) &amp; A1139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9" t="b">
        <f>TRUE</f>
        <v>1</v>
      </c>
      <c r="I1139" s="9"/>
      <c r="J1139" s="52" t="str">
        <f t="shared" ca="1" si="287"/>
        <v>Contact First Name</v>
      </c>
      <c r="K1139" s="52">
        <v>2</v>
      </c>
      <c r="L1139" s="52"/>
    </row>
    <row r="1140" spans="1:16" ht="15" customHeight="1">
      <c r="A1140" t="str">
        <f t="shared" ca="1" si="288"/>
        <v/>
      </c>
      <c r="B1140" s="52">
        <f t="shared" si="289"/>
        <v>3</v>
      </c>
      <c r="C1140" t="str">
        <f t="shared" ca="1" si="284"/>
        <v>Applicant to be Published on Reports</v>
      </c>
      <c r="D1140" t="str">
        <f t="shared" si="285"/>
        <v>B6</v>
      </c>
      <c r="E1140" t="str">
        <f t="shared" ca="1" si="286"/>
        <v/>
      </c>
      <c r="F1140" t="str">
        <f ca="1">CONCATENATE("Enter a "&amp; J1140 &amp;" for '", C1140, "' in cell ", D1140, ".", CHAR(10))</f>
        <v xml:space="preserve">Enter a Contact Last Name for 'Applicant to be Published on Reports' in cell B6.
</v>
      </c>
      <c r="G1140" s="9" t="str">
        <f t="shared" ca="1" si="2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0" t="b">
        <f>TRUE</f>
        <v>1</v>
      </c>
      <c r="I1140" s="9"/>
      <c r="J1140" s="52" t="str">
        <f t="shared" ca="1" si="287"/>
        <v>Contact Last Name</v>
      </c>
      <c r="K1140" s="52">
        <v>3</v>
      </c>
      <c r="L1140" s="52"/>
    </row>
    <row r="1141" spans="1:16" ht="15" customHeight="1">
      <c r="A1141" t="str">
        <f t="shared" ca="1" si="288"/>
        <v/>
      </c>
      <c r="B1141" s="52">
        <f t="shared" si="289"/>
        <v>3</v>
      </c>
      <c r="C1141" t="str">
        <f t="shared" ca="1" si="284"/>
        <v>Applicant to be Published on Reports</v>
      </c>
      <c r="D1141" t="str">
        <f t="shared" si="285"/>
        <v>B7</v>
      </c>
      <c r="E1141" t="str">
        <f t="shared" ca="1" si="286"/>
        <v/>
      </c>
      <c r="F1141" t="str">
        <f ca="1">CONCATENATE("Enter a "&amp; J1141 &amp;" for '", C1141, "' in cell ", D1141, ".", CHAR(10))</f>
        <v xml:space="preserve">Enter a Phone (10 #'s only) for 'Applicant to be Published on Reports' in cell B7.
</v>
      </c>
      <c r="G1141" s="9" t="str">
        <f t="shared" ca="1" si="2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1" t="b">
        <f>TRUE</f>
        <v>1</v>
      </c>
      <c r="I1141" s="9"/>
      <c r="J1141" s="52" t="str">
        <f t="shared" ca="1" si="287"/>
        <v>Phone (10 #'s only)</v>
      </c>
      <c r="K1141" s="52">
        <v>4</v>
      </c>
      <c r="L1141" s="52"/>
    </row>
    <row r="1142" spans="1:16" ht="15" customHeight="1">
      <c r="A1142" t="str">
        <f t="shared" ca="1" si="288"/>
        <v/>
      </c>
      <c r="B1142" s="52">
        <f t="shared" si="289"/>
        <v>3</v>
      </c>
      <c r="C1142" t="str">
        <f t="shared" ca="1" si="284"/>
        <v>Applicant to be Published on Reports</v>
      </c>
      <c r="D1142" t="str">
        <f t="shared" si="285"/>
        <v>B8</v>
      </c>
      <c r="E1142" t="str">
        <f t="shared" ca="1" si="286"/>
        <v/>
      </c>
      <c r="F1142" t="str">
        <f ca="1">CONCATENATE("Enter a "&amp; J1142 &amp;" for '", C1142, "' in cell ", D1142, ".", CHAR(10))</f>
        <v xml:space="preserve">Enter a Email for 'Applicant to be Published on Reports' in cell B8.
</v>
      </c>
      <c r="G1142" s="9" t="str">
        <f t="shared" ca="1" si="2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2" t="b">
        <f>TRUE</f>
        <v>1</v>
      </c>
      <c r="I1142" s="9"/>
      <c r="J1142" s="52" t="str">
        <f t="shared" ca="1" si="287"/>
        <v>Email</v>
      </c>
      <c r="K1142" s="52">
        <v>5</v>
      </c>
      <c r="L1142" s="52"/>
    </row>
    <row r="1143" spans="1:16" ht="15" customHeight="1">
      <c r="A1143" t="str">
        <f t="shared" ca="1" si="288"/>
        <v/>
      </c>
      <c r="B1143">
        <f>ROW('Contact Information'!B10)</f>
        <v>10</v>
      </c>
      <c r="C1143" t="str">
        <f t="shared" ref="C1143:C1150" ca="1" si="291">INDIRECT($F$1101 &amp; ADDRESS(B1143, 1,4  ))</f>
        <v xml:space="preserve">Applicant Contact for Application Questions </v>
      </c>
      <c r="D1143" t="str">
        <f t="shared" si="285"/>
        <v>B11</v>
      </c>
      <c r="E1143" t="str">
        <f t="shared" ca="1" si="286"/>
        <v/>
      </c>
      <c r="F1143" t="str">
        <f ca="1">CONCATENATE("Enter a "&amp; J1143 &amp;" for '", C1143, "' in cell ", D1143, ".", CHAR(10))</f>
        <v xml:space="preserve">Enter a Organization for 'Applicant Contact for Application Questions ' in cell B11.
</v>
      </c>
      <c r="G1143" s="9" t="str">
        <f t="shared" ref="G1143:G1153" ca="1" si="292">OFFSET(G1143, -1, 0) &amp; A1143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3" t="b">
        <f>TRUE</f>
        <v>1</v>
      </c>
      <c r="I1143" s="9"/>
      <c r="J1143" s="52" t="str">
        <f t="shared" ca="1" si="287"/>
        <v>Organization</v>
      </c>
      <c r="K1143" s="52">
        <v>1</v>
      </c>
    </row>
    <row r="1144" spans="1:16" ht="15" customHeight="1">
      <c r="A1144" t="str">
        <f t="shared" ca="1" si="288"/>
        <v/>
      </c>
      <c r="B1144" s="52">
        <f t="shared" ref="B1144:B1151" si="293">B1143</f>
        <v>10</v>
      </c>
      <c r="C1144" t="str">
        <f t="shared" ca="1" si="291"/>
        <v xml:space="preserve">Applicant Contact for Application Questions </v>
      </c>
      <c r="D1144" t="str">
        <f t="shared" si="285"/>
        <v>B12</v>
      </c>
      <c r="E1144" t="str">
        <f t="shared" ca="1" si="286"/>
        <v/>
      </c>
      <c r="F1144" t="str">
        <f ca="1">CONCATENATE("Enter an "&amp; J1144 &amp;" for '", C1144, "' in cell ", D1144, ".", CHAR(10))</f>
        <v xml:space="preserve">Enter an Address for 'Applicant Contact for Application Questions ' in cell B12.
</v>
      </c>
      <c r="G1144"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4" t="b">
        <f>TRUE</f>
        <v>1</v>
      </c>
      <c r="I1144" s="9"/>
      <c r="J1144" s="52" t="str">
        <f t="shared" ca="1" si="287"/>
        <v>Address</v>
      </c>
      <c r="K1144" s="52">
        <v>2</v>
      </c>
    </row>
    <row r="1145" spans="1:16" ht="15" customHeight="1">
      <c r="A1145" t="str">
        <f t="shared" ca="1" si="288"/>
        <v/>
      </c>
      <c r="B1145" s="52">
        <f t="shared" si="293"/>
        <v>10</v>
      </c>
      <c r="C1145" t="str">
        <f t="shared" ca="1" si="291"/>
        <v xml:space="preserve">Applicant Contact for Application Questions </v>
      </c>
      <c r="D1145" t="str">
        <f t="shared" si="285"/>
        <v>B13</v>
      </c>
      <c r="E1145" t="str">
        <f t="shared" ca="1" si="286"/>
        <v/>
      </c>
      <c r="F1145" t="str">
        <f t="shared" ref="F1145:F1176" ca="1" si="294">CONCATENATE("Enter a "&amp; J1145 &amp;" for '", C1145, "' in cell ", D1145, ".", CHAR(10))</f>
        <v xml:space="preserve">Enter a City  for 'Applicant Contact for Application Questions ' in cell B13.
</v>
      </c>
      <c r="G1145"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5" t="b">
        <f>TRUE</f>
        <v>1</v>
      </c>
      <c r="I1145" s="9"/>
      <c r="J1145" s="52" t="str">
        <f t="shared" ca="1" si="287"/>
        <v xml:space="preserve">City </v>
      </c>
      <c r="K1145" s="52">
        <v>3</v>
      </c>
    </row>
    <row r="1146" spans="1:16" ht="15" customHeight="1">
      <c r="A1146" t="str">
        <f t="shared" ca="1" si="288"/>
        <v/>
      </c>
      <c r="B1146" s="52">
        <f t="shared" si="293"/>
        <v>10</v>
      </c>
      <c r="C1146" t="str">
        <f t="shared" ca="1" si="291"/>
        <v xml:space="preserve">Applicant Contact for Application Questions </v>
      </c>
      <c r="D1146" t="str">
        <f t="shared" si="285"/>
        <v>B14</v>
      </c>
      <c r="E1146" t="str">
        <f t="shared" ca="1" si="286"/>
        <v/>
      </c>
      <c r="F1146" t="str">
        <f t="shared" ca="1" si="294"/>
        <v xml:space="preserve">Enter a State for 'Applicant Contact for Application Questions ' in cell B14.
</v>
      </c>
      <c r="G1146"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6" t="b">
        <f>TRUE</f>
        <v>1</v>
      </c>
      <c r="I1146" s="9"/>
      <c r="J1146" s="52" t="str">
        <f t="shared" ca="1" si="287"/>
        <v>State</v>
      </c>
      <c r="K1146" s="52">
        <v>4</v>
      </c>
    </row>
    <row r="1147" spans="1:16" ht="15" customHeight="1">
      <c r="A1147" t="str">
        <f t="shared" ca="1" si="288"/>
        <v/>
      </c>
      <c r="B1147" s="52">
        <f t="shared" si="293"/>
        <v>10</v>
      </c>
      <c r="C1147" t="str">
        <f t="shared" ca="1" si="291"/>
        <v xml:space="preserve">Applicant Contact for Application Questions </v>
      </c>
      <c r="D1147" t="str">
        <f t="shared" si="285"/>
        <v>B15</v>
      </c>
      <c r="E1147" t="str">
        <f t="shared" ca="1" si="286"/>
        <v/>
      </c>
      <c r="F1147" t="str">
        <f t="shared" ca="1" si="294"/>
        <v xml:space="preserve">Enter a Zip (first five #'s only) for 'Applicant Contact for Application Questions ' in cell B15.
</v>
      </c>
      <c r="G1147"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7" t="b">
        <f>TRUE</f>
        <v>1</v>
      </c>
      <c r="I1147" s="9"/>
      <c r="J1147" s="52" t="str">
        <f t="shared" ca="1" si="287"/>
        <v>Zip (first five #'s only)</v>
      </c>
      <c r="K1147" s="52">
        <v>5</v>
      </c>
    </row>
    <row r="1148" spans="1:16" ht="15" customHeight="1">
      <c r="A1148" t="str">
        <f t="shared" ca="1" si="288"/>
        <v/>
      </c>
      <c r="B1148" s="52">
        <f t="shared" si="293"/>
        <v>10</v>
      </c>
      <c r="C1148" t="str">
        <f t="shared" ca="1" si="291"/>
        <v xml:space="preserve">Applicant Contact for Application Questions </v>
      </c>
      <c r="D1148" t="str">
        <f t="shared" si="285"/>
        <v>B16</v>
      </c>
      <c r="E1148" t="str">
        <f t="shared" ca="1" si="286"/>
        <v/>
      </c>
      <c r="F1148" t="str">
        <f t="shared" ca="1" si="294"/>
        <v xml:space="preserve">Enter a Contact First Name for 'Applicant Contact for Application Questions ' in cell B16.
</v>
      </c>
      <c r="G1148"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8" t="b">
        <f>TRUE</f>
        <v>1</v>
      </c>
      <c r="I1148" s="9"/>
      <c r="J1148" s="52" t="str">
        <f t="shared" ca="1" si="287"/>
        <v>Contact First Name</v>
      </c>
      <c r="K1148" s="52">
        <v>6</v>
      </c>
    </row>
    <row r="1149" spans="1:16" ht="15" customHeight="1">
      <c r="A1149" t="str">
        <f t="shared" ca="1" si="288"/>
        <v/>
      </c>
      <c r="B1149" s="52">
        <f t="shared" si="293"/>
        <v>10</v>
      </c>
      <c r="C1149" t="str">
        <f t="shared" ca="1" si="291"/>
        <v xml:space="preserve">Applicant Contact for Application Questions </v>
      </c>
      <c r="D1149" t="str">
        <f t="shared" si="285"/>
        <v>B17</v>
      </c>
      <c r="E1149" t="str">
        <f t="shared" ca="1" si="286"/>
        <v/>
      </c>
      <c r="F1149" t="str">
        <f t="shared" ca="1" si="294"/>
        <v xml:space="preserve">Enter a Contact Last Name for 'Applicant Contact for Application Questions ' in cell B17.
</v>
      </c>
      <c r="G1149"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9" t="b">
        <f>TRUE</f>
        <v>1</v>
      </c>
      <c r="I1149" s="9"/>
      <c r="J1149" s="52" t="str">
        <f t="shared" ca="1" si="287"/>
        <v>Contact Last Name</v>
      </c>
      <c r="K1149" s="52">
        <v>7</v>
      </c>
    </row>
    <row r="1150" spans="1:16" ht="15" customHeight="1">
      <c r="A1150" t="str">
        <f t="shared" ca="1" si="288"/>
        <v/>
      </c>
      <c r="B1150" s="52">
        <f t="shared" si="293"/>
        <v>10</v>
      </c>
      <c r="C1150" t="str">
        <f t="shared" ca="1" si="291"/>
        <v xml:space="preserve">Applicant Contact for Application Questions </v>
      </c>
      <c r="D1150" t="str">
        <f t="shared" si="285"/>
        <v>B18</v>
      </c>
      <c r="E1150" t="str">
        <f t="shared" ca="1" si="286"/>
        <v/>
      </c>
      <c r="F1150" t="str">
        <f t="shared" ca="1" si="294"/>
        <v xml:space="preserve">Enter a Phone (#'s only) for 'Applicant Contact for Application Questions ' in cell B18.
</v>
      </c>
      <c r="G1150"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0" t="b">
        <f>TRUE</f>
        <v>1</v>
      </c>
      <c r="I1150" s="9"/>
      <c r="J1150" s="52" t="str">
        <f t="shared" ca="1" si="287"/>
        <v>Phone (#'s only)</v>
      </c>
      <c r="K1150" s="52">
        <v>8</v>
      </c>
    </row>
    <row r="1151" spans="1:16" ht="15" customHeight="1">
      <c r="A1151" t="str">
        <f t="shared" ca="1" si="288"/>
        <v/>
      </c>
      <c r="B1151" s="52">
        <f t="shared" si="293"/>
        <v>10</v>
      </c>
      <c r="C1151" t="str">
        <f t="shared" ref="C1151" ca="1" si="295">INDIRECT($F$1101 &amp; ADDRESS(B1151, 1,4  ))</f>
        <v xml:space="preserve">Applicant Contact for Application Questions </v>
      </c>
      <c r="D1151" t="str">
        <f t="shared" si="285"/>
        <v>B19</v>
      </c>
      <c r="E1151" t="str">
        <f t="shared" ref="E1151" ca="1" si="296">IF(ISBLANK( INDIRECT($F$1101 &amp; D1151)),"", INDIRECT($F$1101 &amp; D1151))</f>
        <v/>
      </c>
      <c r="F1151" t="str">
        <f t="shared" ca="1" si="294"/>
        <v xml:space="preserve">Enter a Email for 'Applicant Contact for Application Questions ' in cell B19.
</v>
      </c>
      <c r="G1151" s="9" t="str">
        <f t="shared" ref="G1151" ca="1" si="297">OFFSET(G1151, -1, 0) &amp; A1151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1" t="b">
        <f>TRUE</f>
        <v>1</v>
      </c>
      <c r="I1151" s="9"/>
      <c r="J1151" s="52" t="str">
        <f t="shared" ca="1" si="287"/>
        <v>Email</v>
      </c>
      <c r="K1151" s="52">
        <v>9</v>
      </c>
    </row>
    <row r="1152" spans="1:16" ht="15" customHeight="1">
      <c r="A1152" t="str">
        <f t="shared" ca="1" si="288"/>
        <v/>
      </c>
      <c r="B1152">
        <f>ROW('Contact Information'!B50)</f>
        <v>50</v>
      </c>
      <c r="C1152" t="str">
        <f t="shared" ref="C1152:C1169" ca="1" si="298">INDIRECT($F$1101 &amp; ADDRESS(B1152, 1,4  ))</f>
        <v xml:space="preserve">Developer Contact </v>
      </c>
      <c r="D1152" t="str">
        <f t="shared" si="285"/>
        <v>B51</v>
      </c>
      <c r="E1152" t="str">
        <f t="shared" ref="E1152:E1169" ca="1" si="299">IF(ISBLANK( INDIRECT($F$1101 &amp; D1152)),"", INDIRECT($F$1101 &amp; D1152))</f>
        <v/>
      </c>
      <c r="F1152" t="str">
        <f t="shared" ca="1" si="294"/>
        <v xml:space="preserve">Enter a Organization (Common Name) for 'Developer Contact ' in cell B51.
</v>
      </c>
      <c r="G1152"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2" t="b">
        <f>TRUE</f>
        <v>1</v>
      </c>
      <c r="I1152" s="9"/>
      <c r="J1152" s="52" t="str">
        <f t="shared" ca="1" si="287"/>
        <v>Organization (Common Name)</v>
      </c>
      <c r="K1152" s="52">
        <v>1</v>
      </c>
    </row>
    <row r="1153" spans="1:11" ht="15" customHeight="1">
      <c r="A1153" t="str">
        <f t="shared" ca="1" si="288"/>
        <v/>
      </c>
      <c r="B1153" s="52">
        <f t="shared" ref="B1153:B1160" si="300">B1152</f>
        <v>50</v>
      </c>
      <c r="C1153" t="str">
        <f t="shared" ca="1" si="298"/>
        <v xml:space="preserve">Developer Contact </v>
      </c>
      <c r="D1153" t="str">
        <f t="shared" si="285"/>
        <v>B52</v>
      </c>
      <c r="E1153" t="str">
        <f t="shared" ca="1" si="299"/>
        <v/>
      </c>
      <c r="F1153" t="str">
        <f t="shared" ca="1" si="294"/>
        <v xml:space="preserve">Enter a Address for 'Developer Contact ' in cell B52.
</v>
      </c>
      <c r="G1153"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3" t="b">
        <f>TRUE</f>
        <v>1</v>
      </c>
      <c r="I1153" s="9"/>
      <c r="J1153" s="52" t="str">
        <f t="shared" ca="1" si="287"/>
        <v>Address</v>
      </c>
      <c r="K1153" s="52">
        <v>2</v>
      </c>
    </row>
    <row r="1154" spans="1:11" ht="15" customHeight="1">
      <c r="A1154" t="str">
        <f t="shared" ca="1" si="288"/>
        <v/>
      </c>
      <c r="B1154" s="52">
        <f t="shared" si="300"/>
        <v>50</v>
      </c>
      <c r="C1154" t="str">
        <f t="shared" ca="1" si="298"/>
        <v xml:space="preserve">Developer Contact </v>
      </c>
      <c r="D1154" t="str">
        <f t="shared" si="285"/>
        <v>B53</v>
      </c>
      <c r="E1154" t="str">
        <f t="shared" ca="1" si="299"/>
        <v/>
      </c>
      <c r="F1154" t="str">
        <f t="shared" ca="1" si="294"/>
        <v xml:space="preserve">Enter a City  for 'Developer Contact ' in cell B53.
</v>
      </c>
      <c r="G1154" s="9" t="str">
        <f t="shared" ref="G1154:G1207" ca="1" si="301">OFFSET(G1154, -1, 0) &amp; A1154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4" t="b">
        <f>TRUE</f>
        <v>1</v>
      </c>
      <c r="I1154" s="9"/>
      <c r="J1154" s="52" t="str">
        <f t="shared" ca="1" si="287"/>
        <v xml:space="preserve">City </v>
      </c>
      <c r="K1154" s="52">
        <v>3</v>
      </c>
    </row>
    <row r="1155" spans="1:11" ht="15" customHeight="1">
      <c r="A1155" t="str">
        <f t="shared" ca="1" si="288"/>
        <v/>
      </c>
      <c r="B1155" s="52">
        <f t="shared" si="300"/>
        <v>50</v>
      </c>
      <c r="C1155" t="str">
        <f t="shared" ca="1" si="298"/>
        <v xml:space="preserve">Developer Contact </v>
      </c>
      <c r="D1155" t="str">
        <f t="shared" si="285"/>
        <v>B54</v>
      </c>
      <c r="E1155" t="str">
        <f t="shared" ca="1" si="299"/>
        <v/>
      </c>
      <c r="F1155" t="str">
        <f t="shared" ca="1" si="294"/>
        <v xml:space="preserve">Enter a State for 'Developer Contact ' in cell B54.
</v>
      </c>
      <c r="G115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5" t="b">
        <f>TRUE</f>
        <v>1</v>
      </c>
      <c r="I1155" s="9"/>
      <c r="J1155" s="52" t="str">
        <f t="shared" ca="1" si="287"/>
        <v>State</v>
      </c>
      <c r="K1155" s="52">
        <v>4</v>
      </c>
    </row>
    <row r="1156" spans="1:11" ht="15" customHeight="1">
      <c r="A1156" t="str">
        <f t="shared" ca="1" si="288"/>
        <v/>
      </c>
      <c r="B1156" s="52">
        <f t="shared" si="300"/>
        <v>50</v>
      </c>
      <c r="C1156" t="str">
        <f t="shared" ca="1" si="298"/>
        <v xml:space="preserve">Developer Contact </v>
      </c>
      <c r="D1156" t="str">
        <f t="shared" si="285"/>
        <v>B55</v>
      </c>
      <c r="E1156" t="str">
        <f t="shared" ca="1" si="299"/>
        <v/>
      </c>
      <c r="F1156" t="str">
        <f t="shared" ca="1" si="294"/>
        <v xml:space="preserve">Enter a Zip (first five #'s only) for 'Developer Contact ' in cell B55.
</v>
      </c>
      <c r="G115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6" t="b">
        <f>TRUE</f>
        <v>1</v>
      </c>
      <c r="I1156" s="9"/>
      <c r="J1156" s="52" t="str">
        <f t="shared" ca="1" si="287"/>
        <v>Zip (first five #'s only)</v>
      </c>
      <c r="K1156" s="52">
        <v>5</v>
      </c>
    </row>
    <row r="1157" spans="1:11" ht="15" customHeight="1">
      <c r="A1157" t="str">
        <f t="shared" ca="1" si="288"/>
        <v/>
      </c>
      <c r="B1157" s="52">
        <f t="shared" si="300"/>
        <v>50</v>
      </c>
      <c r="C1157" t="str">
        <f t="shared" ca="1" si="298"/>
        <v xml:space="preserve">Developer Contact </v>
      </c>
      <c r="D1157" t="str">
        <f t="shared" si="285"/>
        <v>B56</v>
      </c>
      <c r="E1157" t="str">
        <f t="shared" ca="1" si="299"/>
        <v/>
      </c>
      <c r="F1157" t="str">
        <f t="shared" ca="1" si="294"/>
        <v xml:space="preserve">Enter a Contact First Name for 'Developer Contact ' in cell B56.
</v>
      </c>
      <c r="G115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7" t="b">
        <f>TRUE</f>
        <v>1</v>
      </c>
      <c r="I1157" s="9"/>
      <c r="J1157" s="52" t="str">
        <f t="shared" ca="1" si="287"/>
        <v>Contact First Name</v>
      </c>
      <c r="K1157" s="52">
        <v>6</v>
      </c>
    </row>
    <row r="1158" spans="1:11" ht="15" customHeight="1">
      <c r="A1158" t="str">
        <f t="shared" ca="1" si="288"/>
        <v/>
      </c>
      <c r="B1158" s="52">
        <f t="shared" si="300"/>
        <v>50</v>
      </c>
      <c r="C1158" t="str">
        <f t="shared" ca="1" si="298"/>
        <v xml:space="preserve">Developer Contact </v>
      </c>
      <c r="D1158" t="str">
        <f t="shared" si="285"/>
        <v>B57</v>
      </c>
      <c r="E1158" t="str">
        <f t="shared" ca="1" si="299"/>
        <v/>
      </c>
      <c r="F1158" t="str">
        <f t="shared" ca="1" si="294"/>
        <v xml:space="preserve">Enter a Contact Last Name for 'Developer Contact ' in cell B57.
</v>
      </c>
      <c r="G1158"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8" t="b">
        <f>TRUE</f>
        <v>1</v>
      </c>
      <c r="I1158" s="9"/>
      <c r="J1158" s="52" t="str">
        <f t="shared" ca="1" si="287"/>
        <v>Contact Last Name</v>
      </c>
      <c r="K1158" s="52">
        <v>7</v>
      </c>
    </row>
    <row r="1159" spans="1:11" ht="15" customHeight="1">
      <c r="A1159" t="str">
        <f t="shared" ca="1" si="288"/>
        <v/>
      </c>
      <c r="B1159" s="52">
        <f t="shared" si="300"/>
        <v>50</v>
      </c>
      <c r="C1159" t="str">
        <f t="shared" ca="1" si="298"/>
        <v xml:space="preserve">Developer Contact </v>
      </c>
      <c r="D1159" t="str">
        <f t="shared" si="285"/>
        <v>B58</v>
      </c>
      <c r="E1159" t="str">
        <f t="shared" ca="1" si="299"/>
        <v/>
      </c>
      <c r="F1159" t="str">
        <f t="shared" ca="1" si="294"/>
        <v xml:space="preserve">Enter a Phone (#'s only) for 'Developer Contact ' in cell B58.
</v>
      </c>
      <c r="G1159"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9" t="b">
        <f>TRUE</f>
        <v>1</v>
      </c>
      <c r="I1159" s="9"/>
      <c r="J1159" s="52" t="str">
        <f t="shared" ca="1" si="287"/>
        <v>Phone (#'s only)</v>
      </c>
      <c r="K1159" s="52">
        <v>8</v>
      </c>
    </row>
    <row r="1160" spans="1:11" ht="15" customHeight="1">
      <c r="A1160" t="str">
        <f t="shared" ca="1" si="288"/>
        <v/>
      </c>
      <c r="B1160" s="52">
        <f t="shared" si="300"/>
        <v>50</v>
      </c>
      <c r="C1160" t="str">
        <f t="shared" ca="1" si="298"/>
        <v xml:space="preserve">Developer Contact </v>
      </c>
      <c r="D1160" t="str">
        <f t="shared" si="285"/>
        <v>B59</v>
      </c>
      <c r="E1160" t="str">
        <f t="shared" ca="1" si="299"/>
        <v/>
      </c>
      <c r="F1160" t="str">
        <f t="shared" ca="1" si="294"/>
        <v xml:space="preserve">Enter a Email for 'Developer Contact ' in cell B59.
</v>
      </c>
      <c r="G1160"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0" t="b">
        <f>TRUE</f>
        <v>1</v>
      </c>
      <c r="I1160" s="9"/>
      <c r="J1160" s="52" t="str">
        <f t="shared" ca="1" si="287"/>
        <v>Email</v>
      </c>
      <c r="K1160" s="52">
        <v>9</v>
      </c>
    </row>
    <row r="1161" spans="1:11" ht="15" customHeight="1">
      <c r="A1161" t="str">
        <f t="shared" ca="1" si="288"/>
        <v/>
      </c>
      <c r="B1161">
        <f>ROW('Contact Information'!B64)</f>
        <v>64</v>
      </c>
      <c r="C1161" t="str">
        <f t="shared" ca="1" si="298"/>
        <v xml:space="preserve">Syndicator/Investor </v>
      </c>
      <c r="D1161" t="str">
        <f t="shared" si="285"/>
        <v>B65</v>
      </c>
      <c r="E1161" t="str">
        <f t="shared" ca="1" si="299"/>
        <v/>
      </c>
      <c r="F1161" t="str">
        <f t="shared" ca="1" si="294"/>
        <v xml:space="preserve">Enter a Organization for 'Syndicator/Investor ' in cell B65.
</v>
      </c>
      <c r="G1161"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1" t="b">
        <f>TRUE</f>
        <v>1</v>
      </c>
      <c r="I1161" s="9"/>
      <c r="J1161" s="52" t="str">
        <f t="shared" ca="1" si="287"/>
        <v>Organization</v>
      </c>
      <c r="K1161" s="52">
        <v>1</v>
      </c>
    </row>
    <row r="1162" spans="1:11" ht="15" customHeight="1">
      <c r="A1162" t="str">
        <f t="shared" ca="1" si="288"/>
        <v/>
      </c>
      <c r="B1162" s="52">
        <f t="shared" ref="B1162:B1169" si="302">B1161</f>
        <v>64</v>
      </c>
      <c r="C1162" t="str">
        <f t="shared" ca="1" si="298"/>
        <v xml:space="preserve">Syndicator/Investor </v>
      </c>
      <c r="D1162" t="str">
        <f t="shared" si="285"/>
        <v>B66</v>
      </c>
      <c r="E1162" t="str">
        <f t="shared" ca="1" si="299"/>
        <v/>
      </c>
      <c r="F1162" t="str">
        <f t="shared" ca="1" si="294"/>
        <v xml:space="preserve">Enter a Address for 'Syndicator/Investor ' in cell B66.
</v>
      </c>
      <c r="G1162"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2" t="b">
        <f>TRUE</f>
        <v>1</v>
      </c>
      <c r="I1162" s="9"/>
      <c r="J1162" s="52" t="str">
        <f t="shared" ca="1" si="287"/>
        <v>Address</v>
      </c>
      <c r="K1162" s="52">
        <v>2</v>
      </c>
    </row>
    <row r="1163" spans="1:11" ht="15" customHeight="1">
      <c r="A1163" t="str">
        <f t="shared" ca="1" si="288"/>
        <v/>
      </c>
      <c r="B1163" s="52">
        <f t="shared" si="302"/>
        <v>64</v>
      </c>
      <c r="C1163" t="str">
        <f t="shared" ca="1" si="298"/>
        <v xml:space="preserve">Syndicator/Investor </v>
      </c>
      <c r="D1163" t="str">
        <f t="shared" si="285"/>
        <v>B67</v>
      </c>
      <c r="E1163" t="str">
        <f t="shared" ca="1" si="299"/>
        <v/>
      </c>
      <c r="F1163" t="str">
        <f t="shared" ca="1" si="294"/>
        <v xml:space="preserve">Enter a City  for 'Syndicator/Investor ' in cell B67.
</v>
      </c>
      <c r="G1163"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3" t="b">
        <f>TRUE</f>
        <v>1</v>
      </c>
      <c r="I1163" s="9"/>
      <c r="J1163" s="52" t="str">
        <f t="shared" ca="1" si="287"/>
        <v xml:space="preserve">City </v>
      </c>
      <c r="K1163" s="52">
        <v>3</v>
      </c>
    </row>
    <row r="1164" spans="1:11" ht="15" customHeight="1">
      <c r="A1164" t="str">
        <f t="shared" ca="1" si="288"/>
        <v/>
      </c>
      <c r="B1164" s="52">
        <f t="shared" si="302"/>
        <v>64</v>
      </c>
      <c r="C1164" t="str">
        <f t="shared" ca="1" si="298"/>
        <v xml:space="preserve">Syndicator/Investor </v>
      </c>
      <c r="D1164" t="str">
        <f t="shared" si="285"/>
        <v>B68</v>
      </c>
      <c r="E1164" t="str">
        <f t="shared" ca="1" si="299"/>
        <v/>
      </c>
      <c r="F1164" t="str">
        <f t="shared" ca="1" si="294"/>
        <v xml:space="preserve">Enter a State for 'Syndicator/Investor ' in cell B68.
</v>
      </c>
      <c r="G1164"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4" t="b">
        <f>TRUE</f>
        <v>1</v>
      </c>
      <c r="I1164" s="9"/>
      <c r="J1164" s="52" t="str">
        <f t="shared" ca="1" si="287"/>
        <v>State</v>
      </c>
      <c r="K1164" s="52">
        <v>4</v>
      </c>
    </row>
    <row r="1165" spans="1:11" ht="15" customHeight="1">
      <c r="A1165" t="str">
        <f t="shared" ca="1" si="288"/>
        <v/>
      </c>
      <c r="B1165" s="52">
        <f t="shared" si="302"/>
        <v>64</v>
      </c>
      <c r="C1165" t="str">
        <f t="shared" ca="1" si="298"/>
        <v xml:space="preserve">Syndicator/Investor </v>
      </c>
      <c r="D1165" t="str">
        <f t="shared" si="285"/>
        <v>B69</v>
      </c>
      <c r="E1165" t="str">
        <f t="shared" ca="1" si="299"/>
        <v/>
      </c>
      <c r="F1165" t="str">
        <f t="shared" ca="1" si="294"/>
        <v xml:space="preserve">Enter a Zip (first five #'s only) for 'Syndicator/Investor ' in cell B69.
</v>
      </c>
      <c r="G116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5" t="b">
        <f>TRUE</f>
        <v>1</v>
      </c>
      <c r="I1165" s="9"/>
      <c r="J1165" s="52" t="str">
        <f t="shared" ca="1" si="287"/>
        <v>Zip (first five #'s only)</v>
      </c>
      <c r="K1165" s="52">
        <v>5</v>
      </c>
    </row>
    <row r="1166" spans="1:11" ht="15" customHeight="1">
      <c r="A1166" t="str">
        <f t="shared" ca="1" si="288"/>
        <v/>
      </c>
      <c r="B1166" s="52">
        <f t="shared" si="302"/>
        <v>64</v>
      </c>
      <c r="C1166" t="str">
        <f t="shared" ca="1" si="298"/>
        <v xml:space="preserve">Syndicator/Investor </v>
      </c>
      <c r="D1166" t="str">
        <f t="shared" si="285"/>
        <v>B70</v>
      </c>
      <c r="E1166" t="str">
        <f t="shared" ca="1" si="299"/>
        <v/>
      </c>
      <c r="F1166" t="str">
        <f t="shared" ca="1" si="294"/>
        <v xml:space="preserve">Enter a Contact First Name for 'Syndicator/Investor ' in cell B70.
</v>
      </c>
      <c r="G116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6" t="b">
        <f>TRUE</f>
        <v>1</v>
      </c>
      <c r="I1166" s="9"/>
      <c r="J1166" s="52" t="str">
        <f t="shared" ca="1" si="287"/>
        <v>Contact First Name</v>
      </c>
      <c r="K1166" s="52">
        <v>6</v>
      </c>
    </row>
    <row r="1167" spans="1:11" ht="15" customHeight="1">
      <c r="A1167" t="str">
        <f t="shared" ca="1" si="288"/>
        <v/>
      </c>
      <c r="B1167" s="52">
        <f t="shared" si="302"/>
        <v>64</v>
      </c>
      <c r="C1167" t="str">
        <f t="shared" ca="1" si="298"/>
        <v xml:space="preserve">Syndicator/Investor </v>
      </c>
      <c r="D1167" t="str">
        <f t="shared" si="285"/>
        <v>B71</v>
      </c>
      <c r="E1167" t="str">
        <f t="shared" ca="1" si="299"/>
        <v/>
      </c>
      <c r="F1167" t="str">
        <f t="shared" ca="1" si="294"/>
        <v xml:space="preserve">Enter a Contact Last Name for 'Syndicator/Investor ' in cell B71.
</v>
      </c>
      <c r="G116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7" t="b">
        <f>TRUE</f>
        <v>1</v>
      </c>
      <c r="I1167" s="9"/>
      <c r="J1167" s="52" t="str">
        <f t="shared" ca="1" si="287"/>
        <v>Contact Last Name</v>
      </c>
      <c r="K1167" s="52">
        <v>7</v>
      </c>
    </row>
    <row r="1168" spans="1:11" ht="15" customHeight="1">
      <c r="A1168" t="str">
        <f t="shared" ca="1" si="288"/>
        <v/>
      </c>
      <c r="B1168" s="52">
        <f t="shared" si="302"/>
        <v>64</v>
      </c>
      <c r="C1168" t="str">
        <f t="shared" ca="1" si="298"/>
        <v xml:space="preserve">Syndicator/Investor </v>
      </c>
      <c r="D1168" t="str">
        <f t="shared" si="285"/>
        <v>B72</v>
      </c>
      <c r="E1168" t="str">
        <f t="shared" ca="1" si="299"/>
        <v/>
      </c>
      <c r="F1168" t="str">
        <f t="shared" ca="1" si="294"/>
        <v xml:space="preserve">Enter a Phone (#'s only) for 'Syndicator/Investor ' in cell B72.
</v>
      </c>
      <c r="G1168"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8" t="b">
        <f>TRUE</f>
        <v>1</v>
      </c>
      <c r="I1168" s="9"/>
      <c r="J1168" s="52" t="str">
        <f t="shared" ca="1" si="287"/>
        <v>Phone (#'s only)</v>
      </c>
      <c r="K1168" s="52">
        <v>8</v>
      </c>
    </row>
    <row r="1169" spans="1:11" ht="15" customHeight="1">
      <c r="A1169" t="str">
        <f t="shared" ca="1" si="288"/>
        <v/>
      </c>
      <c r="B1169" s="52">
        <f t="shared" si="302"/>
        <v>64</v>
      </c>
      <c r="C1169" t="str">
        <f t="shared" ca="1" si="298"/>
        <v xml:space="preserve">Syndicator/Investor </v>
      </c>
      <c r="D1169" t="str">
        <f t="shared" si="285"/>
        <v>B73</v>
      </c>
      <c r="E1169" t="str">
        <f t="shared" ca="1" si="299"/>
        <v/>
      </c>
      <c r="F1169" t="str">
        <f t="shared" ca="1" si="294"/>
        <v xml:space="preserve">Enter a Email for 'Syndicator/Investor ' in cell B73.
</v>
      </c>
      <c r="G1169"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9" t="b">
        <f>TRUE</f>
        <v>1</v>
      </c>
      <c r="I1169" s="9"/>
      <c r="J1169" s="52" t="str">
        <f t="shared" ca="1" si="287"/>
        <v>Email</v>
      </c>
      <c r="K1169" s="52">
        <v>9</v>
      </c>
    </row>
    <row r="1170" spans="1:11" ht="15" customHeight="1">
      <c r="A1170" t="str">
        <f t="shared" ca="1" si="288"/>
        <v/>
      </c>
      <c r="B1170">
        <f>ROW('Contact Information'!B75)</f>
        <v>75</v>
      </c>
      <c r="C1170" t="str">
        <f t="shared" ref="C1170:C1206" ca="1" si="303">INDIRECT($F$1101 &amp; ADDRESS(B1170, 1,4  ))</f>
        <v>State TC Syndicator/Investor</v>
      </c>
      <c r="D1170" t="str">
        <f t="shared" si="285"/>
        <v>B76</v>
      </c>
      <c r="E1170" t="str">
        <f t="shared" ref="E1170:E1206" ca="1" si="304">IF(ISBLANK( INDIRECT($F$1101 &amp; D1170)),"", INDIRECT($F$1101 &amp; D1170))</f>
        <v/>
      </c>
      <c r="F1170" t="str">
        <f t="shared" ca="1" si="294"/>
        <v xml:space="preserve">Enter a Organization for 'State TC Syndicator/Investor' in cell B76.
</v>
      </c>
      <c r="G1170"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0" t="b">
        <f>TRUE</f>
        <v>1</v>
      </c>
      <c r="I1170" s="9"/>
      <c r="J1170" s="52" t="str">
        <f t="shared" ca="1" si="287"/>
        <v>Organization</v>
      </c>
      <c r="K1170" s="52">
        <v>1</v>
      </c>
    </row>
    <row r="1171" spans="1:11" ht="15" customHeight="1">
      <c r="A1171" t="str">
        <f t="shared" ca="1" si="288"/>
        <v/>
      </c>
      <c r="B1171" s="52">
        <f t="shared" ref="B1171:B1189" si="305">B1170</f>
        <v>75</v>
      </c>
      <c r="C1171" t="str">
        <f t="shared" ca="1" si="303"/>
        <v>State TC Syndicator/Investor</v>
      </c>
      <c r="D1171" t="str">
        <f t="shared" si="285"/>
        <v>B77</v>
      </c>
      <c r="E1171" t="str">
        <f t="shared" ca="1" si="304"/>
        <v/>
      </c>
      <c r="F1171" t="str">
        <f t="shared" ca="1" si="294"/>
        <v xml:space="preserve">Enter a Address for 'State TC Syndicator/Investor' in cell B77.
</v>
      </c>
      <c r="G1171"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1" t="b">
        <f>TRUE</f>
        <v>1</v>
      </c>
      <c r="I1171" s="9"/>
      <c r="J1171" s="52" t="str">
        <f t="shared" ca="1" si="287"/>
        <v>Address</v>
      </c>
      <c r="K1171" s="52">
        <v>2</v>
      </c>
    </row>
    <row r="1172" spans="1:11" ht="15" customHeight="1">
      <c r="A1172" t="str">
        <f t="shared" ca="1" si="288"/>
        <v/>
      </c>
      <c r="B1172" s="52">
        <f t="shared" si="305"/>
        <v>75</v>
      </c>
      <c r="C1172" t="str">
        <f t="shared" ca="1" si="303"/>
        <v>State TC Syndicator/Investor</v>
      </c>
      <c r="D1172" t="str">
        <f t="shared" si="285"/>
        <v>B78</v>
      </c>
      <c r="E1172" t="str">
        <f t="shared" ca="1" si="304"/>
        <v/>
      </c>
      <c r="F1172" t="str">
        <f t="shared" ca="1" si="294"/>
        <v xml:space="preserve">Enter a City  for 'State TC Syndicator/Investor' in cell B78.
</v>
      </c>
      <c r="G1172"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2" t="b">
        <f>TRUE</f>
        <v>1</v>
      </c>
      <c r="I1172" s="9"/>
      <c r="J1172" s="52" t="str">
        <f t="shared" ca="1" si="287"/>
        <v xml:space="preserve">City </v>
      </c>
      <c r="K1172" s="52">
        <v>3</v>
      </c>
    </row>
    <row r="1173" spans="1:11" ht="15" customHeight="1">
      <c r="A1173" t="str">
        <f t="shared" ca="1" si="288"/>
        <v/>
      </c>
      <c r="B1173" s="52">
        <f t="shared" si="305"/>
        <v>75</v>
      </c>
      <c r="C1173" t="str">
        <f t="shared" ca="1" si="303"/>
        <v>State TC Syndicator/Investor</v>
      </c>
      <c r="D1173" t="str">
        <f t="shared" si="285"/>
        <v>B79</v>
      </c>
      <c r="E1173" t="str">
        <f t="shared" ca="1" si="304"/>
        <v/>
      </c>
      <c r="F1173" t="str">
        <f t="shared" ca="1" si="294"/>
        <v xml:space="preserve">Enter a State for 'State TC Syndicator/Investor' in cell B79.
</v>
      </c>
      <c r="G1173"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3" t="b">
        <f>TRUE</f>
        <v>1</v>
      </c>
      <c r="I1173" s="9"/>
      <c r="J1173" s="52" t="str">
        <f t="shared" ca="1" si="287"/>
        <v>State</v>
      </c>
      <c r="K1173" s="52">
        <v>4</v>
      </c>
    </row>
    <row r="1174" spans="1:11" ht="15" customHeight="1">
      <c r="A1174" t="str">
        <f t="shared" ca="1" si="288"/>
        <v/>
      </c>
      <c r="B1174" s="52">
        <f t="shared" si="305"/>
        <v>75</v>
      </c>
      <c r="C1174" t="str">
        <f t="shared" ca="1" si="303"/>
        <v>State TC Syndicator/Investor</v>
      </c>
      <c r="D1174" t="str">
        <f t="shared" si="285"/>
        <v>B80</v>
      </c>
      <c r="E1174" t="str">
        <f t="shared" ca="1" si="304"/>
        <v/>
      </c>
      <c r="F1174" t="str">
        <f t="shared" ca="1" si="294"/>
        <v xml:space="preserve">Enter a Zip (first five #'s only) for 'State TC Syndicator/Investor' in cell B80.
</v>
      </c>
      <c r="G1174"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4" t="b">
        <f>TRUE</f>
        <v>1</v>
      </c>
      <c r="I1174" s="9"/>
      <c r="J1174" s="52" t="str">
        <f t="shared" ca="1" si="287"/>
        <v>Zip (first five #'s only)</v>
      </c>
      <c r="K1174" s="52">
        <v>5</v>
      </c>
    </row>
    <row r="1175" spans="1:11" ht="15" customHeight="1">
      <c r="A1175" t="str">
        <f t="shared" ca="1" si="288"/>
        <v/>
      </c>
      <c r="B1175" s="52">
        <f t="shared" si="305"/>
        <v>75</v>
      </c>
      <c r="C1175" t="str">
        <f t="shared" ca="1" si="303"/>
        <v>State TC Syndicator/Investor</v>
      </c>
      <c r="D1175" t="str">
        <f t="shared" si="285"/>
        <v>B81</v>
      </c>
      <c r="E1175" t="str">
        <f t="shared" ca="1" si="304"/>
        <v/>
      </c>
      <c r="F1175" t="str">
        <f t="shared" ca="1" si="294"/>
        <v xml:space="preserve">Enter a Contact First Name for 'State TC Syndicator/Investor' in cell B81.
</v>
      </c>
      <c r="G117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5" t="b">
        <f>TRUE</f>
        <v>1</v>
      </c>
      <c r="I1175" s="9"/>
      <c r="J1175" s="52" t="str">
        <f t="shared" ca="1" si="287"/>
        <v>Contact First Name</v>
      </c>
      <c r="K1175" s="52">
        <v>6</v>
      </c>
    </row>
    <row r="1176" spans="1:11" ht="15" customHeight="1">
      <c r="A1176" t="str">
        <f t="shared" ca="1" si="288"/>
        <v/>
      </c>
      <c r="B1176" s="52">
        <f t="shared" si="305"/>
        <v>75</v>
      </c>
      <c r="C1176" t="str">
        <f t="shared" ca="1" si="303"/>
        <v>State TC Syndicator/Investor</v>
      </c>
      <c r="D1176" t="str">
        <f t="shared" si="285"/>
        <v>B82</v>
      </c>
      <c r="E1176" t="str">
        <f t="shared" ca="1" si="304"/>
        <v/>
      </c>
      <c r="F1176" t="str">
        <f t="shared" ca="1" si="294"/>
        <v xml:space="preserve">Enter a Contact Last Name for 'State TC Syndicator/Investor' in cell B82.
</v>
      </c>
      <c r="G117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6" t="b">
        <f>TRUE</f>
        <v>1</v>
      </c>
      <c r="I1176" s="9"/>
      <c r="J1176" s="52" t="str">
        <f t="shared" ca="1" si="287"/>
        <v>Contact Last Name</v>
      </c>
      <c r="K1176" s="52">
        <v>7</v>
      </c>
    </row>
    <row r="1177" spans="1:11" ht="15" customHeight="1">
      <c r="A1177" t="str">
        <f t="shared" ca="1" si="288"/>
        <v/>
      </c>
      <c r="B1177" s="52">
        <f t="shared" si="305"/>
        <v>75</v>
      </c>
      <c r="C1177" t="str">
        <f t="shared" ca="1" si="303"/>
        <v>State TC Syndicator/Investor</v>
      </c>
      <c r="D1177" t="str">
        <f t="shared" si="285"/>
        <v>B83</v>
      </c>
      <c r="E1177" t="str">
        <f t="shared" ca="1" si="304"/>
        <v/>
      </c>
      <c r="F1177" t="str">
        <f ca="1">CONCATENATE("Enter an "&amp; J1177 &amp;" for '", C1177, "' in cell ", D1177, ".", CHAR(10))</f>
        <v xml:space="preserve">Enter an Phone (#'s only) for 'State TC Syndicator/Investor' in cell B83.
</v>
      </c>
      <c r="G117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7" t="b">
        <f>TRUE</f>
        <v>1</v>
      </c>
      <c r="I1177" s="9"/>
      <c r="J1177" s="52" t="str">
        <f t="shared" ca="1" si="287"/>
        <v>Phone (#'s only)</v>
      </c>
      <c r="K1177" s="52">
        <v>8</v>
      </c>
    </row>
    <row r="1178" spans="1:11" ht="15" customHeight="1">
      <c r="A1178" t="str">
        <f t="shared" ca="1" si="288"/>
        <v/>
      </c>
      <c r="B1178" s="52">
        <f t="shared" si="305"/>
        <v>75</v>
      </c>
      <c r="C1178" t="str">
        <f t="shared" ref="C1178" ca="1" si="306">INDIRECT($F$1101 &amp; ADDRESS(B1178, 1,4  ))</f>
        <v>State TC Syndicator/Investor</v>
      </c>
      <c r="D1178" t="str">
        <f t="shared" si="285"/>
        <v>B84</v>
      </c>
      <c r="E1178" t="str">
        <f t="shared" ref="E1178" ca="1" si="307">IF(ISBLANK( INDIRECT($F$1101 &amp; D1178)),"", INDIRECT($F$1101 &amp; D1178))</f>
        <v/>
      </c>
      <c r="F1178" t="str">
        <f t="shared" ref="F1178:F1189" ca="1" si="308">CONCATENATE("Enter "&amp; J1178 &amp;" for '", C1178, "' in cell ", D1178, ".", CHAR(10))</f>
        <v xml:space="preserve">Enter Email for 'State TC Syndicator/Investor' in cell B84.
</v>
      </c>
      <c r="G1178" s="9" t="str">
        <f t="shared" ref="G1178" ca="1" si="309">OFFSET(G1178, -1, 0) &amp; A1178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8" t="b">
        <f>TRUE</f>
        <v>1</v>
      </c>
      <c r="I1178" s="9"/>
      <c r="J1178" s="52" t="str">
        <f t="shared" ca="1" si="287"/>
        <v>Email</v>
      </c>
      <c r="K1178" s="52">
        <v>9</v>
      </c>
    </row>
    <row r="1179" spans="1:11" ht="15" customHeight="1">
      <c r="A1179" t="str">
        <f t="shared" ca="1" si="288"/>
        <v/>
      </c>
      <c r="B1179">
        <f>ROW('Contact Information'!B86)</f>
        <v>86</v>
      </c>
      <c r="C1179" t="str">
        <f t="shared" ref="C1179:C1186" ca="1" si="310">INDIRECT($F$1101 &amp; ADDRESS(B1179, 1,4  ))</f>
        <v>Ownership Entity (if formed, required for Carryover, PIS/Final and CHFA Loan)</v>
      </c>
      <c r="D1179" t="str">
        <f t="shared" si="285"/>
        <v>B87</v>
      </c>
      <c r="E1179" t="str">
        <f t="shared" ref="E1179:E1186" ca="1" si="311">IF(ISBLANK( INDIRECT($F$1101 &amp; D1179)),"", INDIRECT($F$1101 &amp; D1179))</f>
        <v/>
      </c>
      <c r="F1179" t="str">
        <f t="shared" ca="1" si="308"/>
        <v xml:space="preserve">Enter Organization for 'Ownership Entity (if formed, required for Carryover, PIS/Final and CHFA Loan)' in cell B87.
</v>
      </c>
      <c r="G1179" s="9" t="str">
        <f t="shared" ref="G1179:G1186" ca="1" si="312">OFFSET(G1179, -1, 0) &amp; A1179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9" t="b">
        <f>TRUE</f>
        <v>1</v>
      </c>
      <c r="I1179" s="9"/>
      <c r="J1179" s="52" t="str">
        <f t="shared" ca="1" si="287"/>
        <v>Organization</v>
      </c>
      <c r="K1179" s="52">
        <v>1</v>
      </c>
    </row>
    <row r="1180" spans="1:11" ht="15" customHeight="1">
      <c r="A1180" t="str">
        <f t="shared" ca="1" si="288"/>
        <v/>
      </c>
      <c r="B1180" s="52">
        <f t="shared" si="305"/>
        <v>86</v>
      </c>
      <c r="C1180" t="str">
        <f t="shared" ca="1" si="310"/>
        <v>Ownership Entity (if formed, required for Carryover, PIS/Final and CHFA Loan)</v>
      </c>
      <c r="D1180" t="str">
        <f t="shared" si="285"/>
        <v>B88</v>
      </c>
      <c r="E1180" t="str">
        <f t="shared" ca="1" si="311"/>
        <v/>
      </c>
      <c r="F1180" t="str">
        <f t="shared" ca="1" si="308"/>
        <v xml:space="preserve">Enter Address for 'Ownership Entity (if formed, required for Carryover, PIS/Final and CHFA Loan)' in cell B88.
</v>
      </c>
      <c r="G1180"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0" t="b">
        <f>TRUE</f>
        <v>1</v>
      </c>
      <c r="I1180" s="9"/>
      <c r="J1180" s="52" t="str">
        <f t="shared" ca="1" si="287"/>
        <v>Address</v>
      </c>
      <c r="K1180" s="52">
        <v>2</v>
      </c>
    </row>
    <row r="1181" spans="1:11" ht="15" customHeight="1">
      <c r="A1181" t="str">
        <f t="shared" ca="1" si="288"/>
        <v/>
      </c>
      <c r="B1181" s="52">
        <f t="shared" si="305"/>
        <v>86</v>
      </c>
      <c r="C1181" t="str">
        <f t="shared" ca="1" si="310"/>
        <v>Ownership Entity (if formed, required for Carryover, PIS/Final and CHFA Loan)</v>
      </c>
      <c r="D1181" t="str">
        <f t="shared" si="285"/>
        <v>B89</v>
      </c>
      <c r="E1181" t="str">
        <f t="shared" ca="1" si="311"/>
        <v/>
      </c>
      <c r="F1181" t="str">
        <f t="shared" ca="1" si="308"/>
        <v xml:space="preserve">Enter City  for 'Ownership Entity (if formed, required for Carryover, PIS/Final and CHFA Loan)' in cell B89.
</v>
      </c>
      <c r="G1181"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1" t="b">
        <f>TRUE</f>
        <v>1</v>
      </c>
      <c r="I1181" s="9"/>
      <c r="J1181" s="52" t="str">
        <f t="shared" ca="1" si="287"/>
        <v xml:space="preserve">City </v>
      </c>
      <c r="K1181" s="52">
        <v>3</v>
      </c>
    </row>
    <row r="1182" spans="1:11" ht="15" customHeight="1">
      <c r="A1182" t="str">
        <f t="shared" ca="1" si="288"/>
        <v/>
      </c>
      <c r="B1182" s="52">
        <f t="shared" si="305"/>
        <v>86</v>
      </c>
      <c r="C1182" t="str">
        <f t="shared" ca="1" si="310"/>
        <v>Ownership Entity (if formed, required for Carryover, PIS/Final and CHFA Loan)</v>
      </c>
      <c r="D1182" t="str">
        <f t="shared" si="285"/>
        <v>B90</v>
      </c>
      <c r="E1182" t="str">
        <f t="shared" ca="1" si="311"/>
        <v/>
      </c>
      <c r="F1182" t="str">
        <f t="shared" ca="1" si="308"/>
        <v xml:space="preserve">Enter State for 'Ownership Entity (if formed, required for Carryover, PIS/Final and CHFA Loan)' in cell B90.
</v>
      </c>
      <c r="G1182"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2" t="b">
        <f>TRUE</f>
        <v>1</v>
      </c>
      <c r="I1182" s="9"/>
      <c r="J1182" s="52" t="str">
        <f t="shared" ca="1" si="287"/>
        <v>State</v>
      </c>
      <c r="K1182" s="52">
        <v>4</v>
      </c>
    </row>
    <row r="1183" spans="1:11" ht="15" customHeight="1">
      <c r="A1183" t="str">
        <f t="shared" ca="1" si="288"/>
        <v/>
      </c>
      <c r="B1183" s="52">
        <f t="shared" si="305"/>
        <v>86</v>
      </c>
      <c r="C1183" t="str">
        <f t="shared" ca="1" si="310"/>
        <v>Ownership Entity (if formed, required for Carryover, PIS/Final and CHFA Loan)</v>
      </c>
      <c r="D1183" t="str">
        <f t="shared" si="285"/>
        <v>B91</v>
      </c>
      <c r="E1183" t="str">
        <f t="shared" ca="1" si="311"/>
        <v/>
      </c>
      <c r="F1183" t="str">
        <f t="shared" ca="1" si="308"/>
        <v xml:space="preserve">Enter Zip (first five #'s only) for 'Ownership Entity (if formed, required for Carryover, PIS/Final and CHFA Loan)' in cell B91.
</v>
      </c>
      <c r="G1183"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3" t="b">
        <f>TRUE</f>
        <v>1</v>
      </c>
      <c r="I1183" s="9"/>
      <c r="J1183" s="52" t="str">
        <f t="shared" ca="1" si="287"/>
        <v>Zip (first five #'s only)</v>
      </c>
      <c r="K1183" s="52">
        <v>5</v>
      </c>
    </row>
    <row r="1184" spans="1:11" ht="15" customHeight="1">
      <c r="A1184" t="str">
        <f t="shared" ca="1" si="288"/>
        <v/>
      </c>
      <c r="B1184" s="52">
        <f t="shared" si="305"/>
        <v>86</v>
      </c>
      <c r="C1184" t="str">
        <f t="shared" ca="1" si="310"/>
        <v>Ownership Entity (if formed, required for Carryover, PIS/Final and CHFA Loan)</v>
      </c>
      <c r="D1184" t="str">
        <f t="shared" si="285"/>
        <v>B92</v>
      </c>
      <c r="E1184" t="str">
        <f t="shared" ca="1" si="311"/>
        <v/>
      </c>
      <c r="F1184" t="str">
        <f t="shared" ca="1" si="308"/>
        <v xml:space="preserve">Enter Contact First Name for 'Ownership Entity (if formed, required for Carryover, PIS/Final and CHFA Loan)' in cell B92.
</v>
      </c>
      <c r="G1184"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4" t="b">
        <f>TRUE</f>
        <v>1</v>
      </c>
      <c r="I1184" s="9"/>
      <c r="J1184" s="52" t="str">
        <f t="shared" ca="1" si="287"/>
        <v>Contact First Name</v>
      </c>
      <c r="K1184" s="52">
        <v>6</v>
      </c>
    </row>
    <row r="1185" spans="1:11" ht="15" customHeight="1">
      <c r="A1185" t="str">
        <f t="shared" ca="1" si="288"/>
        <v/>
      </c>
      <c r="B1185" s="52">
        <f t="shared" si="305"/>
        <v>86</v>
      </c>
      <c r="C1185" t="str">
        <f t="shared" ca="1" si="310"/>
        <v>Ownership Entity (if formed, required for Carryover, PIS/Final and CHFA Loan)</v>
      </c>
      <c r="D1185" t="str">
        <f t="shared" si="285"/>
        <v>B93</v>
      </c>
      <c r="E1185" t="str">
        <f t="shared" ca="1" si="311"/>
        <v/>
      </c>
      <c r="F1185" t="str">
        <f t="shared" ca="1" si="308"/>
        <v xml:space="preserve">Enter Contact Last Name for 'Ownership Entity (if formed, required for Carryover, PIS/Final and CHFA Loan)' in cell B93.
</v>
      </c>
      <c r="G1185"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5" t="b">
        <f>TRUE</f>
        <v>1</v>
      </c>
      <c r="I1185" s="9"/>
      <c r="J1185" s="52" t="str">
        <f t="shared" ca="1" si="287"/>
        <v>Contact Last Name</v>
      </c>
      <c r="K1185" s="52">
        <v>7</v>
      </c>
    </row>
    <row r="1186" spans="1:11" ht="15" customHeight="1">
      <c r="A1186" t="str">
        <f t="shared" ca="1" si="288"/>
        <v/>
      </c>
      <c r="B1186" s="52">
        <f t="shared" si="305"/>
        <v>86</v>
      </c>
      <c r="C1186" t="str">
        <f t="shared" ca="1" si="310"/>
        <v>Ownership Entity (if formed, required for Carryover, PIS/Final and CHFA Loan)</v>
      </c>
      <c r="D1186" t="str">
        <f t="shared" si="285"/>
        <v>B94</v>
      </c>
      <c r="E1186" t="str">
        <f t="shared" ca="1" si="311"/>
        <v/>
      </c>
      <c r="F1186" t="str">
        <f t="shared" ca="1" si="308"/>
        <v xml:space="preserve">Enter Phone (#'s only) for 'Ownership Entity (if formed, required for Carryover, PIS/Final and CHFA Loan)' in cell B94.
</v>
      </c>
      <c r="G1186"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6" t="b">
        <f>TRUE</f>
        <v>1</v>
      </c>
      <c r="I1186" s="9"/>
      <c r="J1186" s="52" t="str">
        <f t="shared" ca="1" si="287"/>
        <v>Phone (#'s only)</v>
      </c>
      <c r="K1186" s="52">
        <v>8</v>
      </c>
    </row>
    <row r="1187" spans="1:11" ht="15" customHeight="1">
      <c r="A1187" t="str">
        <f t="shared" ca="1" si="288"/>
        <v/>
      </c>
      <c r="B1187" s="52">
        <f t="shared" si="305"/>
        <v>86</v>
      </c>
      <c r="C1187" t="str">
        <f t="shared" ref="C1187" ca="1" si="313">INDIRECT($F$1101 &amp; ADDRESS(B1187, 1,4  ))</f>
        <v>Ownership Entity (if formed, required for Carryover, PIS/Final and CHFA Loan)</v>
      </c>
      <c r="D1187" t="str">
        <f t="shared" si="285"/>
        <v>B95</v>
      </c>
      <c r="E1187" t="str">
        <f t="shared" ref="E1187" ca="1" si="314">IF(ISBLANK( INDIRECT($F$1101 &amp; D1187)),"", INDIRECT($F$1101 &amp; D1187))</f>
        <v/>
      </c>
      <c r="F1187" t="str">
        <f t="shared" ca="1" si="308"/>
        <v xml:space="preserve">Enter Email for 'Ownership Entity (if formed, required for Carryover, PIS/Final and CHFA Loan)' in cell B95.
</v>
      </c>
      <c r="G1187" s="9" t="str">
        <f t="shared" ref="G1187" ca="1" si="315">OFFSET(G1187, -1, 0) &amp; A1187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7" t="b">
        <f>TRUE</f>
        <v>1</v>
      </c>
      <c r="I1187" s="9"/>
      <c r="J1187" s="52" t="str">
        <f t="shared" ca="1" si="287"/>
        <v>Email</v>
      </c>
      <c r="K1187" s="52">
        <v>9</v>
      </c>
    </row>
    <row r="1188" spans="1:11" ht="15" customHeight="1">
      <c r="A1188" t="str">
        <f t="shared" ca="1" si="288"/>
        <v/>
      </c>
      <c r="B1188" s="52">
        <f t="shared" si="305"/>
        <v>86</v>
      </c>
      <c r="C1188" t="str">
        <f t="shared" ref="C1188" ca="1" si="316">INDIRECT($F$1101 &amp; ADDRESS(B1188, 1,4  ))</f>
        <v>Ownership Entity (if formed, required for Carryover, PIS/Final and CHFA Loan)</v>
      </c>
      <c r="D1188" t="str">
        <f t="shared" si="285"/>
        <v>B96</v>
      </c>
      <c r="E1188" t="str">
        <f t="shared" ref="E1188" ca="1" si="317">IF(ISBLANK( INDIRECT($F$1101 &amp; D1188)),"", INDIRECT($F$1101 &amp; D1188))</f>
        <v/>
      </c>
      <c r="F1188" t="str">
        <f t="shared" ca="1" si="308"/>
        <v xml:space="preserve">Enter Name(s) and State(s) of previous LIHTC properties for 'Ownership Entity (if formed, required for Carryover, PIS/Final and CHFA Loan)' in cell B96.
</v>
      </c>
      <c r="G1188" s="9" t="str">
        <f t="shared" ref="G1188" ca="1" si="318">OFFSET(G1188, -1, 0) &amp; A1188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8" t="b">
        <f>TRUE</f>
        <v>1</v>
      </c>
      <c r="I1188" s="9"/>
      <c r="J1188" s="52" t="str">
        <f t="shared" ca="1" si="287"/>
        <v>Name(s) and State(s) of previous LIHTC properties</v>
      </c>
      <c r="K1188" s="52">
        <v>10</v>
      </c>
    </row>
    <row r="1189" spans="1:11" ht="15" customHeight="1">
      <c r="A1189" t="str">
        <f t="shared" ca="1" si="288"/>
        <v/>
      </c>
      <c r="B1189" s="52">
        <f t="shared" si="305"/>
        <v>86</v>
      </c>
      <c r="C1189" t="str">
        <f t="shared" ref="C1189" ca="1" si="319">INDIRECT($F$1101 &amp; ADDRESS(B1189, 1,4  ))</f>
        <v>Ownership Entity (if formed, required for Carryover, PIS/Final and CHFA Loan)</v>
      </c>
      <c r="D1189" t="str">
        <f t="shared" si="285"/>
        <v>B97</v>
      </c>
      <c r="E1189" t="str">
        <f t="shared" ref="E1189" ca="1" si="320">IF(ISBLANK( INDIRECT($F$1101 &amp; D1189)),"", INDIRECT($F$1101 &amp; D1189))</f>
        <v/>
      </c>
      <c r="F1189" t="str">
        <f t="shared" ca="1" si="308"/>
        <v xml:space="preserve">Enter Legal Status for 'Ownership Entity (if formed, required for Carryover, PIS/Final and CHFA Loan)' in cell B97.
</v>
      </c>
      <c r="G1189" s="9" t="str">
        <f t="shared" ref="G1189" ca="1" si="321">OFFSET(G1189, -1, 0) &amp; A1189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9" t="b">
        <f>TRUE</f>
        <v>1</v>
      </c>
      <c r="I1189" s="9"/>
      <c r="J1189" s="52" t="str">
        <f t="shared" ca="1" si="287"/>
        <v>Legal Status</v>
      </c>
      <c r="K1189" s="52">
        <v>11</v>
      </c>
    </row>
    <row r="1190" spans="1:11" ht="15" customHeight="1">
      <c r="A1190" t="str">
        <f t="shared" ca="1" si="288"/>
        <v/>
      </c>
      <c r="B1190">
        <f>ROW('Contact Information'!B101)</f>
        <v>101</v>
      </c>
      <c r="C1190" t="str">
        <f t="shared" ca="1" si="303"/>
        <v>Participating Nonprofit or PHA</v>
      </c>
      <c r="D1190" t="str">
        <f t="shared" si="285"/>
        <v>B102</v>
      </c>
      <c r="E1190" t="str">
        <f t="shared" ca="1" si="304"/>
        <v/>
      </c>
      <c r="F1190" t="str">
        <f ca="1">CONCATENATE("Enter a "&amp; J1190 &amp;" for '", C1190, "' in cell ", D1190, ".", CHAR(10))</f>
        <v xml:space="preserve">Enter a Organization for 'Participating Nonprofit or PHA' in cell B102.
</v>
      </c>
      <c r="G1190"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0" t="b">
        <f>TRUE</f>
        <v>1</v>
      </c>
      <c r="I1190" s="9"/>
      <c r="J1190" s="52" t="str">
        <f t="shared" ca="1" si="287"/>
        <v>Organization</v>
      </c>
      <c r="K1190" s="52">
        <v>1</v>
      </c>
    </row>
    <row r="1191" spans="1:11" ht="15" customHeight="1">
      <c r="A1191" t="str">
        <f t="shared" ca="1" si="288"/>
        <v/>
      </c>
      <c r="B1191" s="52">
        <f t="shared" ref="B1191:B1200" si="322">B1190</f>
        <v>101</v>
      </c>
      <c r="C1191" t="str">
        <f t="shared" ca="1" si="303"/>
        <v>Participating Nonprofit or PHA</v>
      </c>
      <c r="D1191" t="str">
        <f t="shared" si="285"/>
        <v>B103</v>
      </c>
      <c r="E1191" t="str">
        <f t="shared" ca="1" si="304"/>
        <v/>
      </c>
      <c r="F1191" t="str">
        <f ca="1">CONCATENATE("Enter an "&amp; J1191 &amp;" for '", C1191, "' in cell ", D1191, ".", CHAR(10))</f>
        <v xml:space="preserve">Enter an Address for 'Participating Nonprofit or PHA' in cell B103.
</v>
      </c>
      <c r="G1191"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1" t="b">
        <f>TRUE</f>
        <v>1</v>
      </c>
      <c r="I1191" s="9"/>
      <c r="J1191" s="52" t="str">
        <f t="shared" ca="1" si="287"/>
        <v>Address</v>
      </c>
      <c r="K1191" s="52">
        <v>2</v>
      </c>
    </row>
    <row r="1192" spans="1:11" ht="15" customHeight="1">
      <c r="A1192" t="str">
        <f t="shared" ca="1" si="288"/>
        <v/>
      </c>
      <c r="B1192" s="52">
        <f t="shared" si="322"/>
        <v>101</v>
      </c>
      <c r="C1192" t="str">
        <f t="shared" ca="1" si="303"/>
        <v>Participating Nonprofit or PHA</v>
      </c>
      <c r="D1192" t="str">
        <f t="shared" si="285"/>
        <v>B104</v>
      </c>
      <c r="E1192" t="str">
        <f t="shared" ca="1" si="304"/>
        <v/>
      </c>
      <c r="F1192" t="str">
        <f t="shared" ref="F1192:F1197" ca="1" si="323">CONCATENATE("Enter a "&amp; J1192 &amp;" for '", C1192, "' in cell ", D1192, ".", CHAR(10))</f>
        <v xml:space="preserve">Enter a City  for 'Participating Nonprofit or PHA' in cell B104.
</v>
      </c>
      <c r="G1192"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2" t="b">
        <f>TRUE</f>
        <v>1</v>
      </c>
      <c r="I1192" s="9"/>
      <c r="J1192" s="52" t="str">
        <f t="shared" ca="1" si="287"/>
        <v xml:space="preserve">City </v>
      </c>
      <c r="K1192" s="52">
        <v>3</v>
      </c>
    </row>
    <row r="1193" spans="1:11" ht="15" customHeight="1">
      <c r="A1193" t="str">
        <f t="shared" ca="1" si="288"/>
        <v/>
      </c>
      <c r="B1193" s="52">
        <f t="shared" si="322"/>
        <v>101</v>
      </c>
      <c r="C1193" t="str">
        <f t="shared" ca="1" si="303"/>
        <v>Participating Nonprofit or PHA</v>
      </c>
      <c r="D1193" t="str">
        <f t="shared" si="285"/>
        <v>B105</v>
      </c>
      <c r="E1193" t="str">
        <f t="shared" ca="1" si="304"/>
        <v/>
      </c>
      <c r="F1193" t="str">
        <f t="shared" ca="1" si="323"/>
        <v xml:space="preserve">Enter a State for 'Participating Nonprofit or PHA' in cell B105.
</v>
      </c>
      <c r="G1193"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3" t="b">
        <f>TRUE</f>
        <v>1</v>
      </c>
      <c r="I1193" s="9"/>
      <c r="J1193" s="52" t="str">
        <f t="shared" ca="1" si="287"/>
        <v>State</v>
      </c>
      <c r="K1193" s="52">
        <v>4</v>
      </c>
    </row>
    <row r="1194" spans="1:11" ht="15" customHeight="1">
      <c r="A1194" t="str">
        <f t="shared" ca="1" si="288"/>
        <v/>
      </c>
      <c r="B1194" s="52">
        <f t="shared" si="322"/>
        <v>101</v>
      </c>
      <c r="C1194" t="str">
        <f t="shared" ca="1" si="303"/>
        <v>Participating Nonprofit or PHA</v>
      </c>
      <c r="D1194" t="str">
        <f t="shared" si="285"/>
        <v>B106</v>
      </c>
      <c r="E1194" t="str">
        <f t="shared" ca="1" si="304"/>
        <v/>
      </c>
      <c r="F1194" t="str">
        <f t="shared" ca="1" si="323"/>
        <v xml:space="preserve">Enter a Zip (first five #'s only) for 'Participating Nonprofit or PHA' in cell B106.
</v>
      </c>
      <c r="G1194"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4" t="b">
        <f>TRUE</f>
        <v>1</v>
      </c>
      <c r="I1194" s="9"/>
      <c r="J1194" s="52" t="str">
        <f t="shared" ca="1" si="287"/>
        <v>Zip (first five #'s only)</v>
      </c>
      <c r="K1194" s="52">
        <v>5</v>
      </c>
    </row>
    <row r="1195" spans="1:11" ht="15" customHeight="1">
      <c r="A1195" t="str">
        <f t="shared" ca="1" si="288"/>
        <v/>
      </c>
      <c r="B1195" s="52">
        <f t="shared" si="322"/>
        <v>101</v>
      </c>
      <c r="C1195" t="str">
        <f t="shared" ca="1" si="303"/>
        <v>Participating Nonprofit or PHA</v>
      </c>
      <c r="D1195" t="str">
        <f t="shared" si="285"/>
        <v>B107</v>
      </c>
      <c r="E1195" t="str">
        <f t="shared" ca="1" si="304"/>
        <v/>
      </c>
      <c r="F1195" t="str">
        <f t="shared" ca="1" si="323"/>
        <v xml:space="preserve">Enter a Contact First Name for 'Participating Nonprofit or PHA' in cell B107.
</v>
      </c>
      <c r="G119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5" t="b">
        <f>TRUE</f>
        <v>1</v>
      </c>
      <c r="I1195" s="9"/>
      <c r="J1195" s="52" t="str">
        <f t="shared" ca="1" si="287"/>
        <v>Contact First Name</v>
      </c>
      <c r="K1195" s="52">
        <v>6</v>
      </c>
    </row>
    <row r="1196" spans="1:11" ht="15" customHeight="1">
      <c r="A1196" t="str">
        <f t="shared" ca="1" si="288"/>
        <v/>
      </c>
      <c r="B1196" s="52">
        <f t="shared" si="322"/>
        <v>101</v>
      </c>
      <c r="C1196" t="str">
        <f t="shared" ca="1" si="303"/>
        <v>Participating Nonprofit or PHA</v>
      </c>
      <c r="D1196" t="str">
        <f t="shared" si="285"/>
        <v>B108</v>
      </c>
      <c r="E1196" t="str">
        <f t="shared" ca="1" si="304"/>
        <v/>
      </c>
      <c r="F1196" t="str">
        <f t="shared" ca="1" si="323"/>
        <v xml:space="preserve">Enter a Contact Last Name for 'Participating Nonprofit or PHA' in cell B108.
</v>
      </c>
      <c r="G119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6" t="b">
        <f>TRUE</f>
        <v>1</v>
      </c>
      <c r="I1196" s="9"/>
      <c r="J1196" s="52" t="str">
        <f t="shared" ca="1" si="287"/>
        <v>Contact Last Name</v>
      </c>
      <c r="K1196" s="52">
        <v>7</v>
      </c>
    </row>
    <row r="1197" spans="1:11" ht="15" customHeight="1">
      <c r="A1197" t="str">
        <f t="shared" ca="1" si="288"/>
        <v/>
      </c>
      <c r="B1197" s="52">
        <f t="shared" si="322"/>
        <v>101</v>
      </c>
      <c r="C1197" t="str">
        <f t="shared" ca="1" si="303"/>
        <v>Participating Nonprofit or PHA</v>
      </c>
      <c r="D1197" t="str">
        <f t="shared" si="285"/>
        <v>B109</v>
      </c>
      <c r="E1197" t="str">
        <f t="shared" ca="1" si="304"/>
        <v/>
      </c>
      <c r="F1197" t="str">
        <f t="shared" ca="1" si="323"/>
        <v xml:space="preserve">Enter a Phone (#'s only) for 'Participating Nonprofit or PHA' in cell B109.
</v>
      </c>
      <c r="G119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7" t="b">
        <f>TRUE</f>
        <v>1</v>
      </c>
      <c r="I1197" s="9"/>
      <c r="J1197" s="52" t="str">
        <f t="shared" ca="1" si="287"/>
        <v>Phone (#'s only)</v>
      </c>
      <c r="K1197" s="52">
        <v>8</v>
      </c>
    </row>
    <row r="1198" spans="1:11" ht="15" customHeight="1">
      <c r="A1198" t="str">
        <f t="shared" ca="1" si="288"/>
        <v/>
      </c>
      <c r="B1198" s="52">
        <f t="shared" si="322"/>
        <v>101</v>
      </c>
      <c r="C1198" t="str">
        <f t="shared" ca="1" si="303"/>
        <v>Participating Nonprofit or PHA</v>
      </c>
      <c r="D1198" t="str">
        <f t="shared" si="285"/>
        <v>B110</v>
      </c>
      <c r="E1198" t="str">
        <f t="shared" ca="1" si="304"/>
        <v/>
      </c>
      <c r="F1198" t="str">
        <f ca="1">CONCATENATE("Enter an "&amp; J1198 &amp;" for '", C1198, "' in cell ", D1198, ".", CHAR(10))</f>
        <v xml:space="preserve">Enter an Email for 'Participating Nonprofit or PHA' in cell B110.
</v>
      </c>
      <c r="G1198"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8" t="b">
        <f>TRUE</f>
        <v>1</v>
      </c>
      <c r="I1198" s="9"/>
      <c r="J1198" s="52" t="str">
        <f t="shared" ca="1" si="287"/>
        <v>Email</v>
      </c>
      <c r="K1198" s="52">
        <v>9</v>
      </c>
    </row>
    <row r="1199" spans="1:11" ht="15" customHeight="1">
      <c r="A1199" t="str">
        <f t="shared" ca="1" si="288"/>
        <v/>
      </c>
      <c r="B1199" s="52">
        <f t="shared" si="322"/>
        <v>101</v>
      </c>
      <c r="C1199" t="str">
        <f t="shared" ref="C1199:C1200" ca="1" si="324">INDIRECT($F$1101 &amp; ADDRESS(B1199, 1,4  ))</f>
        <v>Participating Nonprofit or PHA</v>
      </c>
      <c r="D1199" t="str">
        <f t="shared" si="285"/>
        <v>B111</v>
      </c>
      <c r="E1199" t="str">
        <f t="shared" ref="E1199:E1200" ca="1" si="325">IF(ISBLANK( INDIRECT($F$1101 &amp; D1199)),"", INDIRECT($F$1101 &amp; D1199))</f>
        <v/>
      </c>
      <c r="F1199" t="str">
        <f ca="1">CONCATENATE("Enter an "&amp; J1199 &amp;" for '", C1199, "' in cell ", D1199, ".", CHAR(10))</f>
        <v xml:space="preserve">Enter an Legal Status for 'Participating Nonprofit or PHA' in cell B111.
</v>
      </c>
      <c r="G1199" s="9" t="str">
        <f t="shared" ref="G1199:G1200" ca="1" si="326">OFFSET(G1199, -1, 0) &amp; A1199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9" t="b">
        <f>TRUE</f>
        <v>1</v>
      </c>
      <c r="I1199" s="9"/>
      <c r="J1199" s="52" t="str">
        <f t="shared" ca="1" si="287"/>
        <v>Legal Status</v>
      </c>
      <c r="K1199" s="52">
        <v>10</v>
      </c>
    </row>
    <row r="1200" spans="1:11" ht="15" customHeight="1">
      <c r="A1200" t="str">
        <f t="shared" ca="1" si="288"/>
        <v/>
      </c>
      <c r="B1200" s="52">
        <f t="shared" si="322"/>
        <v>101</v>
      </c>
      <c r="C1200" t="str">
        <f t="shared" ca="1" si="324"/>
        <v>Participating Nonprofit or PHA</v>
      </c>
      <c r="D1200" t="str">
        <f t="shared" si="285"/>
        <v>B112</v>
      </c>
      <c r="E1200" t="str">
        <f t="shared" ca="1" si="325"/>
        <v/>
      </c>
      <c r="F1200" t="str">
        <f ca="1">CONCATENATE("Enter an "&amp; J1200 &amp;" for '", C1200, "' in cell ", D1200, ".", CHAR(10))</f>
        <v xml:space="preserve">Enter an Tax ID Number for 'Participating Nonprofit or PHA' in cell B112.
</v>
      </c>
      <c r="G1200" s="9" t="str">
        <f t="shared" ca="1" si="32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0" t="b">
        <f>TRUE</f>
        <v>1</v>
      </c>
      <c r="I1200" s="9"/>
      <c r="J1200" s="52" t="str">
        <f t="shared" ca="1" si="287"/>
        <v>Tax ID Number</v>
      </c>
      <c r="K1200" s="52">
        <v>11</v>
      </c>
    </row>
    <row r="1201" spans="1:11" ht="15" customHeight="1">
      <c r="A1201" t="str">
        <f t="shared" ca="1" si="288"/>
        <v/>
      </c>
      <c r="B1201">
        <f>ROW('Contact Information'!B131)</f>
        <v>131</v>
      </c>
      <c r="C1201" t="str">
        <f t="shared" ca="1" si="303"/>
        <v>3rd Party Estimator</v>
      </c>
      <c r="D1201" t="str">
        <f t="shared" si="285"/>
        <v>B132</v>
      </c>
      <c r="E1201" t="str">
        <f t="shared" ca="1" si="304"/>
        <v/>
      </c>
      <c r="F1201" t="str">
        <f ca="1">CONCATENATE("Enter a "&amp; J1201 &amp;" for '", C1201, "' in cell ", D1201, ".", CHAR(10))</f>
        <v xml:space="preserve">Enter a Organization for '3rd Party Estimator' in cell B132.
</v>
      </c>
      <c r="G1201"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1" s="9" t="b">
        <f>Calculations!$B$2</f>
        <v>0</v>
      </c>
      <c r="I1201" s="9"/>
      <c r="J1201" s="52" t="str">
        <f t="shared" ca="1" si="287"/>
        <v>Organization</v>
      </c>
      <c r="K1201" s="52">
        <v>1</v>
      </c>
    </row>
    <row r="1202" spans="1:11" ht="15" customHeight="1">
      <c r="A1202" t="str">
        <f t="shared" ca="1" si="288"/>
        <v/>
      </c>
      <c r="B1202" s="52">
        <f t="shared" ref="B1202:B1209" si="327">B1201</f>
        <v>131</v>
      </c>
      <c r="C1202" t="str">
        <f t="shared" ca="1" si="303"/>
        <v>3rd Party Estimator</v>
      </c>
      <c r="D1202" t="str">
        <f t="shared" ref="D1202:D1265" si="328">ADDRESS(B1202+K1202, 2,4  )</f>
        <v>B133</v>
      </c>
      <c r="E1202" t="str">
        <f t="shared" ca="1" si="304"/>
        <v/>
      </c>
      <c r="F1202" t="str">
        <f ca="1">CONCATENATE("Enter an "&amp; J1202 &amp;" for '", C1202, "' in cell ", D1202, ".", CHAR(10))</f>
        <v xml:space="preserve">Enter an Address for '3rd Party Estimator' in cell B133.
</v>
      </c>
      <c r="G1202"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2" s="9" t="b">
        <f>Calculations!$B$2</f>
        <v>0</v>
      </c>
      <c r="I1202" s="9"/>
      <c r="J1202" s="52" t="str">
        <f t="shared" ref="J1202:J1265" ca="1" si="329">INDIRECT($F$1101 &amp; ADDRESS(B1202+K1202, 1,4))</f>
        <v>Address</v>
      </c>
      <c r="K1202" s="52">
        <v>2</v>
      </c>
    </row>
    <row r="1203" spans="1:11" ht="15" customHeight="1">
      <c r="A1203" t="str">
        <f t="shared" ref="A1203:A1266" ca="1" si="330">IF(AND(H1203, NOT($E$1104), E1203=""),F1203, "")</f>
        <v/>
      </c>
      <c r="B1203" s="52">
        <f t="shared" si="327"/>
        <v>131</v>
      </c>
      <c r="C1203" t="str">
        <f t="shared" ca="1" si="303"/>
        <v>3rd Party Estimator</v>
      </c>
      <c r="D1203" t="str">
        <f t="shared" si="328"/>
        <v>B134</v>
      </c>
      <c r="E1203" t="str">
        <f t="shared" ca="1" si="304"/>
        <v/>
      </c>
      <c r="F1203" t="str">
        <f t="shared" ref="F1203:F1208" ca="1" si="331">CONCATENATE("Enter a "&amp; J1203 &amp;" for '", C1203, "' in cell ", D1203, ".", CHAR(10))</f>
        <v xml:space="preserve">Enter a City  for '3rd Party Estimator' in cell B134.
</v>
      </c>
      <c r="G1203"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3" s="9" t="b">
        <f>Calculations!$B$2</f>
        <v>0</v>
      </c>
      <c r="I1203" s="9"/>
      <c r="J1203" s="52" t="str">
        <f t="shared" ca="1" si="329"/>
        <v xml:space="preserve">City </v>
      </c>
      <c r="K1203" s="52">
        <v>3</v>
      </c>
    </row>
    <row r="1204" spans="1:11" ht="15" customHeight="1">
      <c r="A1204" t="str">
        <f t="shared" ca="1" si="330"/>
        <v/>
      </c>
      <c r="B1204" s="52">
        <f t="shared" si="327"/>
        <v>131</v>
      </c>
      <c r="C1204" t="str">
        <f t="shared" ca="1" si="303"/>
        <v>3rd Party Estimator</v>
      </c>
      <c r="D1204" t="str">
        <f t="shared" si="328"/>
        <v>B135</v>
      </c>
      <c r="E1204" t="str">
        <f t="shared" ca="1" si="304"/>
        <v/>
      </c>
      <c r="F1204" t="str">
        <f t="shared" ca="1" si="331"/>
        <v xml:space="preserve">Enter a State for '3rd Party Estimator' in cell B135.
</v>
      </c>
      <c r="G1204"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4" s="9" t="b">
        <f>Calculations!$B$2</f>
        <v>0</v>
      </c>
      <c r="I1204" s="9"/>
      <c r="J1204" s="52" t="str">
        <f t="shared" ca="1" si="329"/>
        <v>State</v>
      </c>
      <c r="K1204" s="52">
        <v>4</v>
      </c>
    </row>
    <row r="1205" spans="1:11" ht="15" customHeight="1">
      <c r="A1205" t="str">
        <f t="shared" ca="1" si="330"/>
        <v/>
      </c>
      <c r="B1205" s="52">
        <f t="shared" si="327"/>
        <v>131</v>
      </c>
      <c r="C1205" t="str">
        <f t="shared" ca="1" si="303"/>
        <v>3rd Party Estimator</v>
      </c>
      <c r="D1205" t="str">
        <f t="shared" si="328"/>
        <v>B136</v>
      </c>
      <c r="E1205" t="str">
        <f t="shared" ca="1" si="304"/>
        <v/>
      </c>
      <c r="F1205" t="str">
        <f t="shared" ca="1" si="331"/>
        <v xml:space="preserve">Enter a Zip (first five #'s only) for '3rd Party Estimator' in cell B136.
</v>
      </c>
      <c r="G120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5" s="9" t="b">
        <f>Calculations!$B$2</f>
        <v>0</v>
      </c>
      <c r="I1205" s="9"/>
      <c r="J1205" s="52" t="str">
        <f t="shared" ca="1" si="329"/>
        <v>Zip (first five #'s only)</v>
      </c>
      <c r="K1205" s="52">
        <v>5</v>
      </c>
    </row>
    <row r="1206" spans="1:11" ht="15" customHeight="1">
      <c r="A1206" t="str">
        <f t="shared" ca="1" si="330"/>
        <v/>
      </c>
      <c r="B1206" s="52">
        <f t="shared" si="327"/>
        <v>131</v>
      </c>
      <c r="C1206" t="str">
        <f t="shared" ca="1" si="303"/>
        <v>3rd Party Estimator</v>
      </c>
      <c r="D1206" t="str">
        <f t="shared" si="328"/>
        <v>B137</v>
      </c>
      <c r="E1206" t="str">
        <f t="shared" ca="1" si="304"/>
        <v/>
      </c>
      <c r="F1206" t="str">
        <f t="shared" ca="1" si="331"/>
        <v xml:space="preserve">Enter a Contact First Name for '3rd Party Estimator' in cell B137.
</v>
      </c>
      <c r="G120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6" s="9" t="b">
        <f>Calculations!$B$2</f>
        <v>0</v>
      </c>
      <c r="I1206" s="9"/>
      <c r="J1206" s="52" t="str">
        <f t="shared" ca="1" si="329"/>
        <v>Contact First Name</v>
      </c>
      <c r="K1206" s="52">
        <v>6</v>
      </c>
    </row>
    <row r="1207" spans="1:11" ht="15" customHeight="1">
      <c r="A1207" t="str">
        <f t="shared" ca="1" si="330"/>
        <v/>
      </c>
      <c r="B1207" s="52">
        <f t="shared" si="327"/>
        <v>131</v>
      </c>
      <c r="C1207" t="str">
        <f t="shared" ref="C1207:C1283" ca="1" si="332">INDIRECT($F$1101 &amp; ADDRESS(B1207, 1,4  ))</f>
        <v>3rd Party Estimator</v>
      </c>
      <c r="D1207" t="str">
        <f t="shared" si="328"/>
        <v>B138</v>
      </c>
      <c r="E1207" t="str">
        <f t="shared" ref="E1207:E1283" ca="1" si="333">IF(ISBLANK( INDIRECT($F$1101 &amp; D1207)),"", INDIRECT($F$1101 &amp; D1207))</f>
        <v/>
      </c>
      <c r="F1207" t="str">
        <f t="shared" ca="1" si="331"/>
        <v xml:space="preserve">Enter a Contact Last Name for '3rd Party Estimator' in cell B138.
</v>
      </c>
      <c r="G120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7" s="9" t="b">
        <f>Calculations!$B$2</f>
        <v>0</v>
      </c>
      <c r="I1207" s="9"/>
      <c r="J1207" s="52" t="str">
        <f t="shared" ca="1" si="329"/>
        <v>Contact Last Name</v>
      </c>
      <c r="K1207" s="52">
        <v>7</v>
      </c>
    </row>
    <row r="1208" spans="1:11" ht="15" customHeight="1">
      <c r="A1208" t="str">
        <f t="shared" ca="1" si="330"/>
        <v/>
      </c>
      <c r="B1208" s="52">
        <f t="shared" si="327"/>
        <v>131</v>
      </c>
      <c r="C1208" t="str">
        <f t="shared" ca="1" si="332"/>
        <v>3rd Party Estimator</v>
      </c>
      <c r="D1208" t="str">
        <f t="shared" si="328"/>
        <v>B139</v>
      </c>
      <c r="E1208" t="str">
        <f t="shared" ca="1" si="333"/>
        <v/>
      </c>
      <c r="F1208" t="str">
        <f t="shared" ca="1" si="331"/>
        <v xml:space="preserve">Enter a Phone (#'s only) for '3rd Party Estimator' in cell B139.
</v>
      </c>
      <c r="G1208" s="9" t="str">
        <f t="shared" ref="G1208:G1371" ca="1" si="334">OFFSET(G1208, -1, 0) &amp; A1208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8" s="9" t="b">
        <f>Calculations!$B$2</f>
        <v>0</v>
      </c>
      <c r="I1208" s="9"/>
      <c r="J1208" s="52" t="str">
        <f t="shared" ca="1" si="329"/>
        <v>Phone (#'s only)</v>
      </c>
      <c r="K1208" s="52">
        <v>8</v>
      </c>
    </row>
    <row r="1209" spans="1:11" ht="15" customHeight="1">
      <c r="A1209" t="str">
        <f t="shared" ca="1" si="330"/>
        <v/>
      </c>
      <c r="B1209" s="52">
        <f t="shared" si="327"/>
        <v>131</v>
      </c>
      <c r="C1209" t="str">
        <f t="shared" ca="1" si="332"/>
        <v>3rd Party Estimator</v>
      </c>
      <c r="D1209" t="str">
        <f t="shared" si="328"/>
        <v>B140</v>
      </c>
      <c r="E1209" t="str">
        <f t="shared" ca="1" si="333"/>
        <v/>
      </c>
      <c r="F1209" t="str">
        <f ca="1">CONCATENATE("Enter an "&amp; J1209 &amp;" for '", C1209, "' in cell ", D1209, ".", CHAR(10))</f>
        <v xml:space="preserve">Enter an Email for '3rd Party Estimator' in cell B140.
</v>
      </c>
      <c r="G120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9" s="9" t="b">
        <f>Calculations!$B$2</f>
        <v>0</v>
      </c>
      <c r="I1209" s="9"/>
      <c r="J1209" s="52" t="str">
        <f t="shared" ca="1" si="329"/>
        <v>Email</v>
      </c>
      <c r="K1209" s="52">
        <v>9</v>
      </c>
    </row>
    <row r="1210" spans="1:11" ht="15" customHeight="1">
      <c r="A1210" t="str">
        <f t="shared" ca="1" si="330"/>
        <v/>
      </c>
      <c r="B1210">
        <f>ROW('Contact Information'!B142)</f>
        <v>142</v>
      </c>
      <c r="C1210" t="str">
        <f t="shared" ca="1" si="332"/>
        <v>General Partner</v>
      </c>
      <c r="D1210" t="str">
        <f t="shared" si="328"/>
        <v>B143</v>
      </c>
      <c r="E1210" t="str">
        <f t="shared" ca="1" si="333"/>
        <v/>
      </c>
      <c r="F1210" t="str">
        <f ca="1">CONCATENATE("Enter a "&amp; J1210 &amp;" for '", C1210, "' in cell ", D1210, ".", CHAR(10))</f>
        <v xml:space="preserve">Enter a Organization for 'General Partner' in cell B143.
</v>
      </c>
      <c r="G121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0" t="b">
        <f>TRUE</f>
        <v>1</v>
      </c>
      <c r="I1210" s="9"/>
      <c r="J1210" s="52" t="str">
        <f t="shared" ca="1" si="329"/>
        <v>Organization</v>
      </c>
      <c r="K1210" s="52">
        <v>1</v>
      </c>
    </row>
    <row r="1211" spans="1:11" ht="15" customHeight="1">
      <c r="A1211" t="str">
        <f t="shared" ca="1" si="330"/>
        <v/>
      </c>
      <c r="B1211" s="52">
        <f t="shared" ref="B1211:B1218" si="335">B1210</f>
        <v>142</v>
      </c>
      <c r="C1211" t="str">
        <f t="shared" ca="1" si="332"/>
        <v>General Partner</v>
      </c>
      <c r="D1211" t="str">
        <f t="shared" si="328"/>
        <v>B144</v>
      </c>
      <c r="E1211" t="str">
        <f t="shared" ca="1" si="333"/>
        <v/>
      </c>
      <c r="F1211" t="str">
        <f ca="1">CONCATENATE("Enter an "&amp; J1211 &amp;" for '", C1211, "' in cell ", D1211, ".", CHAR(10))</f>
        <v xml:space="preserve">Enter an Address for 'General Partner' in cell B144.
</v>
      </c>
      <c r="G121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1" t="b">
        <f>TRUE</f>
        <v>1</v>
      </c>
      <c r="I1211" s="9"/>
      <c r="J1211" s="52" t="str">
        <f t="shared" ca="1" si="329"/>
        <v>Address</v>
      </c>
      <c r="K1211" s="52">
        <v>2</v>
      </c>
    </row>
    <row r="1212" spans="1:11" ht="15" customHeight="1">
      <c r="A1212" t="str">
        <f t="shared" ca="1" si="330"/>
        <v/>
      </c>
      <c r="B1212" s="52">
        <f t="shared" si="335"/>
        <v>142</v>
      </c>
      <c r="C1212" t="str">
        <f t="shared" ca="1" si="332"/>
        <v>General Partner</v>
      </c>
      <c r="D1212" t="str">
        <f t="shared" si="328"/>
        <v>B145</v>
      </c>
      <c r="E1212" t="str">
        <f t="shared" ca="1" si="333"/>
        <v/>
      </c>
      <c r="F1212" t="str">
        <f t="shared" ref="F1212:F1217" ca="1" si="336">CONCATENATE("Enter a "&amp; J1212 &amp;" for '", C1212, "' in cell ", D1212, ".", CHAR(10))</f>
        <v xml:space="preserve">Enter a City  for 'General Partner' in cell B145.
</v>
      </c>
      <c r="G121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2" t="b">
        <f>TRUE</f>
        <v>1</v>
      </c>
      <c r="I1212" s="9"/>
      <c r="J1212" s="52" t="str">
        <f t="shared" ca="1" si="329"/>
        <v xml:space="preserve">City </v>
      </c>
      <c r="K1212" s="52">
        <v>3</v>
      </c>
    </row>
    <row r="1213" spans="1:11" ht="15" customHeight="1">
      <c r="A1213" t="str">
        <f t="shared" ca="1" si="330"/>
        <v/>
      </c>
      <c r="B1213" s="52">
        <f t="shared" si="335"/>
        <v>142</v>
      </c>
      <c r="C1213" t="str">
        <f t="shared" ca="1" si="332"/>
        <v>General Partner</v>
      </c>
      <c r="D1213" t="str">
        <f t="shared" si="328"/>
        <v>B146</v>
      </c>
      <c r="E1213" t="str">
        <f t="shared" ca="1" si="333"/>
        <v/>
      </c>
      <c r="F1213" t="str">
        <f t="shared" ca="1" si="336"/>
        <v xml:space="preserve">Enter a State for 'General Partner' in cell B146.
</v>
      </c>
      <c r="G121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3" t="b">
        <f>TRUE</f>
        <v>1</v>
      </c>
      <c r="I1213" s="9"/>
      <c r="J1213" s="52" t="str">
        <f t="shared" ca="1" si="329"/>
        <v>State</v>
      </c>
      <c r="K1213" s="52">
        <v>4</v>
      </c>
    </row>
    <row r="1214" spans="1:11" ht="15" customHeight="1">
      <c r="A1214" t="str">
        <f t="shared" ca="1" si="330"/>
        <v/>
      </c>
      <c r="B1214" s="52">
        <f t="shared" si="335"/>
        <v>142</v>
      </c>
      <c r="C1214" t="str">
        <f t="shared" ca="1" si="332"/>
        <v>General Partner</v>
      </c>
      <c r="D1214" t="str">
        <f t="shared" si="328"/>
        <v>B147</v>
      </c>
      <c r="E1214" t="str">
        <f t="shared" ca="1" si="333"/>
        <v/>
      </c>
      <c r="F1214" t="str">
        <f t="shared" ca="1" si="336"/>
        <v xml:space="preserve">Enter a Zip for 'General Partner' in cell B147.
</v>
      </c>
      <c r="G121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4" t="b">
        <f>TRUE</f>
        <v>1</v>
      </c>
      <c r="I1214" s="9"/>
      <c r="J1214" s="52" t="str">
        <f t="shared" ca="1" si="329"/>
        <v>Zip</v>
      </c>
      <c r="K1214" s="52">
        <v>5</v>
      </c>
    </row>
    <row r="1215" spans="1:11" ht="15" customHeight="1">
      <c r="A1215" t="str">
        <f t="shared" ca="1" si="330"/>
        <v/>
      </c>
      <c r="B1215" s="52">
        <f t="shared" si="335"/>
        <v>142</v>
      </c>
      <c r="C1215" t="str">
        <f t="shared" ca="1" si="332"/>
        <v>General Partner</v>
      </c>
      <c r="D1215" t="str">
        <f t="shared" si="328"/>
        <v>B148</v>
      </c>
      <c r="E1215" t="str">
        <f t="shared" ca="1" si="333"/>
        <v/>
      </c>
      <c r="F1215" t="str">
        <f t="shared" ca="1" si="336"/>
        <v xml:space="preserve">Enter a Contact First Name for 'General Partner' in cell B148.
</v>
      </c>
      <c r="G121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5" t="b">
        <f>TRUE</f>
        <v>1</v>
      </c>
      <c r="I1215" s="9"/>
      <c r="J1215" s="52" t="str">
        <f t="shared" ca="1" si="329"/>
        <v>Contact First Name</v>
      </c>
      <c r="K1215" s="52">
        <v>6</v>
      </c>
    </row>
    <row r="1216" spans="1:11" ht="15" customHeight="1">
      <c r="A1216" t="str">
        <f t="shared" ca="1" si="330"/>
        <v/>
      </c>
      <c r="B1216" s="52">
        <f t="shared" si="335"/>
        <v>142</v>
      </c>
      <c r="C1216" t="str">
        <f t="shared" ca="1" si="332"/>
        <v>General Partner</v>
      </c>
      <c r="D1216" t="str">
        <f t="shared" si="328"/>
        <v>B149</v>
      </c>
      <c r="E1216" t="str">
        <f t="shared" ca="1" si="333"/>
        <v/>
      </c>
      <c r="F1216" t="str">
        <f t="shared" ca="1" si="336"/>
        <v xml:space="preserve">Enter a Contact Last Name for 'General Partner' in cell B149.
</v>
      </c>
      <c r="G121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6" t="b">
        <f>TRUE</f>
        <v>1</v>
      </c>
      <c r="I1216" s="9"/>
      <c r="J1216" s="52" t="str">
        <f t="shared" ca="1" si="329"/>
        <v>Contact Last Name</v>
      </c>
      <c r="K1216" s="52">
        <v>7</v>
      </c>
    </row>
    <row r="1217" spans="1:11" ht="15" customHeight="1">
      <c r="A1217" t="str">
        <f t="shared" ca="1" si="330"/>
        <v/>
      </c>
      <c r="B1217" s="52">
        <f t="shared" si="335"/>
        <v>142</v>
      </c>
      <c r="C1217" t="str">
        <f t="shared" ca="1" si="332"/>
        <v>General Partner</v>
      </c>
      <c r="D1217" t="str">
        <f t="shared" si="328"/>
        <v>B150</v>
      </c>
      <c r="E1217" t="str">
        <f t="shared" ca="1" si="333"/>
        <v/>
      </c>
      <c r="F1217" t="str">
        <f t="shared" ca="1" si="336"/>
        <v xml:space="preserve">Enter a Phone (#'s only) for 'General Partner' in cell B150.
</v>
      </c>
      <c r="G121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7" t="b">
        <f>TRUE</f>
        <v>1</v>
      </c>
      <c r="I1217" s="9"/>
      <c r="J1217" s="52" t="str">
        <f t="shared" ca="1" si="329"/>
        <v>Phone (#'s only)</v>
      </c>
      <c r="K1217" s="52">
        <v>8</v>
      </c>
    </row>
    <row r="1218" spans="1:11" ht="15" customHeight="1">
      <c r="A1218" t="str">
        <f t="shared" ca="1" si="330"/>
        <v/>
      </c>
      <c r="B1218" s="52">
        <f t="shared" si="335"/>
        <v>142</v>
      </c>
      <c r="C1218" t="str">
        <f t="shared" ca="1" si="332"/>
        <v>General Partner</v>
      </c>
      <c r="D1218" t="str">
        <f t="shared" si="328"/>
        <v>B151</v>
      </c>
      <c r="E1218" t="str">
        <f t="shared" ca="1" si="333"/>
        <v/>
      </c>
      <c r="F1218" t="str">
        <f ca="1">CONCATENATE("Enter an "&amp; J1218 &amp;" for '", C1218, "' in cell ", D1218, ".", CHAR(10))</f>
        <v xml:space="preserve">Enter an Email for 'General Partner' in cell B151.
</v>
      </c>
      <c r="G121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8" t="b">
        <f>TRUE</f>
        <v>1</v>
      </c>
      <c r="I1218" s="9"/>
      <c r="J1218" s="52" t="str">
        <f t="shared" ca="1" si="329"/>
        <v>Email</v>
      </c>
      <c r="K1218" s="52">
        <v>9</v>
      </c>
    </row>
    <row r="1219" spans="1:11" ht="15" customHeight="1">
      <c r="A1219" t="str">
        <f t="shared" ca="1" si="330"/>
        <v/>
      </c>
      <c r="B1219">
        <f>ROW('Contact Information'!B156)</f>
        <v>156</v>
      </c>
      <c r="C1219" t="str">
        <f t="shared" ref="C1219:C1227" ca="1" si="337">INDIRECT($F$1101 &amp; ADDRESS(B1219, 1,4  ))</f>
        <v>General Contractor</v>
      </c>
      <c r="D1219" t="str">
        <f t="shared" si="328"/>
        <v>B157</v>
      </c>
      <c r="E1219" t="str">
        <f t="shared" ref="E1219:E1227" ca="1" si="338">IF(ISBLANK( INDIRECT($F$1101 &amp; D1219)),"", INDIRECT($F$1101 &amp; D1219))</f>
        <v/>
      </c>
      <c r="F1219" t="str">
        <f ca="1">CONCATENATE("Enter a "&amp; J1219 &amp;" for '", C1219, "' in cell ", D1219, ".", CHAR(10))</f>
        <v xml:space="preserve">Enter a Organization for 'General Contractor' in cell B157.
</v>
      </c>
      <c r="G1219" s="9" t="str">
        <f t="shared" ref="G1219:G1227" ca="1" si="339">OFFSET(G1219, -1, 0) &amp; A1219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9" t="b">
        <f>TRUE</f>
        <v>1</v>
      </c>
      <c r="I1219" s="9"/>
      <c r="J1219" s="52" t="str">
        <f t="shared" ca="1" si="329"/>
        <v>Organization</v>
      </c>
      <c r="K1219" s="52">
        <v>1</v>
      </c>
    </row>
    <row r="1220" spans="1:11" ht="15" customHeight="1">
      <c r="A1220" t="str">
        <f t="shared" ca="1" si="330"/>
        <v/>
      </c>
      <c r="B1220" s="52">
        <f t="shared" ref="B1220:B1254" si="340">B1219</f>
        <v>156</v>
      </c>
      <c r="C1220" t="str">
        <f t="shared" ca="1" si="337"/>
        <v>General Contractor</v>
      </c>
      <c r="D1220" t="str">
        <f t="shared" si="328"/>
        <v>B158</v>
      </c>
      <c r="E1220" t="str">
        <f t="shared" ca="1" si="338"/>
        <v/>
      </c>
      <c r="F1220" t="str">
        <f ca="1">CONCATENATE("Enter an "&amp; J1220 &amp;" for '", C1220, "' in cell ", D1220, ".", CHAR(10))</f>
        <v xml:space="preserve">Enter an Address for 'General Contractor' in cell B158.
</v>
      </c>
      <c r="G1220"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0" t="b">
        <f>TRUE</f>
        <v>1</v>
      </c>
      <c r="I1220" s="9"/>
      <c r="J1220" s="52" t="str">
        <f t="shared" ca="1" si="329"/>
        <v>Address</v>
      </c>
      <c r="K1220" s="52">
        <v>2</v>
      </c>
    </row>
    <row r="1221" spans="1:11" ht="15" customHeight="1">
      <c r="A1221" t="str">
        <f t="shared" ca="1" si="330"/>
        <v/>
      </c>
      <c r="B1221" s="52">
        <f t="shared" si="340"/>
        <v>156</v>
      </c>
      <c r="C1221" t="str">
        <f t="shared" ca="1" si="337"/>
        <v>General Contractor</v>
      </c>
      <c r="D1221" t="str">
        <f t="shared" si="328"/>
        <v>B159</v>
      </c>
      <c r="E1221" t="str">
        <f t="shared" ca="1" si="338"/>
        <v/>
      </c>
      <c r="F1221" t="str">
        <f t="shared" ref="F1221:F1226" ca="1" si="341">CONCATENATE("Enter a "&amp; J1221 &amp;" for '", C1221, "' in cell ", D1221, ".", CHAR(10))</f>
        <v xml:space="preserve">Enter a City  for 'General Contractor' in cell B159.
</v>
      </c>
      <c r="G1221"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1" t="b">
        <f>TRUE</f>
        <v>1</v>
      </c>
      <c r="I1221" s="9"/>
      <c r="J1221" s="52" t="str">
        <f t="shared" ca="1" si="329"/>
        <v xml:space="preserve">City </v>
      </c>
      <c r="K1221" s="52">
        <v>3</v>
      </c>
    </row>
    <row r="1222" spans="1:11" ht="15" customHeight="1">
      <c r="A1222" t="str">
        <f t="shared" ca="1" si="330"/>
        <v/>
      </c>
      <c r="B1222" s="52">
        <f t="shared" si="340"/>
        <v>156</v>
      </c>
      <c r="C1222" t="str">
        <f t="shared" ca="1" si="337"/>
        <v>General Contractor</v>
      </c>
      <c r="D1222" t="str">
        <f t="shared" si="328"/>
        <v>B160</v>
      </c>
      <c r="E1222" t="str">
        <f t="shared" ca="1" si="338"/>
        <v/>
      </c>
      <c r="F1222" t="str">
        <f t="shared" ca="1" si="341"/>
        <v xml:space="preserve">Enter a State for 'General Contractor' in cell B160.
</v>
      </c>
      <c r="G1222"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2" t="b">
        <f>TRUE</f>
        <v>1</v>
      </c>
      <c r="I1222" s="9"/>
      <c r="J1222" s="52" t="str">
        <f t="shared" ca="1" si="329"/>
        <v>State</v>
      </c>
      <c r="K1222" s="52">
        <v>4</v>
      </c>
    </row>
    <row r="1223" spans="1:11" ht="15" customHeight="1">
      <c r="A1223" t="str">
        <f t="shared" ca="1" si="330"/>
        <v/>
      </c>
      <c r="B1223" s="52">
        <f t="shared" si="340"/>
        <v>156</v>
      </c>
      <c r="C1223" t="str">
        <f t="shared" ca="1" si="337"/>
        <v>General Contractor</v>
      </c>
      <c r="D1223" t="str">
        <f t="shared" si="328"/>
        <v>B161</v>
      </c>
      <c r="E1223" t="str">
        <f t="shared" ca="1" si="338"/>
        <v/>
      </c>
      <c r="F1223" t="str">
        <f t="shared" ca="1" si="341"/>
        <v xml:space="preserve">Enter a Zip (first five #'s only) for 'General Contractor' in cell B161.
</v>
      </c>
      <c r="G1223"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3" t="b">
        <f>TRUE</f>
        <v>1</v>
      </c>
      <c r="I1223" s="9"/>
      <c r="J1223" s="52" t="str">
        <f t="shared" ca="1" si="329"/>
        <v>Zip (first five #'s only)</v>
      </c>
      <c r="K1223" s="52">
        <v>5</v>
      </c>
    </row>
    <row r="1224" spans="1:11" ht="15" customHeight="1">
      <c r="A1224" t="str">
        <f t="shared" ca="1" si="330"/>
        <v/>
      </c>
      <c r="B1224" s="52">
        <f t="shared" si="340"/>
        <v>156</v>
      </c>
      <c r="C1224" t="str">
        <f t="shared" ca="1" si="337"/>
        <v>General Contractor</v>
      </c>
      <c r="D1224" t="str">
        <f t="shared" si="328"/>
        <v>B162</v>
      </c>
      <c r="E1224" t="str">
        <f t="shared" ca="1" si="338"/>
        <v/>
      </c>
      <c r="F1224" t="str">
        <f t="shared" ca="1" si="341"/>
        <v xml:space="preserve">Enter a Contact First Name for 'General Contractor' in cell B162.
</v>
      </c>
      <c r="G1224"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4" t="b">
        <f>TRUE</f>
        <v>1</v>
      </c>
      <c r="I1224" s="9"/>
      <c r="J1224" s="52" t="str">
        <f t="shared" ca="1" si="329"/>
        <v>Contact First Name</v>
      </c>
      <c r="K1224" s="52">
        <v>6</v>
      </c>
    </row>
    <row r="1225" spans="1:11" ht="15" customHeight="1">
      <c r="A1225" t="str">
        <f t="shared" ca="1" si="330"/>
        <v/>
      </c>
      <c r="B1225" s="52">
        <f t="shared" si="340"/>
        <v>156</v>
      </c>
      <c r="C1225" t="str">
        <f t="shared" ca="1" si="337"/>
        <v>General Contractor</v>
      </c>
      <c r="D1225" t="str">
        <f t="shared" si="328"/>
        <v>B163</v>
      </c>
      <c r="E1225" t="str">
        <f t="shared" ca="1" si="338"/>
        <v/>
      </c>
      <c r="F1225" t="str">
        <f t="shared" ca="1" si="341"/>
        <v xml:space="preserve">Enter a Contact Last Name for 'General Contractor' in cell B163.
</v>
      </c>
      <c r="G1225"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5" t="b">
        <f>TRUE</f>
        <v>1</v>
      </c>
      <c r="I1225" s="9"/>
      <c r="J1225" s="52" t="str">
        <f t="shared" ca="1" si="329"/>
        <v>Contact Last Name</v>
      </c>
      <c r="K1225" s="52">
        <v>7</v>
      </c>
    </row>
    <row r="1226" spans="1:11" ht="15" customHeight="1">
      <c r="A1226" t="str">
        <f t="shared" ca="1" si="330"/>
        <v/>
      </c>
      <c r="B1226" s="52">
        <f t="shared" si="340"/>
        <v>156</v>
      </c>
      <c r="C1226" t="str">
        <f t="shared" ca="1" si="337"/>
        <v>General Contractor</v>
      </c>
      <c r="D1226" t="str">
        <f t="shared" si="328"/>
        <v>B164</v>
      </c>
      <c r="E1226" t="str">
        <f t="shared" ca="1" si="338"/>
        <v/>
      </c>
      <c r="F1226" t="str">
        <f t="shared" ca="1" si="341"/>
        <v xml:space="preserve">Enter a Phone (#'s only) for 'General Contractor' in cell B164.
</v>
      </c>
      <c r="G1226"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6" t="b">
        <f>TRUE</f>
        <v>1</v>
      </c>
      <c r="I1226" s="9"/>
      <c r="J1226" s="52" t="str">
        <f t="shared" ca="1" si="329"/>
        <v>Phone (#'s only)</v>
      </c>
      <c r="K1226" s="52">
        <v>8</v>
      </c>
    </row>
    <row r="1227" spans="1:11" ht="15" customHeight="1">
      <c r="A1227" t="str">
        <f t="shared" ca="1" si="330"/>
        <v/>
      </c>
      <c r="B1227" s="52">
        <f t="shared" si="340"/>
        <v>156</v>
      </c>
      <c r="C1227" t="str">
        <f t="shared" ca="1" si="337"/>
        <v>General Contractor</v>
      </c>
      <c r="D1227" t="str">
        <f t="shared" si="328"/>
        <v>B165</v>
      </c>
      <c r="E1227" t="str">
        <f t="shared" ca="1" si="338"/>
        <v/>
      </c>
      <c r="F1227" t="str">
        <f ca="1">CONCATENATE("Enter an "&amp; J1227 &amp;" for '", C1227, "' in cell ", D1227, ".", CHAR(10))</f>
        <v xml:space="preserve">Enter an Email for 'General Contractor' in cell B165.
</v>
      </c>
      <c r="G1227"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7" t="b">
        <f>TRUE</f>
        <v>1</v>
      </c>
      <c r="I1227" s="9"/>
      <c r="J1227" s="52" t="str">
        <f t="shared" ca="1" si="329"/>
        <v>Email</v>
      </c>
      <c r="K1227" s="52">
        <v>9</v>
      </c>
    </row>
    <row r="1228" spans="1:11" ht="15" customHeight="1">
      <c r="A1228" t="str">
        <f t="shared" ca="1" si="330"/>
        <v/>
      </c>
      <c r="B1228">
        <f>ROW('Contact Information'!B170)</f>
        <v>170</v>
      </c>
      <c r="C1228" t="str">
        <f t="shared" ref="C1228:C1236" ca="1" si="342">INDIRECT($F$1101 &amp; ADDRESS(B1228, 1,4  ))</f>
        <v>Management Company</v>
      </c>
      <c r="D1228" t="str">
        <f t="shared" si="328"/>
        <v>B171</v>
      </c>
      <c r="E1228" t="str">
        <f t="shared" ref="E1228:E1236" ca="1" si="343">IF(ISBLANK( INDIRECT($F$1101 &amp; D1228)),"", INDIRECT($F$1101 &amp; D1228))</f>
        <v/>
      </c>
      <c r="F1228" t="str">
        <f ca="1">CONCATENATE("Enter a "&amp; J1228 &amp;" for '", C1228, "' in cell ", D1228, ".", CHAR(10))</f>
        <v xml:space="preserve">Enter a Organization for 'Management Company' in cell B171.
</v>
      </c>
      <c r="G1228" s="9" t="str">
        <f t="shared" ref="G1228:G1236" ca="1" si="344">OFFSET(G1228, -1, 0) &amp; A1228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8" t="b">
        <f>TRUE</f>
        <v>1</v>
      </c>
      <c r="I1228" s="9"/>
      <c r="J1228" s="52" t="str">
        <f t="shared" ca="1" si="329"/>
        <v>Organization</v>
      </c>
      <c r="K1228" s="52">
        <v>1</v>
      </c>
    </row>
    <row r="1229" spans="1:11" ht="15" customHeight="1">
      <c r="A1229" t="str">
        <f t="shared" ca="1" si="330"/>
        <v/>
      </c>
      <c r="B1229" s="52">
        <f t="shared" si="340"/>
        <v>170</v>
      </c>
      <c r="C1229" t="str">
        <f t="shared" ca="1" si="342"/>
        <v>Management Company</v>
      </c>
      <c r="D1229" t="str">
        <f t="shared" si="328"/>
        <v>B172</v>
      </c>
      <c r="E1229" t="str">
        <f t="shared" ca="1" si="343"/>
        <v/>
      </c>
      <c r="F1229" t="str">
        <f ca="1">CONCATENATE("Enter an "&amp; J1229 &amp;" for '", C1229, "' in cell ", D1229, ".", CHAR(10))</f>
        <v xml:space="preserve">Enter an Address for 'Management Company' in cell B172.
</v>
      </c>
      <c r="G1229"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9" t="b">
        <f>TRUE</f>
        <v>1</v>
      </c>
      <c r="I1229" s="9"/>
      <c r="J1229" s="52" t="str">
        <f t="shared" ca="1" si="329"/>
        <v>Address</v>
      </c>
      <c r="K1229" s="52">
        <v>2</v>
      </c>
    </row>
    <row r="1230" spans="1:11" ht="15" customHeight="1">
      <c r="A1230" t="str">
        <f t="shared" ca="1" si="330"/>
        <v/>
      </c>
      <c r="B1230" s="52">
        <f t="shared" si="340"/>
        <v>170</v>
      </c>
      <c r="C1230" t="str">
        <f t="shared" ca="1" si="342"/>
        <v>Management Company</v>
      </c>
      <c r="D1230" t="str">
        <f t="shared" si="328"/>
        <v>B173</v>
      </c>
      <c r="E1230" t="str">
        <f t="shared" ca="1" si="343"/>
        <v/>
      </c>
      <c r="F1230" t="str">
        <f t="shared" ref="F1230:F1235" ca="1" si="345">CONCATENATE("Enter a "&amp; J1230 &amp;" for '", C1230, "' in cell ", D1230, ".", CHAR(10))</f>
        <v xml:space="preserve">Enter a City  for 'Management Company' in cell B173.
</v>
      </c>
      <c r="G1230"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0" t="b">
        <f>TRUE</f>
        <v>1</v>
      </c>
      <c r="I1230" s="9"/>
      <c r="J1230" s="52" t="str">
        <f t="shared" ca="1" si="329"/>
        <v xml:space="preserve">City </v>
      </c>
      <c r="K1230" s="52">
        <v>3</v>
      </c>
    </row>
    <row r="1231" spans="1:11" ht="15" customHeight="1">
      <c r="A1231" t="str">
        <f t="shared" ca="1" si="330"/>
        <v/>
      </c>
      <c r="B1231" s="52">
        <f t="shared" si="340"/>
        <v>170</v>
      </c>
      <c r="C1231" t="str">
        <f t="shared" ca="1" si="342"/>
        <v>Management Company</v>
      </c>
      <c r="D1231" t="str">
        <f t="shared" si="328"/>
        <v>B174</v>
      </c>
      <c r="E1231" t="str">
        <f t="shared" ca="1" si="343"/>
        <v/>
      </c>
      <c r="F1231" t="str">
        <f t="shared" ca="1" si="345"/>
        <v xml:space="preserve">Enter a State for 'Management Company' in cell B174.
</v>
      </c>
      <c r="G1231"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1" t="b">
        <f>TRUE</f>
        <v>1</v>
      </c>
      <c r="I1231" s="9"/>
      <c r="J1231" s="52" t="str">
        <f t="shared" ca="1" si="329"/>
        <v>State</v>
      </c>
      <c r="K1231" s="52">
        <v>4</v>
      </c>
    </row>
    <row r="1232" spans="1:11" ht="15" customHeight="1">
      <c r="A1232" t="str">
        <f t="shared" ca="1" si="330"/>
        <v/>
      </c>
      <c r="B1232" s="52">
        <f t="shared" si="340"/>
        <v>170</v>
      </c>
      <c r="C1232" t="str">
        <f t="shared" ca="1" si="342"/>
        <v>Management Company</v>
      </c>
      <c r="D1232" t="str">
        <f t="shared" si="328"/>
        <v>B175</v>
      </c>
      <c r="E1232" t="str">
        <f t="shared" ca="1" si="343"/>
        <v/>
      </c>
      <c r="F1232" t="str">
        <f t="shared" ca="1" si="345"/>
        <v xml:space="preserve">Enter a Zip (first five #'s only) for 'Management Company' in cell B175.
</v>
      </c>
      <c r="G1232"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2" t="b">
        <f>TRUE</f>
        <v>1</v>
      </c>
      <c r="I1232" s="9"/>
      <c r="J1232" s="52" t="str">
        <f t="shared" ca="1" si="329"/>
        <v>Zip (first five #'s only)</v>
      </c>
      <c r="K1232" s="52">
        <v>5</v>
      </c>
    </row>
    <row r="1233" spans="1:11" ht="15" customHeight="1">
      <c r="A1233" t="str">
        <f t="shared" ca="1" si="330"/>
        <v/>
      </c>
      <c r="B1233" s="52">
        <f t="shared" si="340"/>
        <v>170</v>
      </c>
      <c r="C1233" t="str">
        <f t="shared" ca="1" si="342"/>
        <v>Management Company</v>
      </c>
      <c r="D1233" t="str">
        <f t="shared" si="328"/>
        <v>B176</v>
      </c>
      <c r="E1233" t="str">
        <f t="shared" ca="1" si="343"/>
        <v/>
      </c>
      <c r="F1233" t="str">
        <f t="shared" ca="1" si="345"/>
        <v xml:space="preserve">Enter a Contact First Name for 'Management Company' in cell B176.
</v>
      </c>
      <c r="G1233"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3" t="b">
        <f>TRUE</f>
        <v>1</v>
      </c>
      <c r="I1233" s="9"/>
      <c r="J1233" s="52" t="str">
        <f t="shared" ca="1" si="329"/>
        <v>Contact First Name</v>
      </c>
      <c r="K1233" s="52">
        <v>6</v>
      </c>
    </row>
    <row r="1234" spans="1:11" ht="15" customHeight="1">
      <c r="A1234" t="str">
        <f t="shared" ca="1" si="330"/>
        <v/>
      </c>
      <c r="B1234" s="52">
        <f t="shared" si="340"/>
        <v>170</v>
      </c>
      <c r="C1234" t="str">
        <f t="shared" ca="1" si="342"/>
        <v>Management Company</v>
      </c>
      <c r="D1234" t="str">
        <f t="shared" si="328"/>
        <v>B177</v>
      </c>
      <c r="E1234" t="str">
        <f t="shared" ca="1" si="343"/>
        <v/>
      </c>
      <c r="F1234" t="str">
        <f t="shared" ca="1" si="345"/>
        <v xml:space="preserve">Enter a Contact Last Name for 'Management Company' in cell B177.
</v>
      </c>
      <c r="G1234"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4" t="b">
        <f>TRUE</f>
        <v>1</v>
      </c>
      <c r="I1234" s="9"/>
      <c r="J1234" s="52" t="str">
        <f t="shared" ca="1" si="329"/>
        <v>Contact Last Name</v>
      </c>
      <c r="K1234" s="52">
        <v>7</v>
      </c>
    </row>
    <row r="1235" spans="1:11" ht="15" customHeight="1">
      <c r="A1235" t="str">
        <f t="shared" ca="1" si="330"/>
        <v/>
      </c>
      <c r="B1235" s="52">
        <f t="shared" si="340"/>
        <v>170</v>
      </c>
      <c r="C1235" t="str">
        <f t="shared" ca="1" si="342"/>
        <v>Management Company</v>
      </c>
      <c r="D1235" t="str">
        <f t="shared" si="328"/>
        <v>B178</v>
      </c>
      <c r="E1235" t="str">
        <f t="shared" ca="1" si="343"/>
        <v/>
      </c>
      <c r="F1235" t="str">
        <f t="shared" ca="1" si="345"/>
        <v xml:space="preserve">Enter a Phone (#'s only) for 'Management Company' in cell B178.
</v>
      </c>
      <c r="G1235"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5" t="b">
        <f>TRUE</f>
        <v>1</v>
      </c>
      <c r="I1235" s="9"/>
      <c r="J1235" s="52" t="str">
        <f t="shared" ca="1" si="329"/>
        <v>Phone (#'s only)</v>
      </c>
      <c r="K1235" s="52">
        <v>8</v>
      </c>
    </row>
    <row r="1236" spans="1:11" ht="15" customHeight="1">
      <c r="A1236" t="str">
        <f t="shared" ca="1" si="330"/>
        <v/>
      </c>
      <c r="B1236" s="52">
        <f t="shared" si="340"/>
        <v>170</v>
      </c>
      <c r="C1236" t="str">
        <f t="shared" ca="1" si="342"/>
        <v>Management Company</v>
      </c>
      <c r="D1236" t="str">
        <f t="shared" si="328"/>
        <v>B179</v>
      </c>
      <c r="E1236" t="str">
        <f t="shared" ca="1" si="343"/>
        <v/>
      </c>
      <c r="F1236" t="str">
        <f ca="1">CONCATENATE("Enter an "&amp; J1236 &amp;" for '", C1236, "' in cell ", D1236, ".", CHAR(10))</f>
        <v xml:space="preserve">Enter an Email for 'Management Company' in cell B179.
</v>
      </c>
      <c r="G1236"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6" t="b">
        <f>TRUE</f>
        <v>1</v>
      </c>
      <c r="I1236" s="9"/>
      <c r="J1236" s="52" t="str">
        <f t="shared" ca="1" si="329"/>
        <v>Email</v>
      </c>
      <c r="K1236" s="52">
        <v>9</v>
      </c>
    </row>
    <row r="1237" spans="1:11" ht="15" customHeight="1">
      <c r="A1237" t="str">
        <f t="shared" ca="1" si="330"/>
        <v/>
      </c>
      <c r="B1237">
        <f>ROW('Contact Information'!B184)</f>
        <v>184</v>
      </c>
      <c r="C1237" t="str">
        <f t="shared" ref="C1237:C1245" ca="1" si="346">INDIRECT($F$1101 &amp; ADDRESS(B1237, 1,4  ))</f>
        <v>Fee/Turnkey Developer</v>
      </c>
      <c r="D1237" t="str">
        <f t="shared" si="328"/>
        <v>B185</v>
      </c>
      <c r="E1237" t="str">
        <f t="shared" ref="E1237:E1245" ca="1" si="347">IF(ISBLANK( INDIRECT($F$1101 &amp; D1237)),"", INDIRECT($F$1101 &amp; D1237))</f>
        <v/>
      </c>
      <c r="F1237" t="str">
        <f ca="1">CONCATENATE("Enter a "&amp; J1237 &amp;" for '", C1237, "' in cell ", D1237, ".", CHAR(10))</f>
        <v xml:space="preserve">Enter a Organization for 'Fee/Turnkey Developer' in cell B185.
</v>
      </c>
      <c r="G1237" s="9" t="str">
        <f t="shared" ref="G1237:G1245" ca="1" si="348">OFFSET(G1237, -1, 0) &amp; A1237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7" t="b">
        <f>Calculations!$B$2</f>
        <v>0</v>
      </c>
      <c r="I1237" s="9"/>
      <c r="J1237" s="52" t="str">
        <f t="shared" ca="1" si="329"/>
        <v>Organization</v>
      </c>
      <c r="K1237" s="52">
        <v>1</v>
      </c>
    </row>
    <row r="1238" spans="1:11" ht="15" customHeight="1">
      <c r="A1238" t="str">
        <f t="shared" ca="1" si="330"/>
        <v/>
      </c>
      <c r="B1238" s="52">
        <f t="shared" si="340"/>
        <v>184</v>
      </c>
      <c r="C1238" t="str">
        <f t="shared" ca="1" si="346"/>
        <v>Fee/Turnkey Developer</v>
      </c>
      <c r="D1238" t="str">
        <f t="shared" si="328"/>
        <v>B186</v>
      </c>
      <c r="E1238" t="str">
        <f t="shared" ca="1" si="347"/>
        <v/>
      </c>
      <c r="F1238" t="str">
        <f ca="1">CONCATENATE("Enter an "&amp; J1238 &amp;" for '", C1238, "' in cell ", D1238, ".", CHAR(10))</f>
        <v xml:space="preserve">Enter an Address for 'Fee/Turnkey Developer' in cell B186.
</v>
      </c>
      <c r="G1238"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8" t="b">
        <f>Calculations!$B$2</f>
        <v>0</v>
      </c>
      <c r="I1238" s="9"/>
      <c r="J1238" s="52" t="str">
        <f t="shared" ca="1" si="329"/>
        <v>Address</v>
      </c>
      <c r="K1238" s="52">
        <v>2</v>
      </c>
    </row>
    <row r="1239" spans="1:11" ht="15" customHeight="1">
      <c r="A1239" t="str">
        <f t="shared" ca="1" si="330"/>
        <v/>
      </c>
      <c r="B1239" s="52">
        <f t="shared" si="340"/>
        <v>184</v>
      </c>
      <c r="C1239" t="str">
        <f t="shared" ca="1" si="346"/>
        <v>Fee/Turnkey Developer</v>
      </c>
      <c r="D1239" t="str">
        <f t="shared" si="328"/>
        <v>B187</v>
      </c>
      <c r="E1239" t="str">
        <f t="shared" ca="1" si="347"/>
        <v/>
      </c>
      <c r="F1239" t="str">
        <f t="shared" ref="F1239:F1244" ca="1" si="349">CONCATENATE("Enter a "&amp; J1239 &amp;" for '", C1239, "' in cell ", D1239, ".", CHAR(10))</f>
        <v xml:space="preserve">Enter a City  for 'Fee/Turnkey Developer' in cell B187.
</v>
      </c>
      <c r="G1239"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9" t="b">
        <f>Calculations!$B$2</f>
        <v>0</v>
      </c>
      <c r="I1239" s="9"/>
      <c r="J1239" s="52" t="str">
        <f t="shared" ca="1" si="329"/>
        <v xml:space="preserve">City </v>
      </c>
      <c r="K1239" s="52">
        <v>3</v>
      </c>
    </row>
    <row r="1240" spans="1:11" ht="15" customHeight="1">
      <c r="A1240" t="str">
        <f t="shared" ca="1" si="330"/>
        <v/>
      </c>
      <c r="B1240" s="52">
        <f t="shared" si="340"/>
        <v>184</v>
      </c>
      <c r="C1240" t="str">
        <f t="shared" ca="1" si="346"/>
        <v>Fee/Turnkey Developer</v>
      </c>
      <c r="D1240" t="str">
        <f t="shared" si="328"/>
        <v>B188</v>
      </c>
      <c r="E1240" t="str">
        <f t="shared" ca="1" si="347"/>
        <v/>
      </c>
      <c r="F1240" t="str">
        <f t="shared" ca="1" si="349"/>
        <v xml:space="preserve">Enter a State for 'Fee/Turnkey Developer' in cell B188.
</v>
      </c>
      <c r="G1240"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0" t="b">
        <f>Calculations!$B$2</f>
        <v>0</v>
      </c>
      <c r="I1240" s="9"/>
      <c r="J1240" s="52" t="str">
        <f t="shared" ca="1" si="329"/>
        <v>State</v>
      </c>
      <c r="K1240" s="52">
        <v>4</v>
      </c>
    </row>
    <row r="1241" spans="1:11" ht="15" customHeight="1">
      <c r="A1241" t="str">
        <f t="shared" ca="1" si="330"/>
        <v/>
      </c>
      <c r="B1241" s="52">
        <f t="shared" si="340"/>
        <v>184</v>
      </c>
      <c r="C1241" t="str">
        <f t="shared" ca="1" si="346"/>
        <v>Fee/Turnkey Developer</v>
      </c>
      <c r="D1241" t="str">
        <f t="shared" si="328"/>
        <v>B189</v>
      </c>
      <c r="E1241" t="str">
        <f t="shared" ca="1" si="347"/>
        <v/>
      </c>
      <c r="F1241" t="str">
        <f t="shared" ca="1" si="349"/>
        <v xml:space="preserve">Enter a Zip (first five #'s only) for 'Fee/Turnkey Developer' in cell B189.
</v>
      </c>
      <c r="G1241"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1" t="b">
        <f>Calculations!$B$2</f>
        <v>0</v>
      </c>
      <c r="I1241" s="9"/>
      <c r="J1241" s="52" t="str">
        <f t="shared" ca="1" si="329"/>
        <v>Zip (first five #'s only)</v>
      </c>
      <c r="K1241" s="52">
        <v>5</v>
      </c>
    </row>
    <row r="1242" spans="1:11" ht="15" customHeight="1">
      <c r="A1242" t="str">
        <f t="shared" ca="1" si="330"/>
        <v/>
      </c>
      <c r="B1242" s="52">
        <f t="shared" si="340"/>
        <v>184</v>
      </c>
      <c r="C1242" t="str">
        <f t="shared" ca="1" si="346"/>
        <v>Fee/Turnkey Developer</v>
      </c>
      <c r="D1242" t="str">
        <f t="shared" si="328"/>
        <v>B190</v>
      </c>
      <c r="E1242" t="str">
        <f t="shared" ca="1" si="347"/>
        <v/>
      </c>
      <c r="F1242" t="str">
        <f t="shared" ca="1" si="349"/>
        <v xml:space="preserve">Enter a Contact First Name for 'Fee/Turnkey Developer' in cell B190.
</v>
      </c>
      <c r="G1242"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2" t="b">
        <f>Calculations!$B$2</f>
        <v>0</v>
      </c>
      <c r="I1242" s="9"/>
      <c r="J1242" s="52" t="str">
        <f t="shared" ca="1" si="329"/>
        <v>Contact First Name</v>
      </c>
      <c r="K1242" s="52">
        <v>6</v>
      </c>
    </row>
    <row r="1243" spans="1:11" ht="15" customHeight="1">
      <c r="A1243" t="str">
        <f t="shared" ca="1" si="330"/>
        <v/>
      </c>
      <c r="B1243" s="52">
        <f t="shared" si="340"/>
        <v>184</v>
      </c>
      <c r="C1243" t="str">
        <f t="shared" ca="1" si="346"/>
        <v>Fee/Turnkey Developer</v>
      </c>
      <c r="D1243" t="str">
        <f t="shared" si="328"/>
        <v>B191</v>
      </c>
      <c r="E1243" t="str">
        <f t="shared" ca="1" si="347"/>
        <v/>
      </c>
      <c r="F1243" t="str">
        <f t="shared" ca="1" si="349"/>
        <v xml:space="preserve">Enter a Contact Last Name for 'Fee/Turnkey Developer' in cell B191.
</v>
      </c>
      <c r="G1243"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3" t="b">
        <f>Calculations!$B$2</f>
        <v>0</v>
      </c>
      <c r="I1243" s="9"/>
      <c r="J1243" s="52" t="str">
        <f t="shared" ca="1" si="329"/>
        <v>Contact Last Name</v>
      </c>
      <c r="K1243" s="52">
        <v>7</v>
      </c>
    </row>
    <row r="1244" spans="1:11" ht="15" customHeight="1">
      <c r="A1244" t="str">
        <f t="shared" ca="1" si="330"/>
        <v/>
      </c>
      <c r="B1244" s="52">
        <f t="shared" si="340"/>
        <v>184</v>
      </c>
      <c r="C1244" t="str">
        <f t="shared" ca="1" si="346"/>
        <v>Fee/Turnkey Developer</v>
      </c>
      <c r="D1244" t="str">
        <f t="shared" si="328"/>
        <v>B192</v>
      </c>
      <c r="E1244" t="str">
        <f t="shared" ca="1" si="347"/>
        <v/>
      </c>
      <c r="F1244" t="str">
        <f t="shared" ca="1" si="349"/>
        <v xml:space="preserve">Enter a Phone (#'s only) for 'Fee/Turnkey Developer' in cell B192.
</v>
      </c>
      <c r="G1244"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4" t="b">
        <f>Calculations!$B$2</f>
        <v>0</v>
      </c>
      <c r="I1244" s="9"/>
      <c r="J1244" s="52" t="str">
        <f t="shared" ca="1" si="329"/>
        <v>Phone (#'s only)</v>
      </c>
      <c r="K1244" s="52">
        <v>8</v>
      </c>
    </row>
    <row r="1245" spans="1:11" ht="15" customHeight="1">
      <c r="A1245" t="str">
        <f t="shared" ca="1" si="330"/>
        <v/>
      </c>
      <c r="B1245" s="52">
        <f t="shared" si="340"/>
        <v>184</v>
      </c>
      <c r="C1245" t="str">
        <f t="shared" ca="1" si="346"/>
        <v>Fee/Turnkey Developer</v>
      </c>
      <c r="D1245" t="str">
        <f t="shared" si="328"/>
        <v>B193</v>
      </c>
      <c r="E1245" t="str">
        <f t="shared" ca="1" si="347"/>
        <v/>
      </c>
      <c r="F1245" t="str">
        <f ca="1">CONCATENATE("Enter an "&amp; J1245 &amp;" for '", C1245, "' in cell ", D1245, ".", CHAR(10))</f>
        <v xml:space="preserve">Enter an Email for 'Fee/Turnkey Developer' in cell B193.
</v>
      </c>
      <c r="G1245"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5" t="b">
        <f>Calculations!$B$2</f>
        <v>0</v>
      </c>
      <c r="I1245" s="9"/>
      <c r="J1245" s="52" t="str">
        <f t="shared" ca="1" si="329"/>
        <v>Email</v>
      </c>
      <c r="K1245" s="52">
        <v>9</v>
      </c>
    </row>
    <row r="1246" spans="1:11" ht="15" customHeight="1">
      <c r="A1246" t="str">
        <f t="shared" ca="1" si="330"/>
        <v/>
      </c>
      <c r="B1246">
        <f>ROW('Contact Information'!B198)</f>
        <v>198</v>
      </c>
      <c r="C1246" t="str">
        <f t="shared" ref="C1246:C1254" ca="1" si="350">INDIRECT($F$1101 &amp; ADDRESS(B1246, 1,4  ))</f>
        <v>Consultant (specify)</v>
      </c>
      <c r="D1246" t="str">
        <f t="shared" si="328"/>
        <v>B199</v>
      </c>
      <c r="E1246" t="str">
        <f t="shared" ref="E1246:E1254" ca="1" si="351">IF(ISBLANK( INDIRECT($F$1101 &amp; D1246)),"", INDIRECT($F$1101 &amp; D1246))</f>
        <v/>
      </c>
      <c r="F1246" t="str">
        <f ca="1">CONCATENATE("Enter a "&amp; J1246 &amp;" for '", C1246, "' in cell ", D1246, ".", CHAR(10))</f>
        <v xml:space="preserve">Enter a Organization for 'Consultant (specify)' in cell B199.
</v>
      </c>
      <c r="G1246" s="9" t="str">
        <f t="shared" ref="G1246:G1254" ca="1" si="352">OFFSET(G1246, -1, 0) &amp; A1246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6" t="b">
        <f>TRUE</f>
        <v>1</v>
      </c>
      <c r="I1246" s="9"/>
      <c r="J1246" s="52" t="str">
        <f t="shared" ca="1" si="329"/>
        <v>Organization</v>
      </c>
      <c r="K1246" s="52">
        <v>1</v>
      </c>
    </row>
    <row r="1247" spans="1:11" ht="15" customHeight="1">
      <c r="A1247" t="str">
        <f t="shared" ca="1" si="330"/>
        <v/>
      </c>
      <c r="B1247" s="52">
        <f t="shared" si="340"/>
        <v>198</v>
      </c>
      <c r="C1247" t="str">
        <f t="shared" ca="1" si="350"/>
        <v>Consultant (specify)</v>
      </c>
      <c r="D1247" t="str">
        <f t="shared" si="328"/>
        <v>B200</v>
      </c>
      <c r="E1247" t="str">
        <f t="shared" ca="1" si="351"/>
        <v/>
      </c>
      <c r="F1247" t="str">
        <f ca="1">CONCATENATE("Enter an "&amp; J1247 &amp;" for '", C1247, "' in cell ", D1247, ".", CHAR(10))</f>
        <v xml:space="preserve">Enter an Type of Consultant for 'Consultant (specify)' in cell B200.
</v>
      </c>
      <c r="G1247"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7" t="b">
        <f>TRUE</f>
        <v>1</v>
      </c>
      <c r="I1247" s="9"/>
      <c r="J1247" s="52" t="str">
        <f t="shared" ca="1" si="329"/>
        <v>Type of Consultant</v>
      </c>
      <c r="K1247" s="52">
        <v>2</v>
      </c>
    </row>
    <row r="1248" spans="1:11" ht="15" customHeight="1">
      <c r="A1248" t="str">
        <f t="shared" ca="1" si="330"/>
        <v/>
      </c>
      <c r="B1248" s="52">
        <f t="shared" si="340"/>
        <v>198</v>
      </c>
      <c r="C1248" t="str">
        <f t="shared" ca="1" si="350"/>
        <v>Consultant (specify)</v>
      </c>
      <c r="D1248" t="str">
        <f t="shared" si="328"/>
        <v>B201</v>
      </c>
      <c r="E1248" t="str">
        <f t="shared" ca="1" si="351"/>
        <v/>
      </c>
      <c r="F1248" t="str">
        <f t="shared" ref="F1248:F1253" ca="1" si="353">CONCATENATE("Enter a "&amp; J1248 &amp;" for '", C1248, "' in cell ", D1248, ".", CHAR(10))</f>
        <v xml:space="preserve">Enter a Address for 'Consultant (specify)' in cell B201.
</v>
      </c>
      <c r="G1248"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8" t="b">
        <f>TRUE</f>
        <v>1</v>
      </c>
      <c r="I1248" s="9"/>
      <c r="J1248" s="52" t="str">
        <f t="shared" ca="1" si="329"/>
        <v>Address</v>
      </c>
      <c r="K1248" s="52">
        <v>3</v>
      </c>
    </row>
    <row r="1249" spans="1:11" ht="15" customHeight="1">
      <c r="A1249" t="str">
        <f t="shared" ca="1" si="330"/>
        <v/>
      </c>
      <c r="B1249" s="52">
        <f t="shared" si="340"/>
        <v>198</v>
      </c>
      <c r="C1249" t="str">
        <f t="shared" ca="1" si="350"/>
        <v>Consultant (specify)</v>
      </c>
      <c r="D1249" t="str">
        <f t="shared" si="328"/>
        <v>B202</v>
      </c>
      <c r="E1249" t="str">
        <f t="shared" ca="1" si="351"/>
        <v/>
      </c>
      <c r="F1249" t="str">
        <f t="shared" ca="1" si="353"/>
        <v xml:space="preserve">Enter a City  for 'Consultant (specify)' in cell B202.
</v>
      </c>
      <c r="G1249"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9" t="b">
        <f>TRUE</f>
        <v>1</v>
      </c>
      <c r="I1249" s="9"/>
      <c r="J1249" s="52" t="str">
        <f t="shared" ca="1" si="329"/>
        <v xml:space="preserve">City </v>
      </c>
      <c r="K1249" s="52">
        <v>4</v>
      </c>
    </row>
    <row r="1250" spans="1:11" ht="15" customHeight="1">
      <c r="A1250" t="str">
        <f t="shared" ca="1" si="330"/>
        <v/>
      </c>
      <c r="B1250" s="52">
        <f t="shared" si="340"/>
        <v>198</v>
      </c>
      <c r="C1250" t="str">
        <f t="shared" ca="1" si="350"/>
        <v>Consultant (specify)</v>
      </c>
      <c r="D1250" t="str">
        <f t="shared" si="328"/>
        <v>B203</v>
      </c>
      <c r="E1250" t="str">
        <f t="shared" ca="1" si="351"/>
        <v/>
      </c>
      <c r="F1250" t="str">
        <f t="shared" ca="1" si="353"/>
        <v xml:space="preserve">Enter a State for 'Consultant (specify)' in cell B203.
</v>
      </c>
      <c r="G1250"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0" t="b">
        <f>TRUE</f>
        <v>1</v>
      </c>
      <c r="I1250" s="9"/>
      <c r="J1250" s="52" t="str">
        <f t="shared" ca="1" si="329"/>
        <v>State</v>
      </c>
      <c r="K1250" s="52">
        <v>5</v>
      </c>
    </row>
    <row r="1251" spans="1:11" ht="15" customHeight="1">
      <c r="A1251" t="str">
        <f t="shared" ca="1" si="330"/>
        <v/>
      </c>
      <c r="B1251" s="52">
        <f t="shared" si="340"/>
        <v>198</v>
      </c>
      <c r="C1251" t="str">
        <f t="shared" ca="1" si="350"/>
        <v>Consultant (specify)</v>
      </c>
      <c r="D1251" t="str">
        <f t="shared" si="328"/>
        <v>B204</v>
      </c>
      <c r="E1251" t="str">
        <f t="shared" ca="1" si="351"/>
        <v/>
      </c>
      <c r="F1251" t="str">
        <f t="shared" ca="1" si="353"/>
        <v xml:space="preserve">Enter a Zip (first five #'s only) for 'Consultant (specify)' in cell B204.
</v>
      </c>
      <c r="G1251"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1" t="b">
        <f>TRUE</f>
        <v>1</v>
      </c>
      <c r="I1251" s="9"/>
      <c r="J1251" s="52" t="str">
        <f t="shared" ca="1" si="329"/>
        <v>Zip (first five #'s only)</v>
      </c>
      <c r="K1251" s="52">
        <v>6</v>
      </c>
    </row>
    <row r="1252" spans="1:11" ht="15" customHeight="1">
      <c r="A1252" t="str">
        <f t="shared" ca="1" si="330"/>
        <v/>
      </c>
      <c r="B1252" s="52">
        <f t="shared" si="340"/>
        <v>198</v>
      </c>
      <c r="C1252" t="str">
        <f t="shared" ca="1" si="350"/>
        <v>Consultant (specify)</v>
      </c>
      <c r="D1252" t="str">
        <f t="shared" si="328"/>
        <v>B205</v>
      </c>
      <c r="E1252" t="str">
        <f t="shared" ca="1" si="351"/>
        <v/>
      </c>
      <c r="F1252" t="str">
        <f t="shared" ca="1" si="353"/>
        <v xml:space="preserve">Enter a Contact First Name for 'Consultant (specify)' in cell B205.
</v>
      </c>
      <c r="G1252"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2" t="b">
        <f>TRUE</f>
        <v>1</v>
      </c>
      <c r="I1252" s="9"/>
      <c r="J1252" s="52" t="str">
        <f t="shared" ca="1" si="329"/>
        <v>Contact First Name</v>
      </c>
      <c r="K1252" s="52">
        <v>7</v>
      </c>
    </row>
    <row r="1253" spans="1:11" ht="15" customHeight="1">
      <c r="A1253" t="str">
        <f t="shared" ca="1" si="330"/>
        <v/>
      </c>
      <c r="B1253" s="52">
        <f t="shared" si="340"/>
        <v>198</v>
      </c>
      <c r="C1253" t="str">
        <f t="shared" ca="1" si="350"/>
        <v>Consultant (specify)</v>
      </c>
      <c r="D1253" t="str">
        <f t="shared" si="328"/>
        <v>B206</v>
      </c>
      <c r="E1253" t="str">
        <f t="shared" ca="1" si="351"/>
        <v/>
      </c>
      <c r="F1253" t="str">
        <f t="shared" ca="1" si="353"/>
        <v xml:space="preserve">Enter a Contact Last Name for 'Consultant (specify)' in cell B206.
</v>
      </c>
      <c r="G1253"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3" t="b">
        <f>TRUE</f>
        <v>1</v>
      </c>
      <c r="I1253" s="9"/>
      <c r="J1253" s="52" t="str">
        <f t="shared" ca="1" si="329"/>
        <v>Contact Last Name</v>
      </c>
      <c r="K1253" s="52">
        <v>8</v>
      </c>
    </row>
    <row r="1254" spans="1:11" ht="15" customHeight="1">
      <c r="A1254" t="str">
        <f t="shared" ca="1" si="330"/>
        <v/>
      </c>
      <c r="B1254" s="52">
        <f t="shared" si="340"/>
        <v>198</v>
      </c>
      <c r="C1254" t="str">
        <f t="shared" ca="1" si="350"/>
        <v>Consultant (specify)</v>
      </c>
      <c r="D1254" t="str">
        <f t="shared" si="328"/>
        <v>B207</v>
      </c>
      <c r="E1254" t="str">
        <f t="shared" ca="1" si="351"/>
        <v/>
      </c>
      <c r="F1254" t="str">
        <f ca="1">CONCATENATE("Enter an "&amp; J1254 &amp;" for '", C1254, "' in cell ", D1254, ".", CHAR(10))</f>
        <v xml:space="preserve">Enter an Phone (#'s only) for 'Consultant (specify)' in cell B207.
</v>
      </c>
      <c r="G1254"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4" t="b">
        <f>TRUE</f>
        <v>1</v>
      </c>
      <c r="I1254" s="9"/>
      <c r="J1254" s="52" t="str">
        <f t="shared" ca="1" si="329"/>
        <v>Phone (#'s only)</v>
      </c>
      <c r="K1254" s="52">
        <v>9</v>
      </c>
    </row>
    <row r="1255" spans="1:11" ht="15" customHeight="1">
      <c r="A1255" t="str">
        <f t="shared" ca="1" si="330"/>
        <v/>
      </c>
      <c r="B1255">
        <f>ROW('Contact Information'!B210)</f>
        <v>210</v>
      </c>
      <c r="C1255" t="str">
        <f t="shared" ca="1" si="332"/>
        <v>Consultant (specify)</v>
      </c>
      <c r="D1255" t="str">
        <f t="shared" si="328"/>
        <v>B211</v>
      </c>
      <c r="E1255" t="str">
        <f t="shared" ca="1" si="333"/>
        <v/>
      </c>
      <c r="F1255" t="str">
        <f ca="1">CONCATENATE("Enter a "&amp; J1255 &amp;" for '", C1255, "' in cell ", D1255, ".", CHAR(10))</f>
        <v xml:space="preserve">Enter a Organization for 'Consultant (specify)' in cell B211.
</v>
      </c>
      <c r="G125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5" t="b">
        <f>Calculations!$B$2</f>
        <v>0</v>
      </c>
      <c r="I1255" s="9"/>
      <c r="J1255" s="52" t="str">
        <f t="shared" ca="1" si="329"/>
        <v>Organization</v>
      </c>
      <c r="K1255" s="52">
        <v>1</v>
      </c>
    </row>
    <row r="1256" spans="1:11" ht="15" customHeight="1">
      <c r="A1256" t="str">
        <f t="shared" ca="1" si="330"/>
        <v/>
      </c>
      <c r="B1256" s="52">
        <f t="shared" ref="B1256:B1263" si="354">B1255</f>
        <v>210</v>
      </c>
      <c r="C1256" t="str">
        <f t="shared" ca="1" si="332"/>
        <v>Consultant (specify)</v>
      </c>
      <c r="D1256" t="str">
        <f t="shared" si="328"/>
        <v>B212</v>
      </c>
      <c r="E1256" t="str">
        <f t="shared" ca="1" si="333"/>
        <v/>
      </c>
      <c r="F1256" t="str">
        <f ca="1">CONCATENATE("Enter an "&amp; J1256 &amp;" for '", C1256, "' in cell ", D1256, ".", CHAR(10))</f>
        <v xml:space="preserve">Enter an Type of Consultant for 'Consultant (specify)' in cell B212.
</v>
      </c>
      <c r="G125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6" t="b">
        <f>Calculations!$B$2</f>
        <v>0</v>
      </c>
      <c r="I1256" s="9"/>
      <c r="J1256" s="52" t="str">
        <f t="shared" ca="1" si="329"/>
        <v>Type of Consultant</v>
      </c>
      <c r="K1256" s="52">
        <v>2</v>
      </c>
    </row>
    <row r="1257" spans="1:11" ht="15" customHeight="1">
      <c r="A1257" t="str">
        <f t="shared" ca="1" si="330"/>
        <v/>
      </c>
      <c r="B1257" s="52">
        <f t="shared" si="354"/>
        <v>210</v>
      </c>
      <c r="C1257" t="str">
        <f t="shared" ca="1" si="332"/>
        <v>Consultant (specify)</v>
      </c>
      <c r="D1257" t="str">
        <f t="shared" si="328"/>
        <v>B213</v>
      </c>
      <c r="E1257" t="str">
        <f t="shared" ca="1" si="333"/>
        <v/>
      </c>
      <c r="F1257" t="str">
        <f t="shared" ref="F1257:F1262" ca="1" si="355">CONCATENATE("Enter a "&amp; J1257 &amp;" for '", C1257, "' in cell ", D1257, ".", CHAR(10))</f>
        <v xml:space="preserve">Enter a Address for 'Consultant (specify)' in cell B213.
</v>
      </c>
      <c r="G125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7" t="b">
        <f>Calculations!$B$2</f>
        <v>0</v>
      </c>
      <c r="I1257" s="9"/>
      <c r="J1257" s="52" t="str">
        <f t="shared" ca="1" si="329"/>
        <v>Address</v>
      </c>
      <c r="K1257" s="52">
        <v>3</v>
      </c>
    </row>
    <row r="1258" spans="1:11" ht="15" customHeight="1">
      <c r="A1258" t="str">
        <f t="shared" ca="1" si="330"/>
        <v/>
      </c>
      <c r="B1258" s="52">
        <f t="shared" si="354"/>
        <v>210</v>
      </c>
      <c r="C1258" t="str">
        <f t="shared" ca="1" si="332"/>
        <v>Consultant (specify)</v>
      </c>
      <c r="D1258" t="str">
        <f t="shared" si="328"/>
        <v>B214</v>
      </c>
      <c r="E1258" t="str">
        <f t="shared" ca="1" si="333"/>
        <v/>
      </c>
      <c r="F1258" t="str">
        <f t="shared" ca="1" si="355"/>
        <v xml:space="preserve">Enter a City  for 'Consultant (specify)' in cell B214.
</v>
      </c>
      <c r="G125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8" t="b">
        <f>Calculations!$B$2</f>
        <v>0</v>
      </c>
      <c r="I1258" s="9"/>
      <c r="J1258" s="52" t="str">
        <f t="shared" ca="1" si="329"/>
        <v xml:space="preserve">City </v>
      </c>
      <c r="K1258" s="52">
        <v>4</v>
      </c>
    </row>
    <row r="1259" spans="1:11" ht="15" customHeight="1">
      <c r="A1259" t="str">
        <f t="shared" ca="1" si="330"/>
        <v/>
      </c>
      <c r="B1259" s="52">
        <f t="shared" si="354"/>
        <v>210</v>
      </c>
      <c r="C1259" t="str">
        <f t="shared" ca="1" si="332"/>
        <v>Consultant (specify)</v>
      </c>
      <c r="D1259" t="str">
        <f t="shared" si="328"/>
        <v>B215</v>
      </c>
      <c r="E1259" t="str">
        <f t="shared" ca="1" si="333"/>
        <v/>
      </c>
      <c r="F1259" t="str">
        <f t="shared" ca="1" si="355"/>
        <v xml:space="preserve">Enter a State for 'Consultant (specify)' in cell B215.
</v>
      </c>
      <c r="G125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9" t="b">
        <f>Calculations!$B$2</f>
        <v>0</v>
      </c>
      <c r="I1259" s="9"/>
      <c r="J1259" s="52" t="str">
        <f t="shared" ca="1" si="329"/>
        <v>State</v>
      </c>
      <c r="K1259" s="52">
        <v>5</v>
      </c>
    </row>
    <row r="1260" spans="1:11" ht="15" customHeight="1">
      <c r="A1260" t="str">
        <f t="shared" ca="1" si="330"/>
        <v/>
      </c>
      <c r="B1260" s="52">
        <f t="shared" si="354"/>
        <v>210</v>
      </c>
      <c r="C1260" t="str">
        <f t="shared" ca="1" si="332"/>
        <v>Consultant (specify)</v>
      </c>
      <c r="D1260" t="str">
        <f t="shared" si="328"/>
        <v>B216</v>
      </c>
      <c r="E1260" t="str">
        <f t="shared" ca="1" si="333"/>
        <v/>
      </c>
      <c r="F1260" t="str">
        <f t="shared" ca="1" si="355"/>
        <v xml:space="preserve">Enter a Zip (first five #'s only) for 'Consultant (specify)' in cell B216.
</v>
      </c>
      <c r="G126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0" t="b">
        <f>Calculations!$B$2</f>
        <v>0</v>
      </c>
      <c r="I1260" s="9"/>
      <c r="J1260" s="52" t="str">
        <f t="shared" ca="1" si="329"/>
        <v>Zip (first five #'s only)</v>
      </c>
      <c r="K1260" s="52">
        <v>6</v>
      </c>
    </row>
    <row r="1261" spans="1:11" ht="15" customHeight="1">
      <c r="A1261" t="str">
        <f t="shared" ca="1" si="330"/>
        <v/>
      </c>
      <c r="B1261" s="52">
        <f t="shared" si="354"/>
        <v>210</v>
      </c>
      <c r="C1261" t="str">
        <f t="shared" ca="1" si="332"/>
        <v>Consultant (specify)</v>
      </c>
      <c r="D1261" t="str">
        <f t="shared" si="328"/>
        <v>B217</v>
      </c>
      <c r="E1261" t="str">
        <f t="shared" ca="1" si="333"/>
        <v/>
      </c>
      <c r="F1261" t="str">
        <f t="shared" ca="1" si="355"/>
        <v xml:space="preserve">Enter a Contact First Name for 'Consultant (specify)' in cell B217.
</v>
      </c>
      <c r="G126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1" t="b">
        <f>Calculations!$B$2</f>
        <v>0</v>
      </c>
      <c r="I1261" s="9"/>
      <c r="J1261" s="52" t="str">
        <f t="shared" ca="1" si="329"/>
        <v>Contact First Name</v>
      </c>
      <c r="K1261" s="52">
        <v>7</v>
      </c>
    </row>
    <row r="1262" spans="1:11" ht="15" customHeight="1">
      <c r="A1262" t="str">
        <f t="shared" ca="1" si="330"/>
        <v/>
      </c>
      <c r="B1262" s="52">
        <f t="shared" si="354"/>
        <v>210</v>
      </c>
      <c r="C1262" t="str">
        <f t="shared" ca="1" si="332"/>
        <v>Consultant (specify)</v>
      </c>
      <c r="D1262" t="str">
        <f t="shared" si="328"/>
        <v>B218</v>
      </c>
      <c r="E1262" t="str">
        <f t="shared" ca="1" si="333"/>
        <v/>
      </c>
      <c r="F1262" t="str">
        <f t="shared" ca="1" si="355"/>
        <v xml:space="preserve">Enter a Contact Last Name for 'Consultant (specify)' in cell B218.
</v>
      </c>
      <c r="G126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2" t="b">
        <f>Calculations!$B$2</f>
        <v>0</v>
      </c>
      <c r="I1262" s="9"/>
      <c r="J1262" s="52" t="str">
        <f t="shared" ca="1" si="329"/>
        <v>Contact Last Name</v>
      </c>
      <c r="K1262" s="52">
        <v>8</v>
      </c>
    </row>
    <row r="1263" spans="1:11" ht="15" customHeight="1">
      <c r="A1263" t="str">
        <f t="shared" ca="1" si="330"/>
        <v/>
      </c>
      <c r="B1263" s="52">
        <f t="shared" si="354"/>
        <v>210</v>
      </c>
      <c r="C1263" t="str">
        <f t="shared" ca="1" si="332"/>
        <v>Consultant (specify)</v>
      </c>
      <c r="D1263" t="str">
        <f t="shared" si="328"/>
        <v>B219</v>
      </c>
      <c r="E1263" t="str">
        <f t="shared" ca="1" si="333"/>
        <v/>
      </c>
      <c r="F1263" t="str">
        <f ca="1">CONCATENATE("Enter an "&amp; J1263 &amp;" for '", C1263, "' in cell ", D1263, ".", CHAR(10))</f>
        <v xml:space="preserve">Enter an Phone (#'s only) for 'Consultant (specify)' in cell B219.
</v>
      </c>
      <c r="G126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3" t="b">
        <f>Calculations!$B$2</f>
        <v>0</v>
      </c>
      <c r="I1263" s="9"/>
      <c r="J1263" s="52" t="str">
        <f t="shared" ca="1" si="329"/>
        <v>Phone (#'s only)</v>
      </c>
      <c r="K1263" s="52">
        <v>9</v>
      </c>
    </row>
    <row r="1264" spans="1:11" ht="15" customHeight="1">
      <c r="A1264" t="str">
        <f t="shared" ca="1" si="330"/>
        <v/>
      </c>
      <c r="B1264">
        <f>ROW('Contact Information'!B222)</f>
        <v>222</v>
      </c>
      <c r="C1264" t="str">
        <f t="shared" ca="1" si="332"/>
        <v>Consultant (specify)</v>
      </c>
      <c r="D1264" t="str">
        <f t="shared" si="328"/>
        <v>B223</v>
      </c>
      <c r="E1264" t="str">
        <f t="shared" ca="1" si="333"/>
        <v/>
      </c>
      <c r="F1264" t="str">
        <f ca="1">CONCATENATE("Enter a "&amp; J1264 &amp;" for '", C1264, "' in cell ", D1264, ".", CHAR(10))</f>
        <v xml:space="preserve">Enter a Organization for 'Consultant (specify)' in cell B223.
</v>
      </c>
      <c r="G126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4" t="b">
        <f>Calculations!$B$2</f>
        <v>0</v>
      </c>
      <c r="I1264" s="9"/>
      <c r="J1264" s="52" t="str">
        <f t="shared" ca="1" si="329"/>
        <v>Organization</v>
      </c>
      <c r="K1264" s="52">
        <v>1</v>
      </c>
    </row>
    <row r="1265" spans="1:11" ht="15" customHeight="1">
      <c r="A1265" t="str">
        <f t="shared" ca="1" si="330"/>
        <v/>
      </c>
      <c r="B1265" s="52">
        <f t="shared" ref="B1265:B1281" si="356">B1264</f>
        <v>222</v>
      </c>
      <c r="C1265" t="str">
        <f t="shared" ca="1" si="332"/>
        <v>Consultant (specify)</v>
      </c>
      <c r="D1265" t="str">
        <f t="shared" si="328"/>
        <v>B224</v>
      </c>
      <c r="E1265" t="str">
        <f t="shared" ca="1" si="333"/>
        <v/>
      </c>
      <c r="F1265" t="str">
        <f ca="1">CONCATENATE("Enter an "&amp; J1265 &amp;" for '", C1265, "' in cell ", D1265, ".", CHAR(10))</f>
        <v xml:space="preserve">Enter an Type of Consultant for 'Consultant (specify)' in cell B224.
</v>
      </c>
      <c r="G126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5" t="b">
        <f>Calculations!$B$2</f>
        <v>0</v>
      </c>
      <c r="I1265" s="9"/>
      <c r="J1265" s="52" t="str">
        <f t="shared" ca="1" si="329"/>
        <v>Type of Consultant</v>
      </c>
      <c r="K1265" s="52">
        <v>2</v>
      </c>
    </row>
    <row r="1266" spans="1:11" ht="15" customHeight="1">
      <c r="A1266" t="str">
        <f t="shared" ca="1" si="330"/>
        <v/>
      </c>
      <c r="B1266" s="52">
        <f t="shared" si="356"/>
        <v>222</v>
      </c>
      <c r="C1266" t="str">
        <f t="shared" ca="1" si="332"/>
        <v>Consultant (specify)</v>
      </c>
      <c r="D1266" t="str">
        <f t="shared" ref="D1266:D1329" si="357">ADDRESS(B1266+K1266, 2,4  )</f>
        <v>B225</v>
      </c>
      <c r="E1266" t="str">
        <f t="shared" ca="1" si="333"/>
        <v/>
      </c>
      <c r="F1266" t="str">
        <f t="shared" ref="F1266:F1271" ca="1" si="358">CONCATENATE("Enter a "&amp; J1266 &amp;" for '", C1266, "' in cell ", D1266, ".", CHAR(10))</f>
        <v xml:space="preserve">Enter a Address for 'Consultant (specify)' in cell B225.
</v>
      </c>
      <c r="G126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6" t="b">
        <f>Calculations!$B$2</f>
        <v>0</v>
      </c>
      <c r="I1266" s="9"/>
      <c r="J1266" s="52" t="str">
        <f t="shared" ref="J1266:J1329" ca="1" si="359">INDIRECT($F$1101 &amp; ADDRESS(B1266+K1266, 1,4))</f>
        <v>Address</v>
      </c>
      <c r="K1266" s="52">
        <v>3</v>
      </c>
    </row>
    <row r="1267" spans="1:11" ht="15" customHeight="1">
      <c r="A1267" t="str">
        <f t="shared" ref="A1267:A1330" ca="1" si="360">IF(AND(H1267, NOT($E$1104), E1267=""),F1267, "")</f>
        <v/>
      </c>
      <c r="B1267" s="52">
        <f t="shared" si="356"/>
        <v>222</v>
      </c>
      <c r="C1267" t="str">
        <f t="shared" ca="1" si="332"/>
        <v>Consultant (specify)</v>
      </c>
      <c r="D1267" t="str">
        <f t="shared" si="357"/>
        <v>B226</v>
      </c>
      <c r="E1267" t="str">
        <f t="shared" ca="1" si="333"/>
        <v/>
      </c>
      <c r="F1267" t="str">
        <f t="shared" ca="1" si="358"/>
        <v xml:space="preserve">Enter a City  for 'Consultant (specify)' in cell B226.
</v>
      </c>
      <c r="G126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7" t="b">
        <f>Calculations!$B$2</f>
        <v>0</v>
      </c>
      <c r="I1267" s="9"/>
      <c r="J1267" s="52" t="str">
        <f t="shared" ca="1" si="359"/>
        <v xml:space="preserve">City </v>
      </c>
      <c r="K1267" s="52">
        <v>4</v>
      </c>
    </row>
    <row r="1268" spans="1:11" ht="15" customHeight="1">
      <c r="A1268" t="str">
        <f t="shared" ca="1" si="360"/>
        <v/>
      </c>
      <c r="B1268" s="52">
        <f t="shared" si="356"/>
        <v>222</v>
      </c>
      <c r="C1268" t="str">
        <f t="shared" ca="1" si="332"/>
        <v>Consultant (specify)</v>
      </c>
      <c r="D1268" t="str">
        <f t="shared" si="357"/>
        <v>B227</v>
      </c>
      <c r="E1268" t="str">
        <f t="shared" ca="1" si="333"/>
        <v/>
      </c>
      <c r="F1268" t="str">
        <f t="shared" ca="1" si="358"/>
        <v xml:space="preserve">Enter a State for 'Consultant (specify)' in cell B227.
</v>
      </c>
      <c r="G126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8" t="b">
        <f>Calculations!$B$2</f>
        <v>0</v>
      </c>
      <c r="I1268" s="9"/>
      <c r="J1268" s="52" t="str">
        <f t="shared" ca="1" si="359"/>
        <v>State</v>
      </c>
      <c r="K1268" s="52">
        <v>5</v>
      </c>
    </row>
    <row r="1269" spans="1:11" ht="15" customHeight="1">
      <c r="A1269" t="str">
        <f t="shared" ca="1" si="360"/>
        <v/>
      </c>
      <c r="B1269" s="52">
        <f t="shared" si="356"/>
        <v>222</v>
      </c>
      <c r="C1269" t="str">
        <f t="shared" ca="1" si="332"/>
        <v>Consultant (specify)</v>
      </c>
      <c r="D1269" t="str">
        <f t="shared" si="357"/>
        <v>B228</v>
      </c>
      <c r="E1269" t="str">
        <f t="shared" ca="1" si="333"/>
        <v/>
      </c>
      <c r="F1269" t="str">
        <f t="shared" ca="1" si="358"/>
        <v xml:space="preserve">Enter a Zip (first five #'s only) for 'Consultant (specify)' in cell B228.
</v>
      </c>
      <c r="G126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9" t="b">
        <f>Calculations!$B$2</f>
        <v>0</v>
      </c>
      <c r="I1269" s="9"/>
      <c r="J1269" s="52" t="str">
        <f t="shared" ca="1" si="359"/>
        <v>Zip (first five #'s only)</v>
      </c>
      <c r="K1269" s="52">
        <v>6</v>
      </c>
    </row>
    <row r="1270" spans="1:11" ht="15" customHeight="1">
      <c r="A1270" t="str">
        <f t="shared" ca="1" si="360"/>
        <v/>
      </c>
      <c r="B1270" s="52">
        <f t="shared" si="356"/>
        <v>222</v>
      </c>
      <c r="C1270" t="str">
        <f t="shared" ca="1" si="332"/>
        <v>Consultant (specify)</v>
      </c>
      <c r="D1270" t="str">
        <f t="shared" si="357"/>
        <v>B229</v>
      </c>
      <c r="E1270" t="str">
        <f t="shared" ca="1" si="333"/>
        <v/>
      </c>
      <c r="F1270" t="str">
        <f t="shared" ca="1" si="358"/>
        <v xml:space="preserve">Enter a Contact First Name for 'Consultant (specify)' in cell B229.
</v>
      </c>
      <c r="G127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0" t="b">
        <f>Calculations!$B$2</f>
        <v>0</v>
      </c>
      <c r="I1270" s="9"/>
      <c r="J1270" s="52" t="str">
        <f t="shared" ca="1" si="359"/>
        <v>Contact First Name</v>
      </c>
      <c r="K1270" s="52">
        <v>7</v>
      </c>
    </row>
    <row r="1271" spans="1:11" ht="15" customHeight="1">
      <c r="A1271" t="str">
        <f t="shared" ca="1" si="360"/>
        <v/>
      </c>
      <c r="B1271" s="52">
        <f t="shared" si="356"/>
        <v>222</v>
      </c>
      <c r="C1271" t="str">
        <f t="shared" ca="1" si="332"/>
        <v>Consultant (specify)</v>
      </c>
      <c r="D1271" t="str">
        <f t="shared" si="357"/>
        <v>B230</v>
      </c>
      <c r="E1271" t="str">
        <f t="shared" ca="1" si="333"/>
        <v/>
      </c>
      <c r="F1271" t="str">
        <f t="shared" ca="1" si="358"/>
        <v xml:space="preserve">Enter a Contact Last Name for 'Consultant (specify)' in cell B230.
</v>
      </c>
      <c r="G127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1" t="b">
        <f>Calculations!$B$2</f>
        <v>0</v>
      </c>
      <c r="I1271" s="9"/>
      <c r="J1271" s="52" t="str">
        <f t="shared" ca="1" si="359"/>
        <v>Contact Last Name</v>
      </c>
      <c r="K1271" s="52">
        <v>8</v>
      </c>
    </row>
    <row r="1272" spans="1:11" ht="15" customHeight="1">
      <c r="A1272" t="str">
        <f t="shared" ca="1" si="360"/>
        <v/>
      </c>
      <c r="B1272" s="52">
        <f t="shared" si="356"/>
        <v>222</v>
      </c>
      <c r="C1272" t="str">
        <f t="shared" ca="1" si="332"/>
        <v>Consultant (specify)</v>
      </c>
      <c r="D1272" t="str">
        <f t="shared" si="357"/>
        <v>B231</v>
      </c>
      <c r="E1272" t="str">
        <f t="shared" ca="1" si="333"/>
        <v/>
      </c>
      <c r="F1272" t="str">
        <f t="shared" ref="F1272:F1281" ca="1" si="361">CONCATENATE("Enter an "&amp; J1272 &amp;" for '", C1272, "' in cell ", D1272, ".", CHAR(10))</f>
        <v xml:space="preserve">Enter an Phone (#'s only) for 'Consultant (specify)' in cell B231.
</v>
      </c>
      <c r="G127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2" t="b">
        <f>Calculations!$B$2</f>
        <v>0</v>
      </c>
      <c r="I1272" s="9"/>
      <c r="J1272" s="52" t="str">
        <f t="shared" ca="1" si="359"/>
        <v>Phone (#'s only)</v>
      </c>
      <c r="K1272" s="52">
        <v>9</v>
      </c>
    </row>
    <row r="1273" spans="1:11" ht="15" customHeight="1">
      <c r="A1273" t="str">
        <f t="shared" ca="1" si="360"/>
        <v/>
      </c>
      <c r="B1273">
        <f>ROW('Contact Information'!B234)</f>
        <v>234</v>
      </c>
      <c r="C1273" t="str">
        <f t="shared" ref="C1273:C1281" ca="1" si="362">INDIRECT($F$1101 &amp; ADDRESS(B1273, 1,4  ))</f>
        <v>Tax Attorney Firm</v>
      </c>
      <c r="D1273" t="str">
        <f t="shared" si="357"/>
        <v>B235</v>
      </c>
      <c r="E1273" t="str">
        <f t="shared" ref="E1273:E1281" ca="1" si="363">IF(ISBLANK( INDIRECT($F$1101 &amp; D1273)),"", INDIRECT($F$1101 &amp; D1273))</f>
        <v/>
      </c>
      <c r="F1273" t="str">
        <f t="shared" ca="1" si="361"/>
        <v xml:space="preserve">Enter an Organization for 'Tax Attorney Firm' in cell B235.
</v>
      </c>
      <c r="G1273" s="9" t="str">
        <f t="shared" ref="G1273:G1281" ca="1" si="364">OFFSET(G1273, -1, 0) &amp; A1273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3" t="b">
        <f>TRUE</f>
        <v>1</v>
      </c>
      <c r="I1273" s="9"/>
      <c r="J1273" s="52" t="str">
        <f t="shared" ca="1" si="359"/>
        <v>Organization</v>
      </c>
      <c r="K1273" s="52">
        <v>1</v>
      </c>
    </row>
    <row r="1274" spans="1:11" ht="15" customHeight="1">
      <c r="A1274" t="str">
        <f t="shared" ca="1" si="360"/>
        <v/>
      </c>
      <c r="B1274" s="52">
        <f t="shared" si="356"/>
        <v>234</v>
      </c>
      <c r="C1274" t="str">
        <f t="shared" ca="1" si="362"/>
        <v>Tax Attorney Firm</v>
      </c>
      <c r="D1274" t="str">
        <f t="shared" si="357"/>
        <v>B236</v>
      </c>
      <c r="E1274" t="str">
        <f t="shared" ca="1" si="363"/>
        <v/>
      </c>
      <c r="F1274" t="str">
        <f t="shared" ca="1" si="361"/>
        <v xml:space="preserve">Enter an Address for 'Tax Attorney Firm' in cell B236.
</v>
      </c>
      <c r="G1274"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4" t="b">
        <f>TRUE</f>
        <v>1</v>
      </c>
      <c r="I1274" s="9"/>
      <c r="J1274" s="52" t="str">
        <f t="shared" ca="1" si="359"/>
        <v>Address</v>
      </c>
      <c r="K1274" s="52">
        <v>2</v>
      </c>
    </row>
    <row r="1275" spans="1:11" ht="15" customHeight="1">
      <c r="A1275" t="str">
        <f t="shared" ca="1" si="360"/>
        <v/>
      </c>
      <c r="B1275" s="52">
        <f t="shared" si="356"/>
        <v>234</v>
      </c>
      <c r="C1275" t="str">
        <f t="shared" ca="1" si="362"/>
        <v>Tax Attorney Firm</v>
      </c>
      <c r="D1275" t="str">
        <f t="shared" si="357"/>
        <v>B237</v>
      </c>
      <c r="E1275" t="str">
        <f t="shared" ca="1" si="363"/>
        <v/>
      </c>
      <c r="F1275" t="str">
        <f t="shared" ca="1" si="361"/>
        <v xml:space="preserve">Enter an City  for 'Tax Attorney Firm' in cell B237.
</v>
      </c>
      <c r="G1275"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5" t="b">
        <f>TRUE</f>
        <v>1</v>
      </c>
      <c r="I1275" s="9"/>
      <c r="J1275" s="52" t="str">
        <f t="shared" ca="1" si="359"/>
        <v xml:space="preserve">City </v>
      </c>
      <c r="K1275" s="52">
        <v>3</v>
      </c>
    </row>
    <row r="1276" spans="1:11" ht="15" customHeight="1">
      <c r="A1276" t="str">
        <f t="shared" ca="1" si="360"/>
        <v/>
      </c>
      <c r="B1276" s="52">
        <f t="shared" si="356"/>
        <v>234</v>
      </c>
      <c r="C1276" t="str">
        <f t="shared" ca="1" si="362"/>
        <v>Tax Attorney Firm</v>
      </c>
      <c r="D1276" t="str">
        <f t="shared" si="357"/>
        <v>B238</v>
      </c>
      <c r="E1276" t="str">
        <f t="shared" ca="1" si="363"/>
        <v/>
      </c>
      <c r="F1276" t="str">
        <f t="shared" ca="1" si="361"/>
        <v xml:space="preserve">Enter an State for 'Tax Attorney Firm' in cell B238.
</v>
      </c>
      <c r="G1276"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6" t="b">
        <f>TRUE</f>
        <v>1</v>
      </c>
      <c r="I1276" s="9"/>
      <c r="J1276" s="52" t="str">
        <f t="shared" ca="1" si="359"/>
        <v>State</v>
      </c>
      <c r="K1276" s="52">
        <v>4</v>
      </c>
    </row>
    <row r="1277" spans="1:11" ht="15" customHeight="1">
      <c r="A1277" t="str">
        <f t="shared" ca="1" si="360"/>
        <v/>
      </c>
      <c r="B1277" s="52">
        <f t="shared" si="356"/>
        <v>234</v>
      </c>
      <c r="C1277" t="str">
        <f t="shared" ca="1" si="362"/>
        <v>Tax Attorney Firm</v>
      </c>
      <c r="D1277" t="str">
        <f t="shared" si="357"/>
        <v>B239</v>
      </c>
      <c r="E1277" t="str">
        <f t="shared" ca="1" si="363"/>
        <v/>
      </c>
      <c r="F1277" t="str">
        <f t="shared" ca="1" si="361"/>
        <v xml:space="preserve">Enter an Zip (first five #'s only) for 'Tax Attorney Firm' in cell B239.
</v>
      </c>
      <c r="G1277"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7" t="b">
        <f>TRUE</f>
        <v>1</v>
      </c>
      <c r="I1277" s="9"/>
      <c r="J1277" s="52" t="str">
        <f t="shared" ca="1" si="359"/>
        <v>Zip (first five #'s only)</v>
      </c>
      <c r="K1277" s="52">
        <v>5</v>
      </c>
    </row>
    <row r="1278" spans="1:11" ht="15" customHeight="1">
      <c r="A1278" t="str">
        <f t="shared" ca="1" si="360"/>
        <v/>
      </c>
      <c r="B1278" s="52">
        <f t="shared" si="356"/>
        <v>234</v>
      </c>
      <c r="C1278" t="str">
        <f t="shared" ca="1" si="362"/>
        <v>Tax Attorney Firm</v>
      </c>
      <c r="D1278" t="str">
        <f t="shared" si="357"/>
        <v>B240</v>
      </c>
      <c r="E1278" t="str">
        <f t="shared" ca="1" si="363"/>
        <v/>
      </c>
      <c r="F1278" t="str">
        <f t="shared" ca="1" si="361"/>
        <v xml:space="preserve">Enter an Contact First Name for 'Tax Attorney Firm' in cell B240.
</v>
      </c>
      <c r="G1278"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8" t="b">
        <f>TRUE</f>
        <v>1</v>
      </c>
      <c r="I1278" s="9"/>
      <c r="J1278" s="52" t="str">
        <f t="shared" ca="1" si="359"/>
        <v>Contact First Name</v>
      </c>
      <c r="K1278" s="52">
        <v>6</v>
      </c>
    </row>
    <row r="1279" spans="1:11" ht="15" customHeight="1">
      <c r="A1279" t="str">
        <f t="shared" ca="1" si="360"/>
        <v/>
      </c>
      <c r="B1279" s="52">
        <f t="shared" si="356"/>
        <v>234</v>
      </c>
      <c r="C1279" t="str">
        <f t="shared" ca="1" si="362"/>
        <v>Tax Attorney Firm</v>
      </c>
      <c r="D1279" t="str">
        <f t="shared" si="357"/>
        <v>B241</v>
      </c>
      <c r="E1279" t="str">
        <f t="shared" ca="1" si="363"/>
        <v/>
      </c>
      <c r="F1279" t="str">
        <f t="shared" ca="1" si="361"/>
        <v xml:space="preserve">Enter an Contact Last Name for 'Tax Attorney Firm' in cell B241.
</v>
      </c>
      <c r="G1279"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9" t="b">
        <f>TRUE</f>
        <v>1</v>
      </c>
      <c r="I1279" s="9"/>
      <c r="J1279" s="52" t="str">
        <f t="shared" ca="1" si="359"/>
        <v>Contact Last Name</v>
      </c>
      <c r="K1279" s="52">
        <v>7</v>
      </c>
    </row>
    <row r="1280" spans="1:11" ht="15" customHeight="1">
      <c r="A1280" t="str">
        <f t="shared" ca="1" si="360"/>
        <v/>
      </c>
      <c r="B1280" s="52">
        <f t="shared" si="356"/>
        <v>234</v>
      </c>
      <c r="C1280" t="str">
        <f t="shared" ca="1" si="362"/>
        <v>Tax Attorney Firm</v>
      </c>
      <c r="D1280" t="str">
        <f t="shared" si="357"/>
        <v>B242</v>
      </c>
      <c r="E1280" t="str">
        <f t="shared" ca="1" si="363"/>
        <v/>
      </c>
      <c r="F1280" t="str">
        <f t="shared" ca="1" si="361"/>
        <v xml:space="preserve">Enter an Phone (#'s only) for 'Tax Attorney Firm' in cell B242.
</v>
      </c>
      <c r="G1280"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0" t="b">
        <f>TRUE</f>
        <v>1</v>
      </c>
      <c r="I1280" s="9"/>
      <c r="J1280" s="52" t="str">
        <f t="shared" ca="1" si="359"/>
        <v>Phone (#'s only)</v>
      </c>
      <c r="K1280" s="52">
        <v>8</v>
      </c>
    </row>
    <row r="1281" spans="1:11" ht="15" customHeight="1">
      <c r="A1281" t="str">
        <f t="shared" ca="1" si="360"/>
        <v/>
      </c>
      <c r="B1281" s="52">
        <f t="shared" si="356"/>
        <v>234</v>
      </c>
      <c r="C1281" t="str">
        <f t="shared" ca="1" si="362"/>
        <v>Tax Attorney Firm</v>
      </c>
      <c r="D1281" t="str">
        <f t="shared" si="357"/>
        <v>B243</v>
      </c>
      <c r="E1281" t="str">
        <f t="shared" ca="1" si="363"/>
        <v/>
      </c>
      <c r="F1281" t="str">
        <f t="shared" ca="1" si="361"/>
        <v xml:space="preserve">Enter an Email for 'Tax Attorney Firm' in cell B243.
</v>
      </c>
      <c r="G1281"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1" t="b">
        <f>TRUE</f>
        <v>1</v>
      </c>
      <c r="I1281" s="9"/>
      <c r="J1281" s="52" t="str">
        <f t="shared" ca="1" si="359"/>
        <v>Email</v>
      </c>
      <c r="K1281" s="52">
        <v>9</v>
      </c>
    </row>
    <row r="1282" spans="1:11" ht="15" customHeight="1">
      <c r="A1282" t="str">
        <f t="shared" ca="1" si="360"/>
        <v/>
      </c>
      <c r="B1282">
        <f>ROW('Contact Information'!B245)</f>
        <v>245</v>
      </c>
      <c r="C1282" t="str">
        <f t="shared" ca="1" si="332"/>
        <v>CPA Firm</v>
      </c>
      <c r="D1282" t="str">
        <f t="shared" si="357"/>
        <v>B246</v>
      </c>
      <c r="E1282" t="str">
        <f t="shared" ca="1" si="333"/>
        <v/>
      </c>
      <c r="F1282" t="str">
        <f ca="1">CONCATENATE("Enter a "&amp; J1282 &amp;" for '", C1282, "' in cell ", D1282, ".", CHAR(10))</f>
        <v xml:space="preserve">Enter a Organization for 'CPA Firm' in cell B246.
</v>
      </c>
      <c r="G128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2" t="b">
        <f>TRUE</f>
        <v>1</v>
      </c>
      <c r="I1282" s="9"/>
      <c r="J1282" s="52" t="str">
        <f t="shared" ca="1" si="359"/>
        <v>Organization</v>
      </c>
      <c r="K1282" s="52">
        <v>1</v>
      </c>
    </row>
    <row r="1283" spans="1:11" ht="15" customHeight="1">
      <c r="A1283" t="str">
        <f t="shared" ca="1" si="360"/>
        <v/>
      </c>
      <c r="B1283" s="52">
        <f t="shared" ref="B1283:B1299" si="365">B1282</f>
        <v>245</v>
      </c>
      <c r="C1283" t="str">
        <f t="shared" ca="1" si="332"/>
        <v>CPA Firm</v>
      </c>
      <c r="D1283" t="str">
        <f t="shared" si="357"/>
        <v>B247</v>
      </c>
      <c r="E1283" t="str">
        <f t="shared" ca="1" si="333"/>
        <v/>
      </c>
      <c r="F1283" t="str">
        <f ca="1">CONCATENATE("Enter an "&amp; J1283 &amp;" for '", C1283, "' in cell ", D1283, ".", CHAR(10))</f>
        <v xml:space="preserve">Enter an Address for 'CPA Firm' in cell B247.
</v>
      </c>
      <c r="G128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3" t="b">
        <f>TRUE</f>
        <v>1</v>
      </c>
      <c r="I1283" s="9"/>
      <c r="J1283" s="52" t="str">
        <f t="shared" ca="1" si="359"/>
        <v>Address</v>
      </c>
      <c r="K1283" s="52">
        <v>2</v>
      </c>
    </row>
    <row r="1284" spans="1:11" ht="15" customHeight="1">
      <c r="A1284" t="str">
        <f t="shared" ca="1" si="360"/>
        <v/>
      </c>
      <c r="B1284" s="52">
        <f t="shared" si="365"/>
        <v>245</v>
      </c>
      <c r="C1284" t="str">
        <f t="shared" ref="C1284:C1370" ca="1" si="366">INDIRECT($F$1101 &amp; ADDRESS(B1284, 1,4  ))</f>
        <v>CPA Firm</v>
      </c>
      <c r="D1284" t="str">
        <f t="shared" si="357"/>
        <v>B248</v>
      </c>
      <c r="E1284" t="str">
        <f t="shared" ref="E1284:E1370" ca="1" si="367">IF(ISBLANK( INDIRECT($F$1101 &amp; D1284)),"", INDIRECT($F$1101 &amp; D1284))</f>
        <v/>
      </c>
      <c r="F1284" t="str">
        <f t="shared" ref="F1284:F1289" ca="1" si="368">CONCATENATE("Enter a "&amp; J1284 &amp;" for '", C1284, "' in cell ", D1284, ".", CHAR(10))</f>
        <v xml:space="preserve">Enter a City  for 'CPA Firm' in cell B248.
</v>
      </c>
      <c r="G128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4" t="b">
        <f>TRUE</f>
        <v>1</v>
      </c>
      <c r="I1284" s="9"/>
      <c r="J1284" s="52" t="str">
        <f t="shared" ca="1" si="359"/>
        <v xml:space="preserve">City </v>
      </c>
      <c r="K1284" s="52">
        <v>3</v>
      </c>
    </row>
    <row r="1285" spans="1:11" ht="15" customHeight="1">
      <c r="A1285" t="str">
        <f t="shared" ca="1" si="360"/>
        <v/>
      </c>
      <c r="B1285" s="52">
        <f t="shared" si="365"/>
        <v>245</v>
      </c>
      <c r="C1285" t="str">
        <f t="shared" ca="1" si="366"/>
        <v>CPA Firm</v>
      </c>
      <c r="D1285" t="str">
        <f t="shared" si="357"/>
        <v>B249</v>
      </c>
      <c r="E1285" t="str">
        <f t="shared" ca="1" si="367"/>
        <v/>
      </c>
      <c r="F1285" t="str">
        <f t="shared" ca="1" si="368"/>
        <v xml:space="preserve">Enter a State for 'CPA Firm' in cell B249.
</v>
      </c>
      <c r="G128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5" t="b">
        <f>TRUE</f>
        <v>1</v>
      </c>
      <c r="I1285" s="9"/>
      <c r="J1285" s="52" t="str">
        <f t="shared" ca="1" si="359"/>
        <v>State</v>
      </c>
      <c r="K1285" s="52">
        <v>4</v>
      </c>
    </row>
    <row r="1286" spans="1:11" ht="15" customHeight="1">
      <c r="A1286" t="str">
        <f t="shared" ca="1" si="360"/>
        <v/>
      </c>
      <c r="B1286" s="52">
        <f t="shared" si="365"/>
        <v>245</v>
      </c>
      <c r="C1286" t="str">
        <f t="shared" ca="1" si="366"/>
        <v>CPA Firm</v>
      </c>
      <c r="D1286" t="str">
        <f t="shared" si="357"/>
        <v>B250</v>
      </c>
      <c r="E1286" t="str">
        <f t="shared" ca="1" si="367"/>
        <v/>
      </c>
      <c r="F1286" t="str">
        <f t="shared" ca="1" si="368"/>
        <v xml:space="preserve">Enter a Zip (first five #'s only) for 'CPA Firm' in cell B250.
</v>
      </c>
      <c r="G128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6" t="b">
        <f>TRUE</f>
        <v>1</v>
      </c>
      <c r="I1286" s="9"/>
      <c r="J1286" s="52" t="str">
        <f t="shared" ca="1" si="359"/>
        <v>Zip (first five #'s only)</v>
      </c>
      <c r="K1286" s="52">
        <v>5</v>
      </c>
    </row>
    <row r="1287" spans="1:11" ht="15" customHeight="1">
      <c r="A1287" t="str">
        <f t="shared" ca="1" si="360"/>
        <v/>
      </c>
      <c r="B1287" s="52">
        <f t="shared" si="365"/>
        <v>245</v>
      </c>
      <c r="C1287" t="str">
        <f t="shared" ca="1" si="366"/>
        <v>CPA Firm</v>
      </c>
      <c r="D1287" t="str">
        <f t="shared" si="357"/>
        <v>B251</v>
      </c>
      <c r="E1287" t="str">
        <f t="shared" ca="1" si="367"/>
        <v/>
      </c>
      <c r="F1287" t="str">
        <f t="shared" ca="1" si="368"/>
        <v xml:space="preserve">Enter a Contact First Name for 'CPA Firm' in cell B251.
</v>
      </c>
      <c r="G128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7" t="b">
        <f>TRUE</f>
        <v>1</v>
      </c>
      <c r="I1287" s="9"/>
      <c r="J1287" s="52" t="str">
        <f t="shared" ca="1" si="359"/>
        <v>Contact First Name</v>
      </c>
      <c r="K1287" s="52">
        <v>6</v>
      </c>
    </row>
    <row r="1288" spans="1:11" ht="15" customHeight="1">
      <c r="A1288" t="str">
        <f t="shared" ca="1" si="360"/>
        <v/>
      </c>
      <c r="B1288" s="52">
        <f t="shared" si="365"/>
        <v>245</v>
      </c>
      <c r="C1288" t="str">
        <f t="shared" ca="1" si="366"/>
        <v>CPA Firm</v>
      </c>
      <c r="D1288" t="str">
        <f t="shared" si="357"/>
        <v>B252</v>
      </c>
      <c r="E1288" t="str">
        <f t="shared" ca="1" si="367"/>
        <v/>
      </c>
      <c r="F1288" t="str">
        <f t="shared" ca="1" si="368"/>
        <v xml:space="preserve">Enter a Contact Last Name for 'CPA Firm' in cell B252.
</v>
      </c>
      <c r="G128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8" t="b">
        <f>TRUE</f>
        <v>1</v>
      </c>
      <c r="I1288" s="9"/>
      <c r="J1288" s="52" t="str">
        <f t="shared" ca="1" si="359"/>
        <v>Contact Last Name</v>
      </c>
      <c r="K1288" s="52">
        <v>7</v>
      </c>
    </row>
    <row r="1289" spans="1:11" ht="15" customHeight="1">
      <c r="A1289" t="str">
        <f t="shared" ca="1" si="360"/>
        <v/>
      </c>
      <c r="B1289" s="52">
        <f t="shared" si="365"/>
        <v>245</v>
      </c>
      <c r="C1289" t="str">
        <f t="shared" ca="1" si="366"/>
        <v>CPA Firm</v>
      </c>
      <c r="D1289" t="str">
        <f t="shared" si="357"/>
        <v>B253</v>
      </c>
      <c r="E1289" t="str">
        <f t="shared" ca="1" si="367"/>
        <v/>
      </c>
      <c r="F1289" t="str">
        <f t="shared" ca="1" si="368"/>
        <v xml:space="preserve">Enter a Phone (#'s only) for 'CPA Firm' in cell B253.
</v>
      </c>
      <c r="G128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9" t="b">
        <f>TRUE</f>
        <v>1</v>
      </c>
      <c r="I1289" s="9"/>
      <c r="J1289" s="52" t="str">
        <f t="shared" ca="1" si="359"/>
        <v>Phone (#'s only)</v>
      </c>
      <c r="K1289" s="52">
        <v>8</v>
      </c>
    </row>
    <row r="1290" spans="1:11" ht="15" customHeight="1">
      <c r="A1290" t="str">
        <f t="shared" ca="1" si="360"/>
        <v/>
      </c>
      <c r="B1290" s="52">
        <f t="shared" si="365"/>
        <v>245</v>
      </c>
      <c r="C1290" t="str">
        <f t="shared" ca="1" si="366"/>
        <v>CPA Firm</v>
      </c>
      <c r="D1290" t="str">
        <f t="shared" si="357"/>
        <v>B254</v>
      </c>
      <c r="E1290" t="str">
        <f t="shared" ca="1" si="367"/>
        <v/>
      </c>
      <c r="F1290" t="str">
        <f ca="1">CONCATENATE("Enter an "&amp; J1290 &amp;" for '", C1290, "' in cell ", D1290, ".", CHAR(10))</f>
        <v xml:space="preserve">Enter an Email for 'CPA Firm' in cell B254.
</v>
      </c>
      <c r="G129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0" t="b">
        <f>TRUE</f>
        <v>1</v>
      </c>
      <c r="I1290" s="9"/>
      <c r="J1290" s="52" t="str">
        <f t="shared" ca="1" si="359"/>
        <v>Email</v>
      </c>
      <c r="K1290" s="52">
        <v>9</v>
      </c>
    </row>
    <row r="1291" spans="1:11" ht="15" customHeight="1">
      <c r="A1291" t="str">
        <f t="shared" ca="1" si="360"/>
        <v/>
      </c>
      <c r="B1291">
        <f>ROW('Contact Information'!B256)</f>
        <v>256</v>
      </c>
      <c r="C1291" t="str">
        <f t="shared" ca="1" si="366"/>
        <v>Architect Firm</v>
      </c>
      <c r="D1291" t="str">
        <f t="shared" si="357"/>
        <v>B257</v>
      </c>
      <c r="E1291" t="str">
        <f t="shared" ca="1" si="367"/>
        <v/>
      </c>
      <c r="F1291" t="str">
        <f ca="1">CONCATENATE("Enter a "&amp; J1291 &amp;" for '", C1291, "' in cell ", D1291, ".", CHAR(10))</f>
        <v xml:space="preserve">Enter a Organization for 'Architect Firm' in cell B257.
</v>
      </c>
      <c r="G1291" s="9" t="str">
        <f t="shared" ref="G1291:G1299" ca="1" si="369">OFFSET(G1291, -1, 0) &amp; A1291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1" t="b">
        <f>TRUE</f>
        <v>1</v>
      </c>
      <c r="I1291" s="9"/>
      <c r="J1291" s="52" t="str">
        <f t="shared" ca="1" si="359"/>
        <v>Organization</v>
      </c>
      <c r="K1291" s="52">
        <v>1</v>
      </c>
    </row>
    <row r="1292" spans="1:11" ht="15" customHeight="1">
      <c r="A1292" t="str">
        <f t="shared" ca="1" si="360"/>
        <v/>
      </c>
      <c r="B1292" s="52">
        <f t="shared" si="365"/>
        <v>256</v>
      </c>
      <c r="C1292" t="str">
        <f t="shared" ca="1" si="366"/>
        <v>Architect Firm</v>
      </c>
      <c r="D1292" t="str">
        <f t="shared" si="357"/>
        <v>B258</v>
      </c>
      <c r="E1292" t="str">
        <f t="shared" ca="1" si="367"/>
        <v/>
      </c>
      <c r="F1292" t="str">
        <f ca="1">CONCATENATE("Enter an "&amp; J1292 &amp;" for '", C1292, "' in cell ", D1292, ".", CHAR(10))</f>
        <v xml:space="preserve">Enter an Address for 'Architect Firm' in cell B258.
</v>
      </c>
      <c r="G1292"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2" t="b">
        <f>TRUE</f>
        <v>1</v>
      </c>
      <c r="I1292" s="9"/>
      <c r="J1292" s="52" t="str">
        <f t="shared" ca="1" si="359"/>
        <v>Address</v>
      </c>
      <c r="K1292" s="52">
        <v>2</v>
      </c>
    </row>
    <row r="1293" spans="1:11" ht="15" customHeight="1">
      <c r="A1293" t="str">
        <f t="shared" ca="1" si="360"/>
        <v/>
      </c>
      <c r="B1293" s="52">
        <f t="shared" si="365"/>
        <v>256</v>
      </c>
      <c r="C1293" t="str">
        <f t="shared" ref="C1293:C1299" ca="1" si="370">INDIRECT($F$1101 &amp; ADDRESS(B1293, 1,4  ))</f>
        <v>Architect Firm</v>
      </c>
      <c r="D1293" t="str">
        <f t="shared" si="357"/>
        <v>B259</v>
      </c>
      <c r="E1293" t="str">
        <f t="shared" ref="E1293:E1299" ca="1" si="371">IF(ISBLANK( INDIRECT($F$1101 &amp; D1293)),"", INDIRECT($F$1101 &amp; D1293))</f>
        <v/>
      </c>
      <c r="F1293" t="str">
        <f t="shared" ref="F1293:F1298" ca="1" si="372">CONCATENATE("Enter a "&amp; J1293 &amp;" for '", C1293, "' in cell ", D1293, ".", CHAR(10))</f>
        <v xml:space="preserve">Enter a City  for 'Architect Firm' in cell B259.
</v>
      </c>
      <c r="G1293"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3" t="b">
        <f>TRUE</f>
        <v>1</v>
      </c>
      <c r="I1293" s="9"/>
      <c r="J1293" s="52" t="str">
        <f t="shared" ca="1" si="359"/>
        <v xml:space="preserve">City </v>
      </c>
      <c r="K1293" s="52">
        <v>3</v>
      </c>
    </row>
    <row r="1294" spans="1:11" ht="15" customHeight="1">
      <c r="A1294" t="str">
        <f t="shared" ca="1" si="360"/>
        <v/>
      </c>
      <c r="B1294" s="52">
        <f t="shared" si="365"/>
        <v>256</v>
      </c>
      <c r="C1294" t="str">
        <f t="shared" ca="1" si="370"/>
        <v>Architect Firm</v>
      </c>
      <c r="D1294" t="str">
        <f t="shared" si="357"/>
        <v>B260</v>
      </c>
      <c r="E1294" t="str">
        <f t="shared" ca="1" si="371"/>
        <v/>
      </c>
      <c r="F1294" t="str">
        <f t="shared" ca="1" si="372"/>
        <v xml:space="preserve">Enter a State for 'Architect Firm' in cell B260.
</v>
      </c>
      <c r="G1294"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4" t="b">
        <f>TRUE</f>
        <v>1</v>
      </c>
      <c r="I1294" s="9"/>
      <c r="J1294" s="52" t="str">
        <f t="shared" ca="1" si="359"/>
        <v>State</v>
      </c>
      <c r="K1294" s="52">
        <v>4</v>
      </c>
    </row>
    <row r="1295" spans="1:11" ht="15" customHeight="1">
      <c r="A1295" t="str">
        <f t="shared" ca="1" si="360"/>
        <v/>
      </c>
      <c r="B1295" s="52">
        <f t="shared" si="365"/>
        <v>256</v>
      </c>
      <c r="C1295" t="str">
        <f t="shared" ca="1" si="370"/>
        <v>Architect Firm</v>
      </c>
      <c r="D1295" t="str">
        <f t="shared" si="357"/>
        <v>B261</v>
      </c>
      <c r="E1295" t="str">
        <f t="shared" ca="1" si="371"/>
        <v/>
      </c>
      <c r="F1295" t="str">
        <f t="shared" ca="1" si="372"/>
        <v xml:space="preserve">Enter a Zip (first five #'s only) for 'Architect Firm' in cell B261.
</v>
      </c>
      <c r="G1295"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5" t="b">
        <f>TRUE</f>
        <v>1</v>
      </c>
      <c r="I1295" s="9"/>
      <c r="J1295" s="52" t="str">
        <f t="shared" ca="1" si="359"/>
        <v>Zip (first five #'s only)</v>
      </c>
      <c r="K1295" s="52">
        <v>5</v>
      </c>
    </row>
    <row r="1296" spans="1:11" ht="15" customHeight="1">
      <c r="A1296" t="str">
        <f t="shared" ca="1" si="360"/>
        <v/>
      </c>
      <c r="B1296" s="52">
        <f t="shared" si="365"/>
        <v>256</v>
      </c>
      <c r="C1296" t="str">
        <f t="shared" ca="1" si="370"/>
        <v>Architect Firm</v>
      </c>
      <c r="D1296" t="str">
        <f t="shared" si="357"/>
        <v>B262</v>
      </c>
      <c r="E1296" t="str">
        <f t="shared" ca="1" si="371"/>
        <v/>
      </c>
      <c r="F1296" t="str">
        <f t="shared" ca="1" si="372"/>
        <v xml:space="preserve">Enter a Contact First Name for 'Architect Firm' in cell B262.
</v>
      </c>
      <c r="G1296"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6" t="b">
        <f>TRUE</f>
        <v>1</v>
      </c>
      <c r="I1296" s="9"/>
      <c r="J1296" s="52" t="str">
        <f t="shared" ca="1" si="359"/>
        <v>Contact First Name</v>
      </c>
      <c r="K1296" s="52">
        <v>6</v>
      </c>
    </row>
    <row r="1297" spans="1:11" ht="15" customHeight="1">
      <c r="A1297" t="str">
        <f t="shared" ca="1" si="360"/>
        <v/>
      </c>
      <c r="B1297" s="52">
        <f t="shared" si="365"/>
        <v>256</v>
      </c>
      <c r="C1297" t="str">
        <f t="shared" ca="1" si="370"/>
        <v>Architect Firm</v>
      </c>
      <c r="D1297" t="str">
        <f t="shared" si="357"/>
        <v>B263</v>
      </c>
      <c r="E1297" t="str">
        <f t="shared" ca="1" si="371"/>
        <v/>
      </c>
      <c r="F1297" t="str">
        <f t="shared" ca="1" si="372"/>
        <v xml:space="preserve">Enter a Contact Last Name for 'Architect Firm' in cell B263.
</v>
      </c>
      <c r="G1297"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7" t="b">
        <f>TRUE</f>
        <v>1</v>
      </c>
      <c r="I1297" s="9"/>
      <c r="J1297" s="52" t="str">
        <f t="shared" ca="1" si="359"/>
        <v>Contact Last Name</v>
      </c>
      <c r="K1297" s="52">
        <v>7</v>
      </c>
    </row>
    <row r="1298" spans="1:11" ht="15" customHeight="1">
      <c r="A1298" t="str">
        <f t="shared" ca="1" si="360"/>
        <v/>
      </c>
      <c r="B1298" s="52">
        <f t="shared" si="365"/>
        <v>256</v>
      </c>
      <c r="C1298" t="str">
        <f t="shared" ca="1" si="370"/>
        <v>Architect Firm</v>
      </c>
      <c r="D1298" t="str">
        <f t="shared" si="357"/>
        <v>B264</v>
      </c>
      <c r="E1298" t="str">
        <f t="shared" ca="1" si="371"/>
        <v/>
      </c>
      <c r="F1298" t="str">
        <f t="shared" ca="1" si="372"/>
        <v xml:space="preserve">Enter a Phone (#'s only) for 'Architect Firm' in cell B264.
</v>
      </c>
      <c r="G1298"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8" t="b">
        <f>TRUE</f>
        <v>1</v>
      </c>
      <c r="I1298" s="9"/>
      <c r="J1298" s="52" t="str">
        <f t="shared" ca="1" si="359"/>
        <v>Phone (#'s only)</v>
      </c>
      <c r="K1298" s="52">
        <v>8</v>
      </c>
    </row>
    <row r="1299" spans="1:11" ht="15" customHeight="1">
      <c r="A1299" t="str">
        <f t="shared" ca="1" si="360"/>
        <v/>
      </c>
      <c r="B1299" s="52">
        <f t="shared" si="365"/>
        <v>256</v>
      </c>
      <c r="C1299" t="str">
        <f t="shared" ca="1" si="370"/>
        <v>Architect Firm</v>
      </c>
      <c r="D1299" t="str">
        <f t="shared" si="357"/>
        <v>B265</v>
      </c>
      <c r="E1299" t="str">
        <f t="shared" ca="1" si="371"/>
        <v/>
      </c>
      <c r="F1299" t="str">
        <f ca="1">CONCATENATE("Enter an "&amp; J1299 &amp;" for '", C1299, "' in cell ", D1299, ".", CHAR(10))</f>
        <v xml:space="preserve">Enter an Email for 'Architect Firm' in cell B265.
</v>
      </c>
      <c r="G1299"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9" t="b">
        <f>TRUE</f>
        <v>1</v>
      </c>
      <c r="I1299" s="9"/>
      <c r="J1299" s="52" t="str">
        <f t="shared" ca="1" si="359"/>
        <v>Email</v>
      </c>
      <c r="K1299" s="52">
        <v>9</v>
      </c>
    </row>
    <row r="1300" spans="1:11" ht="15" customHeight="1">
      <c r="A1300" t="str">
        <f t="shared" ca="1" si="360"/>
        <v/>
      </c>
      <c r="B1300">
        <f>ROW('Contact Information'!B267)</f>
        <v>267</v>
      </c>
      <c r="C1300" t="str">
        <f t="shared" ca="1" si="366"/>
        <v>Permanent Lender</v>
      </c>
      <c r="D1300" t="str">
        <f t="shared" si="357"/>
        <v>B268</v>
      </c>
      <c r="E1300" t="str">
        <f t="shared" ca="1" si="367"/>
        <v/>
      </c>
      <c r="F1300" t="str">
        <f ca="1">CONCATENATE("Enter a "&amp; J1300 &amp;" for '", C1300, "' in cell ", D1300, ".", CHAR(10))</f>
        <v xml:space="preserve">Enter a Organization for 'Permanent Lender' in cell B268.
</v>
      </c>
      <c r="G130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0" t="b">
        <f>TRUE</f>
        <v>1</v>
      </c>
      <c r="I1300" s="9"/>
      <c r="J1300" s="52" t="str">
        <f t="shared" ca="1" si="359"/>
        <v>Organization</v>
      </c>
      <c r="K1300" s="52">
        <v>1</v>
      </c>
    </row>
    <row r="1301" spans="1:11" ht="15" customHeight="1">
      <c r="A1301" t="str">
        <f t="shared" ca="1" si="360"/>
        <v/>
      </c>
      <c r="B1301" s="52">
        <f t="shared" ref="B1301:B1308" si="373">B1300</f>
        <v>267</v>
      </c>
      <c r="C1301" t="str">
        <f t="shared" ca="1" si="366"/>
        <v>Permanent Lender</v>
      </c>
      <c r="D1301" t="str">
        <f t="shared" si="357"/>
        <v>B269</v>
      </c>
      <c r="E1301" t="str">
        <f t="shared" ca="1" si="367"/>
        <v/>
      </c>
      <c r="F1301" t="str">
        <f ca="1">CONCATENATE("Enter an "&amp; J1301 &amp;" for '", C1301, "' in cell ", D1301, ".", CHAR(10))</f>
        <v xml:space="preserve">Enter an Address for 'Permanent Lender' in cell B269.
</v>
      </c>
      <c r="G130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1" t="b">
        <f>TRUE</f>
        <v>1</v>
      </c>
      <c r="I1301" s="9"/>
      <c r="J1301" s="52" t="str">
        <f t="shared" ca="1" si="359"/>
        <v>Address</v>
      </c>
      <c r="K1301" s="52">
        <v>2</v>
      </c>
    </row>
    <row r="1302" spans="1:11" ht="15" customHeight="1">
      <c r="A1302" t="str">
        <f t="shared" ca="1" si="360"/>
        <v/>
      </c>
      <c r="B1302" s="52">
        <f t="shared" si="373"/>
        <v>267</v>
      </c>
      <c r="C1302" t="str">
        <f t="shared" ca="1" si="366"/>
        <v>Permanent Lender</v>
      </c>
      <c r="D1302" t="str">
        <f t="shared" si="357"/>
        <v>B270</v>
      </c>
      <c r="E1302" t="str">
        <f t="shared" ca="1" si="367"/>
        <v/>
      </c>
      <c r="F1302" t="str">
        <f t="shared" ref="F1302:F1307" ca="1" si="374">CONCATENATE("Enter a "&amp; J1302 &amp;" for '", C1302, "' in cell ", D1302, ".", CHAR(10))</f>
        <v xml:space="preserve">Enter a City  for 'Permanent Lender' in cell B270.
</v>
      </c>
      <c r="G130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2" t="b">
        <f>TRUE</f>
        <v>1</v>
      </c>
      <c r="I1302" s="9"/>
      <c r="J1302" s="52" t="str">
        <f t="shared" ca="1" si="359"/>
        <v xml:space="preserve">City </v>
      </c>
      <c r="K1302" s="52">
        <v>3</v>
      </c>
    </row>
    <row r="1303" spans="1:11" ht="15" customHeight="1">
      <c r="A1303" t="str">
        <f t="shared" ca="1" si="360"/>
        <v/>
      </c>
      <c r="B1303" s="52">
        <f t="shared" si="373"/>
        <v>267</v>
      </c>
      <c r="C1303" t="str">
        <f t="shared" ca="1" si="366"/>
        <v>Permanent Lender</v>
      </c>
      <c r="D1303" t="str">
        <f t="shared" si="357"/>
        <v>B271</v>
      </c>
      <c r="E1303" t="str">
        <f t="shared" ca="1" si="367"/>
        <v/>
      </c>
      <c r="F1303" t="str">
        <f t="shared" ca="1" si="374"/>
        <v xml:space="preserve">Enter a State for 'Permanent Lender' in cell B271.
</v>
      </c>
      <c r="G130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3" t="b">
        <f>TRUE</f>
        <v>1</v>
      </c>
      <c r="I1303" s="9"/>
      <c r="J1303" s="52" t="str">
        <f t="shared" ca="1" si="359"/>
        <v>State</v>
      </c>
      <c r="K1303" s="52">
        <v>4</v>
      </c>
    </row>
    <row r="1304" spans="1:11" ht="15" customHeight="1">
      <c r="A1304" t="str">
        <f t="shared" ca="1" si="360"/>
        <v/>
      </c>
      <c r="B1304" s="52">
        <f t="shared" si="373"/>
        <v>267</v>
      </c>
      <c r="C1304" t="str">
        <f t="shared" ca="1" si="366"/>
        <v>Permanent Lender</v>
      </c>
      <c r="D1304" t="str">
        <f t="shared" si="357"/>
        <v>B272</v>
      </c>
      <c r="E1304" t="str">
        <f t="shared" ca="1" si="367"/>
        <v/>
      </c>
      <c r="F1304" t="str">
        <f t="shared" ca="1" si="374"/>
        <v xml:space="preserve">Enter a Zip (first five #'s only) for 'Permanent Lender' in cell B272.
</v>
      </c>
      <c r="G130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4" t="b">
        <f>TRUE</f>
        <v>1</v>
      </c>
      <c r="I1304" s="9"/>
      <c r="J1304" s="52" t="str">
        <f t="shared" ca="1" si="359"/>
        <v>Zip (first five #'s only)</v>
      </c>
      <c r="K1304" s="52">
        <v>5</v>
      </c>
    </row>
    <row r="1305" spans="1:11" ht="15" customHeight="1">
      <c r="A1305" t="str">
        <f t="shared" ca="1" si="360"/>
        <v/>
      </c>
      <c r="B1305" s="52">
        <f t="shared" si="373"/>
        <v>267</v>
      </c>
      <c r="C1305" t="str">
        <f t="shared" ca="1" si="366"/>
        <v>Permanent Lender</v>
      </c>
      <c r="D1305" t="str">
        <f t="shared" si="357"/>
        <v>B273</v>
      </c>
      <c r="E1305" t="str">
        <f t="shared" ca="1" si="367"/>
        <v/>
      </c>
      <c r="F1305" t="str">
        <f t="shared" ca="1" si="374"/>
        <v xml:space="preserve">Enter a Contact First Name for 'Permanent Lender' in cell B273.
</v>
      </c>
      <c r="G130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5" t="b">
        <f>TRUE</f>
        <v>1</v>
      </c>
      <c r="I1305" s="9"/>
      <c r="J1305" s="52" t="str">
        <f t="shared" ca="1" si="359"/>
        <v>Contact First Name</v>
      </c>
      <c r="K1305" s="52">
        <v>6</v>
      </c>
    </row>
    <row r="1306" spans="1:11" ht="15" customHeight="1">
      <c r="A1306" t="str">
        <f t="shared" ca="1" si="360"/>
        <v/>
      </c>
      <c r="B1306" s="52">
        <f t="shared" si="373"/>
        <v>267</v>
      </c>
      <c r="C1306" t="str">
        <f t="shared" ca="1" si="366"/>
        <v>Permanent Lender</v>
      </c>
      <c r="D1306" t="str">
        <f t="shared" si="357"/>
        <v>B274</v>
      </c>
      <c r="E1306" t="str">
        <f t="shared" ca="1" si="367"/>
        <v/>
      </c>
      <c r="F1306" t="str">
        <f t="shared" ca="1" si="374"/>
        <v xml:space="preserve">Enter a Contact Last Name for 'Permanent Lender' in cell B274.
</v>
      </c>
      <c r="G130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6" t="b">
        <f>TRUE</f>
        <v>1</v>
      </c>
      <c r="I1306" s="9"/>
      <c r="J1306" s="52" t="str">
        <f t="shared" ca="1" si="359"/>
        <v>Contact Last Name</v>
      </c>
      <c r="K1306" s="52">
        <v>7</v>
      </c>
    </row>
    <row r="1307" spans="1:11" ht="15" customHeight="1">
      <c r="A1307" t="str">
        <f t="shared" ca="1" si="360"/>
        <v/>
      </c>
      <c r="B1307" s="52">
        <f t="shared" si="373"/>
        <v>267</v>
      </c>
      <c r="C1307" t="str">
        <f t="shared" ca="1" si="366"/>
        <v>Permanent Lender</v>
      </c>
      <c r="D1307" t="str">
        <f t="shared" si="357"/>
        <v>B275</v>
      </c>
      <c r="E1307" t="str">
        <f t="shared" ca="1" si="367"/>
        <v/>
      </c>
      <c r="F1307" t="str">
        <f t="shared" ca="1" si="374"/>
        <v xml:space="preserve">Enter a Phone (#'s only) for 'Permanent Lender' in cell B275.
</v>
      </c>
      <c r="G130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7" t="b">
        <f>TRUE</f>
        <v>1</v>
      </c>
      <c r="I1307" s="9"/>
      <c r="J1307" s="52" t="str">
        <f t="shared" ca="1" si="359"/>
        <v>Phone (#'s only)</v>
      </c>
      <c r="K1307" s="52">
        <v>8</v>
      </c>
    </row>
    <row r="1308" spans="1:11" ht="15" customHeight="1">
      <c r="A1308" t="str">
        <f t="shared" ca="1" si="360"/>
        <v/>
      </c>
      <c r="B1308" s="52">
        <f t="shared" si="373"/>
        <v>267</v>
      </c>
      <c r="C1308" t="str">
        <f t="shared" ca="1" si="366"/>
        <v>Permanent Lender</v>
      </c>
      <c r="D1308" t="str">
        <f t="shared" si="357"/>
        <v>B276</v>
      </c>
      <c r="E1308" t="str">
        <f t="shared" ca="1" si="367"/>
        <v/>
      </c>
      <c r="F1308" t="str">
        <f ca="1">CONCATENATE("Enter an "&amp; J1308 &amp;" for '", C1308, "' in cell ", D1308, ".", CHAR(10))</f>
        <v xml:space="preserve">Enter an Email for 'Permanent Lender' in cell B276.
</v>
      </c>
      <c r="G130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8" t="b">
        <f>TRUE</f>
        <v>1</v>
      </c>
      <c r="I1308" s="9"/>
      <c r="J1308" s="52" t="str">
        <f t="shared" ca="1" si="359"/>
        <v>Email</v>
      </c>
      <c r="K1308" s="52">
        <v>9</v>
      </c>
    </row>
    <row r="1309" spans="1:11" ht="15" customHeight="1">
      <c r="A1309" t="str">
        <f t="shared" ca="1" si="360"/>
        <v/>
      </c>
      <c r="B1309">
        <f>ROW('Contact Information'!B278)</f>
        <v>278</v>
      </c>
      <c r="C1309" t="str">
        <f t="shared" ca="1" si="366"/>
        <v>Commercial Lender</v>
      </c>
      <c r="D1309" t="str">
        <f t="shared" si="357"/>
        <v>B279</v>
      </c>
      <c r="E1309" t="str">
        <f t="shared" ca="1" si="367"/>
        <v/>
      </c>
      <c r="F1309" t="str">
        <f ca="1">CONCATENATE("Enter a "&amp; J1309 &amp;" for '", C1309, "' in cell ", D1309, ".", CHAR(10))</f>
        <v xml:space="preserve">Enter a Organization for 'Commercial Lender' in cell B279.
</v>
      </c>
      <c r="G130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9" t="b">
        <f>TRUE</f>
        <v>1</v>
      </c>
      <c r="I1309" s="9"/>
      <c r="J1309" s="52" t="str">
        <f t="shared" ca="1" si="359"/>
        <v>Organization</v>
      </c>
      <c r="K1309" s="52">
        <v>1</v>
      </c>
    </row>
    <row r="1310" spans="1:11" ht="15" customHeight="1">
      <c r="A1310" t="str">
        <f t="shared" ca="1" si="360"/>
        <v/>
      </c>
      <c r="B1310" s="52">
        <f t="shared" ref="B1310:B1363" si="375">B1309</f>
        <v>278</v>
      </c>
      <c r="C1310" t="str">
        <f t="shared" ca="1" si="366"/>
        <v>Commercial Lender</v>
      </c>
      <c r="D1310" t="str">
        <f t="shared" si="357"/>
        <v>B280</v>
      </c>
      <c r="E1310" t="str">
        <f t="shared" ca="1" si="367"/>
        <v/>
      </c>
      <c r="F1310" t="str">
        <f ca="1">CONCATENATE("Enter an "&amp; J1310 &amp;" for '", C1310, "' in cell ", D1310, ".", CHAR(10))</f>
        <v xml:space="preserve">Enter an Address for 'Commercial Lender' in cell B280.
</v>
      </c>
      <c r="G131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0" t="b">
        <f>TRUE</f>
        <v>1</v>
      </c>
      <c r="I1310" s="9"/>
      <c r="J1310" s="52" t="str">
        <f t="shared" ca="1" si="359"/>
        <v>Address</v>
      </c>
      <c r="K1310" s="52">
        <v>2</v>
      </c>
    </row>
    <row r="1311" spans="1:11" ht="15" customHeight="1">
      <c r="A1311" t="str">
        <f t="shared" ca="1" si="360"/>
        <v/>
      </c>
      <c r="B1311" s="52">
        <f t="shared" si="375"/>
        <v>278</v>
      </c>
      <c r="C1311" t="str">
        <f t="shared" ca="1" si="366"/>
        <v>Commercial Lender</v>
      </c>
      <c r="D1311" t="str">
        <f t="shared" si="357"/>
        <v>B281</v>
      </c>
      <c r="E1311" t="str">
        <f t="shared" ca="1" si="367"/>
        <v/>
      </c>
      <c r="F1311" t="str">
        <f t="shared" ref="F1311:F1316" ca="1" si="376">CONCATENATE("Enter a "&amp; J1311 &amp;" for '", C1311, "' in cell ", D1311, ".", CHAR(10))</f>
        <v xml:space="preserve">Enter a City  for 'Commercial Lender' in cell B281.
</v>
      </c>
      <c r="G131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1" t="b">
        <f>TRUE</f>
        <v>1</v>
      </c>
      <c r="I1311" s="9"/>
      <c r="J1311" s="52" t="str">
        <f t="shared" ca="1" si="359"/>
        <v xml:space="preserve">City </v>
      </c>
      <c r="K1311" s="52">
        <v>3</v>
      </c>
    </row>
    <row r="1312" spans="1:11" ht="15" customHeight="1">
      <c r="A1312" t="str">
        <f t="shared" ca="1" si="360"/>
        <v/>
      </c>
      <c r="B1312" s="52">
        <f t="shared" si="375"/>
        <v>278</v>
      </c>
      <c r="C1312" t="str">
        <f t="shared" ca="1" si="366"/>
        <v>Commercial Lender</v>
      </c>
      <c r="D1312" t="str">
        <f t="shared" si="357"/>
        <v>B282</v>
      </c>
      <c r="E1312" t="str">
        <f t="shared" ca="1" si="367"/>
        <v/>
      </c>
      <c r="F1312" t="str">
        <f t="shared" ca="1" si="376"/>
        <v xml:space="preserve">Enter a State for 'Commercial Lender' in cell B282.
</v>
      </c>
      <c r="G131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2" t="b">
        <f>TRUE</f>
        <v>1</v>
      </c>
      <c r="I1312" s="9"/>
      <c r="J1312" s="52" t="str">
        <f t="shared" ca="1" si="359"/>
        <v>State</v>
      </c>
      <c r="K1312" s="52">
        <v>4</v>
      </c>
    </row>
    <row r="1313" spans="1:11" ht="15" customHeight="1">
      <c r="A1313" t="str">
        <f t="shared" ca="1" si="360"/>
        <v/>
      </c>
      <c r="B1313" s="52">
        <f t="shared" si="375"/>
        <v>278</v>
      </c>
      <c r="C1313" t="str">
        <f t="shared" ca="1" si="366"/>
        <v>Commercial Lender</v>
      </c>
      <c r="D1313" t="str">
        <f t="shared" si="357"/>
        <v>B283</v>
      </c>
      <c r="E1313" t="str">
        <f t="shared" ca="1" si="367"/>
        <v/>
      </c>
      <c r="F1313" t="str">
        <f t="shared" ca="1" si="376"/>
        <v xml:space="preserve">Enter a Zip (first five #'s only) for 'Commercial Lender' in cell B283.
</v>
      </c>
      <c r="G131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3" t="b">
        <f>TRUE</f>
        <v>1</v>
      </c>
      <c r="I1313" s="9"/>
      <c r="J1313" s="52" t="str">
        <f t="shared" ca="1" si="359"/>
        <v>Zip (first five #'s only)</v>
      </c>
      <c r="K1313" s="52">
        <v>5</v>
      </c>
    </row>
    <row r="1314" spans="1:11" ht="15" customHeight="1">
      <c r="A1314" t="str">
        <f t="shared" ca="1" si="360"/>
        <v/>
      </c>
      <c r="B1314" s="52">
        <f t="shared" si="375"/>
        <v>278</v>
      </c>
      <c r="C1314" t="str">
        <f t="shared" ca="1" si="366"/>
        <v>Commercial Lender</v>
      </c>
      <c r="D1314" t="str">
        <f t="shared" si="357"/>
        <v>B284</v>
      </c>
      <c r="E1314" t="str">
        <f t="shared" ca="1" si="367"/>
        <v/>
      </c>
      <c r="F1314" t="str">
        <f t="shared" ca="1" si="376"/>
        <v xml:space="preserve">Enter a Contact First Name for 'Commercial Lender' in cell B284.
</v>
      </c>
      <c r="G131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4" t="b">
        <f>TRUE</f>
        <v>1</v>
      </c>
      <c r="I1314" s="9"/>
      <c r="J1314" s="52" t="str">
        <f t="shared" ca="1" si="359"/>
        <v>Contact First Name</v>
      </c>
      <c r="K1314" s="52">
        <v>6</v>
      </c>
    </row>
    <row r="1315" spans="1:11" ht="15" customHeight="1">
      <c r="A1315" t="str">
        <f t="shared" ca="1" si="360"/>
        <v/>
      </c>
      <c r="B1315" s="52">
        <f t="shared" si="375"/>
        <v>278</v>
      </c>
      <c r="C1315" t="str">
        <f t="shared" ca="1" si="366"/>
        <v>Commercial Lender</v>
      </c>
      <c r="D1315" t="str">
        <f t="shared" si="357"/>
        <v>B285</v>
      </c>
      <c r="E1315" t="str">
        <f t="shared" ca="1" si="367"/>
        <v/>
      </c>
      <c r="F1315" t="str">
        <f t="shared" ca="1" si="376"/>
        <v xml:space="preserve">Enter a Contact Last Name for 'Commercial Lender' in cell B285.
</v>
      </c>
      <c r="G131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5" t="b">
        <f>TRUE</f>
        <v>1</v>
      </c>
      <c r="I1315" s="9"/>
      <c r="J1315" s="52" t="str">
        <f t="shared" ca="1" si="359"/>
        <v>Contact Last Name</v>
      </c>
      <c r="K1315" s="52">
        <v>7</v>
      </c>
    </row>
    <row r="1316" spans="1:11" ht="15" customHeight="1">
      <c r="A1316" t="str">
        <f t="shared" ca="1" si="360"/>
        <v/>
      </c>
      <c r="B1316" s="52">
        <f t="shared" si="375"/>
        <v>278</v>
      </c>
      <c r="C1316" t="str">
        <f t="shared" ca="1" si="366"/>
        <v>Commercial Lender</v>
      </c>
      <c r="D1316" t="str">
        <f t="shared" si="357"/>
        <v>B286</v>
      </c>
      <c r="E1316" t="str">
        <f t="shared" ca="1" si="367"/>
        <v/>
      </c>
      <c r="F1316" t="str">
        <f t="shared" ca="1" si="376"/>
        <v xml:space="preserve">Enter a Phone (#'s only) for 'Commercial Lender' in cell B286.
</v>
      </c>
      <c r="G131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6" t="b">
        <f>TRUE</f>
        <v>1</v>
      </c>
      <c r="I1316" s="9"/>
      <c r="J1316" s="52" t="str">
        <f t="shared" ca="1" si="359"/>
        <v>Phone (#'s only)</v>
      </c>
      <c r="K1316" s="52">
        <v>8</v>
      </c>
    </row>
    <row r="1317" spans="1:11" ht="15" customHeight="1">
      <c r="A1317" t="str">
        <f t="shared" ca="1" si="360"/>
        <v/>
      </c>
      <c r="B1317" s="52">
        <f t="shared" si="375"/>
        <v>278</v>
      </c>
      <c r="C1317" t="str">
        <f t="shared" ca="1" si="366"/>
        <v>Commercial Lender</v>
      </c>
      <c r="D1317" t="str">
        <f t="shared" si="357"/>
        <v>B287</v>
      </c>
      <c r="E1317" t="str">
        <f t="shared" ca="1" si="367"/>
        <v/>
      </c>
      <c r="F1317" t="str">
        <f ca="1">CONCATENATE("Enter an "&amp; J1317 &amp;" for '", C1317, "' in cell ", D1317, ".", CHAR(10))</f>
        <v xml:space="preserve">Enter an Email for 'Commercial Lender' in cell B287.
</v>
      </c>
      <c r="G131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7" t="b">
        <f>TRUE</f>
        <v>1</v>
      </c>
      <c r="I1317" s="9"/>
      <c r="J1317" s="52" t="str">
        <f t="shared" ca="1" si="359"/>
        <v>Email</v>
      </c>
      <c r="K1317" s="52">
        <v>9</v>
      </c>
    </row>
    <row r="1318" spans="1:11" ht="15" customHeight="1">
      <c r="A1318" t="str">
        <f t="shared" ca="1" si="360"/>
        <v/>
      </c>
      <c r="B1318">
        <f>ROW('Contact Information'!B289)</f>
        <v>289</v>
      </c>
      <c r="C1318" t="str">
        <f t="shared" ref="C1318:C1326" ca="1" si="377">INDIRECT($F$1101 &amp; ADDRESS(B1318, 1,4  ))</f>
        <v>Construction Lender</v>
      </c>
      <c r="D1318" t="str">
        <f t="shared" si="357"/>
        <v>B290</v>
      </c>
      <c r="E1318" t="str">
        <f t="shared" ref="E1318:E1326" ca="1" si="378">IF(ISBLANK( INDIRECT($F$1101 &amp; D1318)),"", INDIRECT($F$1101 &amp; D1318))</f>
        <v/>
      </c>
      <c r="F1318" t="str">
        <f ca="1">CONCATENATE("Enter a "&amp; J1318 &amp;" for '", C1318, "' in cell ", D1318, ".", CHAR(10))</f>
        <v xml:space="preserve">Enter a Organization for 'Construction Lender' in cell B290.
</v>
      </c>
      <c r="G1318" s="9" t="str">
        <f t="shared" ref="G1318:G1326" ca="1" si="379">OFFSET(G1318, -1, 0) &amp; A1318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8" t="b">
        <f>TRUE</f>
        <v>1</v>
      </c>
      <c r="I1318" s="9"/>
      <c r="J1318" s="52" t="str">
        <f t="shared" ca="1" si="359"/>
        <v>Organization</v>
      </c>
      <c r="K1318" s="52">
        <v>1</v>
      </c>
    </row>
    <row r="1319" spans="1:11" ht="15" customHeight="1">
      <c r="A1319" t="str">
        <f t="shared" ca="1" si="360"/>
        <v/>
      </c>
      <c r="B1319" s="52">
        <f t="shared" si="375"/>
        <v>289</v>
      </c>
      <c r="C1319" t="str">
        <f t="shared" ca="1" si="377"/>
        <v>Construction Lender</v>
      </c>
      <c r="D1319" t="str">
        <f t="shared" si="357"/>
        <v>B291</v>
      </c>
      <c r="E1319" t="str">
        <f t="shared" ca="1" si="378"/>
        <v/>
      </c>
      <c r="F1319" t="str">
        <f ca="1">CONCATENATE("Enter an "&amp; J1319 &amp;" for '", C1319, "' in cell ", D1319, ".", CHAR(10))</f>
        <v xml:space="preserve">Enter an Address for 'Construction Lender' in cell B291.
</v>
      </c>
      <c r="G1319"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9" t="b">
        <f>TRUE</f>
        <v>1</v>
      </c>
      <c r="I1319" s="9"/>
      <c r="J1319" s="52" t="str">
        <f t="shared" ca="1" si="359"/>
        <v>Address</v>
      </c>
      <c r="K1319" s="52">
        <v>2</v>
      </c>
    </row>
    <row r="1320" spans="1:11" ht="15" customHeight="1">
      <c r="A1320" t="str">
        <f t="shared" ca="1" si="360"/>
        <v/>
      </c>
      <c r="B1320" s="52">
        <f t="shared" si="375"/>
        <v>289</v>
      </c>
      <c r="C1320" t="str">
        <f t="shared" ca="1" si="377"/>
        <v>Construction Lender</v>
      </c>
      <c r="D1320" t="str">
        <f t="shared" si="357"/>
        <v>B292</v>
      </c>
      <c r="E1320" t="str">
        <f t="shared" ca="1" si="378"/>
        <v/>
      </c>
      <c r="F1320" t="str">
        <f t="shared" ref="F1320:F1325" ca="1" si="380">CONCATENATE("Enter a "&amp; J1320 &amp;" for '", C1320, "' in cell ", D1320, ".", CHAR(10))</f>
        <v xml:space="preserve">Enter a City  for 'Construction Lender' in cell B292.
</v>
      </c>
      <c r="G1320"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0" t="b">
        <f>TRUE</f>
        <v>1</v>
      </c>
      <c r="I1320" s="9"/>
      <c r="J1320" s="52" t="str">
        <f t="shared" ca="1" si="359"/>
        <v xml:space="preserve">City </v>
      </c>
      <c r="K1320" s="52">
        <v>3</v>
      </c>
    </row>
    <row r="1321" spans="1:11" ht="15" customHeight="1">
      <c r="A1321" t="str">
        <f t="shared" ca="1" si="360"/>
        <v/>
      </c>
      <c r="B1321" s="52">
        <f t="shared" si="375"/>
        <v>289</v>
      </c>
      <c r="C1321" t="str">
        <f t="shared" ca="1" si="377"/>
        <v>Construction Lender</v>
      </c>
      <c r="D1321" t="str">
        <f t="shared" si="357"/>
        <v>B293</v>
      </c>
      <c r="E1321" t="str">
        <f t="shared" ca="1" si="378"/>
        <v/>
      </c>
      <c r="F1321" t="str">
        <f t="shared" ca="1" si="380"/>
        <v xml:space="preserve">Enter a State for 'Construction Lender' in cell B293.
</v>
      </c>
      <c r="G1321"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1" t="b">
        <f>TRUE</f>
        <v>1</v>
      </c>
      <c r="I1321" s="9"/>
      <c r="J1321" s="52" t="str">
        <f t="shared" ca="1" si="359"/>
        <v>State</v>
      </c>
      <c r="K1321" s="52">
        <v>4</v>
      </c>
    </row>
    <row r="1322" spans="1:11" ht="15" customHeight="1">
      <c r="A1322" t="str">
        <f t="shared" ca="1" si="360"/>
        <v/>
      </c>
      <c r="B1322" s="52">
        <f t="shared" si="375"/>
        <v>289</v>
      </c>
      <c r="C1322" t="str">
        <f t="shared" ca="1" si="377"/>
        <v>Construction Lender</v>
      </c>
      <c r="D1322" t="str">
        <f t="shared" si="357"/>
        <v>B294</v>
      </c>
      <c r="E1322" t="str">
        <f t="shared" ca="1" si="378"/>
        <v/>
      </c>
      <c r="F1322" t="str">
        <f t="shared" ca="1" si="380"/>
        <v xml:space="preserve">Enter a Zip for 'Construction Lender' in cell B294.
</v>
      </c>
      <c r="G1322"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2" t="b">
        <f>TRUE</f>
        <v>1</v>
      </c>
      <c r="I1322" s="9"/>
      <c r="J1322" s="52" t="str">
        <f t="shared" ca="1" si="359"/>
        <v>Zip</v>
      </c>
      <c r="K1322" s="52">
        <v>5</v>
      </c>
    </row>
    <row r="1323" spans="1:11" ht="15" customHeight="1">
      <c r="A1323" t="str">
        <f t="shared" ca="1" si="360"/>
        <v/>
      </c>
      <c r="B1323" s="52">
        <f t="shared" si="375"/>
        <v>289</v>
      </c>
      <c r="C1323" t="str">
        <f t="shared" ca="1" si="377"/>
        <v>Construction Lender</v>
      </c>
      <c r="D1323" t="str">
        <f t="shared" si="357"/>
        <v>B295</v>
      </c>
      <c r="E1323" t="str">
        <f t="shared" ca="1" si="378"/>
        <v/>
      </c>
      <c r="F1323" t="str">
        <f t="shared" ca="1" si="380"/>
        <v xml:space="preserve">Enter a Contact First Name for 'Construction Lender' in cell B295.
</v>
      </c>
      <c r="G1323"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3" t="b">
        <f>TRUE</f>
        <v>1</v>
      </c>
      <c r="I1323" s="9"/>
      <c r="J1323" s="52" t="str">
        <f t="shared" ca="1" si="359"/>
        <v>Contact First Name</v>
      </c>
      <c r="K1323" s="52">
        <v>6</v>
      </c>
    </row>
    <row r="1324" spans="1:11" ht="15" customHeight="1">
      <c r="A1324" t="str">
        <f t="shared" ca="1" si="360"/>
        <v/>
      </c>
      <c r="B1324" s="52">
        <f t="shared" si="375"/>
        <v>289</v>
      </c>
      <c r="C1324" t="str">
        <f t="shared" ca="1" si="377"/>
        <v>Construction Lender</v>
      </c>
      <c r="D1324" t="str">
        <f t="shared" si="357"/>
        <v>B296</v>
      </c>
      <c r="E1324" t="str">
        <f t="shared" ca="1" si="378"/>
        <v/>
      </c>
      <c r="F1324" t="str">
        <f t="shared" ca="1" si="380"/>
        <v xml:space="preserve">Enter a Contact Last Name for 'Construction Lender' in cell B296.
</v>
      </c>
      <c r="G1324"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4" t="b">
        <f>TRUE</f>
        <v>1</v>
      </c>
      <c r="I1324" s="9"/>
      <c r="J1324" s="52" t="str">
        <f t="shared" ca="1" si="359"/>
        <v>Contact Last Name</v>
      </c>
      <c r="K1324" s="52">
        <v>7</v>
      </c>
    </row>
    <row r="1325" spans="1:11" ht="15" customHeight="1">
      <c r="A1325" t="str">
        <f t="shared" ca="1" si="360"/>
        <v/>
      </c>
      <c r="B1325" s="52">
        <f t="shared" si="375"/>
        <v>289</v>
      </c>
      <c r="C1325" t="str">
        <f t="shared" ca="1" si="377"/>
        <v>Construction Lender</v>
      </c>
      <c r="D1325" t="str">
        <f t="shared" si="357"/>
        <v>B297</v>
      </c>
      <c r="E1325" t="str">
        <f t="shared" ca="1" si="378"/>
        <v/>
      </c>
      <c r="F1325" t="str">
        <f t="shared" ca="1" si="380"/>
        <v xml:space="preserve">Enter a Phone (#'s only) for 'Construction Lender' in cell B297.
</v>
      </c>
      <c r="G1325"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5" t="b">
        <f>TRUE</f>
        <v>1</v>
      </c>
      <c r="I1325" s="9"/>
      <c r="J1325" s="52" t="str">
        <f t="shared" ca="1" si="359"/>
        <v>Phone (#'s only)</v>
      </c>
      <c r="K1325" s="52">
        <v>8</v>
      </c>
    </row>
    <row r="1326" spans="1:11" ht="15" customHeight="1">
      <c r="A1326" t="str">
        <f t="shared" ca="1" si="360"/>
        <v/>
      </c>
      <c r="B1326" s="52">
        <f t="shared" si="375"/>
        <v>289</v>
      </c>
      <c r="C1326" t="str">
        <f t="shared" ca="1" si="377"/>
        <v>Construction Lender</v>
      </c>
      <c r="D1326" t="str">
        <f t="shared" si="357"/>
        <v>B298</v>
      </c>
      <c r="E1326" t="str">
        <f t="shared" ca="1" si="378"/>
        <v/>
      </c>
      <c r="F1326" t="str">
        <f ca="1">CONCATENATE("Enter an "&amp; J1326 &amp;" for '", C1326, "' in cell ", D1326, ".", CHAR(10))</f>
        <v xml:space="preserve">Enter an Email for 'Construction Lender' in cell B298.
</v>
      </c>
      <c r="G1326"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6" t="b">
        <f>TRUE</f>
        <v>1</v>
      </c>
      <c r="I1326" s="9"/>
      <c r="J1326" s="52" t="str">
        <f t="shared" ca="1" si="359"/>
        <v>Email</v>
      </c>
      <c r="K1326" s="52">
        <v>9</v>
      </c>
    </row>
    <row r="1327" spans="1:11" ht="15" customHeight="1">
      <c r="A1327" t="str">
        <f t="shared" ca="1" si="360"/>
        <v/>
      </c>
      <c r="B1327">
        <f>ROW('Contact Information'!B300)</f>
        <v>300</v>
      </c>
      <c r="C1327" t="str">
        <f t="shared" ref="C1327:C1335" ca="1" si="381">INDIRECT($F$1101 &amp; ADDRESS(B1327, 1,4  ))</f>
        <v>Environmental Phase I Preparer</v>
      </c>
      <c r="D1327" t="str">
        <f t="shared" si="357"/>
        <v>B301</v>
      </c>
      <c r="E1327" t="str">
        <f t="shared" ref="E1327:E1335" ca="1" si="382">IF(ISBLANK( INDIRECT($F$1101 &amp; D1327)),"", INDIRECT($F$1101 &amp; D1327))</f>
        <v/>
      </c>
      <c r="F1327" t="str">
        <f ca="1">CONCATENATE("Enter a "&amp; J1327 &amp;" for '", C1327, "' in cell ", D1327, ".", CHAR(10))</f>
        <v xml:space="preserve">Enter a Organization for 'Environmental Phase I Preparer' in cell B301.
</v>
      </c>
      <c r="G1327" s="9" t="str">
        <f t="shared" ref="G1327:G1335" ca="1" si="383">OFFSET(G1327, -1, 0) &amp; A1327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7" t="b">
        <f>Calculations!$B$2</f>
        <v>0</v>
      </c>
      <c r="I1327" s="9"/>
      <c r="J1327" s="52" t="str">
        <f t="shared" ca="1" si="359"/>
        <v>Organization</v>
      </c>
      <c r="K1327" s="52">
        <v>1</v>
      </c>
    </row>
    <row r="1328" spans="1:11" ht="15" customHeight="1">
      <c r="A1328" t="str">
        <f t="shared" ca="1" si="360"/>
        <v/>
      </c>
      <c r="B1328" s="52">
        <f t="shared" si="375"/>
        <v>300</v>
      </c>
      <c r="C1328" t="str">
        <f t="shared" ca="1" si="381"/>
        <v>Environmental Phase I Preparer</v>
      </c>
      <c r="D1328" t="str">
        <f t="shared" si="357"/>
        <v>B302</v>
      </c>
      <c r="E1328" t="str">
        <f t="shared" ca="1" si="382"/>
        <v/>
      </c>
      <c r="F1328" t="str">
        <f ca="1">CONCATENATE("Enter an "&amp; J1328 &amp;" for '", C1328, "' in cell ", D1328, ".", CHAR(10))</f>
        <v xml:space="preserve">Enter an Address for 'Environmental Phase I Preparer' in cell B302.
</v>
      </c>
      <c r="G1328"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8" t="b">
        <f>Calculations!$B$2</f>
        <v>0</v>
      </c>
      <c r="I1328" s="9"/>
      <c r="J1328" s="52" t="str">
        <f t="shared" ca="1" si="359"/>
        <v>Address</v>
      </c>
      <c r="K1328" s="52">
        <v>2</v>
      </c>
    </row>
    <row r="1329" spans="1:11" ht="15" customHeight="1">
      <c r="A1329" t="str">
        <f t="shared" ca="1" si="360"/>
        <v/>
      </c>
      <c r="B1329" s="52">
        <f t="shared" si="375"/>
        <v>300</v>
      </c>
      <c r="C1329" t="str">
        <f t="shared" ca="1" si="381"/>
        <v>Environmental Phase I Preparer</v>
      </c>
      <c r="D1329" t="str">
        <f t="shared" si="357"/>
        <v>B303</v>
      </c>
      <c r="E1329" t="str">
        <f t="shared" ca="1" si="382"/>
        <v/>
      </c>
      <c r="F1329" t="str">
        <f t="shared" ref="F1329:F1334" ca="1" si="384">CONCATENATE("Enter a "&amp; J1329 &amp;" for '", C1329, "' in cell ", D1329, ".", CHAR(10))</f>
        <v xml:space="preserve">Enter a City  for 'Environmental Phase I Preparer' in cell B303.
</v>
      </c>
      <c r="G1329"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9" t="b">
        <f>Calculations!$B$2</f>
        <v>0</v>
      </c>
      <c r="I1329" s="9"/>
      <c r="J1329" s="52" t="str">
        <f t="shared" ca="1" si="359"/>
        <v xml:space="preserve">City </v>
      </c>
      <c r="K1329" s="52">
        <v>3</v>
      </c>
    </row>
    <row r="1330" spans="1:11" ht="15" customHeight="1">
      <c r="A1330" t="str">
        <f t="shared" ca="1" si="360"/>
        <v/>
      </c>
      <c r="B1330" s="52">
        <f t="shared" si="375"/>
        <v>300</v>
      </c>
      <c r="C1330" t="str">
        <f t="shared" ca="1" si="381"/>
        <v>Environmental Phase I Preparer</v>
      </c>
      <c r="D1330" t="str">
        <f t="shared" ref="D1330:D1394" si="385">ADDRESS(B1330+K1330, 2,4  )</f>
        <v>B304</v>
      </c>
      <c r="E1330" t="str">
        <f t="shared" ca="1" si="382"/>
        <v/>
      </c>
      <c r="F1330" t="str">
        <f t="shared" ca="1" si="384"/>
        <v xml:space="preserve">Enter a State for 'Environmental Phase I Preparer' in cell B304.
</v>
      </c>
      <c r="G1330"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0" t="b">
        <f>Calculations!$B$2</f>
        <v>0</v>
      </c>
      <c r="I1330" s="9"/>
      <c r="J1330" s="52" t="str">
        <f t="shared" ref="J1330:J1394" ca="1" si="386">INDIRECT($F$1101 &amp; ADDRESS(B1330+K1330, 1,4))</f>
        <v>State</v>
      </c>
      <c r="K1330" s="52">
        <v>4</v>
      </c>
    </row>
    <row r="1331" spans="1:11" ht="15" customHeight="1">
      <c r="A1331" t="str">
        <f t="shared" ref="A1331:A1395" ca="1" si="387">IF(AND(H1331, NOT($E$1104), E1331=""),F1331, "")</f>
        <v/>
      </c>
      <c r="B1331" s="52">
        <f t="shared" si="375"/>
        <v>300</v>
      </c>
      <c r="C1331" t="str">
        <f t="shared" ca="1" si="381"/>
        <v>Environmental Phase I Preparer</v>
      </c>
      <c r="D1331" t="str">
        <f t="shared" si="385"/>
        <v>B305</v>
      </c>
      <c r="E1331" t="str">
        <f t="shared" ca="1" si="382"/>
        <v/>
      </c>
      <c r="F1331" t="str">
        <f t="shared" ca="1" si="384"/>
        <v xml:space="preserve">Enter a Zip (first five #'s only) for 'Environmental Phase I Preparer' in cell B305.
</v>
      </c>
      <c r="G1331"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1" t="b">
        <f>Calculations!$B$2</f>
        <v>0</v>
      </c>
      <c r="I1331" s="9"/>
      <c r="J1331" s="52" t="str">
        <f t="shared" ca="1" si="386"/>
        <v>Zip (first five #'s only)</v>
      </c>
      <c r="K1331" s="52">
        <v>5</v>
      </c>
    </row>
    <row r="1332" spans="1:11" ht="15" customHeight="1">
      <c r="A1332" t="str">
        <f t="shared" ca="1" si="387"/>
        <v/>
      </c>
      <c r="B1332" s="52">
        <f t="shared" si="375"/>
        <v>300</v>
      </c>
      <c r="C1332" t="str">
        <f t="shared" ca="1" si="381"/>
        <v>Environmental Phase I Preparer</v>
      </c>
      <c r="D1332" t="str">
        <f t="shared" si="385"/>
        <v>B306</v>
      </c>
      <c r="E1332" t="str">
        <f t="shared" ca="1" si="382"/>
        <v/>
      </c>
      <c r="F1332" t="str">
        <f t="shared" ca="1" si="384"/>
        <v xml:space="preserve">Enter a Contact First Name for 'Environmental Phase I Preparer' in cell B306.
</v>
      </c>
      <c r="G1332"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2" t="b">
        <f>Calculations!$B$2</f>
        <v>0</v>
      </c>
      <c r="I1332" s="9"/>
      <c r="J1332" s="52" t="str">
        <f t="shared" ca="1" si="386"/>
        <v>Contact First Name</v>
      </c>
      <c r="K1332" s="52">
        <v>6</v>
      </c>
    </row>
    <row r="1333" spans="1:11" ht="15" customHeight="1">
      <c r="A1333" t="str">
        <f t="shared" ca="1" si="387"/>
        <v/>
      </c>
      <c r="B1333" s="52">
        <f t="shared" si="375"/>
        <v>300</v>
      </c>
      <c r="C1333" t="str">
        <f t="shared" ca="1" si="381"/>
        <v>Environmental Phase I Preparer</v>
      </c>
      <c r="D1333" t="str">
        <f t="shared" si="385"/>
        <v>B307</v>
      </c>
      <c r="E1333" t="str">
        <f t="shared" ca="1" si="382"/>
        <v/>
      </c>
      <c r="F1333" t="str">
        <f t="shared" ca="1" si="384"/>
        <v xml:space="preserve">Enter a Contact Last Name for 'Environmental Phase I Preparer' in cell B307.
</v>
      </c>
      <c r="G1333"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3" t="b">
        <f>Calculations!$B$2</f>
        <v>0</v>
      </c>
      <c r="I1333" s="9"/>
      <c r="J1333" s="52" t="str">
        <f t="shared" ca="1" si="386"/>
        <v>Contact Last Name</v>
      </c>
      <c r="K1333" s="52">
        <v>7</v>
      </c>
    </row>
    <row r="1334" spans="1:11" ht="15" customHeight="1">
      <c r="A1334" t="str">
        <f t="shared" ca="1" si="387"/>
        <v/>
      </c>
      <c r="B1334" s="52">
        <f t="shared" si="375"/>
        <v>300</v>
      </c>
      <c r="C1334" t="str">
        <f t="shared" ca="1" si="381"/>
        <v>Environmental Phase I Preparer</v>
      </c>
      <c r="D1334" t="str">
        <f t="shared" si="385"/>
        <v>B308</v>
      </c>
      <c r="E1334" t="str">
        <f t="shared" ca="1" si="382"/>
        <v/>
      </c>
      <c r="F1334" t="str">
        <f t="shared" ca="1" si="384"/>
        <v xml:space="preserve">Enter a Phone (#'s only) for 'Environmental Phase I Preparer' in cell B308.
</v>
      </c>
      <c r="G1334"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4" t="b">
        <f>Calculations!$B$2</f>
        <v>0</v>
      </c>
      <c r="I1334" s="9"/>
      <c r="J1334" s="52" t="str">
        <f t="shared" ca="1" si="386"/>
        <v>Phone (#'s only)</v>
      </c>
      <c r="K1334" s="52">
        <v>8</v>
      </c>
    </row>
    <row r="1335" spans="1:11" ht="15" customHeight="1">
      <c r="A1335" t="str">
        <f t="shared" ca="1" si="387"/>
        <v/>
      </c>
      <c r="B1335" s="52">
        <f t="shared" si="375"/>
        <v>300</v>
      </c>
      <c r="C1335" t="str">
        <f t="shared" ca="1" si="381"/>
        <v>Environmental Phase I Preparer</v>
      </c>
      <c r="D1335" t="str">
        <f t="shared" si="385"/>
        <v>B309</v>
      </c>
      <c r="E1335" t="str">
        <f t="shared" ca="1" si="382"/>
        <v/>
      </c>
      <c r="F1335" t="str">
        <f ca="1">CONCATENATE("Enter an "&amp; J1335 &amp;" for '", C1335, "' in cell ", D1335, ".", CHAR(10))</f>
        <v xml:space="preserve">Enter an Email for 'Environmental Phase I Preparer' in cell B309.
</v>
      </c>
      <c r="G1335"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5" t="b">
        <f>Calculations!$B$2</f>
        <v>0</v>
      </c>
      <c r="I1335" s="9"/>
      <c r="J1335" s="52" t="str">
        <f t="shared" ca="1" si="386"/>
        <v>Email</v>
      </c>
      <c r="K1335" s="52">
        <v>9</v>
      </c>
    </row>
    <row r="1336" spans="1:11" ht="15" customHeight="1">
      <c r="A1336" t="str">
        <f t="shared" ca="1" si="387"/>
        <v/>
      </c>
      <c r="B1336">
        <f>ROW('Contact Information'!B311)</f>
        <v>311</v>
      </c>
      <c r="C1336" t="str">
        <f t="shared" ref="C1336:C1344" ca="1" si="388">INDIRECT($F$1101 &amp; ADDRESS(B1336, 1,4  ))</f>
        <v>Capital Needs Report Preparer</v>
      </c>
      <c r="D1336" t="str">
        <f t="shared" si="385"/>
        <v>B312</v>
      </c>
      <c r="E1336" t="str">
        <f t="shared" ref="E1336:E1344" ca="1" si="389">IF(ISBLANK( INDIRECT($F$1101 &amp; D1336)),"", INDIRECT($F$1101 &amp; D1336))</f>
        <v/>
      </c>
      <c r="F1336" t="str">
        <f ca="1">CONCATENATE("Enter a "&amp; J1336 &amp;" for '", C1336, "' in cell ", D1336, ".", CHAR(10))</f>
        <v xml:space="preserve">Enter a Organization for 'Capital Needs Report Preparer' in cell B312.
</v>
      </c>
      <c r="G1336" s="9" t="str">
        <f t="shared" ref="G1336:G1344" ca="1" si="390">OFFSET(G1336, -1, 0) &amp; A1336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6" t="b">
        <f>Calculations!$B$2</f>
        <v>0</v>
      </c>
      <c r="I1336" s="9"/>
      <c r="J1336" s="52" t="str">
        <f t="shared" ca="1" si="386"/>
        <v>Organization</v>
      </c>
      <c r="K1336" s="52">
        <v>1</v>
      </c>
    </row>
    <row r="1337" spans="1:11" ht="15" customHeight="1">
      <c r="A1337" t="str">
        <f t="shared" ca="1" si="387"/>
        <v/>
      </c>
      <c r="B1337" s="52">
        <f t="shared" si="375"/>
        <v>311</v>
      </c>
      <c r="C1337" t="str">
        <f t="shared" ca="1" si="388"/>
        <v>Capital Needs Report Preparer</v>
      </c>
      <c r="D1337" t="str">
        <f t="shared" si="385"/>
        <v>B313</v>
      </c>
      <c r="E1337" t="str">
        <f t="shared" ca="1" si="389"/>
        <v/>
      </c>
      <c r="F1337" t="str">
        <f ca="1">CONCATENATE("Enter an "&amp; J1337 &amp;" for '", C1337, "' in cell ", D1337, ".", CHAR(10))</f>
        <v xml:space="preserve">Enter an Address for 'Capital Needs Report Preparer' in cell B313.
</v>
      </c>
      <c r="G1337"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7" t="b">
        <f>Calculations!$B$2</f>
        <v>0</v>
      </c>
      <c r="I1337" s="9"/>
      <c r="J1337" s="52" t="str">
        <f t="shared" ca="1" si="386"/>
        <v>Address</v>
      </c>
      <c r="K1337" s="52">
        <v>2</v>
      </c>
    </row>
    <row r="1338" spans="1:11" ht="15" customHeight="1">
      <c r="A1338" t="str">
        <f t="shared" ca="1" si="387"/>
        <v/>
      </c>
      <c r="B1338" s="52">
        <f t="shared" si="375"/>
        <v>311</v>
      </c>
      <c r="C1338" t="str">
        <f t="shared" ca="1" si="388"/>
        <v>Capital Needs Report Preparer</v>
      </c>
      <c r="D1338" t="str">
        <f t="shared" si="385"/>
        <v>B314</v>
      </c>
      <c r="E1338" t="str">
        <f t="shared" ca="1" si="389"/>
        <v/>
      </c>
      <c r="F1338" t="str">
        <f t="shared" ref="F1338:F1343" ca="1" si="391">CONCATENATE("Enter a "&amp; J1338 &amp;" for '", C1338, "' in cell ", D1338, ".", CHAR(10))</f>
        <v xml:space="preserve">Enter a City  for 'Capital Needs Report Preparer' in cell B314.
</v>
      </c>
      <c r="G1338"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8" t="b">
        <f>Calculations!$B$2</f>
        <v>0</v>
      </c>
      <c r="I1338" s="9"/>
      <c r="J1338" s="52" t="str">
        <f t="shared" ca="1" si="386"/>
        <v xml:space="preserve">City </v>
      </c>
      <c r="K1338" s="52">
        <v>3</v>
      </c>
    </row>
    <row r="1339" spans="1:11" ht="15" customHeight="1">
      <c r="A1339" t="str">
        <f t="shared" ca="1" si="387"/>
        <v/>
      </c>
      <c r="B1339" s="52">
        <f t="shared" si="375"/>
        <v>311</v>
      </c>
      <c r="C1339" t="str">
        <f t="shared" ca="1" si="388"/>
        <v>Capital Needs Report Preparer</v>
      </c>
      <c r="D1339" t="str">
        <f t="shared" si="385"/>
        <v>B315</v>
      </c>
      <c r="E1339" t="str">
        <f t="shared" ca="1" si="389"/>
        <v/>
      </c>
      <c r="F1339" t="str">
        <f t="shared" ca="1" si="391"/>
        <v xml:space="preserve">Enter a State for 'Capital Needs Report Preparer' in cell B315.
</v>
      </c>
      <c r="G1339"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9" t="b">
        <f>Calculations!$B$2</f>
        <v>0</v>
      </c>
      <c r="I1339" s="9"/>
      <c r="J1339" s="52" t="str">
        <f t="shared" ca="1" si="386"/>
        <v>State</v>
      </c>
      <c r="K1339" s="52">
        <v>4</v>
      </c>
    </row>
    <row r="1340" spans="1:11" ht="15" customHeight="1">
      <c r="A1340" t="str">
        <f t="shared" ca="1" si="387"/>
        <v/>
      </c>
      <c r="B1340" s="52">
        <f t="shared" si="375"/>
        <v>311</v>
      </c>
      <c r="C1340" t="str">
        <f t="shared" ca="1" si="388"/>
        <v>Capital Needs Report Preparer</v>
      </c>
      <c r="D1340" t="str">
        <f t="shared" si="385"/>
        <v>B316</v>
      </c>
      <c r="E1340" t="str">
        <f t="shared" ca="1" si="389"/>
        <v/>
      </c>
      <c r="F1340" t="str">
        <f t="shared" ca="1" si="391"/>
        <v xml:space="preserve">Enter a Zip (first five #'s only) for 'Capital Needs Report Preparer' in cell B316.
</v>
      </c>
      <c r="G1340"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0" t="b">
        <f>Calculations!$B$2</f>
        <v>0</v>
      </c>
      <c r="I1340" s="9"/>
      <c r="J1340" s="52" t="str">
        <f t="shared" ca="1" si="386"/>
        <v>Zip (first five #'s only)</v>
      </c>
      <c r="K1340" s="52">
        <v>5</v>
      </c>
    </row>
    <row r="1341" spans="1:11" ht="15" customHeight="1">
      <c r="A1341" t="str">
        <f t="shared" ca="1" si="387"/>
        <v/>
      </c>
      <c r="B1341" s="52">
        <f t="shared" si="375"/>
        <v>311</v>
      </c>
      <c r="C1341" t="str">
        <f t="shared" ca="1" si="388"/>
        <v>Capital Needs Report Preparer</v>
      </c>
      <c r="D1341" t="str">
        <f t="shared" si="385"/>
        <v>B317</v>
      </c>
      <c r="E1341" t="str">
        <f t="shared" ca="1" si="389"/>
        <v/>
      </c>
      <c r="F1341" t="str">
        <f t="shared" ca="1" si="391"/>
        <v xml:space="preserve">Enter a Contact First Name for 'Capital Needs Report Preparer' in cell B317.
</v>
      </c>
      <c r="G1341"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1" t="b">
        <f>Calculations!$B$2</f>
        <v>0</v>
      </c>
      <c r="I1341" s="9"/>
      <c r="J1341" s="52" t="str">
        <f t="shared" ca="1" si="386"/>
        <v>Contact First Name</v>
      </c>
      <c r="K1341" s="52">
        <v>6</v>
      </c>
    </row>
    <row r="1342" spans="1:11" ht="15" customHeight="1">
      <c r="A1342" t="str">
        <f t="shared" ca="1" si="387"/>
        <v/>
      </c>
      <c r="B1342" s="52">
        <f t="shared" si="375"/>
        <v>311</v>
      </c>
      <c r="C1342" t="str">
        <f t="shared" ca="1" si="388"/>
        <v>Capital Needs Report Preparer</v>
      </c>
      <c r="D1342" t="str">
        <f t="shared" si="385"/>
        <v>B318</v>
      </c>
      <c r="E1342" t="str">
        <f t="shared" ca="1" si="389"/>
        <v/>
      </c>
      <c r="F1342" t="str">
        <f t="shared" ca="1" si="391"/>
        <v xml:space="preserve">Enter a Contact Last Name for 'Capital Needs Report Preparer' in cell B318.
</v>
      </c>
      <c r="G1342"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2" t="b">
        <f>Calculations!$B$2</f>
        <v>0</v>
      </c>
      <c r="I1342" s="9"/>
      <c r="J1342" s="52" t="str">
        <f t="shared" ca="1" si="386"/>
        <v>Contact Last Name</v>
      </c>
      <c r="K1342" s="52">
        <v>7</v>
      </c>
    </row>
    <row r="1343" spans="1:11" ht="15" customHeight="1">
      <c r="A1343" t="str">
        <f t="shared" ca="1" si="387"/>
        <v/>
      </c>
      <c r="B1343" s="52">
        <f t="shared" si="375"/>
        <v>311</v>
      </c>
      <c r="C1343" t="str">
        <f t="shared" ca="1" si="388"/>
        <v>Capital Needs Report Preparer</v>
      </c>
      <c r="D1343" t="str">
        <f t="shared" si="385"/>
        <v>B319</v>
      </c>
      <c r="E1343" t="str">
        <f t="shared" ca="1" si="389"/>
        <v/>
      </c>
      <c r="F1343" t="str">
        <f t="shared" ca="1" si="391"/>
        <v xml:space="preserve">Enter a Phone (#'s only) for 'Capital Needs Report Preparer' in cell B319.
</v>
      </c>
      <c r="G1343"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3" t="b">
        <f>Calculations!$B$2</f>
        <v>0</v>
      </c>
      <c r="I1343" s="9"/>
      <c r="J1343" s="52" t="str">
        <f t="shared" ca="1" si="386"/>
        <v>Phone (#'s only)</v>
      </c>
      <c r="K1343" s="52">
        <v>8</v>
      </c>
    </row>
    <row r="1344" spans="1:11" ht="15" customHeight="1">
      <c r="A1344" t="str">
        <f t="shared" ca="1" si="387"/>
        <v/>
      </c>
      <c r="B1344" s="52">
        <f t="shared" si="375"/>
        <v>311</v>
      </c>
      <c r="C1344" t="str">
        <f t="shared" ca="1" si="388"/>
        <v>Capital Needs Report Preparer</v>
      </c>
      <c r="D1344" t="str">
        <f t="shared" si="385"/>
        <v>B320</v>
      </c>
      <c r="E1344" t="str">
        <f t="shared" ca="1" si="389"/>
        <v/>
      </c>
      <c r="F1344" t="str">
        <f ca="1">CONCATENATE("Enter an "&amp; J1344 &amp;" for '", C1344, "' in cell ", D1344, ".", CHAR(10))</f>
        <v xml:space="preserve">Enter an Email for 'Capital Needs Report Preparer' in cell B320.
</v>
      </c>
      <c r="G1344"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4" t="b">
        <f>Calculations!$B$2</f>
        <v>0</v>
      </c>
      <c r="I1344" s="9"/>
      <c r="J1344" s="52" t="str">
        <f t="shared" ca="1" si="386"/>
        <v>Email</v>
      </c>
      <c r="K1344" s="52">
        <v>9</v>
      </c>
    </row>
    <row r="1345" spans="1:11" ht="15" customHeight="1">
      <c r="A1345" t="str">
        <f t="shared" ca="1" si="387"/>
        <v/>
      </c>
      <c r="B1345">
        <f>ROW('Contact Information'!B322)</f>
        <v>322</v>
      </c>
      <c r="C1345" t="str">
        <f t="shared" ref="C1345:C1353" ca="1" si="392">INDIRECT($F$1101 &amp; ADDRESS(B1345, 1,4  ))</f>
        <v>Green Consultant</v>
      </c>
      <c r="D1345" t="str">
        <f t="shared" si="385"/>
        <v>B323</v>
      </c>
      <c r="E1345" t="str">
        <f t="shared" ref="E1345:E1353" ca="1" si="393">IF(ISBLANK( INDIRECT($F$1101 &amp; D1345)),"", INDIRECT($F$1101 &amp; D1345))</f>
        <v/>
      </c>
      <c r="F1345" t="str">
        <f ca="1">CONCATENATE("Enter a "&amp; J1345 &amp;" for '", C1345, "' in cell ", D1345, ".", CHAR(10))</f>
        <v xml:space="preserve">Enter a Organization for 'Green Consultant' in cell B323.
</v>
      </c>
      <c r="G1345" s="9" t="str">
        <f t="shared" ref="G1345:G1353" ca="1" si="394">OFFSET(G1345, -1, 0) &amp; A1345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5" t="b">
        <f>Calculations!$B$2</f>
        <v>0</v>
      </c>
      <c r="I1345" s="9"/>
      <c r="J1345" s="52" t="str">
        <f t="shared" ca="1" si="386"/>
        <v>Organization</v>
      </c>
      <c r="K1345" s="52">
        <v>1</v>
      </c>
    </row>
    <row r="1346" spans="1:11" ht="15" customHeight="1">
      <c r="A1346" t="str">
        <f t="shared" ca="1" si="387"/>
        <v/>
      </c>
      <c r="B1346" s="52">
        <f t="shared" si="375"/>
        <v>322</v>
      </c>
      <c r="C1346" t="str">
        <f t="shared" ca="1" si="392"/>
        <v>Green Consultant</v>
      </c>
      <c r="D1346" t="str">
        <f t="shared" si="385"/>
        <v>B324</v>
      </c>
      <c r="E1346" t="str">
        <f t="shared" ca="1" si="393"/>
        <v/>
      </c>
      <c r="F1346" t="str">
        <f ca="1">CONCATENATE("Enter an "&amp; J1346 &amp;" for '", C1346, "' in cell ", D1346, ".", CHAR(10))</f>
        <v xml:space="preserve">Enter an Address for 'Green Consultant' in cell B324.
</v>
      </c>
      <c r="G1346"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6" t="b">
        <f>Calculations!$B$2</f>
        <v>0</v>
      </c>
      <c r="I1346" s="9"/>
      <c r="J1346" s="52" t="str">
        <f t="shared" ca="1" si="386"/>
        <v>Address</v>
      </c>
      <c r="K1346" s="52">
        <v>2</v>
      </c>
    </row>
    <row r="1347" spans="1:11" ht="15" customHeight="1">
      <c r="A1347" t="str">
        <f t="shared" ca="1" si="387"/>
        <v/>
      </c>
      <c r="B1347" s="52">
        <f t="shared" si="375"/>
        <v>322</v>
      </c>
      <c r="C1347" t="str">
        <f t="shared" ca="1" si="392"/>
        <v>Green Consultant</v>
      </c>
      <c r="D1347" t="str">
        <f t="shared" si="385"/>
        <v>B325</v>
      </c>
      <c r="E1347" t="str">
        <f t="shared" ca="1" si="393"/>
        <v/>
      </c>
      <c r="F1347" t="str">
        <f t="shared" ref="F1347:F1352" ca="1" si="395">CONCATENATE("Enter a "&amp; J1347 &amp;" for '", C1347, "' in cell ", D1347, ".", CHAR(10))</f>
        <v xml:space="preserve">Enter a City  for 'Green Consultant' in cell B325.
</v>
      </c>
      <c r="G1347"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7" t="b">
        <f>Calculations!$B$2</f>
        <v>0</v>
      </c>
      <c r="I1347" s="9"/>
      <c r="J1347" s="52" t="str">
        <f t="shared" ca="1" si="386"/>
        <v xml:space="preserve">City </v>
      </c>
      <c r="K1347" s="52">
        <v>3</v>
      </c>
    </row>
    <row r="1348" spans="1:11" ht="15" customHeight="1">
      <c r="A1348" t="str">
        <f t="shared" ca="1" si="387"/>
        <v/>
      </c>
      <c r="B1348" s="52">
        <f t="shared" si="375"/>
        <v>322</v>
      </c>
      <c r="C1348" t="str">
        <f t="shared" ca="1" si="392"/>
        <v>Green Consultant</v>
      </c>
      <c r="D1348" t="str">
        <f t="shared" si="385"/>
        <v>B326</v>
      </c>
      <c r="E1348" t="str">
        <f t="shared" ca="1" si="393"/>
        <v/>
      </c>
      <c r="F1348" t="str">
        <f t="shared" ca="1" si="395"/>
        <v xml:space="preserve">Enter a State for 'Green Consultant' in cell B326.
</v>
      </c>
      <c r="G1348"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8" t="b">
        <f>Calculations!$B$2</f>
        <v>0</v>
      </c>
      <c r="I1348" s="9"/>
      <c r="J1348" s="52" t="str">
        <f t="shared" ca="1" si="386"/>
        <v>State</v>
      </c>
      <c r="K1348" s="52">
        <v>4</v>
      </c>
    </row>
    <row r="1349" spans="1:11" ht="15" customHeight="1">
      <c r="A1349" t="str">
        <f t="shared" ca="1" si="387"/>
        <v/>
      </c>
      <c r="B1349" s="52">
        <f t="shared" si="375"/>
        <v>322</v>
      </c>
      <c r="C1349" t="str">
        <f t="shared" ca="1" si="392"/>
        <v>Green Consultant</v>
      </c>
      <c r="D1349" t="str">
        <f t="shared" si="385"/>
        <v>B327</v>
      </c>
      <c r="E1349" t="str">
        <f t="shared" ca="1" si="393"/>
        <v/>
      </c>
      <c r="F1349" t="str">
        <f t="shared" ca="1" si="395"/>
        <v xml:space="preserve">Enter a Zip (first five #'s only) for 'Green Consultant' in cell B327.
</v>
      </c>
      <c r="G1349"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9" t="b">
        <f>Calculations!$B$2</f>
        <v>0</v>
      </c>
      <c r="I1349" s="9"/>
      <c r="J1349" s="52" t="str">
        <f t="shared" ca="1" si="386"/>
        <v>Zip (first five #'s only)</v>
      </c>
      <c r="K1349" s="52">
        <v>5</v>
      </c>
    </row>
    <row r="1350" spans="1:11" ht="15" customHeight="1">
      <c r="A1350" t="str">
        <f t="shared" ca="1" si="387"/>
        <v/>
      </c>
      <c r="B1350" s="52">
        <f t="shared" si="375"/>
        <v>322</v>
      </c>
      <c r="C1350" t="str">
        <f t="shared" ca="1" si="392"/>
        <v>Green Consultant</v>
      </c>
      <c r="D1350" t="str">
        <f t="shared" si="385"/>
        <v>B328</v>
      </c>
      <c r="E1350" t="str">
        <f t="shared" ca="1" si="393"/>
        <v/>
      </c>
      <c r="F1350" t="str">
        <f t="shared" ca="1" si="395"/>
        <v xml:space="preserve">Enter a Contact First Name for 'Green Consultant' in cell B328.
</v>
      </c>
      <c r="G1350"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0" t="b">
        <f>Calculations!$B$2</f>
        <v>0</v>
      </c>
      <c r="I1350" s="9"/>
      <c r="J1350" s="52" t="str">
        <f t="shared" ca="1" si="386"/>
        <v>Contact First Name</v>
      </c>
      <c r="K1350" s="52">
        <v>6</v>
      </c>
    </row>
    <row r="1351" spans="1:11" ht="15" customHeight="1">
      <c r="A1351" t="str">
        <f t="shared" ca="1" si="387"/>
        <v/>
      </c>
      <c r="B1351" s="52">
        <f t="shared" si="375"/>
        <v>322</v>
      </c>
      <c r="C1351" t="str">
        <f t="shared" ca="1" si="392"/>
        <v>Green Consultant</v>
      </c>
      <c r="D1351" t="str">
        <f t="shared" si="385"/>
        <v>B329</v>
      </c>
      <c r="E1351" t="str">
        <f t="shared" ca="1" si="393"/>
        <v/>
      </c>
      <c r="F1351" t="str">
        <f t="shared" ca="1" si="395"/>
        <v xml:space="preserve">Enter a Contact Last Name for 'Green Consultant' in cell B329.
</v>
      </c>
      <c r="G1351"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1" t="b">
        <f>Calculations!$B$2</f>
        <v>0</v>
      </c>
      <c r="I1351" s="9"/>
      <c r="J1351" s="52" t="str">
        <f t="shared" ca="1" si="386"/>
        <v>Contact Last Name</v>
      </c>
      <c r="K1351" s="52">
        <v>7</v>
      </c>
    </row>
    <row r="1352" spans="1:11" ht="15" customHeight="1">
      <c r="A1352" t="str">
        <f t="shared" ca="1" si="387"/>
        <v/>
      </c>
      <c r="B1352" s="52">
        <f t="shared" si="375"/>
        <v>322</v>
      </c>
      <c r="C1352" t="str">
        <f t="shared" ca="1" si="392"/>
        <v>Green Consultant</v>
      </c>
      <c r="D1352" t="str">
        <f t="shared" si="385"/>
        <v>B330</v>
      </c>
      <c r="E1352" t="str">
        <f t="shared" ca="1" si="393"/>
        <v/>
      </c>
      <c r="F1352" t="str">
        <f t="shared" ca="1" si="395"/>
        <v xml:space="preserve">Enter a Phone (#'s only) for 'Green Consultant' in cell B330.
</v>
      </c>
      <c r="G1352"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2" t="b">
        <f>Calculations!$B$2</f>
        <v>0</v>
      </c>
      <c r="I1352" s="9"/>
      <c r="J1352" s="52" t="str">
        <f t="shared" ca="1" si="386"/>
        <v>Phone (#'s only)</v>
      </c>
      <c r="K1352" s="52">
        <v>8</v>
      </c>
    </row>
    <row r="1353" spans="1:11" ht="15" customHeight="1">
      <c r="A1353" t="str">
        <f t="shared" ca="1" si="387"/>
        <v/>
      </c>
      <c r="B1353" s="52">
        <f t="shared" si="375"/>
        <v>322</v>
      </c>
      <c r="C1353" t="str">
        <f t="shared" ca="1" si="392"/>
        <v>Green Consultant</v>
      </c>
      <c r="D1353" t="str">
        <f t="shared" si="385"/>
        <v>B331</v>
      </c>
      <c r="E1353" t="str">
        <f t="shared" ca="1" si="393"/>
        <v/>
      </c>
      <c r="F1353" t="str">
        <f ca="1">CONCATENATE("Enter an "&amp; J1353 &amp;" for '", C1353, "' in cell ", D1353, ".", CHAR(10))</f>
        <v xml:space="preserve">Enter an Email for 'Green Consultant' in cell B331.
</v>
      </c>
      <c r="G1353"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3" t="b">
        <f>Calculations!$B$2</f>
        <v>0</v>
      </c>
      <c r="I1353" s="9"/>
      <c r="J1353" s="52" t="str">
        <f t="shared" ca="1" si="386"/>
        <v>Email</v>
      </c>
      <c r="K1353" s="52">
        <v>9</v>
      </c>
    </row>
    <row r="1354" spans="1:11" ht="15" customHeight="1">
      <c r="A1354" t="str">
        <f t="shared" ca="1" si="387"/>
        <v/>
      </c>
      <c r="B1354">
        <f>ROW('Contact Information'!B333)</f>
        <v>333</v>
      </c>
      <c r="C1354" t="str">
        <f t="shared" ref="C1354:C1362" ca="1" si="396">INDIRECT($F$1101 &amp; ADDRESS(B1354, 1,4  ))</f>
        <v>Bond Purchaser</v>
      </c>
      <c r="D1354" t="str">
        <f t="shared" si="385"/>
        <v>B334</v>
      </c>
      <c r="E1354" t="str">
        <f t="shared" ref="E1354:E1362" ca="1" si="397">IF(ISBLANK( INDIRECT($F$1101 &amp; D1354)),"", INDIRECT($F$1101 &amp; D1354))</f>
        <v/>
      </c>
      <c r="F1354" t="str">
        <f ca="1">CONCATENATE("Enter a "&amp; J1354 &amp;" for '", C1354, "' in cell ", D1354, ".", CHAR(10))</f>
        <v xml:space="preserve">Enter a Organization for 'Bond Purchaser' in cell B334.
</v>
      </c>
      <c r="G1354" s="9" t="str">
        <f t="shared" ref="G1354:G1362" ca="1" si="398">OFFSET(G1354, -1, 0) &amp; A1354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4" t="b">
        <f>TRUE</f>
        <v>1</v>
      </c>
      <c r="I1354" s="9"/>
      <c r="J1354" s="52" t="str">
        <f t="shared" ca="1" si="386"/>
        <v>Organization</v>
      </c>
      <c r="K1354" s="52">
        <v>1</v>
      </c>
    </row>
    <row r="1355" spans="1:11" ht="15" customHeight="1">
      <c r="A1355" t="str">
        <f t="shared" ca="1" si="387"/>
        <v/>
      </c>
      <c r="B1355" s="52">
        <f t="shared" si="375"/>
        <v>333</v>
      </c>
      <c r="C1355" t="str">
        <f t="shared" ca="1" si="396"/>
        <v>Bond Purchaser</v>
      </c>
      <c r="D1355" t="str">
        <f t="shared" si="385"/>
        <v>B335</v>
      </c>
      <c r="E1355" t="str">
        <f t="shared" ca="1" si="397"/>
        <v/>
      </c>
      <c r="F1355" t="str">
        <f ca="1">CONCATENATE("Enter an "&amp; J1355 &amp;" for '", C1355, "' in cell ", D1355, ".", CHAR(10))</f>
        <v xml:space="preserve">Enter an Address for 'Bond Purchaser' in cell B335.
</v>
      </c>
      <c r="G1355"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5" t="b">
        <f>TRUE</f>
        <v>1</v>
      </c>
      <c r="I1355" s="9"/>
      <c r="J1355" s="52" t="str">
        <f t="shared" ca="1" si="386"/>
        <v>Address</v>
      </c>
      <c r="K1355" s="52">
        <v>2</v>
      </c>
    </row>
    <row r="1356" spans="1:11" ht="15" customHeight="1">
      <c r="A1356" t="str">
        <f t="shared" ca="1" si="387"/>
        <v/>
      </c>
      <c r="B1356" s="52">
        <f t="shared" si="375"/>
        <v>333</v>
      </c>
      <c r="C1356" t="str">
        <f t="shared" ca="1" si="396"/>
        <v>Bond Purchaser</v>
      </c>
      <c r="D1356" t="str">
        <f t="shared" si="385"/>
        <v>B336</v>
      </c>
      <c r="E1356" t="str">
        <f t="shared" ca="1" si="397"/>
        <v/>
      </c>
      <c r="F1356" t="str">
        <f t="shared" ref="F1356:F1361" ca="1" si="399">CONCATENATE("Enter a "&amp; J1356 &amp;" for '", C1356, "' in cell ", D1356, ".", CHAR(10))</f>
        <v xml:space="preserve">Enter a City  for 'Bond Purchaser' in cell B336.
</v>
      </c>
      <c r="G1356"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6" t="b">
        <f>TRUE</f>
        <v>1</v>
      </c>
      <c r="I1356" s="9"/>
      <c r="J1356" s="52" t="str">
        <f t="shared" ca="1" si="386"/>
        <v xml:space="preserve">City </v>
      </c>
      <c r="K1356" s="52">
        <v>3</v>
      </c>
    </row>
    <row r="1357" spans="1:11" ht="15" customHeight="1">
      <c r="A1357" t="str">
        <f t="shared" ca="1" si="387"/>
        <v/>
      </c>
      <c r="B1357" s="52">
        <f t="shared" si="375"/>
        <v>333</v>
      </c>
      <c r="C1357" t="str">
        <f t="shared" ca="1" si="396"/>
        <v>Bond Purchaser</v>
      </c>
      <c r="D1357" t="str">
        <f t="shared" si="385"/>
        <v>B337</v>
      </c>
      <c r="E1357" t="str">
        <f t="shared" ca="1" si="397"/>
        <v/>
      </c>
      <c r="F1357" t="str">
        <f t="shared" ca="1" si="399"/>
        <v xml:space="preserve">Enter a State for 'Bond Purchaser' in cell B337.
</v>
      </c>
      <c r="G1357"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7" t="b">
        <f>TRUE</f>
        <v>1</v>
      </c>
      <c r="I1357" s="9"/>
      <c r="J1357" s="52" t="str">
        <f t="shared" ca="1" si="386"/>
        <v>State</v>
      </c>
      <c r="K1357" s="52">
        <v>4</v>
      </c>
    </row>
    <row r="1358" spans="1:11" ht="15" customHeight="1">
      <c r="A1358" t="str">
        <f t="shared" ca="1" si="387"/>
        <v/>
      </c>
      <c r="B1358" s="52">
        <f t="shared" si="375"/>
        <v>333</v>
      </c>
      <c r="C1358" t="str">
        <f t="shared" ca="1" si="396"/>
        <v>Bond Purchaser</v>
      </c>
      <c r="D1358" t="str">
        <f t="shared" si="385"/>
        <v>B338</v>
      </c>
      <c r="E1358" t="str">
        <f t="shared" ca="1" si="397"/>
        <v/>
      </c>
      <c r="F1358" t="str">
        <f t="shared" ca="1" si="399"/>
        <v xml:space="preserve">Enter a Zip (first five #'s only) for 'Bond Purchaser' in cell B338.
</v>
      </c>
      <c r="G1358"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8" t="b">
        <f>TRUE</f>
        <v>1</v>
      </c>
      <c r="I1358" s="9"/>
      <c r="J1358" s="52" t="str">
        <f t="shared" ca="1" si="386"/>
        <v>Zip (first five #'s only)</v>
      </c>
      <c r="K1358" s="52">
        <v>5</v>
      </c>
    </row>
    <row r="1359" spans="1:11" ht="15" customHeight="1">
      <c r="A1359" t="str">
        <f t="shared" ca="1" si="387"/>
        <v/>
      </c>
      <c r="B1359" s="52">
        <f t="shared" si="375"/>
        <v>333</v>
      </c>
      <c r="C1359" t="str">
        <f t="shared" ca="1" si="396"/>
        <v>Bond Purchaser</v>
      </c>
      <c r="D1359" t="str">
        <f t="shared" si="385"/>
        <v>B339</v>
      </c>
      <c r="E1359" t="str">
        <f t="shared" ca="1" si="397"/>
        <v/>
      </c>
      <c r="F1359" t="str">
        <f t="shared" ca="1" si="399"/>
        <v xml:space="preserve">Enter a Contact First Name for 'Bond Purchaser' in cell B339.
</v>
      </c>
      <c r="G1359"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9" t="b">
        <f>TRUE</f>
        <v>1</v>
      </c>
      <c r="I1359" s="9"/>
      <c r="J1359" s="52" t="str">
        <f t="shared" ca="1" si="386"/>
        <v>Contact First Name</v>
      </c>
      <c r="K1359" s="52">
        <v>6</v>
      </c>
    </row>
    <row r="1360" spans="1:11" ht="15" customHeight="1">
      <c r="A1360" t="str">
        <f t="shared" ca="1" si="387"/>
        <v/>
      </c>
      <c r="B1360" s="52">
        <f t="shared" si="375"/>
        <v>333</v>
      </c>
      <c r="C1360" t="str">
        <f t="shared" ca="1" si="396"/>
        <v>Bond Purchaser</v>
      </c>
      <c r="D1360" t="str">
        <f t="shared" si="385"/>
        <v>B340</v>
      </c>
      <c r="E1360" t="str">
        <f t="shared" ca="1" si="397"/>
        <v/>
      </c>
      <c r="F1360" t="str">
        <f t="shared" ca="1" si="399"/>
        <v xml:space="preserve">Enter a Contact Last Name for 'Bond Purchaser' in cell B340.
</v>
      </c>
      <c r="G1360"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0" t="b">
        <f>TRUE</f>
        <v>1</v>
      </c>
      <c r="I1360" s="9"/>
      <c r="J1360" s="52" t="str">
        <f t="shared" ca="1" si="386"/>
        <v>Contact Last Name</v>
      </c>
      <c r="K1360" s="52">
        <v>7</v>
      </c>
    </row>
    <row r="1361" spans="1:11" ht="15" customHeight="1">
      <c r="A1361" t="str">
        <f t="shared" ca="1" si="387"/>
        <v/>
      </c>
      <c r="B1361" s="52">
        <f t="shared" si="375"/>
        <v>333</v>
      </c>
      <c r="C1361" t="str">
        <f t="shared" ca="1" si="396"/>
        <v>Bond Purchaser</v>
      </c>
      <c r="D1361" t="str">
        <f t="shared" si="385"/>
        <v>B341</v>
      </c>
      <c r="E1361" t="str">
        <f t="shared" ca="1" si="397"/>
        <v/>
      </c>
      <c r="F1361" t="str">
        <f t="shared" ca="1" si="399"/>
        <v xml:space="preserve">Enter a Phone (#'s only) for 'Bond Purchaser' in cell B341.
</v>
      </c>
      <c r="G1361"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1" t="b">
        <f>TRUE</f>
        <v>1</v>
      </c>
      <c r="I1361" s="9"/>
      <c r="J1361" s="52" t="str">
        <f t="shared" ca="1" si="386"/>
        <v>Phone (#'s only)</v>
      </c>
      <c r="K1361" s="52">
        <v>8</v>
      </c>
    </row>
    <row r="1362" spans="1:11" ht="15" customHeight="1">
      <c r="A1362" t="str">
        <f t="shared" ca="1" si="387"/>
        <v/>
      </c>
      <c r="B1362" s="52">
        <f t="shared" si="375"/>
        <v>333</v>
      </c>
      <c r="C1362" t="str">
        <f t="shared" ca="1" si="396"/>
        <v>Bond Purchaser</v>
      </c>
      <c r="D1362" t="str">
        <f t="shared" si="385"/>
        <v>B342</v>
      </c>
      <c r="E1362" t="str">
        <f t="shared" ca="1" si="397"/>
        <v/>
      </c>
      <c r="F1362" t="str">
        <f ca="1">CONCATENATE("Enter an "&amp; J1362 &amp;" for '", C1362, "' in cell ", D1362, ".", CHAR(10))</f>
        <v xml:space="preserve">Enter an Email for 'Bond Purchaser' in cell B342.
</v>
      </c>
      <c r="G1362"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2" t="b">
        <f>TRUE</f>
        <v>1</v>
      </c>
      <c r="I1362" s="9"/>
      <c r="J1362" s="52" t="str">
        <f t="shared" ca="1" si="386"/>
        <v>Email</v>
      </c>
      <c r="K1362" s="52">
        <v>9</v>
      </c>
    </row>
    <row r="1363" spans="1:11" ht="15" customHeight="1">
      <c r="A1363" t="str">
        <f t="shared" ca="1" si="387"/>
        <v/>
      </c>
      <c r="B1363" s="52">
        <f t="shared" si="375"/>
        <v>333</v>
      </c>
      <c r="C1363" t="str">
        <f t="shared" ref="C1363" ca="1" si="400">INDIRECT($F$1101 &amp; ADDRESS(B1363, 1,4  ))</f>
        <v>Bond Purchaser</v>
      </c>
      <c r="D1363" t="str">
        <f t="shared" ref="D1363" si="401">ADDRESS(B1363+K1363, 2,4  )</f>
        <v>B343</v>
      </c>
      <c r="E1363" t="str">
        <f t="shared" ref="E1363" ca="1" si="402">IF(ISBLANK( INDIRECT($F$1101 &amp; D1363)),"", INDIRECT($F$1101 &amp; D1363))</f>
        <v/>
      </c>
      <c r="F1363" t="str">
        <f ca="1">CONCATENATE("Enter a "&amp; J1363 &amp;" for '", C1363, "' in cell ", D1363, ".", CHAR(10))</f>
        <v xml:space="preserve">Enter a Bonds are Public or Private Placement for 'Bond Purchaser' in cell B343.
</v>
      </c>
      <c r="G1363" s="9" t="str">
        <f t="shared" ref="G1363" ca="1" si="403">OFFSET(G1363, -1, 0) &amp; A1363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3" t="b">
        <f>TRUE</f>
        <v>1</v>
      </c>
      <c r="I1363" s="9"/>
      <c r="J1363" s="52" t="str">
        <f t="shared" ref="J1363" ca="1" si="404">INDIRECT($F$1101 &amp; ADDRESS(B1363+K1363, 1,4))</f>
        <v>Bonds are Public or Private Placement</v>
      </c>
      <c r="K1363" s="52">
        <v>10</v>
      </c>
    </row>
    <row r="1364" spans="1:11" ht="15" customHeight="1">
      <c r="A1364" t="str">
        <f t="shared" ca="1" si="387"/>
        <v/>
      </c>
      <c r="B1364">
        <f>ROW('Contact Information'!B345)</f>
        <v>345</v>
      </c>
      <c r="C1364" t="str">
        <f t="shared" ca="1" si="366"/>
        <v>Bond Issuer (if not CHFA)</v>
      </c>
      <c r="D1364" t="str">
        <f t="shared" si="385"/>
        <v>B346</v>
      </c>
      <c r="E1364" t="str">
        <f t="shared" ca="1" si="367"/>
        <v/>
      </c>
      <c r="F1364" t="str">
        <f ca="1">CONCATENATE("Enter a "&amp; J1364 &amp;" for '", C1364, "' in cell ", D1364, ".", CHAR(10))</f>
        <v xml:space="preserve">Enter a Organization for 'Bond Issuer (if not CHFA)' in cell B346.
</v>
      </c>
      <c r="G136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4" t="b">
        <f>TRUE</f>
        <v>1</v>
      </c>
      <c r="I1364" s="9"/>
      <c r="J1364" s="52" t="str">
        <f t="shared" ca="1" si="386"/>
        <v>Organization</v>
      </c>
      <c r="K1364" s="52">
        <v>1</v>
      </c>
    </row>
    <row r="1365" spans="1:11" ht="15" customHeight="1">
      <c r="A1365" t="str">
        <f t="shared" ca="1" si="387"/>
        <v/>
      </c>
      <c r="B1365" s="52">
        <f t="shared" ref="B1365:B1372" si="405">B1364</f>
        <v>345</v>
      </c>
      <c r="C1365" t="str">
        <f t="shared" ca="1" si="366"/>
        <v>Bond Issuer (if not CHFA)</v>
      </c>
      <c r="D1365" t="str">
        <f t="shared" si="385"/>
        <v>B347</v>
      </c>
      <c r="E1365" t="str">
        <f t="shared" ca="1" si="367"/>
        <v/>
      </c>
      <c r="F1365" t="str">
        <f ca="1">CONCATENATE("Enter an "&amp; J1365 &amp;" for '", C1365, "' in cell ", D1365, ".", CHAR(10))</f>
        <v xml:space="preserve">Enter an Address for 'Bond Issuer (if not CHFA)' in cell B347.
</v>
      </c>
      <c r="G136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5" t="b">
        <f>TRUE</f>
        <v>1</v>
      </c>
      <c r="I1365" s="9"/>
      <c r="J1365" s="52" t="str">
        <f t="shared" ca="1" si="386"/>
        <v>Address</v>
      </c>
      <c r="K1365" s="52">
        <v>2</v>
      </c>
    </row>
    <row r="1366" spans="1:11" ht="15" customHeight="1">
      <c r="A1366" t="str">
        <f t="shared" ca="1" si="387"/>
        <v/>
      </c>
      <c r="B1366" s="52">
        <f t="shared" si="405"/>
        <v>345</v>
      </c>
      <c r="C1366" t="str">
        <f t="shared" ca="1" si="366"/>
        <v>Bond Issuer (if not CHFA)</v>
      </c>
      <c r="D1366" t="str">
        <f t="shared" si="385"/>
        <v>B348</v>
      </c>
      <c r="E1366" t="str">
        <f t="shared" ca="1" si="367"/>
        <v/>
      </c>
      <c r="F1366" t="str">
        <f t="shared" ref="F1366:F1371" ca="1" si="406">CONCATENATE("Enter a "&amp; J1366 &amp;" for '", C1366, "' in cell ", D1366, ".", CHAR(10))</f>
        <v xml:space="preserve">Enter a City  for 'Bond Issuer (if not CHFA)' in cell B348.
</v>
      </c>
      <c r="G136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6" t="b">
        <f>TRUE</f>
        <v>1</v>
      </c>
      <c r="I1366" s="9"/>
      <c r="J1366" s="52" t="str">
        <f t="shared" ca="1" si="386"/>
        <v xml:space="preserve">City </v>
      </c>
      <c r="K1366" s="52">
        <v>3</v>
      </c>
    </row>
    <row r="1367" spans="1:11" ht="15" customHeight="1">
      <c r="A1367" t="str">
        <f t="shared" ca="1" si="387"/>
        <v/>
      </c>
      <c r="B1367" s="52">
        <f t="shared" si="405"/>
        <v>345</v>
      </c>
      <c r="C1367" t="str">
        <f t="shared" ca="1" si="366"/>
        <v>Bond Issuer (if not CHFA)</v>
      </c>
      <c r="D1367" t="str">
        <f t="shared" si="385"/>
        <v>B349</v>
      </c>
      <c r="E1367" t="str">
        <f t="shared" ca="1" si="367"/>
        <v/>
      </c>
      <c r="F1367" t="str">
        <f t="shared" ca="1" si="406"/>
        <v xml:space="preserve">Enter a State for 'Bond Issuer (if not CHFA)' in cell B349.
</v>
      </c>
      <c r="G136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7" t="b">
        <f>TRUE</f>
        <v>1</v>
      </c>
      <c r="I1367" s="9"/>
      <c r="J1367" s="52" t="str">
        <f t="shared" ca="1" si="386"/>
        <v>State</v>
      </c>
      <c r="K1367" s="52">
        <v>4</v>
      </c>
    </row>
    <row r="1368" spans="1:11" ht="15" customHeight="1">
      <c r="A1368" t="str">
        <f t="shared" ca="1" si="387"/>
        <v/>
      </c>
      <c r="B1368" s="52">
        <f t="shared" si="405"/>
        <v>345</v>
      </c>
      <c r="C1368" t="str">
        <f t="shared" ca="1" si="366"/>
        <v>Bond Issuer (if not CHFA)</v>
      </c>
      <c r="D1368" t="str">
        <f t="shared" si="385"/>
        <v>B350</v>
      </c>
      <c r="E1368" t="str">
        <f t="shared" ca="1" si="367"/>
        <v/>
      </c>
      <c r="F1368" t="str">
        <f t="shared" ca="1" si="406"/>
        <v xml:space="preserve">Enter a Zip (first five #'s only) for 'Bond Issuer (if not CHFA)' in cell B350.
</v>
      </c>
      <c r="G136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8" t="b">
        <f>TRUE</f>
        <v>1</v>
      </c>
      <c r="I1368" s="9"/>
      <c r="J1368" s="52" t="str">
        <f t="shared" ca="1" si="386"/>
        <v>Zip (first five #'s only)</v>
      </c>
      <c r="K1368" s="52">
        <v>5</v>
      </c>
    </row>
    <row r="1369" spans="1:11" ht="15" customHeight="1">
      <c r="A1369" t="str">
        <f t="shared" ca="1" si="387"/>
        <v/>
      </c>
      <c r="B1369" s="52">
        <f t="shared" si="405"/>
        <v>345</v>
      </c>
      <c r="C1369" t="str">
        <f t="shared" ca="1" si="366"/>
        <v>Bond Issuer (if not CHFA)</v>
      </c>
      <c r="D1369" t="str">
        <f t="shared" si="385"/>
        <v>B351</v>
      </c>
      <c r="E1369" t="str">
        <f t="shared" ca="1" si="367"/>
        <v/>
      </c>
      <c r="F1369" t="str">
        <f t="shared" ca="1" si="406"/>
        <v xml:space="preserve">Enter a Contact First Name for 'Bond Issuer (if not CHFA)' in cell B351.
</v>
      </c>
      <c r="G136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9" t="b">
        <f>TRUE</f>
        <v>1</v>
      </c>
      <c r="I1369" s="9"/>
      <c r="J1369" s="52" t="str">
        <f t="shared" ca="1" si="386"/>
        <v>Contact First Name</v>
      </c>
      <c r="K1369" s="52">
        <v>6</v>
      </c>
    </row>
    <row r="1370" spans="1:11" ht="15" customHeight="1">
      <c r="A1370" t="str">
        <f t="shared" ca="1" si="387"/>
        <v/>
      </c>
      <c r="B1370" s="52">
        <f t="shared" si="405"/>
        <v>345</v>
      </c>
      <c r="C1370" t="str">
        <f t="shared" ca="1" si="366"/>
        <v>Bond Issuer (if not CHFA)</v>
      </c>
      <c r="D1370" t="str">
        <f t="shared" si="385"/>
        <v>B352</v>
      </c>
      <c r="E1370" t="str">
        <f t="shared" ca="1" si="367"/>
        <v/>
      </c>
      <c r="F1370" t="str">
        <f t="shared" ca="1" si="406"/>
        <v xml:space="preserve">Enter a Contact Last Name for 'Bond Issuer (if not CHFA)' in cell B352.
</v>
      </c>
      <c r="G137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0" t="b">
        <f>TRUE</f>
        <v>1</v>
      </c>
      <c r="I1370" s="9"/>
      <c r="J1370" s="52" t="str">
        <f t="shared" ca="1" si="386"/>
        <v>Contact Last Name</v>
      </c>
      <c r="K1370" s="52">
        <v>7</v>
      </c>
    </row>
    <row r="1371" spans="1:11" ht="15" customHeight="1">
      <c r="A1371" t="str">
        <f t="shared" ca="1" si="387"/>
        <v/>
      </c>
      <c r="B1371" s="52">
        <f t="shared" si="405"/>
        <v>345</v>
      </c>
      <c r="C1371" t="str">
        <f t="shared" ref="C1371:C1409" ca="1" si="407">INDIRECT($F$1101 &amp; ADDRESS(B1371, 1,4  ))</f>
        <v>Bond Issuer (if not CHFA)</v>
      </c>
      <c r="D1371" t="str">
        <f t="shared" si="385"/>
        <v>B353</v>
      </c>
      <c r="E1371" t="str">
        <f t="shared" ref="E1371:E1399" ca="1" si="408">IF(ISBLANK( INDIRECT($F$1101 &amp; D1371)),"", INDIRECT($F$1101 &amp; D1371))</f>
        <v/>
      </c>
      <c r="F1371" t="str">
        <f t="shared" ca="1" si="406"/>
        <v xml:space="preserve">Enter a Phone (#'s only) for 'Bond Issuer (if not CHFA)' in cell B353.
</v>
      </c>
      <c r="G137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1" t="b">
        <f>TRUE</f>
        <v>1</v>
      </c>
      <c r="I1371" s="9"/>
      <c r="J1371" s="52" t="str">
        <f t="shared" ca="1" si="386"/>
        <v>Phone (#'s only)</v>
      </c>
      <c r="K1371" s="52">
        <v>8</v>
      </c>
    </row>
    <row r="1372" spans="1:11" ht="15" customHeight="1">
      <c r="A1372" t="str">
        <f t="shared" ca="1" si="387"/>
        <v/>
      </c>
      <c r="B1372" s="52">
        <f t="shared" si="405"/>
        <v>345</v>
      </c>
      <c r="C1372" t="str">
        <f t="shared" ca="1" si="407"/>
        <v>Bond Issuer (if not CHFA)</v>
      </c>
      <c r="D1372" t="str">
        <f t="shared" si="385"/>
        <v>B354</v>
      </c>
      <c r="E1372" t="str">
        <f t="shared" ca="1" si="408"/>
        <v/>
      </c>
      <c r="F1372" t="str">
        <f ca="1">CONCATENATE("Enter an "&amp; J1372 &amp;" for '", C1372, "' in cell ", D1372, ".", CHAR(10))</f>
        <v xml:space="preserve">Enter an Email for 'Bond Issuer (if not CHFA)' in cell B354.
</v>
      </c>
      <c r="G1372" s="9" t="str">
        <f t="shared" ref="G1372:G1483" ca="1" si="409">OFFSET(G1372, -1, 0) &amp; A1372</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2" t="b">
        <f>TRUE</f>
        <v>1</v>
      </c>
      <c r="I1372" s="9"/>
      <c r="J1372" s="52" t="str">
        <f t="shared" ca="1" si="386"/>
        <v>Email</v>
      </c>
      <c r="K1372" s="52">
        <v>9</v>
      </c>
    </row>
    <row r="1373" spans="1:11" ht="15" customHeight="1">
      <c r="A1373" t="str">
        <f t="shared" ca="1" si="387"/>
        <v/>
      </c>
      <c r="B1373">
        <f>ROW('Contact Information'!B356)</f>
        <v>356</v>
      </c>
      <c r="C1373" t="str">
        <f t="shared" ca="1" si="407"/>
        <v>Bond Counsel (if not CHFA)</v>
      </c>
      <c r="D1373" t="str">
        <f t="shared" si="385"/>
        <v>B357</v>
      </c>
      <c r="E1373" t="str">
        <f t="shared" ca="1" si="408"/>
        <v/>
      </c>
      <c r="F1373" t="str">
        <f ca="1">CONCATENATE("Enter a "&amp; J1373 &amp;" for '", C1373, "' in cell ", D1373, ".", CHAR(10))</f>
        <v xml:space="preserve">Enter a Organization for 'Bond Counsel (if not CHFA)' in cell B357.
</v>
      </c>
      <c r="G137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3" t="b">
        <f>Calculations!$B$2</f>
        <v>0</v>
      </c>
      <c r="I1373" s="9"/>
      <c r="J1373" s="52" t="str">
        <f t="shared" ca="1" si="386"/>
        <v>Organization</v>
      </c>
      <c r="K1373" s="52">
        <v>1</v>
      </c>
    </row>
    <row r="1374" spans="1:11" ht="15" customHeight="1">
      <c r="A1374" t="str">
        <f t="shared" ca="1" si="387"/>
        <v/>
      </c>
      <c r="B1374" s="52">
        <f t="shared" ref="B1374:B1381" si="410">B1373</f>
        <v>356</v>
      </c>
      <c r="C1374" t="str">
        <f t="shared" ca="1" si="407"/>
        <v>Bond Counsel (if not CHFA)</v>
      </c>
      <c r="D1374" t="str">
        <f t="shared" si="385"/>
        <v>B358</v>
      </c>
      <c r="E1374" t="str">
        <f t="shared" ca="1" si="408"/>
        <v/>
      </c>
      <c r="F1374" t="str">
        <f ca="1">CONCATENATE("Enter an "&amp; J1374 &amp;" for '", C1374, "' in cell ", D1374, ".", CHAR(10))</f>
        <v xml:space="preserve">Enter an Address for 'Bond Counsel (if not CHFA)' in cell B358.
</v>
      </c>
      <c r="G137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4" t="b">
        <f>Calculations!$B$2</f>
        <v>0</v>
      </c>
      <c r="I1374" s="9"/>
      <c r="J1374" s="52" t="str">
        <f t="shared" ca="1" si="386"/>
        <v>Address</v>
      </c>
      <c r="K1374" s="52">
        <v>2</v>
      </c>
    </row>
    <row r="1375" spans="1:11" ht="15" customHeight="1">
      <c r="A1375" t="str">
        <f t="shared" ca="1" si="387"/>
        <v/>
      </c>
      <c r="B1375" s="52">
        <f t="shared" si="410"/>
        <v>356</v>
      </c>
      <c r="C1375" t="str">
        <f t="shared" ca="1" si="407"/>
        <v>Bond Counsel (if not CHFA)</v>
      </c>
      <c r="D1375" t="str">
        <f t="shared" si="385"/>
        <v>B359</v>
      </c>
      <c r="E1375" t="str">
        <f t="shared" ca="1" si="408"/>
        <v/>
      </c>
      <c r="F1375" t="str">
        <f t="shared" ref="F1375:F1380" ca="1" si="411">CONCATENATE("Enter a "&amp; J1375 &amp;" for '", C1375, "' in cell ", D1375, ".", CHAR(10))</f>
        <v xml:space="preserve">Enter a City  for 'Bond Counsel (if not CHFA)' in cell B359.
</v>
      </c>
      <c r="G137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5" t="b">
        <f>Calculations!$B$2</f>
        <v>0</v>
      </c>
      <c r="I1375" s="9"/>
      <c r="J1375" s="52" t="str">
        <f t="shared" ca="1" si="386"/>
        <v xml:space="preserve">City </v>
      </c>
      <c r="K1375" s="52">
        <v>3</v>
      </c>
    </row>
    <row r="1376" spans="1:11" ht="15" customHeight="1">
      <c r="A1376" t="str">
        <f t="shared" ca="1" si="387"/>
        <v/>
      </c>
      <c r="B1376" s="52">
        <f t="shared" si="410"/>
        <v>356</v>
      </c>
      <c r="C1376" t="str">
        <f t="shared" ca="1" si="407"/>
        <v>Bond Counsel (if not CHFA)</v>
      </c>
      <c r="D1376" t="str">
        <f t="shared" si="385"/>
        <v>B360</v>
      </c>
      <c r="E1376" t="str">
        <f t="shared" ca="1" si="408"/>
        <v/>
      </c>
      <c r="F1376" t="str">
        <f t="shared" ca="1" si="411"/>
        <v xml:space="preserve">Enter a State for 'Bond Counsel (if not CHFA)' in cell B360.
</v>
      </c>
      <c r="G1376"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6" t="b">
        <f>Calculations!$B$2</f>
        <v>0</v>
      </c>
      <c r="I1376" s="9"/>
      <c r="J1376" s="52" t="str">
        <f t="shared" ca="1" si="386"/>
        <v>State</v>
      </c>
      <c r="K1376" s="52">
        <v>4</v>
      </c>
    </row>
    <row r="1377" spans="1:11" ht="15" customHeight="1">
      <c r="A1377" t="str">
        <f t="shared" ca="1" si="387"/>
        <v/>
      </c>
      <c r="B1377" s="52">
        <f t="shared" si="410"/>
        <v>356</v>
      </c>
      <c r="C1377" t="str">
        <f t="shared" ca="1" si="407"/>
        <v>Bond Counsel (if not CHFA)</v>
      </c>
      <c r="D1377" t="str">
        <f t="shared" si="385"/>
        <v>B361</v>
      </c>
      <c r="E1377" t="str">
        <f t="shared" ca="1" si="408"/>
        <v/>
      </c>
      <c r="F1377" t="str">
        <f t="shared" ca="1" si="411"/>
        <v xml:space="preserve">Enter a Zip (first five #'s only) for 'Bond Counsel (if not CHFA)' in cell B361.
</v>
      </c>
      <c r="G1377"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7" t="b">
        <f>Calculations!$B$2</f>
        <v>0</v>
      </c>
      <c r="I1377" s="9"/>
      <c r="J1377" s="52" t="str">
        <f t="shared" ca="1" si="386"/>
        <v>Zip (first five #'s only)</v>
      </c>
      <c r="K1377" s="52">
        <v>5</v>
      </c>
    </row>
    <row r="1378" spans="1:11" ht="15" customHeight="1">
      <c r="A1378" t="str">
        <f t="shared" ca="1" si="387"/>
        <v/>
      </c>
      <c r="B1378" s="52">
        <f t="shared" si="410"/>
        <v>356</v>
      </c>
      <c r="C1378" t="str">
        <f t="shared" ca="1" si="407"/>
        <v>Bond Counsel (if not CHFA)</v>
      </c>
      <c r="D1378" t="str">
        <f t="shared" si="385"/>
        <v>B362</v>
      </c>
      <c r="E1378" t="str">
        <f t="shared" ca="1" si="408"/>
        <v/>
      </c>
      <c r="F1378" t="str">
        <f t="shared" ca="1" si="411"/>
        <v xml:space="preserve">Enter a Contact First Name for 'Bond Counsel (if not CHFA)' in cell B362.
</v>
      </c>
      <c r="G137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8" t="b">
        <f>Calculations!$B$2</f>
        <v>0</v>
      </c>
      <c r="I1378" s="9"/>
      <c r="J1378" s="52" t="str">
        <f t="shared" ca="1" si="386"/>
        <v>Contact First Name</v>
      </c>
      <c r="K1378" s="52">
        <v>6</v>
      </c>
    </row>
    <row r="1379" spans="1:11" ht="15" customHeight="1">
      <c r="A1379" t="str">
        <f t="shared" ca="1" si="387"/>
        <v/>
      </c>
      <c r="B1379" s="52">
        <f t="shared" si="410"/>
        <v>356</v>
      </c>
      <c r="C1379" t="str">
        <f t="shared" ca="1" si="407"/>
        <v>Bond Counsel (if not CHFA)</v>
      </c>
      <c r="D1379" t="str">
        <f t="shared" si="385"/>
        <v>B363</v>
      </c>
      <c r="E1379" t="str">
        <f t="shared" ca="1" si="408"/>
        <v/>
      </c>
      <c r="F1379" t="str">
        <f t="shared" ca="1" si="411"/>
        <v xml:space="preserve">Enter a Contact Last Name for 'Bond Counsel (if not CHFA)' in cell B363.
</v>
      </c>
      <c r="G1379"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9" t="b">
        <f>Calculations!$B$2</f>
        <v>0</v>
      </c>
      <c r="I1379" s="9"/>
      <c r="J1379" s="52" t="str">
        <f t="shared" ca="1" si="386"/>
        <v>Contact Last Name</v>
      </c>
      <c r="K1379" s="52">
        <v>7</v>
      </c>
    </row>
    <row r="1380" spans="1:11" ht="15" customHeight="1">
      <c r="A1380" t="str">
        <f t="shared" ca="1" si="387"/>
        <v/>
      </c>
      <c r="B1380" s="52">
        <f t="shared" si="410"/>
        <v>356</v>
      </c>
      <c r="C1380" t="str">
        <f t="shared" ca="1" si="407"/>
        <v>Bond Counsel (if not CHFA)</v>
      </c>
      <c r="D1380" t="str">
        <f t="shared" si="385"/>
        <v>B364</v>
      </c>
      <c r="E1380" t="str">
        <f t="shared" ca="1" si="408"/>
        <v/>
      </c>
      <c r="F1380" t="str">
        <f t="shared" ca="1" si="411"/>
        <v xml:space="preserve">Enter a Phone (#'s only) for 'Bond Counsel (if not CHFA)' in cell B364.
</v>
      </c>
      <c r="G1380"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0" t="b">
        <f>Calculations!$B$2</f>
        <v>0</v>
      </c>
      <c r="I1380" s="9"/>
      <c r="J1380" s="52" t="str">
        <f t="shared" ca="1" si="386"/>
        <v>Phone (#'s only)</v>
      </c>
      <c r="K1380" s="52">
        <v>8</v>
      </c>
    </row>
    <row r="1381" spans="1:11" ht="15" customHeight="1">
      <c r="A1381" t="str">
        <f t="shared" ca="1" si="387"/>
        <v/>
      </c>
      <c r="B1381" s="52">
        <f t="shared" si="410"/>
        <v>356</v>
      </c>
      <c r="C1381" t="str">
        <f t="shared" ca="1" si="407"/>
        <v>Bond Counsel (if not CHFA)</v>
      </c>
      <c r="D1381" t="str">
        <f t="shared" si="385"/>
        <v>B365</v>
      </c>
      <c r="E1381" t="str">
        <f t="shared" ca="1" si="408"/>
        <v/>
      </c>
      <c r="F1381" t="str">
        <f ca="1">CONCATENATE("Enter an "&amp; J1381 &amp;" for '", C1381, "' in cell ", D1381, ".", CHAR(10))</f>
        <v xml:space="preserve">Enter an Email for 'Bond Counsel (if not CHFA)' in cell B365.
</v>
      </c>
      <c r="G1381"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1" t="b">
        <f>Calculations!$B$2</f>
        <v>0</v>
      </c>
      <c r="I1381" s="9"/>
      <c r="J1381" s="52" t="str">
        <f t="shared" ca="1" si="386"/>
        <v>Email</v>
      </c>
      <c r="K1381" s="52">
        <v>9</v>
      </c>
    </row>
    <row r="1382" spans="1:11" ht="15" customHeight="1">
      <c r="A1382" t="str">
        <f t="shared" ca="1" si="387"/>
        <v/>
      </c>
      <c r="B1382">
        <f>ROW('Contact Information'!B367)</f>
        <v>367</v>
      </c>
      <c r="C1382" t="str">
        <f t="shared" ca="1" si="407"/>
        <v>Mayor/Elected Official/Jurisdiction</v>
      </c>
      <c r="D1382" t="str">
        <f t="shared" si="385"/>
        <v>B368</v>
      </c>
      <c r="E1382" t="str">
        <f t="shared" ca="1" si="408"/>
        <v/>
      </c>
      <c r="F1382" t="str">
        <f ca="1">CONCATENATE("Enter a "&amp; J1382 &amp;" for '", C1382, "' in cell ", D1382, ".", CHAR(10))</f>
        <v xml:space="preserve">Enter a City/Jurisdiction Name for 'Mayor/Elected Official/Jurisdiction' in cell B368.
</v>
      </c>
      <c r="G1382"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2" t="b">
        <f>Calculations!$B$2</f>
        <v>0</v>
      </c>
      <c r="I1382" s="9"/>
      <c r="J1382" s="52" t="str">
        <f t="shared" ca="1" si="386"/>
        <v>City/Jurisdiction Name</v>
      </c>
      <c r="K1382" s="52">
        <v>1</v>
      </c>
    </row>
    <row r="1383" spans="1:11" ht="15" customHeight="1">
      <c r="A1383" t="str">
        <f t="shared" ca="1" si="387"/>
        <v/>
      </c>
      <c r="B1383" s="52">
        <f t="shared" ref="B1383:B1390" si="412">B1382</f>
        <v>367</v>
      </c>
      <c r="C1383" t="str">
        <f t="shared" ca="1" si="407"/>
        <v>Mayor/Elected Official/Jurisdiction</v>
      </c>
      <c r="D1383" t="str">
        <f t="shared" si="385"/>
        <v>B369</v>
      </c>
      <c r="E1383" t="str">
        <f t="shared" ca="1" si="408"/>
        <v/>
      </c>
      <c r="F1383" t="str">
        <f ca="1">CONCATENATE("Enter an "&amp; J1383 &amp;" for '", C1383, "' in cell ", D1383, ".", CHAR(10))</f>
        <v xml:space="preserve">Enter an Title of Elected Official for 'Mayor/Elected Official/Jurisdiction' in cell B369.
</v>
      </c>
      <c r="G138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3" t="b">
        <f>Calculations!$B$2</f>
        <v>0</v>
      </c>
      <c r="I1383" s="9"/>
      <c r="J1383" s="52" t="str">
        <f t="shared" ca="1" si="386"/>
        <v>Title of Elected Official</v>
      </c>
      <c r="K1383" s="52">
        <v>2</v>
      </c>
    </row>
    <row r="1384" spans="1:11" ht="15" customHeight="1">
      <c r="A1384" t="str">
        <f t="shared" ca="1" si="387"/>
        <v/>
      </c>
      <c r="B1384" s="52">
        <f t="shared" si="412"/>
        <v>367</v>
      </c>
      <c r="C1384" t="str">
        <f t="shared" ca="1" si="407"/>
        <v>Mayor/Elected Official/Jurisdiction</v>
      </c>
      <c r="D1384" t="str">
        <f t="shared" si="385"/>
        <v>B370</v>
      </c>
      <c r="E1384" t="str">
        <f t="shared" ca="1" si="408"/>
        <v/>
      </c>
      <c r="F1384" t="str">
        <f t="shared" ref="F1384:F1389" ca="1" si="413">CONCATENATE("Enter a "&amp; J1384 &amp;" for '", C1384, "' in cell ", D1384, ".", CHAR(10))</f>
        <v xml:space="preserve">Enter a Address for 'Mayor/Elected Official/Jurisdiction' in cell B370.
</v>
      </c>
      <c r="G138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4" t="b">
        <f>Calculations!$B$2</f>
        <v>0</v>
      </c>
      <c r="I1384" s="9"/>
      <c r="J1384" s="52" t="str">
        <f t="shared" ca="1" si="386"/>
        <v>Address</v>
      </c>
      <c r="K1384" s="52">
        <v>3</v>
      </c>
    </row>
    <row r="1385" spans="1:11" ht="15" customHeight="1">
      <c r="A1385" t="str">
        <f t="shared" ca="1" si="387"/>
        <v/>
      </c>
      <c r="B1385" s="52">
        <f t="shared" si="412"/>
        <v>367</v>
      </c>
      <c r="C1385" t="str">
        <f t="shared" ca="1" si="407"/>
        <v>Mayor/Elected Official/Jurisdiction</v>
      </c>
      <c r="D1385" t="str">
        <f t="shared" si="385"/>
        <v>B371</v>
      </c>
      <c r="E1385" t="str">
        <f t="shared" ca="1" si="408"/>
        <v/>
      </c>
      <c r="F1385" t="str">
        <f t="shared" ca="1" si="413"/>
        <v xml:space="preserve">Enter a City  for 'Mayor/Elected Official/Jurisdiction' in cell B371.
</v>
      </c>
      <c r="G138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5" t="b">
        <f>Calculations!$B$2</f>
        <v>0</v>
      </c>
      <c r="I1385" s="9"/>
      <c r="J1385" s="52" t="str">
        <f t="shared" ca="1" si="386"/>
        <v xml:space="preserve">City </v>
      </c>
      <c r="K1385" s="52">
        <v>4</v>
      </c>
    </row>
    <row r="1386" spans="1:11" ht="15" customHeight="1">
      <c r="A1386" t="str">
        <f t="shared" ca="1" si="387"/>
        <v/>
      </c>
      <c r="B1386" s="52">
        <f t="shared" si="412"/>
        <v>367</v>
      </c>
      <c r="C1386" t="str">
        <f t="shared" ca="1" si="407"/>
        <v>Mayor/Elected Official/Jurisdiction</v>
      </c>
      <c r="D1386" t="str">
        <f t="shared" si="385"/>
        <v>B372</v>
      </c>
      <c r="E1386" t="str">
        <f t="shared" ca="1" si="408"/>
        <v/>
      </c>
      <c r="F1386" t="str">
        <f t="shared" ca="1" si="413"/>
        <v xml:space="preserve">Enter a State for 'Mayor/Elected Official/Jurisdiction' in cell B372.
</v>
      </c>
      <c r="G1386"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6" t="b">
        <f>Calculations!$B$2</f>
        <v>0</v>
      </c>
      <c r="I1386" s="9"/>
      <c r="J1386" s="52" t="str">
        <f t="shared" ca="1" si="386"/>
        <v>State</v>
      </c>
      <c r="K1386" s="52">
        <v>5</v>
      </c>
    </row>
    <row r="1387" spans="1:11" ht="15" customHeight="1">
      <c r="A1387" t="str">
        <f t="shared" ca="1" si="387"/>
        <v/>
      </c>
      <c r="B1387" s="52">
        <f t="shared" si="412"/>
        <v>367</v>
      </c>
      <c r="C1387" t="str">
        <f t="shared" ca="1" si="407"/>
        <v>Mayor/Elected Official/Jurisdiction</v>
      </c>
      <c r="D1387" t="str">
        <f t="shared" si="385"/>
        <v>B373</v>
      </c>
      <c r="E1387" t="str">
        <f t="shared" ca="1" si="408"/>
        <v/>
      </c>
      <c r="F1387" t="str">
        <f t="shared" ca="1" si="413"/>
        <v xml:space="preserve">Enter a Zip (first five #'s only) for 'Mayor/Elected Official/Jurisdiction' in cell B373.
</v>
      </c>
      <c r="G1387"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7" t="b">
        <f>Calculations!$B$2</f>
        <v>0</v>
      </c>
      <c r="I1387" s="9"/>
      <c r="J1387" s="52" t="str">
        <f t="shared" ca="1" si="386"/>
        <v>Zip (first five #'s only)</v>
      </c>
      <c r="K1387" s="52">
        <v>6</v>
      </c>
    </row>
    <row r="1388" spans="1:11" ht="15" customHeight="1">
      <c r="A1388" t="str">
        <f t="shared" ca="1" si="387"/>
        <v/>
      </c>
      <c r="B1388" s="52">
        <f t="shared" si="412"/>
        <v>367</v>
      </c>
      <c r="C1388" t="str">
        <f t="shared" ca="1" si="407"/>
        <v>Mayor/Elected Official/Jurisdiction</v>
      </c>
      <c r="D1388" t="str">
        <f t="shared" si="385"/>
        <v>B374</v>
      </c>
      <c r="E1388" t="str">
        <f t="shared" ca="1" si="408"/>
        <v/>
      </c>
      <c r="F1388" t="str">
        <f t="shared" ca="1" si="413"/>
        <v xml:space="preserve">Enter a Contact First Name for 'Mayor/Elected Official/Jurisdiction' in cell B374.
</v>
      </c>
      <c r="G138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8" t="b">
        <f>Calculations!$B$2</f>
        <v>0</v>
      </c>
      <c r="I1388" s="9"/>
      <c r="J1388" s="52" t="str">
        <f t="shared" ca="1" si="386"/>
        <v>Contact First Name</v>
      </c>
      <c r="K1388" s="52">
        <v>7</v>
      </c>
    </row>
    <row r="1389" spans="1:11" ht="15" customHeight="1">
      <c r="A1389" t="str">
        <f t="shared" ca="1" si="387"/>
        <v/>
      </c>
      <c r="B1389" s="52">
        <f t="shared" si="412"/>
        <v>367</v>
      </c>
      <c r="C1389" t="str">
        <f t="shared" ca="1" si="407"/>
        <v>Mayor/Elected Official/Jurisdiction</v>
      </c>
      <c r="D1389" t="str">
        <f t="shared" si="385"/>
        <v>B375</v>
      </c>
      <c r="E1389" t="str">
        <f t="shared" ca="1" si="408"/>
        <v/>
      </c>
      <c r="F1389" t="str">
        <f t="shared" ca="1" si="413"/>
        <v xml:space="preserve">Enter a Contact Last Name for 'Mayor/Elected Official/Jurisdiction' in cell B375.
</v>
      </c>
      <c r="G1389"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9" t="b">
        <f>Calculations!$B$2</f>
        <v>0</v>
      </c>
      <c r="I1389" s="9"/>
      <c r="J1389" s="52" t="str">
        <f t="shared" ca="1" si="386"/>
        <v>Contact Last Name</v>
      </c>
      <c r="K1389" s="52">
        <v>8</v>
      </c>
    </row>
    <row r="1390" spans="1:11" ht="15" customHeight="1">
      <c r="A1390" t="str">
        <f t="shared" ca="1" si="387"/>
        <v/>
      </c>
      <c r="B1390" s="52">
        <f t="shared" si="412"/>
        <v>367</v>
      </c>
      <c r="C1390" t="str">
        <f t="shared" ca="1" si="407"/>
        <v>Mayor/Elected Official/Jurisdiction</v>
      </c>
      <c r="D1390" t="str">
        <f t="shared" si="385"/>
        <v>B376</v>
      </c>
      <c r="E1390" t="str">
        <f t="shared" ca="1" si="408"/>
        <v/>
      </c>
      <c r="F1390" t="str">
        <f ca="1">CONCATENATE("Enter an "&amp; J1390 &amp;" for '", C1390, "' in cell ", D1390, ".", CHAR(10))</f>
        <v xml:space="preserve">Enter an Phone (#'s only) for 'Mayor/Elected Official/Jurisdiction' in cell B376.
</v>
      </c>
      <c r="G1390"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0" t="b">
        <f>Calculations!$B$2</f>
        <v>0</v>
      </c>
      <c r="I1390" s="9"/>
      <c r="J1390" s="52" t="str">
        <f t="shared" ca="1" si="386"/>
        <v>Phone (#'s only)</v>
      </c>
      <c r="K1390" s="52">
        <v>9</v>
      </c>
    </row>
    <row r="1391" spans="1:11" ht="15" customHeight="1">
      <c r="A1391" t="str">
        <f t="shared" ca="1" si="387"/>
        <v/>
      </c>
      <c r="B1391">
        <f>ROW('Contact Information'!B379)</f>
        <v>379</v>
      </c>
      <c r="C1391" t="str">
        <f t="shared" ca="1" si="407"/>
        <v>Council Member</v>
      </c>
      <c r="D1391" t="str">
        <f t="shared" si="385"/>
        <v>B380</v>
      </c>
      <c r="E1391" t="str">
        <f t="shared" ca="1" si="408"/>
        <v/>
      </c>
      <c r="F1391" t="str">
        <f ca="1">CONCATENATE("Enter a "&amp; J1391 &amp;" for '", C1391, "' in cell ", D1391, ".", CHAR(10))</f>
        <v xml:space="preserve">Enter a Jurisdiction Name for 'Council Member' in cell B380.
</v>
      </c>
      <c r="G1391"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1" t="b">
        <f>Calculations!$B$2</f>
        <v>0</v>
      </c>
      <c r="I1391" s="9"/>
      <c r="J1391" s="52" t="str">
        <f t="shared" ca="1" si="386"/>
        <v>Jurisdiction Name</v>
      </c>
      <c r="K1391" s="52">
        <v>1</v>
      </c>
    </row>
    <row r="1392" spans="1:11" ht="15" customHeight="1">
      <c r="A1392" t="str">
        <f t="shared" ca="1" si="387"/>
        <v/>
      </c>
      <c r="B1392" s="52">
        <f t="shared" ref="B1392:B1408" si="414">B1391</f>
        <v>379</v>
      </c>
      <c r="C1392" t="str">
        <f t="shared" ca="1" si="407"/>
        <v>Council Member</v>
      </c>
      <c r="D1392" t="str">
        <f t="shared" si="385"/>
        <v>B381</v>
      </c>
      <c r="E1392" t="str">
        <f t="shared" ca="1" si="408"/>
        <v/>
      </c>
      <c r="F1392" t="str">
        <f ca="1">CONCATENATE("Enter an "&amp; J1392 &amp;" for '", C1392, "' in cell ", D1392, ".", CHAR(10))</f>
        <v xml:space="preserve">Enter an Title of Elected Official for 'Council Member' in cell B381.
</v>
      </c>
      <c r="G1392"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2" t="b">
        <f>Calculations!$B$2</f>
        <v>0</v>
      </c>
      <c r="I1392" s="9"/>
      <c r="J1392" s="52" t="str">
        <f t="shared" ca="1" si="386"/>
        <v>Title of Elected Official</v>
      </c>
      <c r="K1392" s="52">
        <v>2</v>
      </c>
    </row>
    <row r="1393" spans="1:11" ht="15" customHeight="1">
      <c r="A1393" t="str">
        <f t="shared" ca="1" si="387"/>
        <v/>
      </c>
      <c r="B1393" s="52">
        <f t="shared" si="414"/>
        <v>379</v>
      </c>
      <c r="C1393" t="str">
        <f t="shared" ca="1" si="407"/>
        <v>Council Member</v>
      </c>
      <c r="D1393" t="str">
        <f t="shared" si="385"/>
        <v>B382</v>
      </c>
      <c r="E1393" t="str">
        <f t="shared" ca="1" si="408"/>
        <v/>
      </c>
      <c r="F1393" t="str">
        <f t="shared" ref="F1393:F1398" ca="1" si="415">CONCATENATE("Enter a "&amp; J1393 &amp;" for '", C1393, "' in cell ", D1393, ".", CHAR(10))</f>
        <v xml:space="preserve">Enter a Address for 'Council Member' in cell B382.
</v>
      </c>
      <c r="G139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3" t="b">
        <f>Calculations!$B$2</f>
        <v>0</v>
      </c>
      <c r="I1393" s="9"/>
      <c r="J1393" s="52" t="str">
        <f t="shared" ca="1" si="386"/>
        <v>Address</v>
      </c>
      <c r="K1393" s="52">
        <v>3</v>
      </c>
    </row>
    <row r="1394" spans="1:11" ht="15" customHeight="1">
      <c r="A1394" t="str">
        <f t="shared" ca="1" si="387"/>
        <v/>
      </c>
      <c r="B1394" s="52">
        <f t="shared" si="414"/>
        <v>379</v>
      </c>
      <c r="C1394" t="str">
        <f t="shared" ca="1" si="407"/>
        <v>Council Member</v>
      </c>
      <c r="D1394" t="str">
        <f t="shared" si="385"/>
        <v>B383</v>
      </c>
      <c r="E1394" t="str">
        <f t="shared" ca="1" si="408"/>
        <v/>
      </c>
      <c r="F1394" t="str">
        <f t="shared" ca="1" si="415"/>
        <v xml:space="preserve">Enter a City  for 'Council Member' in cell B383.
</v>
      </c>
      <c r="G139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4" t="b">
        <f>Calculations!$B$2</f>
        <v>0</v>
      </c>
      <c r="I1394" s="9"/>
      <c r="J1394" s="52" t="str">
        <f t="shared" ca="1" si="386"/>
        <v xml:space="preserve">City </v>
      </c>
      <c r="K1394" s="52">
        <v>4</v>
      </c>
    </row>
    <row r="1395" spans="1:11" ht="15" customHeight="1">
      <c r="A1395" t="str">
        <f t="shared" ca="1" si="387"/>
        <v/>
      </c>
      <c r="B1395" s="52">
        <f t="shared" si="414"/>
        <v>379</v>
      </c>
      <c r="C1395" t="str">
        <f t="shared" ca="1" si="407"/>
        <v>Council Member</v>
      </c>
      <c r="D1395" t="str">
        <f t="shared" ref="D1395:D1458" si="416">ADDRESS(B1395+K1395, 2,4  )</f>
        <v>B384</v>
      </c>
      <c r="E1395" t="str">
        <f t="shared" ca="1" si="408"/>
        <v/>
      </c>
      <c r="F1395" t="str">
        <f t="shared" ca="1" si="415"/>
        <v xml:space="preserve">Enter a State for 'Council Member' in cell B384.
</v>
      </c>
      <c r="G139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5" t="b">
        <f>Calculations!$B$2</f>
        <v>0</v>
      </c>
      <c r="I1395" s="9"/>
      <c r="J1395" s="52" t="str">
        <f t="shared" ref="J1395:J1458" ca="1" si="417">INDIRECT($F$1101 &amp; ADDRESS(B1395+K1395, 1,4))</f>
        <v>State</v>
      </c>
      <c r="K1395" s="52">
        <v>5</v>
      </c>
    </row>
    <row r="1396" spans="1:11" ht="15" customHeight="1">
      <c r="A1396" t="str">
        <f t="shared" ref="A1396:A1459" ca="1" si="418">IF(AND(H1396, NOT($E$1104), E1396=""),F1396, "")</f>
        <v/>
      </c>
      <c r="B1396" s="52">
        <f t="shared" si="414"/>
        <v>379</v>
      </c>
      <c r="C1396" t="str">
        <f t="shared" ca="1" si="407"/>
        <v>Council Member</v>
      </c>
      <c r="D1396" t="str">
        <f t="shared" si="416"/>
        <v>B385</v>
      </c>
      <c r="E1396" t="str">
        <f t="shared" ca="1" si="408"/>
        <v/>
      </c>
      <c r="F1396" t="str">
        <f t="shared" ca="1" si="415"/>
        <v xml:space="preserve">Enter a Zip (first five #'s only) for 'Council Member' in cell B385.
</v>
      </c>
      <c r="G1396"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6" t="b">
        <f>Calculations!$B$2</f>
        <v>0</v>
      </c>
      <c r="I1396" s="9"/>
      <c r="J1396" s="52" t="str">
        <f t="shared" ca="1" si="417"/>
        <v>Zip (first five #'s only)</v>
      </c>
      <c r="K1396" s="52">
        <v>6</v>
      </c>
    </row>
    <row r="1397" spans="1:11" ht="15" customHeight="1">
      <c r="A1397" t="str">
        <f t="shared" ca="1" si="418"/>
        <v/>
      </c>
      <c r="B1397" s="52">
        <f t="shared" si="414"/>
        <v>379</v>
      </c>
      <c r="C1397" t="str">
        <f t="shared" ca="1" si="407"/>
        <v>Council Member</v>
      </c>
      <c r="D1397" t="str">
        <f t="shared" si="416"/>
        <v>B386</v>
      </c>
      <c r="E1397" t="str">
        <f t="shared" ca="1" si="408"/>
        <v/>
      </c>
      <c r="F1397" t="str">
        <f t="shared" ca="1" si="415"/>
        <v xml:space="preserve">Enter a Contact First Name for 'Council Member' in cell B386.
</v>
      </c>
      <c r="G1397"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7" t="b">
        <f>Calculations!$B$2</f>
        <v>0</v>
      </c>
      <c r="I1397" s="9"/>
      <c r="J1397" s="52" t="str">
        <f t="shared" ca="1" si="417"/>
        <v>Contact First Name</v>
      </c>
      <c r="K1397" s="52">
        <v>7</v>
      </c>
    </row>
    <row r="1398" spans="1:11" ht="15" customHeight="1">
      <c r="A1398" t="str">
        <f t="shared" ca="1" si="418"/>
        <v/>
      </c>
      <c r="B1398" s="52">
        <f t="shared" si="414"/>
        <v>379</v>
      </c>
      <c r="C1398" t="str">
        <f t="shared" ca="1" si="407"/>
        <v>Council Member</v>
      </c>
      <c r="D1398" t="str">
        <f t="shared" si="416"/>
        <v>B387</v>
      </c>
      <c r="E1398" t="str">
        <f t="shared" ca="1" si="408"/>
        <v/>
      </c>
      <c r="F1398" t="str">
        <f t="shared" ca="1" si="415"/>
        <v xml:space="preserve">Enter a Contact Last Name for 'Council Member' in cell B387.
</v>
      </c>
      <c r="G139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8" t="b">
        <f>Calculations!$B$2</f>
        <v>0</v>
      </c>
      <c r="I1398" s="9"/>
      <c r="J1398" s="52" t="str">
        <f t="shared" ca="1" si="417"/>
        <v>Contact Last Name</v>
      </c>
      <c r="K1398" s="52">
        <v>8</v>
      </c>
    </row>
    <row r="1399" spans="1:11" ht="15" customHeight="1">
      <c r="A1399" t="str">
        <f t="shared" ca="1" si="418"/>
        <v/>
      </c>
      <c r="B1399" s="52">
        <f t="shared" si="414"/>
        <v>379</v>
      </c>
      <c r="C1399" t="str">
        <f t="shared" ca="1" si="407"/>
        <v>Council Member</v>
      </c>
      <c r="D1399" t="str">
        <f t="shared" si="416"/>
        <v>B388</v>
      </c>
      <c r="E1399" t="str">
        <f t="shared" ca="1" si="408"/>
        <v/>
      </c>
      <c r="F1399" t="str">
        <f ca="1">CONCATENATE("Enter an "&amp; J1399 &amp;" for '", C1399, "' in cell ", D1399, ".", CHAR(10))</f>
        <v xml:space="preserve">Enter an Phone (#'s only) for 'Council Member' in cell B388.
</v>
      </c>
      <c r="G1399"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9" t="b">
        <f>Calculations!$B$2</f>
        <v>0</v>
      </c>
      <c r="I1399" s="9"/>
      <c r="J1399" s="52" t="str">
        <f t="shared" ca="1" si="417"/>
        <v>Phone (#'s only)</v>
      </c>
      <c r="K1399" s="52">
        <v>9</v>
      </c>
    </row>
    <row r="1400" spans="1:11" ht="15" customHeight="1">
      <c r="A1400" t="str">
        <f t="shared" ref="A1400:A1408" ca="1" si="419">IF(AND(H1400, NOT($E$1104), E1400=""),F1400, "")</f>
        <v/>
      </c>
      <c r="B1400">
        <f>ROW('Contact Information'!B391)</f>
        <v>391</v>
      </c>
      <c r="C1400" t="str">
        <f t="shared" ref="C1400:C1408" ca="1" si="420">INDIRECT($F$1101 &amp; ADDRESS(B1400, 1,4  ))</f>
        <v>City Manager (if applicable)</v>
      </c>
      <c r="D1400" t="str">
        <f t="shared" ref="D1400:D1408" si="421">ADDRESS(B1400+K1400, 2,4  )</f>
        <v>B392</v>
      </c>
      <c r="E1400" t="str">
        <f t="shared" ref="E1400:E1408" ca="1" si="422">IF(ISBLANK( INDIRECT($F$1101 &amp; D1400)),"", INDIRECT($F$1101 &amp; D1400))</f>
        <v/>
      </c>
      <c r="F1400" t="str">
        <f t="shared" ref="F1400:F1408" ca="1" si="423">CONCATENATE("Enter an "&amp; J1400 &amp;" for '", C1400, "' in cell ", D1400, ".", CHAR(10))</f>
        <v xml:space="preserve">Enter an Jurisdiction Name for 'City Manager (if applicable)' in cell B392.
</v>
      </c>
      <c r="G1400" s="9" t="str">
        <f t="shared" ref="G1400:G1408" ca="1" si="424">OFFSET(G1400, -1, 0) &amp; A1400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0" t="b">
        <f>Calculations!$B$2</f>
        <v>0</v>
      </c>
      <c r="I1400" s="9"/>
      <c r="J1400" t="str">
        <f t="shared" ref="J1400:J1408" ca="1" si="425">INDIRECT($F$1101 &amp; ADDRESS(B1400+K1400, 1,4))</f>
        <v>Jurisdiction Name</v>
      </c>
      <c r="K1400">
        <v>1</v>
      </c>
    </row>
    <row r="1401" spans="1:11" ht="15" customHeight="1">
      <c r="A1401" t="str">
        <f t="shared" ca="1" si="419"/>
        <v/>
      </c>
      <c r="B1401">
        <f t="shared" si="414"/>
        <v>391</v>
      </c>
      <c r="C1401" t="str">
        <f t="shared" ca="1" si="420"/>
        <v>City Manager (if applicable)</v>
      </c>
      <c r="D1401" t="str">
        <f t="shared" si="421"/>
        <v>B393</v>
      </c>
      <c r="E1401" t="str">
        <f t="shared" ca="1" si="422"/>
        <v/>
      </c>
      <c r="F1401" t="str">
        <f t="shared" ca="1" si="423"/>
        <v xml:space="preserve">Enter an Address for 'City Manager (if applicable)' in cell B393.
</v>
      </c>
      <c r="G1401"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1" t="b">
        <f>Calculations!$B$2</f>
        <v>0</v>
      </c>
      <c r="I1401" s="9"/>
      <c r="J1401" t="str">
        <f t="shared" ca="1" si="425"/>
        <v>Address</v>
      </c>
      <c r="K1401">
        <v>2</v>
      </c>
    </row>
    <row r="1402" spans="1:11" ht="15" customHeight="1">
      <c r="A1402" t="str">
        <f t="shared" ca="1" si="419"/>
        <v/>
      </c>
      <c r="B1402">
        <f t="shared" si="414"/>
        <v>391</v>
      </c>
      <c r="C1402" t="str">
        <f t="shared" ca="1" si="420"/>
        <v>City Manager (if applicable)</v>
      </c>
      <c r="D1402" t="str">
        <f t="shared" si="421"/>
        <v>B394</v>
      </c>
      <c r="E1402" t="str">
        <f t="shared" ca="1" si="422"/>
        <v/>
      </c>
      <c r="F1402" t="str">
        <f t="shared" ca="1" si="423"/>
        <v xml:space="preserve">Enter an City  for 'City Manager (if applicable)' in cell B394.
</v>
      </c>
      <c r="G1402"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2" t="b">
        <f>Calculations!$B$2</f>
        <v>0</v>
      </c>
      <c r="I1402" s="9"/>
      <c r="J1402" t="str">
        <f t="shared" ca="1" si="425"/>
        <v xml:space="preserve">City </v>
      </c>
      <c r="K1402">
        <v>3</v>
      </c>
    </row>
    <row r="1403" spans="1:11" ht="15" customHeight="1">
      <c r="A1403" t="str">
        <f t="shared" ca="1" si="419"/>
        <v/>
      </c>
      <c r="B1403">
        <f t="shared" si="414"/>
        <v>391</v>
      </c>
      <c r="C1403" t="str">
        <f t="shared" ca="1" si="420"/>
        <v>City Manager (if applicable)</v>
      </c>
      <c r="D1403" t="str">
        <f t="shared" si="421"/>
        <v>B395</v>
      </c>
      <c r="E1403" t="str">
        <f t="shared" ca="1" si="422"/>
        <v/>
      </c>
      <c r="F1403" t="str">
        <f t="shared" ca="1" si="423"/>
        <v xml:space="preserve">Enter an State for 'City Manager (if applicable)' in cell B395.
</v>
      </c>
      <c r="G1403"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3" t="b">
        <f>Calculations!$B$2</f>
        <v>0</v>
      </c>
      <c r="I1403" s="9"/>
      <c r="J1403" t="str">
        <f t="shared" ca="1" si="425"/>
        <v>State</v>
      </c>
      <c r="K1403">
        <v>4</v>
      </c>
    </row>
    <row r="1404" spans="1:11" ht="15" customHeight="1">
      <c r="A1404" t="str">
        <f t="shared" ca="1" si="419"/>
        <v/>
      </c>
      <c r="B1404">
        <f t="shared" si="414"/>
        <v>391</v>
      </c>
      <c r="C1404" t="str">
        <f t="shared" ca="1" si="420"/>
        <v>City Manager (if applicable)</v>
      </c>
      <c r="D1404" t="str">
        <f t="shared" si="421"/>
        <v>B396</v>
      </c>
      <c r="E1404" t="str">
        <f t="shared" ca="1" si="422"/>
        <v/>
      </c>
      <c r="F1404" t="str">
        <f t="shared" ca="1" si="423"/>
        <v xml:space="preserve">Enter an Zip (first five #'s only) for 'City Manager (if applicable)' in cell B396.
</v>
      </c>
      <c r="G1404"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4" t="b">
        <f>Calculations!$B$2</f>
        <v>0</v>
      </c>
      <c r="I1404" s="9"/>
      <c r="J1404" t="str">
        <f t="shared" ca="1" si="425"/>
        <v>Zip (first five #'s only)</v>
      </c>
      <c r="K1404">
        <v>5</v>
      </c>
    </row>
    <row r="1405" spans="1:11" ht="15" customHeight="1">
      <c r="A1405" t="str">
        <f t="shared" ca="1" si="419"/>
        <v/>
      </c>
      <c r="B1405">
        <f t="shared" si="414"/>
        <v>391</v>
      </c>
      <c r="C1405" t="str">
        <f t="shared" ca="1" si="420"/>
        <v>City Manager (if applicable)</v>
      </c>
      <c r="D1405" t="str">
        <f t="shared" si="421"/>
        <v>B397</v>
      </c>
      <c r="E1405" t="str">
        <f t="shared" ca="1" si="422"/>
        <v/>
      </c>
      <c r="F1405" t="str">
        <f t="shared" ca="1" si="423"/>
        <v xml:space="preserve">Enter an Contact First Name for 'City Manager (if applicable)' in cell B397.
</v>
      </c>
      <c r="G1405"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5" t="b">
        <f>Calculations!$B$2</f>
        <v>0</v>
      </c>
      <c r="I1405" s="9"/>
      <c r="J1405" t="str">
        <f t="shared" ca="1" si="425"/>
        <v>Contact First Name</v>
      </c>
      <c r="K1405">
        <v>6</v>
      </c>
    </row>
    <row r="1406" spans="1:11" ht="15" customHeight="1">
      <c r="A1406" t="str">
        <f t="shared" ca="1" si="419"/>
        <v/>
      </c>
      <c r="B1406">
        <f t="shared" si="414"/>
        <v>391</v>
      </c>
      <c r="C1406" t="str">
        <f t="shared" ca="1" si="420"/>
        <v>City Manager (if applicable)</v>
      </c>
      <c r="D1406" t="str">
        <f t="shared" si="421"/>
        <v>B398</v>
      </c>
      <c r="E1406" t="str">
        <f t="shared" ca="1" si="422"/>
        <v/>
      </c>
      <c r="F1406" t="str">
        <f t="shared" ca="1" si="423"/>
        <v xml:space="preserve">Enter an Contact Last Name for 'City Manager (if applicable)' in cell B398.
</v>
      </c>
      <c r="G1406"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6" t="b">
        <f>Calculations!$B$2</f>
        <v>0</v>
      </c>
      <c r="I1406" s="9"/>
      <c r="J1406" t="str">
        <f t="shared" ca="1" si="425"/>
        <v>Contact Last Name</v>
      </c>
      <c r="K1406">
        <v>7</v>
      </c>
    </row>
    <row r="1407" spans="1:11" ht="15" customHeight="1">
      <c r="A1407" t="str">
        <f t="shared" ca="1" si="419"/>
        <v/>
      </c>
      <c r="B1407">
        <f t="shared" si="414"/>
        <v>391</v>
      </c>
      <c r="C1407" t="str">
        <f t="shared" ca="1" si="420"/>
        <v>City Manager (if applicable)</v>
      </c>
      <c r="D1407" t="str">
        <f t="shared" si="421"/>
        <v>B399</v>
      </c>
      <c r="E1407" t="str">
        <f t="shared" ca="1" si="422"/>
        <v/>
      </c>
      <c r="F1407" t="str">
        <f t="shared" ca="1" si="423"/>
        <v xml:space="preserve">Enter an Phone (#'s only) for 'City Manager (if applicable)' in cell B399.
</v>
      </c>
      <c r="G1407"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7" t="b">
        <f>Calculations!$B$2</f>
        <v>0</v>
      </c>
      <c r="I1407" s="9"/>
      <c r="J1407" t="str">
        <f t="shared" ca="1" si="425"/>
        <v>Phone (#'s only)</v>
      </c>
      <c r="K1407">
        <v>8</v>
      </c>
    </row>
    <row r="1408" spans="1:11" ht="15" customHeight="1">
      <c r="A1408" t="str">
        <f t="shared" ca="1" si="419"/>
        <v/>
      </c>
      <c r="B1408">
        <f t="shared" si="414"/>
        <v>391</v>
      </c>
      <c r="C1408" t="str">
        <f t="shared" ca="1" si="420"/>
        <v>City Manager (if applicable)</v>
      </c>
      <c r="D1408" t="str">
        <f t="shared" si="421"/>
        <v>B400</v>
      </c>
      <c r="E1408" t="str">
        <f t="shared" ca="1" si="422"/>
        <v/>
      </c>
      <c r="F1408" t="str">
        <f t="shared" ca="1" si="423"/>
        <v xml:space="preserve">Enter an Email for 'City Manager (if applicable)' in cell B400.
</v>
      </c>
      <c r="G1408"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8" t="b">
        <f>Calculations!$B$2</f>
        <v>0</v>
      </c>
      <c r="I1408" s="9"/>
      <c r="J1408" t="str">
        <f t="shared" ca="1" si="425"/>
        <v>Email</v>
      </c>
      <c r="K1408">
        <v>9</v>
      </c>
    </row>
    <row r="1409" spans="1:11" ht="15" customHeight="1">
      <c r="A1409" t="str">
        <f t="shared" ca="1" si="418"/>
        <v/>
      </c>
      <c r="B1409">
        <f>ROW('Contact Information'!B402)</f>
        <v>402</v>
      </c>
      <c r="C1409" t="str">
        <f t="shared" ca="1" si="407"/>
        <v>City Planner</v>
      </c>
      <c r="D1409" t="str">
        <f t="shared" si="416"/>
        <v>B403</v>
      </c>
      <c r="E1409" t="str">
        <f t="shared" ref="E1409:E1410" ca="1" si="426">IF(ISBLANK( INDIRECT($F$1101 &amp; D1409)),"", INDIRECT($F$1101 &amp; D1409))</f>
        <v/>
      </c>
      <c r="F1409" t="str">
        <f ca="1">CONCATENATE("Enter a "&amp; J1409 &amp;" for '", C1409, "' in cell ", D1409, ".", CHAR(10))</f>
        <v xml:space="preserve">Enter a Jurisdiction Name for 'City Planner' in cell B403.
</v>
      </c>
      <c r="G1409" s="9" t="str">
        <f t="shared" ref="G1409:G1417" ca="1" si="427">OFFSET(G1409, -1, 0) &amp; A1409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9" t="b">
        <f>Calculations!$B$2</f>
        <v>0</v>
      </c>
      <c r="I1409" s="9"/>
      <c r="J1409" s="52" t="str">
        <f t="shared" ca="1" si="417"/>
        <v>Jurisdiction Name</v>
      </c>
      <c r="K1409" s="52">
        <v>1</v>
      </c>
    </row>
    <row r="1410" spans="1:11" ht="15" customHeight="1">
      <c r="A1410" t="str">
        <f t="shared" ca="1" si="418"/>
        <v/>
      </c>
      <c r="B1410" s="52">
        <f t="shared" ref="B1410:B1462" si="428">B1409</f>
        <v>402</v>
      </c>
      <c r="C1410" t="str">
        <f t="shared" ref="C1410" ca="1" si="429">INDIRECT($F$1101 &amp; ADDRESS(B1410, 1,4  ))</f>
        <v>City Planner</v>
      </c>
      <c r="D1410" t="str">
        <f t="shared" si="416"/>
        <v>B404</v>
      </c>
      <c r="E1410" t="str">
        <f t="shared" ca="1" si="426"/>
        <v/>
      </c>
      <c r="F1410" t="str">
        <f ca="1">CONCATENATE("Enter an "&amp; J1410 &amp;" for '", C1410, "' in cell ", D1410, ".", CHAR(10))</f>
        <v xml:space="preserve">Enter an Address for 'City Planner' in cell B404.
</v>
      </c>
      <c r="G1410"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0" t="b">
        <f>Calculations!$B$2</f>
        <v>0</v>
      </c>
      <c r="I1410" s="9"/>
      <c r="J1410" s="52" t="str">
        <f t="shared" ca="1" si="417"/>
        <v>Address</v>
      </c>
      <c r="K1410" s="52">
        <v>2</v>
      </c>
    </row>
    <row r="1411" spans="1:11" ht="15" customHeight="1">
      <c r="A1411" t="str">
        <f t="shared" ca="1" si="418"/>
        <v/>
      </c>
      <c r="B1411" s="52">
        <f t="shared" si="428"/>
        <v>402</v>
      </c>
      <c r="C1411" t="str">
        <f t="shared" ref="C1411:C1419" ca="1" si="430">INDIRECT($F$1101 &amp; ADDRESS(B1411, 1,4  ))</f>
        <v>City Planner</v>
      </c>
      <c r="D1411" t="str">
        <f t="shared" si="416"/>
        <v>B405</v>
      </c>
      <c r="E1411" t="str">
        <f t="shared" ref="E1411:E1419" ca="1" si="431">IF(ISBLANK( INDIRECT($F$1101 &amp; D1411)),"", INDIRECT($F$1101 &amp; D1411))</f>
        <v/>
      </c>
      <c r="F1411" t="str">
        <f t="shared" ref="F1411:F1416" ca="1" si="432">CONCATENATE("Enter a "&amp; J1411 &amp;" for '", C1411, "' in cell ", D1411, ".", CHAR(10))</f>
        <v xml:space="preserve">Enter a City  for 'City Planner' in cell B405.
</v>
      </c>
      <c r="G1411"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1" t="b">
        <f>Calculations!$B$2</f>
        <v>0</v>
      </c>
      <c r="I1411" s="9"/>
      <c r="J1411" s="52" t="str">
        <f t="shared" ca="1" si="417"/>
        <v xml:space="preserve">City </v>
      </c>
      <c r="K1411" s="52">
        <v>3</v>
      </c>
    </row>
    <row r="1412" spans="1:11" ht="15" customHeight="1">
      <c r="A1412" t="str">
        <f t="shared" ca="1" si="418"/>
        <v/>
      </c>
      <c r="B1412" s="52">
        <f t="shared" si="428"/>
        <v>402</v>
      </c>
      <c r="C1412" t="str">
        <f t="shared" ca="1" si="430"/>
        <v>City Planner</v>
      </c>
      <c r="D1412" t="str">
        <f t="shared" si="416"/>
        <v>B406</v>
      </c>
      <c r="E1412" t="str">
        <f t="shared" ca="1" si="431"/>
        <v/>
      </c>
      <c r="F1412" t="str">
        <f t="shared" ca="1" si="432"/>
        <v xml:space="preserve">Enter a State for 'City Planner' in cell B406.
</v>
      </c>
      <c r="G1412"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2" t="b">
        <f>Calculations!$B$2</f>
        <v>0</v>
      </c>
      <c r="I1412" s="9"/>
      <c r="J1412" s="52" t="str">
        <f t="shared" ca="1" si="417"/>
        <v>State</v>
      </c>
      <c r="K1412" s="52">
        <v>4</v>
      </c>
    </row>
    <row r="1413" spans="1:11" ht="15" customHeight="1">
      <c r="A1413" t="str">
        <f t="shared" ca="1" si="418"/>
        <v/>
      </c>
      <c r="B1413" s="52">
        <f t="shared" si="428"/>
        <v>402</v>
      </c>
      <c r="C1413" t="str">
        <f t="shared" ca="1" si="430"/>
        <v>City Planner</v>
      </c>
      <c r="D1413" t="str">
        <f t="shared" si="416"/>
        <v>B407</v>
      </c>
      <c r="E1413" t="str">
        <f t="shared" ca="1" si="431"/>
        <v/>
      </c>
      <c r="F1413" t="str">
        <f t="shared" ca="1" si="432"/>
        <v xml:space="preserve">Enter a Zip (first five #'s only) for 'City Planner' in cell B407.
</v>
      </c>
      <c r="G1413"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3" t="b">
        <f>Calculations!$B$2</f>
        <v>0</v>
      </c>
      <c r="I1413" s="9"/>
      <c r="J1413" s="52" t="str">
        <f t="shared" ca="1" si="417"/>
        <v>Zip (first five #'s only)</v>
      </c>
      <c r="K1413" s="52">
        <v>5</v>
      </c>
    </row>
    <row r="1414" spans="1:11" ht="15" customHeight="1">
      <c r="A1414" t="str">
        <f t="shared" ca="1" si="418"/>
        <v/>
      </c>
      <c r="B1414" s="52">
        <f t="shared" si="428"/>
        <v>402</v>
      </c>
      <c r="C1414" t="str">
        <f t="shared" ca="1" si="430"/>
        <v>City Planner</v>
      </c>
      <c r="D1414" t="str">
        <f t="shared" si="416"/>
        <v>B408</v>
      </c>
      <c r="E1414" t="str">
        <f t="shared" ca="1" si="431"/>
        <v/>
      </c>
      <c r="F1414" t="str">
        <f t="shared" ca="1" si="432"/>
        <v xml:space="preserve">Enter a Contact First Name for 'City Planner' in cell B408.
</v>
      </c>
      <c r="G1414"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4" t="b">
        <f>Calculations!$B$2</f>
        <v>0</v>
      </c>
      <c r="I1414" s="9"/>
      <c r="J1414" s="52" t="str">
        <f t="shared" ca="1" si="417"/>
        <v>Contact First Name</v>
      </c>
      <c r="K1414" s="52">
        <v>6</v>
      </c>
    </row>
    <row r="1415" spans="1:11" ht="15" customHeight="1">
      <c r="A1415" t="str">
        <f t="shared" ca="1" si="418"/>
        <v/>
      </c>
      <c r="B1415" s="52">
        <f t="shared" si="428"/>
        <v>402</v>
      </c>
      <c r="C1415" t="str">
        <f t="shared" ca="1" si="430"/>
        <v>City Planner</v>
      </c>
      <c r="D1415" t="str">
        <f t="shared" si="416"/>
        <v>B409</v>
      </c>
      <c r="E1415" t="str">
        <f t="shared" ca="1" si="431"/>
        <v/>
      </c>
      <c r="F1415" t="str">
        <f t="shared" ca="1" si="432"/>
        <v xml:space="preserve">Enter a Contact Last Name for 'City Planner' in cell B409.
</v>
      </c>
      <c r="G1415"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5" t="b">
        <f>Calculations!$B$2</f>
        <v>0</v>
      </c>
      <c r="I1415" s="9"/>
      <c r="J1415" s="52" t="str">
        <f t="shared" ca="1" si="417"/>
        <v>Contact Last Name</v>
      </c>
      <c r="K1415" s="52">
        <v>7</v>
      </c>
    </row>
    <row r="1416" spans="1:11" ht="15" customHeight="1">
      <c r="A1416" t="str">
        <f t="shared" ca="1" si="418"/>
        <v/>
      </c>
      <c r="B1416" s="52">
        <f t="shared" si="428"/>
        <v>402</v>
      </c>
      <c r="C1416" t="str">
        <f t="shared" ca="1" si="430"/>
        <v>City Planner</v>
      </c>
      <c r="D1416" t="str">
        <f t="shared" si="416"/>
        <v>B410</v>
      </c>
      <c r="E1416" t="str">
        <f t="shared" ca="1" si="431"/>
        <v/>
      </c>
      <c r="F1416" t="str">
        <f t="shared" ca="1" si="432"/>
        <v xml:space="preserve">Enter a Phone (#'s only) for 'City Planner' in cell B410.
</v>
      </c>
      <c r="G1416"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6" t="b">
        <f>Calculations!$B$2</f>
        <v>0</v>
      </c>
      <c r="I1416" s="9"/>
      <c r="J1416" s="52" t="str">
        <f t="shared" ca="1" si="417"/>
        <v>Phone (#'s only)</v>
      </c>
      <c r="K1416" s="52">
        <v>8</v>
      </c>
    </row>
    <row r="1417" spans="1:11" ht="15" customHeight="1">
      <c r="A1417" t="str">
        <f t="shared" ca="1" si="418"/>
        <v/>
      </c>
      <c r="B1417" s="52">
        <f t="shared" si="428"/>
        <v>402</v>
      </c>
      <c r="C1417" t="str">
        <f t="shared" ca="1" si="430"/>
        <v>City Planner</v>
      </c>
      <c r="D1417" t="str">
        <f t="shared" si="416"/>
        <v>B411</v>
      </c>
      <c r="E1417" t="str">
        <f t="shared" ca="1" si="431"/>
        <v/>
      </c>
      <c r="F1417" t="str">
        <f ca="1">CONCATENATE("Enter an "&amp; J1417 &amp;" for '", C1417, "' in cell ", D1417, ".", CHAR(10))</f>
        <v xml:space="preserve">Enter an Email for 'City Planner' in cell B411.
</v>
      </c>
      <c r="G1417"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7" t="b">
        <f>Calculations!$B$2</f>
        <v>0</v>
      </c>
      <c r="I1417" s="9"/>
      <c r="J1417" s="52" t="str">
        <f t="shared" ca="1" si="417"/>
        <v>Email</v>
      </c>
      <c r="K1417" s="52">
        <v>9</v>
      </c>
    </row>
    <row r="1418" spans="1:11" ht="15" customHeight="1">
      <c r="A1418" t="str">
        <f t="shared" ca="1" si="418"/>
        <v/>
      </c>
      <c r="B1418">
        <f>ROW('Contact Information'!B413)</f>
        <v>413</v>
      </c>
      <c r="C1418" t="str">
        <f t="shared" ca="1" si="430"/>
        <v>Local Housing Authortity</v>
      </c>
      <c r="D1418" t="str">
        <f t="shared" si="416"/>
        <v>B414</v>
      </c>
      <c r="E1418" t="str">
        <f t="shared" ca="1" si="431"/>
        <v/>
      </c>
      <c r="F1418" t="str">
        <f ca="1">CONCATENATE("Enter a "&amp; J1418 &amp;" for '", C1418, "' in cell ", D1418, ".", CHAR(10))</f>
        <v xml:space="preserve">Enter a Organization for 'Local Housing Authortity' in cell B414.
</v>
      </c>
      <c r="G1418" s="9" t="str">
        <f t="shared" ref="G1418:G1426" ca="1" si="433">OFFSET(G1418, -1, 0) &amp; A1418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8" t="b">
        <f>TRUE</f>
        <v>1</v>
      </c>
      <c r="I1418" s="9"/>
      <c r="J1418" s="52" t="str">
        <f t="shared" ca="1" si="417"/>
        <v>Organization</v>
      </c>
      <c r="K1418" s="52">
        <v>1</v>
      </c>
    </row>
    <row r="1419" spans="1:11" ht="15" customHeight="1">
      <c r="A1419" t="str">
        <f t="shared" ca="1" si="418"/>
        <v/>
      </c>
      <c r="B1419" s="52">
        <f t="shared" si="428"/>
        <v>413</v>
      </c>
      <c r="C1419" t="str">
        <f t="shared" ca="1" si="430"/>
        <v>Local Housing Authortity</v>
      </c>
      <c r="D1419" t="str">
        <f t="shared" si="416"/>
        <v>B415</v>
      </c>
      <c r="E1419" t="str">
        <f t="shared" ca="1" si="431"/>
        <v/>
      </c>
      <c r="F1419" t="str">
        <f ca="1">CONCATENATE("Enter an "&amp; J1419 &amp;" for '", C1419, "' in cell ", D1419, ".", CHAR(10))</f>
        <v xml:space="preserve">Enter an Address for 'Local Housing Authortity' in cell B415.
</v>
      </c>
      <c r="G1419"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9" t="b">
        <f>TRUE</f>
        <v>1</v>
      </c>
      <c r="I1419" s="9"/>
      <c r="J1419" s="52" t="str">
        <f t="shared" ca="1" si="417"/>
        <v>Address</v>
      </c>
      <c r="K1419" s="52">
        <v>2</v>
      </c>
    </row>
    <row r="1420" spans="1:11" ht="15" customHeight="1">
      <c r="A1420" t="str">
        <f t="shared" ca="1" si="418"/>
        <v/>
      </c>
      <c r="B1420" s="52">
        <f t="shared" si="428"/>
        <v>413</v>
      </c>
      <c r="C1420" t="str">
        <f t="shared" ref="C1420:C1428" ca="1" si="434">INDIRECT($F$1101 &amp; ADDRESS(B1420, 1,4  ))</f>
        <v>Local Housing Authortity</v>
      </c>
      <c r="D1420" t="str">
        <f t="shared" si="416"/>
        <v>B416</v>
      </c>
      <c r="E1420" t="str">
        <f t="shared" ref="E1420:E1428" ca="1" si="435">IF(ISBLANK( INDIRECT($F$1101 &amp; D1420)),"", INDIRECT($F$1101 &amp; D1420))</f>
        <v/>
      </c>
      <c r="F1420" t="str">
        <f t="shared" ref="F1420:F1425" ca="1" si="436">CONCATENATE("Enter a "&amp; J1420 &amp;" for '", C1420, "' in cell ", D1420, ".", CHAR(10))</f>
        <v xml:space="preserve">Enter a City  for 'Local Housing Authortity' in cell B416.
</v>
      </c>
      <c r="G1420"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0" t="b">
        <f>TRUE</f>
        <v>1</v>
      </c>
      <c r="I1420" s="9"/>
      <c r="J1420" s="52" t="str">
        <f t="shared" ca="1" si="417"/>
        <v xml:space="preserve">City </v>
      </c>
      <c r="K1420" s="52">
        <v>3</v>
      </c>
    </row>
    <row r="1421" spans="1:11" ht="15" customHeight="1">
      <c r="A1421" t="str">
        <f t="shared" ca="1" si="418"/>
        <v/>
      </c>
      <c r="B1421" s="52">
        <f t="shared" si="428"/>
        <v>413</v>
      </c>
      <c r="C1421" t="str">
        <f t="shared" ca="1" si="434"/>
        <v>Local Housing Authortity</v>
      </c>
      <c r="D1421" t="str">
        <f t="shared" si="416"/>
        <v>B417</v>
      </c>
      <c r="E1421" t="str">
        <f t="shared" ca="1" si="435"/>
        <v/>
      </c>
      <c r="F1421" t="str">
        <f t="shared" ca="1" si="436"/>
        <v xml:space="preserve">Enter a State for 'Local Housing Authortity' in cell B417.
</v>
      </c>
      <c r="G1421"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1" t="b">
        <f>TRUE</f>
        <v>1</v>
      </c>
      <c r="I1421" s="9"/>
      <c r="J1421" s="52" t="str">
        <f t="shared" ca="1" si="417"/>
        <v>State</v>
      </c>
      <c r="K1421" s="52">
        <v>4</v>
      </c>
    </row>
    <row r="1422" spans="1:11" ht="15" customHeight="1">
      <c r="A1422" t="str">
        <f t="shared" ca="1" si="418"/>
        <v/>
      </c>
      <c r="B1422" s="52">
        <f t="shared" si="428"/>
        <v>413</v>
      </c>
      <c r="C1422" t="str">
        <f t="shared" ca="1" si="434"/>
        <v>Local Housing Authortity</v>
      </c>
      <c r="D1422" t="str">
        <f t="shared" si="416"/>
        <v>B418</v>
      </c>
      <c r="E1422" t="str">
        <f t="shared" ca="1" si="435"/>
        <v/>
      </c>
      <c r="F1422" t="str">
        <f t="shared" ca="1" si="436"/>
        <v xml:space="preserve">Enter a Zip (first five #'s only) for 'Local Housing Authortity' in cell B418.
</v>
      </c>
      <c r="G1422"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2" t="b">
        <f>TRUE</f>
        <v>1</v>
      </c>
      <c r="I1422" s="9"/>
      <c r="J1422" s="52" t="str">
        <f t="shared" ca="1" si="417"/>
        <v>Zip (first five #'s only)</v>
      </c>
      <c r="K1422" s="52">
        <v>5</v>
      </c>
    </row>
    <row r="1423" spans="1:11" ht="15" customHeight="1">
      <c r="A1423" t="str">
        <f t="shared" ca="1" si="418"/>
        <v/>
      </c>
      <c r="B1423" s="52">
        <f t="shared" si="428"/>
        <v>413</v>
      </c>
      <c r="C1423" t="str">
        <f t="shared" ca="1" si="434"/>
        <v>Local Housing Authortity</v>
      </c>
      <c r="D1423" t="str">
        <f t="shared" si="416"/>
        <v>B419</v>
      </c>
      <c r="E1423" t="str">
        <f t="shared" ca="1" si="435"/>
        <v/>
      </c>
      <c r="F1423" t="str">
        <f t="shared" ca="1" si="436"/>
        <v xml:space="preserve">Enter a Executive Director Contact First Name for 'Local Housing Authortity' in cell B419.
</v>
      </c>
      <c r="G1423"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3" t="b">
        <f>TRUE</f>
        <v>1</v>
      </c>
      <c r="I1423" s="9"/>
      <c r="J1423" s="52" t="str">
        <f t="shared" ca="1" si="417"/>
        <v>Executive Director Contact First Name</v>
      </c>
      <c r="K1423" s="52">
        <v>6</v>
      </c>
    </row>
    <row r="1424" spans="1:11" ht="15" customHeight="1">
      <c r="A1424" t="str">
        <f t="shared" ca="1" si="418"/>
        <v/>
      </c>
      <c r="B1424" s="52">
        <f t="shared" si="428"/>
        <v>413</v>
      </c>
      <c r="C1424" t="str">
        <f t="shared" ca="1" si="434"/>
        <v>Local Housing Authortity</v>
      </c>
      <c r="D1424" t="str">
        <f t="shared" si="416"/>
        <v>B420</v>
      </c>
      <c r="E1424" t="str">
        <f t="shared" ca="1" si="435"/>
        <v/>
      </c>
      <c r="F1424" t="str">
        <f t="shared" ca="1" si="436"/>
        <v xml:space="preserve">Enter a Executive Director Contact Last Name for 'Local Housing Authortity' in cell B420.
</v>
      </c>
      <c r="G1424"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4" t="b">
        <f>TRUE</f>
        <v>1</v>
      </c>
      <c r="I1424" s="9"/>
      <c r="J1424" s="52" t="str">
        <f t="shared" ca="1" si="417"/>
        <v>Executive Director Contact Last Name</v>
      </c>
      <c r="K1424" s="52">
        <v>7</v>
      </c>
    </row>
    <row r="1425" spans="1:11" ht="15" customHeight="1">
      <c r="A1425" t="str">
        <f t="shared" ca="1" si="418"/>
        <v/>
      </c>
      <c r="B1425" s="52">
        <f t="shared" si="428"/>
        <v>413</v>
      </c>
      <c r="C1425" t="str">
        <f t="shared" ca="1" si="434"/>
        <v>Local Housing Authortity</v>
      </c>
      <c r="D1425" t="str">
        <f t="shared" si="416"/>
        <v>B421</v>
      </c>
      <c r="E1425" t="str">
        <f t="shared" ca="1" si="435"/>
        <v/>
      </c>
      <c r="F1425" t="str">
        <f t="shared" ca="1" si="436"/>
        <v xml:space="preserve">Enter a Phone (#'s only) for 'Local Housing Authortity' in cell B421.
</v>
      </c>
      <c r="G1425"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5" t="b">
        <f>TRUE</f>
        <v>1</v>
      </c>
      <c r="I1425" s="9"/>
      <c r="J1425" s="52" t="str">
        <f t="shared" ca="1" si="417"/>
        <v>Phone (#'s only)</v>
      </c>
      <c r="K1425" s="52">
        <v>8</v>
      </c>
    </row>
    <row r="1426" spans="1:11" ht="15" customHeight="1">
      <c r="A1426" t="str">
        <f t="shared" ca="1" si="418"/>
        <v/>
      </c>
      <c r="B1426" s="52">
        <f t="shared" si="428"/>
        <v>413</v>
      </c>
      <c r="C1426" t="str">
        <f t="shared" ca="1" si="434"/>
        <v>Local Housing Authortity</v>
      </c>
      <c r="D1426" t="str">
        <f t="shared" si="416"/>
        <v>B422</v>
      </c>
      <c r="E1426" t="str">
        <f t="shared" ca="1" si="435"/>
        <v/>
      </c>
      <c r="F1426" t="str">
        <f ca="1">CONCATENATE("Enter an "&amp; J1426 &amp;" for '", C1426, "' in cell ", D1426, ".", CHAR(10))</f>
        <v xml:space="preserve">Enter an Email for 'Local Housing Authortity' in cell B422.
</v>
      </c>
      <c r="G1426"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6" t="b">
        <f>TRUE</f>
        <v>1</v>
      </c>
      <c r="I1426" s="9"/>
      <c r="J1426" s="52" t="str">
        <f t="shared" ca="1" si="417"/>
        <v>Email</v>
      </c>
      <c r="K1426" s="52">
        <v>9</v>
      </c>
    </row>
    <row r="1427" spans="1:11" ht="15" customHeight="1">
      <c r="A1427" t="str">
        <f t="shared" ca="1" si="418"/>
        <v/>
      </c>
      <c r="B1427">
        <f>ROW('Contact Information'!B425)</f>
        <v>425</v>
      </c>
      <c r="C1427" t="str">
        <f t="shared" ca="1" si="434"/>
        <v>Construction/Completion Guarantee</v>
      </c>
      <c r="D1427" t="str">
        <f t="shared" si="416"/>
        <v>B426</v>
      </c>
      <c r="E1427" t="str">
        <f t="shared" ca="1" si="435"/>
        <v/>
      </c>
      <c r="F1427" t="str">
        <f ca="1">CONCATENATE("Enter a "&amp; J1427 &amp;" for '", C1427, "' in cell ", D1427, ".", CHAR(10))</f>
        <v xml:space="preserve">Enter a Organization for 'Construction/Completion Guarantee' in cell B426.
</v>
      </c>
      <c r="G1427" s="9" t="str">
        <f t="shared" ref="G1427:G1435" ca="1" si="437">OFFSET(G1427, -1, 0) &amp; A1427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7" t="b">
        <f>Calculations!$B$2</f>
        <v>0</v>
      </c>
      <c r="I1427" s="9"/>
      <c r="J1427" s="52" t="str">
        <f t="shared" ca="1" si="417"/>
        <v>Organization</v>
      </c>
      <c r="K1427" s="52">
        <v>1</v>
      </c>
    </row>
    <row r="1428" spans="1:11" ht="15" customHeight="1">
      <c r="A1428" t="str">
        <f t="shared" ca="1" si="418"/>
        <v/>
      </c>
      <c r="B1428" s="52">
        <f t="shared" si="428"/>
        <v>425</v>
      </c>
      <c r="C1428" t="str">
        <f t="shared" ca="1" si="434"/>
        <v>Construction/Completion Guarantee</v>
      </c>
      <c r="D1428" t="str">
        <f t="shared" si="416"/>
        <v>B427</v>
      </c>
      <c r="E1428" t="str">
        <f t="shared" ca="1" si="435"/>
        <v/>
      </c>
      <c r="F1428" t="str">
        <f ca="1">CONCATENATE("Enter an "&amp; J1428 &amp;" for '", C1428, "' in cell ", D1428, ".", CHAR(10))</f>
        <v xml:space="preserve">Enter an Address for 'Construction/Completion Guarantee' in cell B427.
</v>
      </c>
      <c r="G1428"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8" t="b">
        <f>Calculations!$B$2</f>
        <v>0</v>
      </c>
      <c r="I1428" s="9"/>
      <c r="J1428" s="52" t="str">
        <f t="shared" ca="1" si="417"/>
        <v>Address</v>
      </c>
      <c r="K1428" s="52">
        <v>2</v>
      </c>
    </row>
    <row r="1429" spans="1:11" ht="15" customHeight="1">
      <c r="A1429" t="str">
        <f t="shared" ca="1" si="418"/>
        <v/>
      </c>
      <c r="B1429" s="52">
        <f t="shared" si="428"/>
        <v>425</v>
      </c>
      <c r="C1429" t="str">
        <f t="shared" ref="C1429:C1437" ca="1" si="438">INDIRECT($F$1101 &amp; ADDRESS(B1429, 1,4  ))</f>
        <v>Construction/Completion Guarantee</v>
      </c>
      <c r="D1429" t="str">
        <f t="shared" si="416"/>
        <v>B428</v>
      </c>
      <c r="E1429" t="str">
        <f t="shared" ref="E1429:E1437" ca="1" si="439">IF(ISBLANK( INDIRECT($F$1101 &amp; D1429)),"", INDIRECT($F$1101 &amp; D1429))</f>
        <v/>
      </c>
      <c r="F1429" t="str">
        <f t="shared" ref="F1429:F1434" ca="1" si="440">CONCATENATE("Enter a "&amp; J1429 &amp;" for '", C1429, "' in cell ", D1429, ".", CHAR(10))</f>
        <v xml:space="preserve">Enter a City  for 'Construction/Completion Guarantee' in cell B428.
</v>
      </c>
      <c r="G1429"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9" t="b">
        <f>Calculations!$B$2</f>
        <v>0</v>
      </c>
      <c r="I1429" s="9"/>
      <c r="J1429" s="52" t="str">
        <f t="shared" ca="1" si="417"/>
        <v xml:space="preserve">City </v>
      </c>
      <c r="K1429" s="52">
        <v>3</v>
      </c>
    </row>
    <row r="1430" spans="1:11" ht="15" customHeight="1">
      <c r="A1430" t="str">
        <f t="shared" ca="1" si="418"/>
        <v/>
      </c>
      <c r="B1430" s="52">
        <f t="shared" si="428"/>
        <v>425</v>
      </c>
      <c r="C1430" t="str">
        <f t="shared" ca="1" si="438"/>
        <v>Construction/Completion Guarantee</v>
      </c>
      <c r="D1430" t="str">
        <f t="shared" si="416"/>
        <v>B429</v>
      </c>
      <c r="E1430" t="str">
        <f t="shared" ca="1" si="439"/>
        <v/>
      </c>
      <c r="F1430" t="str">
        <f t="shared" ca="1" si="440"/>
        <v xml:space="preserve">Enter a State for 'Construction/Completion Guarantee' in cell B429.
</v>
      </c>
      <c r="G1430"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0" t="b">
        <f>Calculations!$B$2</f>
        <v>0</v>
      </c>
      <c r="I1430" s="9"/>
      <c r="J1430" s="52" t="str">
        <f t="shared" ca="1" si="417"/>
        <v>State</v>
      </c>
      <c r="K1430" s="52">
        <v>4</v>
      </c>
    </row>
    <row r="1431" spans="1:11" ht="15" customHeight="1">
      <c r="A1431" t="str">
        <f t="shared" ca="1" si="418"/>
        <v/>
      </c>
      <c r="B1431" s="52">
        <f t="shared" si="428"/>
        <v>425</v>
      </c>
      <c r="C1431" t="str">
        <f t="shared" ca="1" si="438"/>
        <v>Construction/Completion Guarantee</v>
      </c>
      <c r="D1431" t="str">
        <f t="shared" si="416"/>
        <v>B430</v>
      </c>
      <c r="E1431" t="str">
        <f t="shared" ca="1" si="439"/>
        <v/>
      </c>
      <c r="F1431" t="str">
        <f t="shared" ca="1" si="440"/>
        <v xml:space="preserve">Enter a Zip (first five #'s only) for 'Construction/Completion Guarantee' in cell B430.
</v>
      </c>
      <c r="G1431"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1" t="b">
        <f>Calculations!$B$2</f>
        <v>0</v>
      </c>
      <c r="I1431" s="9"/>
      <c r="J1431" s="52" t="str">
        <f t="shared" ca="1" si="417"/>
        <v>Zip (first five #'s only)</v>
      </c>
      <c r="K1431" s="52">
        <v>5</v>
      </c>
    </row>
    <row r="1432" spans="1:11" ht="15" customHeight="1">
      <c r="A1432" t="str">
        <f t="shared" ca="1" si="418"/>
        <v/>
      </c>
      <c r="B1432" s="52">
        <f t="shared" si="428"/>
        <v>425</v>
      </c>
      <c r="C1432" t="str">
        <f t="shared" ca="1" si="438"/>
        <v>Construction/Completion Guarantee</v>
      </c>
      <c r="D1432" t="str">
        <f t="shared" si="416"/>
        <v>B431</v>
      </c>
      <c r="E1432" t="str">
        <f t="shared" ca="1" si="439"/>
        <v/>
      </c>
      <c r="F1432" t="str">
        <f t="shared" ca="1" si="440"/>
        <v xml:space="preserve">Enter a Contact First Name for 'Construction/Completion Guarantee' in cell B431.
</v>
      </c>
      <c r="G1432"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2" t="b">
        <f>Calculations!$B$2</f>
        <v>0</v>
      </c>
      <c r="I1432" s="9"/>
      <c r="J1432" s="52" t="str">
        <f t="shared" ca="1" si="417"/>
        <v>Contact First Name</v>
      </c>
      <c r="K1432" s="52">
        <v>6</v>
      </c>
    </row>
    <row r="1433" spans="1:11" ht="15" customHeight="1">
      <c r="A1433" t="str">
        <f t="shared" ca="1" si="418"/>
        <v/>
      </c>
      <c r="B1433" s="52">
        <f t="shared" si="428"/>
        <v>425</v>
      </c>
      <c r="C1433" t="str">
        <f t="shared" ca="1" si="438"/>
        <v>Construction/Completion Guarantee</v>
      </c>
      <c r="D1433" t="str">
        <f t="shared" si="416"/>
        <v>B432</v>
      </c>
      <c r="E1433" t="str">
        <f t="shared" ca="1" si="439"/>
        <v/>
      </c>
      <c r="F1433" t="str">
        <f t="shared" ca="1" si="440"/>
        <v xml:space="preserve">Enter a Contact Last Name for 'Construction/Completion Guarantee' in cell B432.
</v>
      </c>
      <c r="G1433"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3" t="b">
        <f>Calculations!$B$2</f>
        <v>0</v>
      </c>
      <c r="I1433" s="9"/>
      <c r="J1433" s="52" t="str">
        <f t="shared" ca="1" si="417"/>
        <v>Contact Last Name</v>
      </c>
      <c r="K1433" s="52">
        <v>7</v>
      </c>
    </row>
    <row r="1434" spans="1:11" ht="15" customHeight="1">
      <c r="A1434" t="str">
        <f t="shared" ca="1" si="418"/>
        <v/>
      </c>
      <c r="B1434" s="52">
        <f t="shared" si="428"/>
        <v>425</v>
      </c>
      <c r="C1434" t="str">
        <f t="shared" ca="1" si="438"/>
        <v>Construction/Completion Guarantee</v>
      </c>
      <c r="D1434" t="str">
        <f t="shared" si="416"/>
        <v>B433</v>
      </c>
      <c r="E1434" t="str">
        <f t="shared" ca="1" si="439"/>
        <v/>
      </c>
      <c r="F1434" t="str">
        <f t="shared" ca="1" si="440"/>
        <v xml:space="preserve">Enter a Phone (#'s only) for 'Construction/Completion Guarantee' in cell B433.
</v>
      </c>
      <c r="G1434"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4" t="b">
        <f>Calculations!$B$2</f>
        <v>0</v>
      </c>
      <c r="I1434" s="9"/>
      <c r="J1434" s="52" t="str">
        <f t="shared" ca="1" si="417"/>
        <v>Phone (#'s only)</v>
      </c>
      <c r="K1434" s="52">
        <v>8</v>
      </c>
    </row>
    <row r="1435" spans="1:11" ht="15" customHeight="1">
      <c r="A1435" t="str">
        <f t="shared" ca="1" si="418"/>
        <v/>
      </c>
      <c r="B1435" s="52">
        <f t="shared" si="428"/>
        <v>425</v>
      </c>
      <c r="C1435" t="str">
        <f t="shared" ca="1" si="438"/>
        <v>Construction/Completion Guarantee</v>
      </c>
      <c r="D1435" t="str">
        <f t="shared" si="416"/>
        <v>B434</v>
      </c>
      <c r="E1435" t="str">
        <f t="shared" ca="1" si="439"/>
        <v/>
      </c>
      <c r="F1435" t="str">
        <f ca="1">CONCATENATE("Enter an "&amp; J1435 &amp;" for '", C1435, "' in cell ", D1435, ".", CHAR(10))</f>
        <v xml:space="preserve">Enter an Email for 'Construction/Completion Guarantee' in cell B434.
</v>
      </c>
      <c r="G1435"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5" t="b">
        <f>Calculations!$B$2</f>
        <v>0</v>
      </c>
      <c r="I1435" s="9"/>
      <c r="J1435" s="52" t="str">
        <f t="shared" ca="1" si="417"/>
        <v>Email</v>
      </c>
      <c r="K1435" s="52">
        <v>9</v>
      </c>
    </row>
    <row r="1436" spans="1:11" ht="15" customHeight="1">
      <c r="A1436" t="str">
        <f t="shared" ca="1" si="418"/>
        <v/>
      </c>
      <c r="B1436">
        <f>ROW('Contact Information'!B436)</f>
        <v>436</v>
      </c>
      <c r="C1436" t="str">
        <f t="shared" ca="1" si="438"/>
        <v>Lease Up Guarantee</v>
      </c>
      <c r="D1436" t="str">
        <f t="shared" si="416"/>
        <v>B437</v>
      </c>
      <c r="E1436" t="str">
        <f t="shared" ca="1" si="439"/>
        <v/>
      </c>
      <c r="F1436" t="str">
        <f ca="1">CONCATENATE("Enter a "&amp; J1436 &amp;" for '", C1436, "' in cell ", D1436, ".", CHAR(10))</f>
        <v xml:space="preserve">Enter a Organization for 'Lease Up Guarantee' in cell B437.
</v>
      </c>
      <c r="G1436" s="9" t="str">
        <f t="shared" ref="G1436:G1444" ca="1" si="441">OFFSET(G1436, -1, 0) &amp; A1436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6" t="b">
        <f>Calculations!$B$2</f>
        <v>0</v>
      </c>
      <c r="I1436" s="9"/>
      <c r="J1436" s="52" t="str">
        <f t="shared" ca="1" si="417"/>
        <v>Organization</v>
      </c>
      <c r="K1436" s="52">
        <v>1</v>
      </c>
    </row>
    <row r="1437" spans="1:11" ht="15" customHeight="1">
      <c r="A1437" t="str">
        <f t="shared" ca="1" si="418"/>
        <v/>
      </c>
      <c r="B1437" s="52">
        <f t="shared" si="428"/>
        <v>436</v>
      </c>
      <c r="C1437" t="str">
        <f t="shared" ca="1" si="438"/>
        <v>Lease Up Guarantee</v>
      </c>
      <c r="D1437" t="str">
        <f t="shared" si="416"/>
        <v>B438</v>
      </c>
      <c r="E1437" t="str">
        <f t="shared" ca="1" si="439"/>
        <v/>
      </c>
      <c r="F1437" t="str">
        <f ca="1">CONCATENATE("Enter an "&amp; J1437 &amp;" for '", C1437, "' in cell ", D1437, ".", CHAR(10))</f>
        <v xml:space="preserve">Enter an Address for 'Lease Up Guarantee' in cell B438.
</v>
      </c>
      <c r="G1437"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7" t="b">
        <f>Calculations!$B$2</f>
        <v>0</v>
      </c>
      <c r="I1437" s="9"/>
      <c r="J1437" s="52" t="str">
        <f t="shared" ca="1" si="417"/>
        <v>Address</v>
      </c>
      <c r="K1437" s="52">
        <v>2</v>
      </c>
    </row>
    <row r="1438" spans="1:11" ht="15" customHeight="1">
      <c r="A1438" t="str">
        <f t="shared" ca="1" si="418"/>
        <v/>
      </c>
      <c r="B1438" s="52">
        <f t="shared" si="428"/>
        <v>436</v>
      </c>
      <c r="C1438" t="str">
        <f t="shared" ref="C1438:C1446" ca="1" si="442">INDIRECT($F$1101 &amp; ADDRESS(B1438, 1,4  ))</f>
        <v>Lease Up Guarantee</v>
      </c>
      <c r="D1438" t="str">
        <f t="shared" si="416"/>
        <v>B439</v>
      </c>
      <c r="E1438" t="str">
        <f t="shared" ref="E1438:E1446" ca="1" si="443">IF(ISBLANK( INDIRECT($F$1101 &amp; D1438)),"", INDIRECT($F$1101 &amp; D1438))</f>
        <v/>
      </c>
      <c r="F1438" t="str">
        <f t="shared" ref="F1438:F1443" ca="1" si="444">CONCATENATE("Enter a "&amp; J1438 &amp;" for '", C1438, "' in cell ", D1438, ".", CHAR(10))</f>
        <v xml:space="preserve">Enter a City  for 'Lease Up Guarantee' in cell B439.
</v>
      </c>
      <c r="G1438"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8" t="b">
        <f>Calculations!$B$2</f>
        <v>0</v>
      </c>
      <c r="I1438" s="9"/>
      <c r="J1438" s="52" t="str">
        <f t="shared" ca="1" si="417"/>
        <v xml:space="preserve">City </v>
      </c>
      <c r="K1438" s="52">
        <v>3</v>
      </c>
    </row>
    <row r="1439" spans="1:11" ht="15" customHeight="1">
      <c r="A1439" t="str">
        <f t="shared" ca="1" si="418"/>
        <v/>
      </c>
      <c r="B1439" s="52">
        <f t="shared" si="428"/>
        <v>436</v>
      </c>
      <c r="C1439" t="str">
        <f t="shared" ca="1" si="442"/>
        <v>Lease Up Guarantee</v>
      </c>
      <c r="D1439" t="str">
        <f t="shared" si="416"/>
        <v>B440</v>
      </c>
      <c r="E1439" t="str">
        <f t="shared" ca="1" si="443"/>
        <v/>
      </c>
      <c r="F1439" t="str">
        <f t="shared" ca="1" si="444"/>
        <v xml:space="preserve">Enter a State for 'Lease Up Guarantee' in cell B440.
</v>
      </c>
      <c r="G1439"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9" t="b">
        <f>Calculations!$B$2</f>
        <v>0</v>
      </c>
      <c r="I1439" s="9"/>
      <c r="J1439" s="52" t="str">
        <f t="shared" ca="1" si="417"/>
        <v>State</v>
      </c>
      <c r="K1439" s="52">
        <v>4</v>
      </c>
    </row>
    <row r="1440" spans="1:11" ht="15" customHeight="1">
      <c r="A1440" t="str">
        <f t="shared" ca="1" si="418"/>
        <v/>
      </c>
      <c r="B1440" s="52">
        <f t="shared" si="428"/>
        <v>436</v>
      </c>
      <c r="C1440" t="str">
        <f t="shared" ca="1" si="442"/>
        <v>Lease Up Guarantee</v>
      </c>
      <c r="D1440" t="str">
        <f t="shared" si="416"/>
        <v>B441</v>
      </c>
      <c r="E1440" t="str">
        <f t="shared" ca="1" si="443"/>
        <v/>
      </c>
      <c r="F1440" t="str">
        <f t="shared" ca="1" si="444"/>
        <v xml:space="preserve">Enter a Zip (first five #'s only) for 'Lease Up Guarantee' in cell B441.
</v>
      </c>
      <c r="G1440"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0" t="b">
        <f>Calculations!$B$2</f>
        <v>0</v>
      </c>
      <c r="I1440" s="9"/>
      <c r="J1440" s="52" t="str">
        <f t="shared" ca="1" si="417"/>
        <v>Zip (first five #'s only)</v>
      </c>
      <c r="K1440" s="52">
        <v>5</v>
      </c>
    </row>
    <row r="1441" spans="1:11" ht="15" customHeight="1">
      <c r="A1441" t="str">
        <f t="shared" ca="1" si="418"/>
        <v/>
      </c>
      <c r="B1441" s="52">
        <f t="shared" si="428"/>
        <v>436</v>
      </c>
      <c r="C1441" t="str">
        <f t="shared" ca="1" si="442"/>
        <v>Lease Up Guarantee</v>
      </c>
      <c r="D1441" t="str">
        <f t="shared" si="416"/>
        <v>B442</v>
      </c>
      <c r="E1441" t="str">
        <f t="shared" ca="1" si="443"/>
        <v/>
      </c>
      <c r="F1441" t="str">
        <f t="shared" ca="1" si="444"/>
        <v xml:space="preserve">Enter a Contact First Name for 'Lease Up Guarantee' in cell B442.
</v>
      </c>
      <c r="G1441"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1" t="b">
        <f>Calculations!$B$2</f>
        <v>0</v>
      </c>
      <c r="I1441" s="9"/>
      <c r="J1441" s="52" t="str">
        <f t="shared" ca="1" si="417"/>
        <v>Contact First Name</v>
      </c>
      <c r="K1441" s="52">
        <v>6</v>
      </c>
    </row>
    <row r="1442" spans="1:11" ht="15" customHeight="1">
      <c r="A1442" t="str">
        <f t="shared" ca="1" si="418"/>
        <v/>
      </c>
      <c r="B1442" s="52">
        <f t="shared" si="428"/>
        <v>436</v>
      </c>
      <c r="C1442" t="str">
        <f t="shared" ca="1" si="442"/>
        <v>Lease Up Guarantee</v>
      </c>
      <c r="D1442" t="str">
        <f t="shared" si="416"/>
        <v>B443</v>
      </c>
      <c r="E1442" t="str">
        <f t="shared" ca="1" si="443"/>
        <v/>
      </c>
      <c r="F1442" t="str">
        <f t="shared" ca="1" si="444"/>
        <v xml:space="preserve">Enter a Contact Last Name for 'Lease Up Guarantee' in cell B443.
</v>
      </c>
      <c r="G1442"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2" t="b">
        <f>Calculations!$B$2</f>
        <v>0</v>
      </c>
      <c r="I1442" s="9"/>
      <c r="J1442" s="52" t="str">
        <f t="shared" ca="1" si="417"/>
        <v>Contact Last Name</v>
      </c>
      <c r="K1442" s="52">
        <v>7</v>
      </c>
    </row>
    <row r="1443" spans="1:11" ht="15" customHeight="1">
      <c r="A1443" t="str">
        <f t="shared" ca="1" si="418"/>
        <v/>
      </c>
      <c r="B1443" s="52">
        <f t="shared" si="428"/>
        <v>436</v>
      </c>
      <c r="C1443" t="str">
        <f t="shared" ca="1" si="442"/>
        <v>Lease Up Guarantee</v>
      </c>
      <c r="D1443" t="str">
        <f t="shared" si="416"/>
        <v>B444</v>
      </c>
      <c r="E1443" t="str">
        <f t="shared" ca="1" si="443"/>
        <v/>
      </c>
      <c r="F1443" t="str">
        <f t="shared" ca="1" si="444"/>
        <v xml:space="preserve">Enter a Phone (#'s only) for 'Lease Up Guarantee' in cell B444.
</v>
      </c>
      <c r="G1443"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3" t="b">
        <f>Calculations!$B$2</f>
        <v>0</v>
      </c>
      <c r="I1443" s="9"/>
      <c r="J1443" s="52" t="str">
        <f t="shared" ca="1" si="417"/>
        <v>Phone (#'s only)</v>
      </c>
      <c r="K1443" s="52">
        <v>8</v>
      </c>
    </row>
    <row r="1444" spans="1:11" ht="15" customHeight="1">
      <c r="A1444" t="str">
        <f t="shared" ca="1" si="418"/>
        <v/>
      </c>
      <c r="B1444" s="52">
        <f t="shared" si="428"/>
        <v>436</v>
      </c>
      <c r="C1444" t="str">
        <f t="shared" ca="1" si="442"/>
        <v>Lease Up Guarantee</v>
      </c>
      <c r="D1444" t="str">
        <f t="shared" si="416"/>
        <v>B445</v>
      </c>
      <c r="E1444" t="str">
        <f t="shared" ca="1" si="443"/>
        <v/>
      </c>
      <c r="F1444" t="str">
        <f ca="1">CONCATENATE("Enter an "&amp; J1444 &amp;" for '", C1444, "' in cell ", D1444, ".", CHAR(10))</f>
        <v xml:space="preserve">Enter an Email for 'Lease Up Guarantee' in cell B445.
</v>
      </c>
      <c r="G1444"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4" t="b">
        <f>Calculations!$B$2</f>
        <v>0</v>
      </c>
      <c r="I1444" s="9"/>
      <c r="J1444" s="52" t="str">
        <f t="shared" ca="1" si="417"/>
        <v>Email</v>
      </c>
      <c r="K1444" s="52">
        <v>9</v>
      </c>
    </row>
    <row r="1445" spans="1:11" ht="15" customHeight="1">
      <c r="A1445" t="str">
        <f t="shared" ca="1" si="418"/>
        <v/>
      </c>
      <c r="B1445">
        <f>ROW('Contact Information'!B447)</f>
        <v>447</v>
      </c>
      <c r="C1445" t="str">
        <f t="shared" ca="1" si="442"/>
        <v xml:space="preserve">Operating Deficit Guarantee </v>
      </c>
      <c r="D1445" t="str">
        <f t="shared" si="416"/>
        <v>B448</v>
      </c>
      <c r="E1445" t="str">
        <f t="shared" ca="1" si="443"/>
        <v/>
      </c>
      <c r="F1445" t="str">
        <f ca="1">CONCATENATE("Enter a "&amp; J1445 &amp;" for '", C1445, "' in cell ", D1445, ".", CHAR(10))</f>
        <v xml:space="preserve">Enter a Organization for 'Operating Deficit Guarantee ' in cell B448.
</v>
      </c>
      <c r="G1445" s="9" t="str">
        <f t="shared" ref="G1445:G1462" ca="1" si="445">OFFSET(G1445, -1, 0) &amp; A1445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5" t="b">
        <f>Calculations!$B$2</f>
        <v>0</v>
      </c>
      <c r="I1445" s="9"/>
      <c r="J1445" s="52" t="str">
        <f t="shared" ca="1" si="417"/>
        <v>Organization</v>
      </c>
      <c r="K1445" s="52">
        <v>1</v>
      </c>
    </row>
    <row r="1446" spans="1:11" ht="15" customHeight="1">
      <c r="A1446" t="str">
        <f t="shared" ca="1" si="418"/>
        <v/>
      </c>
      <c r="B1446" s="52">
        <f t="shared" si="428"/>
        <v>447</v>
      </c>
      <c r="C1446" t="str">
        <f t="shared" ca="1" si="442"/>
        <v xml:space="preserve">Operating Deficit Guarantee </v>
      </c>
      <c r="D1446" t="str">
        <f t="shared" si="416"/>
        <v>B449</v>
      </c>
      <c r="E1446" t="str">
        <f t="shared" ca="1" si="443"/>
        <v/>
      </c>
      <c r="F1446" t="str">
        <f ca="1">CONCATENATE("Enter an "&amp; J1446 &amp;" for '", C1446, "' in cell ", D1446, ".", CHAR(10))</f>
        <v xml:space="preserve">Enter an Address for 'Operating Deficit Guarantee ' in cell B449.
</v>
      </c>
      <c r="G1446"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6" t="b">
        <f>Calculations!$B$2</f>
        <v>0</v>
      </c>
      <c r="I1446" s="9"/>
      <c r="J1446" s="52" t="str">
        <f t="shared" ca="1" si="417"/>
        <v>Address</v>
      </c>
      <c r="K1446" s="52">
        <v>2</v>
      </c>
    </row>
    <row r="1447" spans="1:11" ht="15" customHeight="1">
      <c r="A1447" t="str">
        <f t="shared" ca="1" si="418"/>
        <v/>
      </c>
      <c r="B1447" s="52">
        <f t="shared" si="428"/>
        <v>447</v>
      </c>
      <c r="C1447" t="str">
        <f t="shared" ref="C1447:C1462" ca="1" si="446">INDIRECT($F$1101 &amp; ADDRESS(B1447, 1,4  ))</f>
        <v xml:space="preserve">Operating Deficit Guarantee </v>
      </c>
      <c r="D1447" t="str">
        <f t="shared" si="416"/>
        <v>B450</v>
      </c>
      <c r="E1447" t="str">
        <f t="shared" ref="E1447:E1462" ca="1" si="447">IF(ISBLANK( INDIRECT($F$1101 &amp; D1447)),"", INDIRECT($F$1101 &amp; D1447))</f>
        <v/>
      </c>
      <c r="F1447" t="str">
        <f t="shared" ref="F1447:F1452" ca="1" si="448">CONCATENATE("Enter a "&amp; J1447 &amp;" for '", C1447, "' in cell ", D1447, ".", CHAR(10))</f>
        <v xml:space="preserve">Enter a City  for 'Operating Deficit Guarantee ' in cell B450.
</v>
      </c>
      <c r="G1447"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7" t="b">
        <f>Calculations!$B$2</f>
        <v>0</v>
      </c>
      <c r="I1447" s="9"/>
      <c r="J1447" s="52" t="str">
        <f t="shared" ca="1" si="417"/>
        <v xml:space="preserve">City </v>
      </c>
      <c r="K1447" s="52">
        <v>3</v>
      </c>
    </row>
    <row r="1448" spans="1:11" ht="15" customHeight="1">
      <c r="A1448" t="str">
        <f t="shared" ca="1" si="418"/>
        <v/>
      </c>
      <c r="B1448" s="52">
        <f t="shared" si="428"/>
        <v>447</v>
      </c>
      <c r="C1448" t="str">
        <f t="shared" ca="1" si="446"/>
        <v xml:space="preserve">Operating Deficit Guarantee </v>
      </c>
      <c r="D1448" t="str">
        <f t="shared" si="416"/>
        <v>B451</v>
      </c>
      <c r="E1448" t="str">
        <f t="shared" ca="1" si="447"/>
        <v/>
      </c>
      <c r="F1448" t="str">
        <f t="shared" ca="1" si="448"/>
        <v xml:space="preserve">Enter a State for 'Operating Deficit Guarantee ' in cell B451.
</v>
      </c>
      <c r="G1448"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8" t="b">
        <f>Calculations!$B$2</f>
        <v>0</v>
      </c>
      <c r="I1448" s="9"/>
      <c r="J1448" s="52" t="str">
        <f t="shared" ca="1" si="417"/>
        <v>State</v>
      </c>
      <c r="K1448" s="52">
        <v>4</v>
      </c>
    </row>
    <row r="1449" spans="1:11" ht="15" customHeight="1">
      <c r="A1449" t="str">
        <f t="shared" ca="1" si="418"/>
        <v/>
      </c>
      <c r="B1449" s="52">
        <f t="shared" si="428"/>
        <v>447</v>
      </c>
      <c r="C1449" t="str">
        <f t="shared" ca="1" si="446"/>
        <v xml:space="preserve">Operating Deficit Guarantee </v>
      </c>
      <c r="D1449" t="str">
        <f t="shared" si="416"/>
        <v>B452</v>
      </c>
      <c r="E1449" t="str">
        <f t="shared" ca="1" si="447"/>
        <v/>
      </c>
      <c r="F1449" t="str">
        <f t="shared" ca="1" si="448"/>
        <v xml:space="preserve">Enter a Zip (first five #'s only) for 'Operating Deficit Guarantee ' in cell B452.
</v>
      </c>
      <c r="G1449"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9" t="b">
        <f>Calculations!$B$2</f>
        <v>0</v>
      </c>
      <c r="I1449" s="9"/>
      <c r="J1449" s="52" t="str">
        <f t="shared" ca="1" si="417"/>
        <v>Zip (first five #'s only)</v>
      </c>
      <c r="K1449" s="52">
        <v>5</v>
      </c>
    </row>
    <row r="1450" spans="1:11" ht="15" customHeight="1">
      <c r="A1450" t="str">
        <f t="shared" ca="1" si="418"/>
        <v/>
      </c>
      <c r="B1450" s="52">
        <f t="shared" si="428"/>
        <v>447</v>
      </c>
      <c r="C1450" t="str">
        <f t="shared" ca="1" si="446"/>
        <v xml:space="preserve">Operating Deficit Guarantee </v>
      </c>
      <c r="D1450" t="str">
        <f t="shared" si="416"/>
        <v>B453</v>
      </c>
      <c r="E1450" t="str">
        <f t="shared" ca="1" si="447"/>
        <v/>
      </c>
      <c r="F1450" t="str">
        <f t="shared" ca="1" si="448"/>
        <v xml:space="preserve">Enter a Contact First Name for 'Operating Deficit Guarantee ' in cell B453.
</v>
      </c>
      <c r="G1450"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0" t="b">
        <f>Calculations!$B$2</f>
        <v>0</v>
      </c>
      <c r="I1450" s="9"/>
      <c r="J1450" s="52" t="str">
        <f t="shared" ca="1" si="417"/>
        <v>Contact First Name</v>
      </c>
      <c r="K1450" s="52">
        <v>6</v>
      </c>
    </row>
    <row r="1451" spans="1:11" ht="15" customHeight="1">
      <c r="A1451" t="str">
        <f t="shared" ca="1" si="418"/>
        <v/>
      </c>
      <c r="B1451" s="52">
        <f t="shared" si="428"/>
        <v>447</v>
      </c>
      <c r="C1451" t="str">
        <f t="shared" ca="1" si="446"/>
        <v xml:space="preserve">Operating Deficit Guarantee </v>
      </c>
      <c r="D1451" t="str">
        <f t="shared" si="416"/>
        <v>B454</v>
      </c>
      <c r="E1451" t="str">
        <f t="shared" ca="1" si="447"/>
        <v/>
      </c>
      <c r="F1451" t="str">
        <f t="shared" ca="1" si="448"/>
        <v xml:space="preserve">Enter a Contact Last Name for 'Operating Deficit Guarantee ' in cell B454.
</v>
      </c>
      <c r="G1451"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1" t="b">
        <f>Calculations!$B$2</f>
        <v>0</v>
      </c>
      <c r="I1451" s="9"/>
      <c r="J1451" s="52" t="str">
        <f t="shared" ca="1" si="417"/>
        <v>Contact Last Name</v>
      </c>
      <c r="K1451" s="52">
        <v>7</v>
      </c>
    </row>
    <row r="1452" spans="1:11" ht="15" customHeight="1">
      <c r="A1452" t="str">
        <f t="shared" ca="1" si="418"/>
        <v/>
      </c>
      <c r="B1452" s="52">
        <f t="shared" si="428"/>
        <v>447</v>
      </c>
      <c r="C1452" t="str">
        <f t="shared" ca="1" si="446"/>
        <v xml:space="preserve">Operating Deficit Guarantee </v>
      </c>
      <c r="D1452" t="str">
        <f t="shared" si="416"/>
        <v>B455</v>
      </c>
      <c r="E1452" t="str">
        <f t="shared" ca="1" si="447"/>
        <v/>
      </c>
      <c r="F1452" t="str">
        <f t="shared" ca="1" si="448"/>
        <v xml:space="preserve">Enter a Phone (#'s only) for 'Operating Deficit Guarantee ' in cell B455.
</v>
      </c>
      <c r="G1452"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2" t="b">
        <f>Calculations!$B$2</f>
        <v>0</v>
      </c>
      <c r="I1452" s="9"/>
      <c r="J1452" s="52" t="str">
        <f t="shared" ca="1" si="417"/>
        <v>Phone (#'s only)</v>
      </c>
      <c r="K1452" s="52">
        <v>8</v>
      </c>
    </row>
    <row r="1453" spans="1:11" ht="15" customHeight="1">
      <c r="A1453" t="str">
        <f t="shared" ca="1" si="418"/>
        <v/>
      </c>
      <c r="B1453" s="52">
        <f t="shared" si="428"/>
        <v>447</v>
      </c>
      <c r="C1453" t="str">
        <f t="shared" ca="1" si="446"/>
        <v xml:space="preserve">Operating Deficit Guarantee </v>
      </c>
      <c r="D1453" t="str">
        <f t="shared" si="416"/>
        <v>B456</v>
      </c>
      <c r="E1453" t="str">
        <f t="shared" ca="1" si="447"/>
        <v/>
      </c>
      <c r="F1453" t="str">
        <f ca="1">CONCATENATE("Enter an "&amp; J1453 &amp;" for '", C1453, "' in cell ", D1453, ".", CHAR(10))</f>
        <v xml:space="preserve">Enter an Email for 'Operating Deficit Guarantee ' in cell B456.
</v>
      </c>
      <c r="G1453"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3" t="b">
        <f>Calculations!$B$2</f>
        <v>0</v>
      </c>
      <c r="I1453" s="9"/>
      <c r="J1453" s="52" t="str">
        <f t="shared" ca="1" si="417"/>
        <v>Email</v>
      </c>
      <c r="K1453" s="52">
        <v>9</v>
      </c>
    </row>
    <row r="1454" spans="1:11" ht="15" customHeight="1">
      <c r="A1454" t="str">
        <f t="shared" ca="1" si="418"/>
        <v/>
      </c>
      <c r="B1454">
        <f>ROW('Contact Information'!B458)</f>
        <v>458</v>
      </c>
      <c r="C1454" t="str">
        <f t="shared" ca="1" si="446"/>
        <v xml:space="preserve">Compliance Guarantee </v>
      </c>
      <c r="D1454" t="str">
        <f t="shared" si="416"/>
        <v>B459</v>
      </c>
      <c r="E1454" t="str">
        <f t="shared" ca="1" si="447"/>
        <v/>
      </c>
      <c r="F1454" t="str">
        <f ca="1">CONCATENATE("Enter a "&amp; J1454 &amp;" for '", C1454, "' in cell ", D1454, ".", CHAR(10))</f>
        <v xml:space="preserve">Enter a Organization for 'Compliance Guarantee ' in cell B459.
</v>
      </c>
      <c r="G1454"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4" t="b">
        <f>Calculations!$B$2</f>
        <v>0</v>
      </c>
      <c r="I1454" s="9"/>
      <c r="J1454" s="52" t="str">
        <f t="shared" ca="1" si="417"/>
        <v>Organization</v>
      </c>
      <c r="K1454" s="52">
        <v>1</v>
      </c>
    </row>
    <row r="1455" spans="1:11" ht="15" customHeight="1">
      <c r="A1455" t="str">
        <f t="shared" ca="1" si="418"/>
        <v/>
      </c>
      <c r="B1455" s="52">
        <f t="shared" si="428"/>
        <v>458</v>
      </c>
      <c r="C1455" t="str">
        <f t="shared" ca="1" si="446"/>
        <v xml:space="preserve">Compliance Guarantee </v>
      </c>
      <c r="D1455" t="str">
        <f t="shared" si="416"/>
        <v>B460</v>
      </c>
      <c r="E1455" t="str">
        <f t="shared" ca="1" si="447"/>
        <v/>
      </c>
      <c r="F1455" t="str">
        <f ca="1">CONCATENATE("Enter an "&amp; J1455 &amp;" for '", C1455, "' in cell ", D1455, ".", CHAR(10))</f>
        <v xml:space="preserve">Enter an Address for 'Compliance Guarantee ' in cell B460.
</v>
      </c>
      <c r="G1455"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5" t="b">
        <f>Calculations!$B$2</f>
        <v>0</v>
      </c>
      <c r="I1455" s="9"/>
      <c r="J1455" s="52" t="str">
        <f t="shared" ca="1" si="417"/>
        <v>Address</v>
      </c>
      <c r="K1455" s="52">
        <v>2</v>
      </c>
    </row>
    <row r="1456" spans="1:11" ht="15" customHeight="1">
      <c r="A1456" t="str">
        <f t="shared" ca="1" si="418"/>
        <v/>
      </c>
      <c r="B1456" s="52">
        <f t="shared" si="428"/>
        <v>458</v>
      </c>
      <c r="C1456" t="str">
        <f t="shared" ca="1" si="446"/>
        <v xml:space="preserve">Compliance Guarantee </v>
      </c>
      <c r="D1456" t="str">
        <f t="shared" si="416"/>
        <v>B461</v>
      </c>
      <c r="E1456" t="str">
        <f t="shared" ca="1" si="447"/>
        <v/>
      </c>
      <c r="F1456" t="str">
        <f t="shared" ref="F1456:F1461" ca="1" si="449">CONCATENATE("Enter a "&amp; J1456 &amp;" for '", C1456, "' in cell ", D1456, ".", CHAR(10))</f>
        <v xml:space="preserve">Enter a City  for 'Compliance Guarantee ' in cell B461.
</v>
      </c>
      <c r="G1456"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6" t="b">
        <f>Calculations!$B$2</f>
        <v>0</v>
      </c>
      <c r="I1456" s="9"/>
      <c r="J1456" s="52" t="str">
        <f t="shared" ca="1" si="417"/>
        <v xml:space="preserve">City </v>
      </c>
      <c r="K1456" s="52">
        <v>3</v>
      </c>
    </row>
    <row r="1457" spans="1:12" ht="15" customHeight="1">
      <c r="A1457" t="str">
        <f t="shared" ca="1" si="418"/>
        <v/>
      </c>
      <c r="B1457" s="52">
        <f t="shared" si="428"/>
        <v>458</v>
      </c>
      <c r="C1457" t="str">
        <f t="shared" ca="1" si="446"/>
        <v xml:space="preserve">Compliance Guarantee </v>
      </c>
      <c r="D1457" t="str">
        <f t="shared" si="416"/>
        <v>B462</v>
      </c>
      <c r="E1457" t="str">
        <f t="shared" ca="1" si="447"/>
        <v/>
      </c>
      <c r="F1457" t="str">
        <f t="shared" ca="1" si="449"/>
        <v xml:space="preserve">Enter a State for 'Compliance Guarantee ' in cell B462.
</v>
      </c>
      <c r="G1457"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7" t="b">
        <f>Calculations!$B$2</f>
        <v>0</v>
      </c>
      <c r="I1457" s="9"/>
      <c r="J1457" s="52" t="str">
        <f t="shared" ca="1" si="417"/>
        <v>State</v>
      </c>
      <c r="K1457" s="52">
        <v>4</v>
      </c>
    </row>
    <row r="1458" spans="1:12" ht="15" customHeight="1">
      <c r="A1458" t="str">
        <f t="shared" ca="1" si="418"/>
        <v/>
      </c>
      <c r="B1458" s="52">
        <f t="shared" si="428"/>
        <v>458</v>
      </c>
      <c r="C1458" t="str">
        <f t="shared" ca="1" si="446"/>
        <v xml:space="preserve">Compliance Guarantee </v>
      </c>
      <c r="D1458" t="str">
        <f t="shared" si="416"/>
        <v>B463</v>
      </c>
      <c r="E1458" t="str">
        <f t="shared" ca="1" si="447"/>
        <v/>
      </c>
      <c r="F1458" t="str">
        <f t="shared" ca="1" si="449"/>
        <v xml:space="preserve">Enter a Zip (first five #'s only) for 'Compliance Guarantee ' in cell B463.
</v>
      </c>
      <c r="G1458"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8" t="b">
        <f>Calculations!$B$2</f>
        <v>0</v>
      </c>
      <c r="I1458" s="9"/>
      <c r="J1458" s="52" t="str">
        <f t="shared" ca="1" si="417"/>
        <v>Zip (first five #'s only)</v>
      </c>
      <c r="K1458" s="52">
        <v>5</v>
      </c>
    </row>
    <row r="1459" spans="1:12" ht="15" customHeight="1">
      <c r="A1459" t="str">
        <f t="shared" ca="1" si="418"/>
        <v/>
      </c>
      <c r="B1459" s="52">
        <f t="shared" si="428"/>
        <v>458</v>
      </c>
      <c r="C1459" t="str">
        <f t="shared" ca="1" si="446"/>
        <v xml:space="preserve">Compliance Guarantee </v>
      </c>
      <c r="D1459" t="str">
        <f t="shared" ref="D1459:D1467" si="450">ADDRESS(B1459+K1459, 2,4  )</f>
        <v>B464</v>
      </c>
      <c r="E1459" t="str">
        <f t="shared" ca="1" si="447"/>
        <v/>
      </c>
      <c r="F1459" t="str">
        <f t="shared" ca="1" si="449"/>
        <v xml:space="preserve">Enter a Contact First Name for 'Compliance Guarantee ' in cell B464.
</v>
      </c>
      <c r="G1459"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9" t="b">
        <f>Calculations!$B$2</f>
        <v>0</v>
      </c>
      <c r="I1459" s="9"/>
      <c r="J1459" s="52" t="str">
        <f t="shared" ref="J1459:J1462" ca="1" si="451">INDIRECT($F$1101 &amp; ADDRESS(B1459+K1459, 1,4))</f>
        <v>Contact First Name</v>
      </c>
      <c r="K1459" s="52">
        <v>6</v>
      </c>
    </row>
    <row r="1460" spans="1:12" ht="15" customHeight="1">
      <c r="A1460" t="str">
        <f t="shared" ref="A1460:A1462" ca="1" si="452">IF(AND(H1460, NOT($E$1104), E1460=""),F1460, "")</f>
        <v/>
      </c>
      <c r="B1460" s="52">
        <f t="shared" si="428"/>
        <v>458</v>
      </c>
      <c r="C1460" t="str">
        <f t="shared" ca="1" si="446"/>
        <v xml:space="preserve">Compliance Guarantee </v>
      </c>
      <c r="D1460" t="str">
        <f t="shared" si="450"/>
        <v>B465</v>
      </c>
      <c r="E1460" t="str">
        <f t="shared" ca="1" si="447"/>
        <v/>
      </c>
      <c r="F1460" t="str">
        <f t="shared" ca="1" si="449"/>
        <v xml:space="preserve">Enter a Contact Last Name for 'Compliance Guarantee ' in cell B465.
</v>
      </c>
      <c r="G1460"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60" t="b">
        <f>Calculations!$B$2</f>
        <v>0</v>
      </c>
      <c r="I1460" s="9"/>
      <c r="J1460" s="52" t="str">
        <f t="shared" ca="1" si="451"/>
        <v>Contact Last Name</v>
      </c>
      <c r="K1460" s="52">
        <v>7</v>
      </c>
    </row>
    <row r="1461" spans="1:12" ht="15" customHeight="1">
      <c r="A1461" t="str">
        <f t="shared" ca="1" si="452"/>
        <v/>
      </c>
      <c r="B1461" s="52">
        <f t="shared" si="428"/>
        <v>458</v>
      </c>
      <c r="C1461" t="str">
        <f t="shared" ca="1" si="446"/>
        <v xml:space="preserve">Compliance Guarantee </v>
      </c>
      <c r="D1461" t="str">
        <f t="shared" si="450"/>
        <v>B466</v>
      </c>
      <c r="E1461" t="str">
        <f t="shared" ca="1" si="447"/>
        <v/>
      </c>
      <c r="F1461" t="str">
        <f t="shared" ca="1" si="449"/>
        <v xml:space="preserve">Enter a Phone (#'s only) for 'Compliance Guarantee ' in cell B466.
</v>
      </c>
      <c r="G1461"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61" t="b">
        <f>Calculations!$B$2</f>
        <v>0</v>
      </c>
      <c r="I1461" s="9"/>
      <c r="J1461" s="52" t="str">
        <f t="shared" ca="1" si="451"/>
        <v>Phone (#'s only)</v>
      </c>
      <c r="K1461" s="52">
        <v>8</v>
      </c>
    </row>
    <row r="1462" spans="1:12" ht="15" customHeight="1">
      <c r="A1462" t="str">
        <f t="shared" ca="1" si="452"/>
        <v/>
      </c>
      <c r="B1462" s="52">
        <f t="shared" si="428"/>
        <v>458</v>
      </c>
      <c r="C1462" t="str">
        <f t="shared" ca="1" si="446"/>
        <v xml:space="preserve">Compliance Guarantee </v>
      </c>
      <c r="D1462" t="str">
        <f t="shared" si="450"/>
        <v>B467</v>
      </c>
      <c r="E1462" t="str">
        <f t="shared" ca="1" si="447"/>
        <v/>
      </c>
      <c r="F1462" t="str">
        <f ca="1">CONCATENATE("Enter an "&amp; J1462 &amp;" for '", C1462, "' in cell ", D1462, ".", CHAR(10))</f>
        <v xml:space="preserve">Enter an Email for 'Compliance Guarantee ' in cell B467.
</v>
      </c>
      <c r="G1462"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62" t="b">
        <f>Calculations!$B$2</f>
        <v>0</v>
      </c>
      <c r="I1462" s="9"/>
      <c r="J1462" s="52" t="str">
        <f t="shared" ca="1" si="451"/>
        <v>Email</v>
      </c>
      <c r="K1462" s="52">
        <v>9</v>
      </c>
    </row>
    <row r="1463" spans="1:12" ht="15" customHeight="1">
      <c r="A1463" t="str">
        <f t="shared" ref="A1463:A1464" ca="1" si="453">IF(E1463="",F1463, "")</f>
        <v xml:space="preserve">Enter a value for 'Entity Type' in cell B24.
</v>
      </c>
      <c r="B1463">
        <v>24</v>
      </c>
      <c r="C1463" t="str">
        <f t="shared" ref="C1463:C1467" ca="1" si="454">INDIRECT($F$1101 &amp; ADDRESS(B1463, 1,4  ))</f>
        <v>Entity Type</v>
      </c>
      <c r="D1463" t="str">
        <f t="shared" si="450"/>
        <v>B24</v>
      </c>
      <c r="E1463" t="str">
        <f t="shared" ref="E1463:E1465" ca="1" si="455">IF(ISBLANK( INDIRECT($F$1101 &amp; D1463)),"", INDIRECT($F$1101 &amp; D1463))</f>
        <v/>
      </c>
      <c r="F1463" t="str">
        <f t="shared" ref="F1463:F1465" ca="1" si="456">CONCATENATE("Enter a value for '", C1463, "' in cell ", D1463, ".", CHAR(10))</f>
        <v xml:space="preserve">Enter a value for 'Entity Type' in cell B24.
</v>
      </c>
      <c r="G146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v>
      </c>
      <c r="H1463" s="9"/>
      <c r="I1463" s="9"/>
    </row>
    <row r="1464" spans="1:12" ht="15" customHeight="1">
      <c r="A1464" t="str">
        <f t="shared" ca="1" si="453"/>
        <v xml:space="preserve">Enter a value for 'Has the applicant, or other principals of the development's ownership entity, previously received tax credits in Colorado? ' in cell B25.
</v>
      </c>
      <c r="B1464">
        <v>25</v>
      </c>
      <c r="C1464" t="str">
        <f t="shared" ca="1" si="454"/>
        <v xml:space="preserve">Has the applicant, or other principals of the development's ownership entity, previously received tax credits in Colorado? </v>
      </c>
      <c r="D1464" t="str">
        <f t="shared" si="450"/>
        <v>B25</v>
      </c>
      <c r="E1464" t="str">
        <f t="shared" ca="1" si="455"/>
        <v/>
      </c>
      <c r="F1464" t="str">
        <f t="shared" ca="1" si="456"/>
        <v xml:space="preserve">Enter a value for 'Has the applicant, or other principals of the development's ownership entity, previously received tax credits in Colorado? ' in cell B25.
</v>
      </c>
      <c r="G146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v>
      </c>
      <c r="H1464" s="9"/>
      <c r="I1464" s="9"/>
    </row>
    <row r="1465" spans="1:12" ht="15" customHeight="1">
      <c r="A1465" s="52" t="str">
        <f ca="1">IF(AND(E1464="Yes", E1465=""),F1465, "")</f>
        <v/>
      </c>
      <c r="B1465">
        <v>26</v>
      </c>
      <c r="C1465" t="str">
        <f t="shared" ca="1" si="454"/>
        <v>If "Yes", indicate development name and year.</v>
      </c>
      <c r="D1465" t="str">
        <f t="shared" si="450"/>
        <v>B26</v>
      </c>
      <c r="E1465" t="str">
        <f t="shared" ca="1" si="455"/>
        <v/>
      </c>
      <c r="F1465" t="str">
        <f t="shared" ca="1" si="456"/>
        <v xml:space="preserve">Enter a value for 'If "Yes", indicate development name and year.' in cell B26.
</v>
      </c>
      <c r="G146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v>
      </c>
      <c r="H1465" s="9"/>
      <c r="I1465" s="9"/>
    </row>
    <row r="1466" spans="1:12" ht="15" customHeight="1">
      <c r="A1466" t="str">
        <f t="shared" ref="A1466:A1467" ca="1" si="457">IF(E1466="",F1466, "")</f>
        <v xml:space="preserve">Enter a value for 'Has the applicant, or other principals of the development's ownership entity, previously received tax credits in other states?' in cell B27.
</v>
      </c>
      <c r="B1466">
        <v>27</v>
      </c>
      <c r="C1466" t="str">
        <f t="shared" ca="1" si="454"/>
        <v>Has the applicant, or other principals of the development's ownership entity, previously received tax credits in other states?</v>
      </c>
      <c r="D1466" t="str">
        <f t="shared" si="450"/>
        <v>B27</v>
      </c>
      <c r="E1466" t="str">
        <f t="shared" ref="E1466:E1467" ca="1" si="458">IF(ISBLANK( INDIRECT($F$1101 &amp; D1466)),"", INDIRECT($F$1101 &amp; D1466))</f>
        <v/>
      </c>
      <c r="F1466" t="str">
        <f t="shared" ref="F1466:F1467" ca="1" si="459">CONCATENATE("Enter a value for '", C1466, "' in cell ", D1466, ".", CHAR(10))</f>
        <v xml:space="preserve">Enter a value for 'Has the applicant, or other principals of the development's ownership entity, previously received tax credits in other states?' in cell B27.
</v>
      </c>
      <c r="G1466" s="9" t="str">
        <f t="shared" ref="G1466:G1467" ca="1" si="460">OFFSET(G1466, -1, 0) &amp; A1466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v>
      </c>
      <c r="H1466" s="9"/>
      <c r="I1466" s="9"/>
    </row>
    <row r="1467" spans="1:12" ht="15" customHeight="1">
      <c r="A1467" t="str">
        <f t="shared" ca="1" si="457"/>
        <v xml:space="preserve">Enter a value for 'If "Yes", indicate year(s).' in cell B28.
</v>
      </c>
      <c r="B1467">
        <v>28</v>
      </c>
      <c r="C1467" t="str">
        <f t="shared" ca="1" si="454"/>
        <v>If "Yes", indicate year(s).</v>
      </c>
      <c r="D1467" t="str">
        <f t="shared" si="450"/>
        <v>B28</v>
      </c>
      <c r="E1467" t="str">
        <f t="shared" ca="1" si="458"/>
        <v/>
      </c>
      <c r="F1467" t="str">
        <f t="shared" ca="1" si="459"/>
        <v xml:space="preserve">Enter a value for 'If "Yes", indicate year(s).' in cell B28.
</v>
      </c>
      <c r="G1467" s="9" t="str">
        <f t="shared" ca="1" si="46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67" s="9"/>
      <c r="I1467" s="9"/>
    </row>
    <row r="1468" spans="1:12" ht="15" customHeight="1">
      <c r="A1468" s="52" t="str">
        <f ca="1">IF(AND(H1468, E1468&lt;2), F1468, "")</f>
        <v/>
      </c>
      <c r="B1468">
        <v>31</v>
      </c>
      <c r="C1468" s="52"/>
      <c r="D1468" t="str">
        <f t="shared" ref="D1468:D1478" si="461">ADDRESS(B1468, 1,4  )</f>
        <v>A31</v>
      </c>
      <c r="E1468" s="52">
        <f ca="1">J1468+K1468</f>
        <v>2</v>
      </c>
      <c r="F1468" t="str">
        <f>CONCATENATE("Enter all the values for the limited partners using the credits in row ", B1468, ".", CHAR(10))</f>
        <v xml:space="preserve">Enter all the values for the limited partners using the credits in row 31.
</v>
      </c>
      <c r="G146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68" s="9" t="b">
        <f>'Contact Information'!B29 = "Yes"</f>
        <v>0</v>
      </c>
      <c r="I1468" s="9"/>
      <c r="J1468" s="52">
        <f ca="1">SUMPRODUCT(--ISTEXT(INDIRECT(L1468)))</f>
        <v>2</v>
      </c>
      <c r="K1468" s="52">
        <f ca="1">SUMPRODUCT(--ISNUMBER(INDIRECT(L1468)))</f>
        <v>0</v>
      </c>
      <c r="L1468" s="52" t="str">
        <f>$F$1101&amp; ADDRESS(B1468,1,4) &amp; ":" &amp; ADDRESS(B1468,2,4)</f>
        <v>'Contact Information'!A31:B31</v>
      </c>
    </row>
    <row r="1469" spans="1:12" ht="15" customHeight="1">
      <c r="A1469" s="52" t="str">
        <f t="shared" ref="A1469:A1471" ca="1" si="462">IF(AND(E1469&gt;0, E1469&lt;2), F1469, "")</f>
        <v/>
      </c>
      <c r="B1469">
        <v>32</v>
      </c>
      <c r="C1469" s="52"/>
      <c r="D1469" t="str">
        <f t="shared" si="461"/>
        <v>A32</v>
      </c>
      <c r="E1469" s="52">
        <f ca="1">J1469+K1469</f>
        <v>0</v>
      </c>
      <c r="F1469" t="str">
        <f t="shared" ref="F1469:F1471" si="463">CONCATENATE("Enter all the values for the limited partners using the credits in row ", B1469, ".", CHAR(10))</f>
        <v xml:space="preserve">Enter all the values for the limited partners using the credits in row 32.
</v>
      </c>
      <c r="G1469"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69" s="9" t="b">
        <f>'Contact Information'!B29 = "Yes"</f>
        <v>0</v>
      </c>
      <c r="I1469" s="9"/>
      <c r="J1469" s="52">
        <f ca="1">SUMPRODUCT(--ISTEXT(INDIRECT(L1469)))</f>
        <v>0</v>
      </c>
      <c r="K1469" s="52">
        <f ca="1">SUMPRODUCT(--ISNUMBER(INDIRECT(L1469)))</f>
        <v>0</v>
      </c>
      <c r="L1469" s="52" t="str">
        <f>$F$1101&amp; ADDRESS(B1469,1,4) &amp; ":" &amp; ADDRESS(B1469,2,4)</f>
        <v>'Contact Information'!A32:B32</v>
      </c>
    </row>
    <row r="1470" spans="1:12" ht="15" customHeight="1">
      <c r="A1470" s="52" t="str">
        <f t="shared" ca="1" si="462"/>
        <v/>
      </c>
      <c r="B1470">
        <v>33</v>
      </c>
      <c r="C1470" s="52"/>
      <c r="D1470" t="str">
        <f t="shared" si="461"/>
        <v>A33</v>
      </c>
      <c r="E1470" s="52">
        <f ca="1">J1470+K1470</f>
        <v>0</v>
      </c>
      <c r="F1470" t="str">
        <f t="shared" si="463"/>
        <v xml:space="preserve">Enter all the values for the limited partners using the credits in row 33.
</v>
      </c>
      <c r="G1470"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70" s="9" t="b">
        <f>'Contact Information'!B29 = "Yes"</f>
        <v>0</v>
      </c>
      <c r="I1470" s="9"/>
      <c r="J1470" s="52">
        <f ca="1">SUMPRODUCT(--ISTEXT(INDIRECT(L1470)))</f>
        <v>0</v>
      </c>
      <c r="K1470" s="52">
        <f ca="1">SUMPRODUCT(--ISNUMBER(INDIRECT(L1470)))</f>
        <v>0</v>
      </c>
      <c r="L1470" s="52" t="str">
        <f>$F$1101&amp; ADDRESS(B1470,1,4) &amp; ":" &amp; ADDRESS(B1470,2,4)</f>
        <v>'Contact Information'!A33:B33</v>
      </c>
    </row>
    <row r="1471" spans="1:12" ht="15" customHeight="1">
      <c r="A1471" s="52" t="str">
        <f t="shared" ca="1" si="462"/>
        <v/>
      </c>
      <c r="B1471">
        <v>35</v>
      </c>
      <c r="C1471" s="52"/>
      <c r="D1471" t="str">
        <f t="shared" si="461"/>
        <v>A35</v>
      </c>
      <c r="E1471" s="52">
        <f ca="1">J1471+K1471</f>
        <v>0</v>
      </c>
      <c r="F1471" t="str">
        <f t="shared" si="463"/>
        <v xml:space="preserve">Enter all the values for the limited partners using the credits in row 35.
</v>
      </c>
      <c r="G1471"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71" s="9" t="b">
        <f>'Contact Information'!B29 = "Yes"</f>
        <v>0</v>
      </c>
      <c r="I1471" s="9"/>
      <c r="J1471" s="52">
        <f ca="1">SUMPRODUCT(--ISTEXT(INDIRECT(L1471)))</f>
        <v>0</v>
      </c>
      <c r="K1471" s="52">
        <f ca="1">SUMPRODUCT(--ISNUMBER(INDIRECT(L1471)))</f>
        <v>0</v>
      </c>
      <c r="L1471" s="52" t="str">
        <f>$F$1101&amp; ADDRESS(B1471,1,4) &amp; ":" &amp; ADDRESS(B1471,2,4)</f>
        <v>'Contact Information'!A35:B35</v>
      </c>
    </row>
    <row r="1472" spans="1:12" ht="15" customHeight="1">
      <c r="A1472" t="str">
        <f t="shared" ref="A1472" ca="1" si="464">IF(E1472="",F1472, "")</f>
        <v xml:space="preserve">Enter a value for '0' in cell B36.
</v>
      </c>
      <c r="B1472">
        <v>36</v>
      </c>
      <c r="C1472">
        <f ca="1">INDIRECT($F$1101 &amp; ADDRESS(B1472, 1,4  ))</f>
        <v>0</v>
      </c>
      <c r="D1472" t="str">
        <f>ADDRESS(B1472+K1472, 2,4  )</f>
        <v>B36</v>
      </c>
      <c r="E1472" t="str">
        <f t="shared" ref="E1472" ca="1" si="465">IF(ISBLANK( INDIRECT($F$1101 &amp; D1472)),"", INDIRECT($F$1101 &amp; D1472))</f>
        <v/>
      </c>
      <c r="F1472" t="str">
        <f t="shared" ref="F1472" ca="1" si="466">CONCATENATE("Enter a value for '", C1472, "' in cell ", D1472, ".", CHAR(10))</f>
        <v xml:space="preserve">Enter a value for '0' in cell B36.
</v>
      </c>
      <c r="G1472"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v>
      </c>
      <c r="H1472" s="9"/>
      <c r="I1472" s="9"/>
    </row>
    <row r="1473" spans="1:12" ht="15" customHeight="1">
      <c r="A1473" s="52" t="str">
        <f ca="1">IF(E1473&lt;3, F1473, "")</f>
        <v xml:space="preserve">Enter all the values for the limited partners of the ownership entity in row 40.
</v>
      </c>
      <c r="B1473">
        <v>40</v>
      </c>
      <c r="C1473" s="52"/>
      <c r="D1473" t="str">
        <f t="shared" si="461"/>
        <v>A40</v>
      </c>
      <c r="E1473" s="52">
        <f ca="1">J1473+K1473</f>
        <v>0</v>
      </c>
      <c r="F1473" t="str">
        <f>CONCATENATE("Enter all the values for the limited partners of the ownership entity in row ", B1473, ".", CHAR(10))</f>
        <v xml:space="preserve">Enter all the values for the limited partners of the ownership entity in row 40.
</v>
      </c>
      <c r="G147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v>
      </c>
      <c r="H1473" s="9"/>
      <c r="I1473" s="9"/>
      <c r="J1473" s="52">
        <f ca="1">SUMPRODUCT(--ISTEXT(INDIRECT(L1473)))</f>
        <v>0</v>
      </c>
      <c r="K1473" s="52">
        <f ca="1">SUMPRODUCT(--ISNUMBER(INDIRECT(L1473)))</f>
        <v>0</v>
      </c>
      <c r="L1473" s="52" t="str">
        <f t="shared" ref="L1473:L1474" si="467">$F$1101&amp; ADDRESS(B1473,1,4) &amp; ":" &amp; ADDRESS(B1473,3,4)</f>
        <v>'Contact Information'!A40:C40</v>
      </c>
    </row>
    <row r="1474" spans="1:12" ht="15" customHeight="1">
      <c r="A1474" s="52" t="str">
        <f ca="1">IF(AND(E1474&gt;0, E1474&lt;3), F1474, "")</f>
        <v/>
      </c>
      <c r="B1474">
        <v>41</v>
      </c>
      <c r="C1474" s="52"/>
      <c r="D1474" t="str">
        <f t="shared" si="461"/>
        <v>A41</v>
      </c>
      <c r="E1474" s="52">
        <f ca="1">J1474+K1474</f>
        <v>0</v>
      </c>
      <c r="F1474" t="str">
        <f t="shared" ref="F1474:F1475" si="468">CONCATENATE("Enter all the values for the limited partners of the ownership entity in row ", B1474, ".", CHAR(10))</f>
        <v xml:space="preserve">Enter all the values for the limited partners of the ownership entity in row 41.
</v>
      </c>
      <c r="G147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v>
      </c>
      <c r="H1474" s="9"/>
      <c r="I1474" s="9"/>
      <c r="J1474" s="52">
        <f ca="1">SUMPRODUCT(--ISTEXT(INDIRECT(L1474)))</f>
        <v>0</v>
      </c>
      <c r="K1474" s="52">
        <f ca="1">SUMPRODUCT(--ISNUMBER(INDIRECT(L1474)))</f>
        <v>0</v>
      </c>
      <c r="L1474" s="52" t="str">
        <f t="shared" si="467"/>
        <v>'Contact Information'!A41:C41</v>
      </c>
    </row>
    <row r="1475" spans="1:12" ht="15" customHeight="1">
      <c r="A1475" s="52" t="str">
        <f ca="1">IF(AND(E1475&gt;0, E1475&lt;3), F1475, "")</f>
        <v/>
      </c>
      <c r="B1475">
        <v>42</v>
      </c>
      <c r="C1475" s="52"/>
      <c r="D1475" t="str">
        <f t="shared" si="461"/>
        <v>A42</v>
      </c>
      <c r="E1475" s="52">
        <f ca="1">J1475+K1475</f>
        <v>0</v>
      </c>
      <c r="F1475" t="str">
        <f t="shared" si="468"/>
        <v xml:space="preserve">Enter all the values for the limited partners of the ownership entity in row 42.
</v>
      </c>
      <c r="G147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v>
      </c>
      <c r="H1475" s="9"/>
      <c r="I1475" s="9"/>
      <c r="J1475" s="52">
        <f ca="1">SUMPRODUCT(--ISTEXT(INDIRECT(L1475)))</f>
        <v>0</v>
      </c>
      <c r="K1475" s="52">
        <f ca="1">SUMPRODUCT(--ISNUMBER(INDIRECT(L1475)))</f>
        <v>0</v>
      </c>
      <c r="L1475" s="52" t="str">
        <f>$F$1101&amp; ADDRESS(B1475,1,4) &amp; ":" &amp; ADDRESS(B1475,3,4)</f>
        <v>'Contact Information'!A42:C42</v>
      </c>
    </row>
    <row r="1476" spans="1:12" ht="15" customHeight="1">
      <c r="A1476" s="52" t="str">
        <f ca="1">IF(E1476&lt;3, F1476, "")</f>
        <v xml:space="preserve">Enter all the values for the general partners of the ownership entity in row 45.
</v>
      </c>
      <c r="B1476">
        <v>45</v>
      </c>
      <c r="C1476" s="52"/>
      <c r="D1476" t="str">
        <f t="shared" ref="D1476:D1477" si="469">ADDRESS(B1476, 1,4  )</f>
        <v>A45</v>
      </c>
      <c r="E1476" s="52">
        <f t="shared" ref="E1476:E1477" ca="1" si="470">J1476+K1476</f>
        <v>0</v>
      </c>
      <c r="F1476" t="str">
        <f t="shared" ref="F1476:F1477" si="471">CONCATENATE("Enter all the values for the general partners of the ownership entity in row ", B1476, ".", CHAR(10))</f>
        <v xml:space="preserve">Enter all the values for the general partners of the ownership entity in row 45.
</v>
      </c>
      <c r="G1476" s="9" t="str">
        <f t="shared" ref="G1476:G1477" ca="1" si="472">OFFSET(G1476, -1, 0) &amp; A1476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v>
      </c>
      <c r="H1476" s="9"/>
      <c r="I1476" s="9"/>
      <c r="J1476" s="52">
        <f t="shared" ref="J1476:J1477" ca="1" si="473">SUMPRODUCT(--ISTEXT(INDIRECT(L1476)))</f>
        <v>0</v>
      </c>
      <c r="K1476" s="52">
        <f t="shared" ref="K1476:K1479" ca="1" si="474">SUMPRODUCT(--ISNUMBER(INDIRECT(L1476)))</f>
        <v>0</v>
      </c>
      <c r="L1476" s="52" t="str">
        <f t="shared" ref="L1476:L1479" si="475">$F$1101&amp; ADDRESS(B1476,1,4) &amp; ":" &amp; ADDRESS(B1476,3,4)</f>
        <v>'Contact Information'!A45:C45</v>
      </c>
    </row>
    <row r="1477" spans="1:12" ht="15" customHeight="1">
      <c r="A1477" s="52" t="str">
        <f ca="1">IF(AND(E1477&gt;0, E1477&lt;3), F1477, "")</f>
        <v/>
      </c>
      <c r="B1477">
        <v>46</v>
      </c>
      <c r="C1477" s="52"/>
      <c r="D1477" t="str">
        <f t="shared" si="469"/>
        <v>A46</v>
      </c>
      <c r="E1477" s="52">
        <f t="shared" ca="1" si="470"/>
        <v>0</v>
      </c>
      <c r="F1477" t="str">
        <f t="shared" si="471"/>
        <v xml:space="preserve">Enter all the values for the general partners of the ownership entity in row 46.
</v>
      </c>
      <c r="G1477" s="9" t="str">
        <f t="shared" ca="1" si="47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v>
      </c>
      <c r="H1477" s="9"/>
      <c r="I1477" s="9"/>
      <c r="J1477" s="52">
        <f t="shared" ca="1" si="473"/>
        <v>0</v>
      </c>
      <c r="K1477" s="52">
        <f t="shared" ca="1" si="474"/>
        <v>0</v>
      </c>
      <c r="L1477" s="52" t="str">
        <f t="shared" si="475"/>
        <v>'Contact Information'!A46:C46</v>
      </c>
    </row>
    <row r="1478" spans="1:12" ht="15" customHeight="1">
      <c r="A1478" s="52" t="str">
        <f ca="1">IF(AND(E1478&gt;0, E1478&lt;3), F1478, "")</f>
        <v/>
      </c>
      <c r="B1478">
        <v>47</v>
      </c>
      <c r="C1478" s="52"/>
      <c r="D1478" t="str">
        <f t="shared" si="461"/>
        <v>A47</v>
      </c>
      <c r="E1478" s="52">
        <f ca="1">J1478+K1478</f>
        <v>0</v>
      </c>
      <c r="F1478" t="str">
        <f>CONCATENATE("Enter all the values for the general partners of the ownership entity in row ", B1478, ".", CHAR(10))</f>
        <v xml:space="preserve">Enter all the values for the general partners of the ownership entity in row 47.
</v>
      </c>
      <c r="G147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v>
      </c>
      <c r="H1478" s="9"/>
      <c r="I1478" s="9"/>
      <c r="J1478" s="52">
        <f ca="1">SUMPRODUCT(--ISTEXT(INDIRECT(L1478)))</f>
        <v>0</v>
      </c>
      <c r="K1478" s="52">
        <f t="shared" ca="1" si="474"/>
        <v>0</v>
      </c>
      <c r="L1478" s="52" t="str">
        <f t="shared" si="475"/>
        <v>'Contact Information'!A47:C47</v>
      </c>
    </row>
    <row r="1479" spans="1:12" ht="15" customHeight="1">
      <c r="A1479" s="52" t="str">
        <f ca="1">IF(AND(E1479&gt;0, E1479&lt;3), F1479, "")</f>
        <v/>
      </c>
      <c r="B1479">
        <v>48</v>
      </c>
      <c r="C1479" s="52"/>
      <c r="D1479" t="str">
        <f t="shared" ref="D1479" si="476">ADDRESS(B1479, 1,4  )</f>
        <v>A48</v>
      </c>
      <c r="E1479" s="52">
        <f ca="1">J1479+K1479</f>
        <v>0</v>
      </c>
      <c r="F1479" t="str">
        <f>CONCATENATE("Enter all the values for the general partners of the ownership entity in row ", B1479, ".", CHAR(10))</f>
        <v xml:space="preserve">Enter all the values for the general partners of the ownership entity in row 48.
</v>
      </c>
      <c r="G1479" s="9" t="str">
        <f t="shared" ref="G1479" ca="1" si="477">OFFSET(G1479, -1, 0) &amp; A1479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v>
      </c>
      <c r="H1479" s="9"/>
      <c r="I1479" s="9"/>
      <c r="J1479" s="52">
        <f ca="1">SUMPRODUCT(--ISTEXT(INDIRECT(L1479)))</f>
        <v>0</v>
      </c>
      <c r="K1479" s="52">
        <f t="shared" ca="1" si="474"/>
        <v>0</v>
      </c>
      <c r="L1479" s="52" t="str">
        <f t="shared" si="475"/>
        <v>'Contact Information'!A48:C48</v>
      </c>
    </row>
    <row r="1480" spans="1:12" ht="15" customHeight="1">
      <c r="A1480" t="str">
        <f ca="1">IF(E1480="",F1480, "")</f>
        <v xml:space="preserve">Enter a value for 'Phone (#'s only)' in cell B109.
</v>
      </c>
      <c r="B1480">
        <v>109</v>
      </c>
      <c r="C1480" s="52" t="str">
        <f ca="1">INDIRECT($F$1101 &amp; ADDRESS(B1480, 1,4  ))</f>
        <v>Phone (#'s only)</v>
      </c>
      <c r="D1480" t="str">
        <f t="shared" ref="D1480:D1495" si="478">ADDRESS(B1480+K1480, 2,4  )</f>
        <v>B109</v>
      </c>
      <c r="E1480" t="str">
        <f t="shared" ref="E1480:E1491" ca="1" si="479">IF(ISBLANK( INDIRECT($F$1101 &amp; D1480)),"", INDIRECT($F$1101 &amp; D1480))</f>
        <v/>
      </c>
      <c r="F1480" t="str">
        <f t="shared" ref="F1480:F1491" ca="1" si="480">CONCATENATE("Enter a value for '", C1480, "' in cell ", D1480, ".", CHAR(10))</f>
        <v xml:space="preserve">Enter a value for 'Phone (#'s only)' in cell B109.
</v>
      </c>
      <c r="G1480"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v>
      </c>
      <c r="H1480" s="9"/>
      <c r="I1480" s="9"/>
    </row>
    <row r="1481" spans="1:12" ht="15" customHeight="1">
      <c r="A1481" t="str">
        <f ca="1">IF(E1481="",F1481, "")</f>
        <v xml:space="preserve">Enter a value for 'Email' in cell B110.
</v>
      </c>
      <c r="B1481">
        <v>110</v>
      </c>
      <c r="C1481" s="52" t="str">
        <f t="shared" ref="C1481:C1495" ca="1" si="481">INDIRECT($F$1101 &amp; ADDRESS(B1481, 1,4  ))</f>
        <v>Email</v>
      </c>
      <c r="D1481" t="str">
        <f t="shared" si="478"/>
        <v>B110</v>
      </c>
      <c r="E1481" t="str">
        <f t="shared" ca="1" si="479"/>
        <v/>
      </c>
      <c r="F1481" t="str">
        <f t="shared" ca="1" si="480"/>
        <v xml:space="preserve">Enter a value for 'Email' in cell B110.
</v>
      </c>
      <c r="G1481"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v>
      </c>
      <c r="H1481" s="9"/>
      <c r="I1481" s="9"/>
    </row>
    <row r="1482" spans="1:12" ht="15" customHeight="1">
      <c r="A1482" s="52" t="str">
        <f ca="1">IF(AND(E1481="Yes", E1482=""),F1482, "")</f>
        <v/>
      </c>
      <c r="B1482">
        <v>111</v>
      </c>
      <c r="C1482" s="52" t="str">
        <f t="shared" ca="1" si="481"/>
        <v>Legal Status</v>
      </c>
      <c r="D1482" t="str">
        <f t="shared" si="478"/>
        <v>B111</v>
      </c>
      <c r="E1482" t="str">
        <f t="shared" ca="1" si="479"/>
        <v/>
      </c>
      <c r="F1482" t="str">
        <f t="shared" ca="1" si="480"/>
        <v xml:space="preserve">Enter a value for 'Legal Status' in cell B111.
</v>
      </c>
      <c r="G1482"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v>
      </c>
      <c r="H1482" s="9"/>
      <c r="I1482" s="9"/>
    </row>
    <row r="1483" spans="1:12" ht="15" customHeight="1">
      <c r="A1483" t="str">
        <f ca="1">IF(E1483="",F1483, "")</f>
        <v xml:space="preserve">Enter a value for 'Tax ID Number' in cell B112.
</v>
      </c>
      <c r="B1483">
        <v>112</v>
      </c>
      <c r="C1483" s="52" t="str">
        <f t="shared" ca="1" si="481"/>
        <v>Tax ID Number</v>
      </c>
      <c r="D1483" t="str">
        <f t="shared" si="478"/>
        <v>B112</v>
      </c>
      <c r="E1483" t="str">
        <f t="shared" ca="1" si="479"/>
        <v/>
      </c>
      <c r="F1483" t="str">
        <f t="shared" ca="1" si="480"/>
        <v xml:space="preserve">Enter a value for 'Tax ID Number' in cell B112.
</v>
      </c>
      <c r="G148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v>
      </c>
      <c r="H1483" s="9"/>
      <c r="I1483" s="9"/>
    </row>
    <row r="1484" spans="1:12" ht="15" customHeight="1">
      <c r="A1484" t="str">
        <f t="shared" ref="A1484:A1485" ca="1" si="482">IF(E1484="",F1484, "")</f>
        <v xml:space="preserve">Enter a value for 'Additional Participating Non-Profit or PHA Questions' in cell B113.
</v>
      </c>
      <c r="B1484">
        <v>113</v>
      </c>
      <c r="C1484" s="52" t="str">
        <f t="shared" ca="1" si="481"/>
        <v>Additional Participating Non-Profit or PHA Questions</v>
      </c>
      <c r="D1484" t="str">
        <f t="shared" si="478"/>
        <v>B113</v>
      </c>
      <c r="E1484" t="str">
        <f t="shared" ref="E1484:E1485" ca="1" si="483">IF(ISBLANK( INDIRECT($F$1101 &amp; D1484)),"", INDIRECT($F$1101 &amp; D1484))</f>
        <v/>
      </c>
      <c r="F1484" t="str">
        <f t="shared" ref="F1484:F1485" ca="1" si="484">CONCATENATE("Enter a value for '", C1484, "' in cell ", D1484, ".", CHAR(10))</f>
        <v xml:space="preserve">Enter a value for 'Additional Participating Non-Profit or PHA Questions' in cell B113.
</v>
      </c>
      <c r="G1484" s="9" t="str">
        <f t="shared" ref="G1484:G1485" ca="1" si="485">OFFSET(G1484, -1, 0) &amp; A1484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v>
      </c>
      <c r="H1484" s="9"/>
      <c r="I1484" s="9"/>
    </row>
    <row r="1485" spans="1:12" ht="15" customHeight="1">
      <c r="A1485" t="str">
        <f t="shared" ca="1" si="482"/>
        <v xml:space="preserve">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v>
      </c>
      <c r="B1485">
        <v>114</v>
      </c>
      <c r="C1485" s="52" t="str">
        <f t="shared" ca="1" si="481"/>
        <v>Does the applicant intend to request an allocation of tax credits from the nonprofit set-aside portion of the state credit ceiling under Section 42(h)(5)? Select "Yes" if claiming points under Applicant Characteristics of the Scoring criteria. Only applicable for 9% Competitive Tax Credit</v>
      </c>
      <c r="D1485" t="str">
        <f t="shared" si="478"/>
        <v>B114</v>
      </c>
      <c r="E1485" t="str">
        <f t="shared" ca="1" si="483"/>
        <v/>
      </c>
      <c r="F1485" t="str">
        <f t="shared" ca="1" si="484"/>
        <v xml:space="preserve">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v>
      </c>
      <c r="G1485" s="9" t="str">
        <f t="shared" ca="1" si="4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v>
      </c>
      <c r="H1485" s="9"/>
      <c r="I1485" s="9"/>
    </row>
    <row r="1486" spans="1:12" ht="15" customHeight="1">
      <c r="A1486" s="52" t="str">
        <f ca="1">IF(AND($E$1485="Yes",E1486=""),F1486,"")</f>
        <v/>
      </c>
      <c r="B1486">
        <v>115</v>
      </c>
      <c r="C1486" s="52" t="str">
        <f t="shared" ca="1" si="481"/>
        <v>Is the nonprofit or PHA assured of owning an interest in the development throughout the compliance period?</v>
      </c>
      <c r="D1486" t="str">
        <f t="shared" si="478"/>
        <v>B115</v>
      </c>
      <c r="E1486" t="str">
        <f t="shared" ca="1" si="479"/>
        <v/>
      </c>
      <c r="F1486" t="str">
        <f t="shared" ca="1" si="480"/>
        <v xml:space="preserve">Enter a value for 'Is the nonprofit or PHA assured of owning an interest in the development throughout the compliance period?' in cell B115.
</v>
      </c>
      <c r="G1486" s="9" t="str">
        <f t="shared" ref="G1486:G1500" ca="1" si="486">OFFSET(G1486, -1, 0) &amp; A1486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v>
      </c>
      <c r="H1486" s="9"/>
      <c r="I1486" s="9"/>
    </row>
    <row r="1487" spans="1:12" ht="15" customHeight="1">
      <c r="A1487" s="52" t="str">
        <f t="shared" ref="A1487:A1488" ca="1" si="487">IF(AND($E$1485="Yes",E1487=""),F1487,"")</f>
        <v/>
      </c>
      <c r="B1487">
        <v>116</v>
      </c>
      <c r="C1487" s="52" t="str">
        <f t="shared" ca="1" si="481"/>
        <v>Describe in detail the nonprofit or PHA ownership interest</v>
      </c>
      <c r="D1487" t="str">
        <f t="shared" si="478"/>
        <v>B116</v>
      </c>
      <c r="E1487" t="str">
        <f t="shared" ca="1" si="479"/>
        <v/>
      </c>
      <c r="F1487" t="str">
        <f t="shared" ca="1" si="480"/>
        <v xml:space="preserve">Enter a value for 'Describe in detail the nonprofit or PHA ownership interest' in cell B116.
</v>
      </c>
      <c r="G1487"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v>
      </c>
      <c r="H1487" s="9"/>
      <c r="I1487" s="9"/>
    </row>
    <row r="1488" spans="1:12" ht="15" customHeight="1">
      <c r="A1488" s="52" t="str">
        <f t="shared" ca="1" si="487"/>
        <v/>
      </c>
      <c r="B1488">
        <v>117</v>
      </c>
      <c r="C1488" s="52" t="str">
        <f t="shared" ca="1" si="481"/>
        <v>Describe the nonprofit or PHA material participation in the development</v>
      </c>
      <c r="D1488" t="str">
        <f t="shared" si="478"/>
        <v>B117</v>
      </c>
      <c r="G1488"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v>
      </c>
      <c r="H1488" s="9"/>
      <c r="I1488" s="9"/>
    </row>
    <row r="1489" spans="1:9" ht="15" customHeight="1">
      <c r="A1489" t="str">
        <f t="shared" ref="A1489" ca="1" si="488">IF(E1489="",F1489, "")</f>
        <v xml:space="preserve">Enter a value for 'Describe the nonprofit or PHA material participation in the operation of the development throughout the extended use period' in cell B118.
</v>
      </c>
      <c r="B1489">
        <v>118</v>
      </c>
      <c r="C1489" s="52" t="str">
        <f t="shared" ca="1" si="481"/>
        <v>Describe the nonprofit or PHA material participation in the operation of the development throughout the extended use period</v>
      </c>
      <c r="D1489" t="str">
        <f t="shared" si="478"/>
        <v>B118</v>
      </c>
      <c r="E1489" t="str">
        <f t="shared" ref="E1489" ca="1" si="489">IF(ISBLANK( INDIRECT($F$1101 &amp; D1489)),"", INDIRECT($F$1101 &amp; D1489))</f>
        <v/>
      </c>
      <c r="F1489" t="str">
        <f t="shared" ref="F1489" ca="1" si="490">CONCATENATE("Enter a value for '", C1489, "' in cell ", D1489, ".", CHAR(10))</f>
        <v xml:space="preserve">Enter a value for 'Describe the nonprofit or PHA material participation in the operation of the development throughout the extended use period' in cell B118.
</v>
      </c>
      <c r="G1489"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v>
      </c>
      <c r="H1489" s="9"/>
      <c r="I1489" s="9"/>
    </row>
    <row r="1490" spans="1:9" ht="15" customHeight="1">
      <c r="A1490" s="52" t="str">
        <f ca="1">IF(AND(E1489="Yes", E1490=""),F1490, "")</f>
        <v/>
      </c>
      <c r="B1490">
        <v>119</v>
      </c>
      <c r="C1490" s="52" t="str">
        <f t="shared" ca="1" si="481"/>
        <v>Will the nonprofit or PHA receive any part of the development or management fees paid in connection with the development?</v>
      </c>
      <c r="D1490" t="str">
        <f t="shared" si="478"/>
        <v>B119</v>
      </c>
      <c r="E1490" t="str">
        <f t="shared" ca="1" si="479"/>
        <v/>
      </c>
      <c r="F1490" t="str">
        <f t="shared" ca="1" si="480"/>
        <v xml:space="preserve">Enter a value for 'Will the nonprofit or PHA receive any part of the development or management fees paid in connection with the development?' in cell B119.
</v>
      </c>
      <c r="G1490"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v>
      </c>
      <c r="H1490" s="9"/>
      <c r="I1490" s="9"/>
    </row>
    <row r="1491" spans="1:9" ht="15" customHeight="1">
      <c r="A1491" t="str">
        <f t="shared" ref="A1491" ca="1" si="491">IF(E1491="",F1491, "")</f>
        <v xml:space="preserve">Enter a value for 'If "Yes", explain; if "No" skip to row 131' in cell B120.
</v>
      </c>
      <c r="B1491">
        <v>120</v>
      </c>
      <c r="C1491" s="52" t="str">
        <f t="shared" ca="1" si="481"/>
        <v>If "Yes", explain; if "No" skip to row 131</v>
      </c>
      <c r="D1491" t="str">
        <f t="shared" si="478"/>
        <v>B120</v>
      </c>
      <c r="E1491" t="str">
        <f t="shared" ca="1" si="479"/>
        <v/>
      </c>
      <c r="F1491" t="str">
        <f t="shared" ca="1" si="480"/>
        <v xml:space="preserve">Enter a value for 'If "Yes", explain; if "No" skip to row 131' in cell B120.
</v>
      </c>
      <c r="G1491" s="9" t="str">
        <f t="shared" ref="G1491:G1492" ca="1" si="492">OFFSET(G1491, -1, 0) &amp; A1491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v>
      </c>
      <c r="H1491" s="9"/>
      <c r="I1491" s="9"/>
    </row>
    <row r="1492" spans="1:9" ht="15" customHeight="1">
      <c r="A1492" s="52" t="str">
        <f ca="1">IF(AND(E1491="Yes", E1492=""),F1492, "")</f>
        <v/>
      </c>
      <c r="B1492">
        <v>121</v>
      </c>
      <c r="C1492" s="52" t="str">
        <f t="shared" ca="1" si="481"/>
        <v>How many full-time staff members does the nonprofit or PHA have?</v>
      </c>
      <c r="D1492" t="str">
        <f t="shared" si="478"/>
        <v>B121</v>
      </c>
      <c r="E1492" t="str">
        <f t="shared" ref="E1492:E1495" ca="1" si="493">IF(ISBLANK( INDIRECT($F$1101 &amp; D1492)),"", INDIRECT($F$1101 &amp; D1492))</f>
        <v/>
      </c>
      <c r="F1492" t="str">
        <f t="shared" ref="F1492:F1495" ca="1" si="494">CONCATENATE("Enter a value for '", C1492, "' in cell ", D1492, ".", CHAR(10))</f>
        <v xml:space="preserve">Enter a value for 'How many full-time staff members does the nonprofit or PHA have?' in cell B121.
</v>
      </c>
      <c r="G1492" s="9" t="str">
        <f t="shared" ca="1" si="4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v>
      </c>
      <c r="H1492" s="9"/>
      <c r="I1492" s="9"/>
    </row>
    <row r="1493" spans="1:9" ht="15" customHeight="1">
      <c r="A1493" t="str">
        <f t="shared" ref="A1493:A1495" ca="1" si="495">IF(E1493="",F1493, "")</f>
        <v xml:space="preserve">Enter a value for 'Describe the type and extent of their activities' in cell B122.
</v>
      </c>
      <c r="B1493">
        <v>122</v>
      </c>
      <c r="C1493" s="52" t="str">
        <f t="shared" ca="1" si="481"/>
        <v>Describe the type and extent of their activities</v>
      </c>
      <c r="D1493" t="str">
        <f t="shared" si="478"/>
        <v>B122</v>
      </c>
      <c r="E1493" t="str">
        <f t="shared" ca="1" si="493"/>
        <v/>
      </c>
      <c r="F1493" t="str">
        <f t="shared" ca="1" si="494"/>
        <v xml:space="preserve">Enter a value for 'Describe the type and extent of their activities' in cell B122.
</v>
      </c>
      <c r="G1493" s="9" t="str">
        <f t="shared" ref="G1493:G1495" ca="1" si="496">OFFSET(G1493, -1, 0) &amp; A1493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v>
      </c>
      <c r="H1493" s="9"/>
      <c r="I1493" s="9"/>
    </row>
    <row r="1494" spans="1:9" ht="15" customHeight="1">
      <c r="A1494" t="str">
        <f t="shared" ca="1" si="495"/>
        <v xml:space="preserve">Enter a value for 'Has any for-profit entity (including the owner of the development or any entity directly or indirectly related to such owner) appointed any directors to the governing board of the nonprofit? ' in cell B123.
</v>
      </c>
      <c r="B1494">
        <v>123</v>
      </c>
      <c r="C1494" s="52" t="str">
        <f t="shared" ca="1" si="481"/>
        <v xml:space="preserve">Has any for-profit entity (including the owner of the development or any entity directly or indirectly related to such owner) appointed any directors to the governing board of the nonprofit? </v>
      </c>
      <c r="D1494" t="str">
        <f t="shared" si="478"/>
        <v>B123</v>
      </c>
      <c r="E1494" t="str">
        <f t="shared" ca="1" si="493"/>
        <v/>
      </c>
      <c r="F1494" t="str">
        <f t="shared" ca="1" si="494"/>
        <v xml:space="preserve">Enter a value for 'Has any for-profit entity (including the owner of the development or any entity directly or indirectly related to such owner) appointed any directors to the governing board of the nonprofit? ' in cell B123.
</v>
      </c>
      <c r="G1494" s="9" t="str">
        <f t="shared" ca="1" si="4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Enter a value for 'Has any for-profit entity (including the owner of the development or any entity directly or indirectly related to such owner) appointed any directors to the governing board of the nonprofit? ' in cell B123.
</v>
      </c>
      <c r="H1494" s="9"/>
      <c r="I1494" s="9"/>
    </row>
    <row r="1495" spans="1:9" ht="15" customHeight="1">
      <c r="A1495" t="str">
        <f t="shared" ca="1" si="495"/>
        <v xml:space="preserve">Enter a value for 'If "Yes", explain' in cell B124.
</v>
      </c>
      <c r="B1495">
        <v>124</v>
      </c>
      <c r="C1495" s="52" t="str">
        <f t="shared" ca="1" si="481"/>
        <v>If "Yes", explain</v>
      </c>
      <c r="D1495" t="str">
        <f t="shared" si="478"/>
        <v>B124</v>
      </c>
      <c r="E1495" t="str">
        <f t="shared" ca="1" si="493"/>
        <v/>
      </c>
      <c r="F1495" t="str">
        <f t="shared" ca="1" si="494"/>
        <v xml:space="preserve">Enter a value for 'If "Yes", explain' in cell B124.
</v>
      </c>
      <c r="G1495" s="9" t="str">
        <f t="shared" ca="1" si="4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Enter a value for 'Has any for-profit entity (including the owner of the development or any entity directly or indirectly related to such owner) appointed any directors to the governing board of the nonprofit? ' in cell B123.
Enter a value for 'If "Yes", explain' in cell B124.
</v>
      </c>
      <c r="H1495" s="9"/>
      <c r="I1495" s="9"/>
    </row>
    <row r="1496" spans="1:9" ht="15" customHeight="1">
      <c r="G1496"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Enter a value for 'Has any for-profit entity (including the owner of the development or any entity directly or indirectly related to such owner) appointed any directors to the governing board of the nonprofit? ' in cell B123.
Enter a value for 'If "Yes", explain' in cell B124.
</v>
      </c>
      <c r="H1496" s="9"/>
      <c r="I1496" s="9"/>
    </row>
    <row r="1497" spans="1:9" ht="15" customHeight="1">
      <c r="G1497"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Enter a value for 'Has any for-profit entity (including the owner of the development or any entity directly or indirectly related to such owner) appointed any directors to the governing board of the nonprofit? ' in cell B123.
Enter a value for 'If "Yes", explain' in cell B124.
</v>
      </c>
      <c r="H1497" s="9"/>
      <c r="I1497" s="9"/>
    </row>
    <row r="1498" spans="1:9" ht="15" customHeight="1">
      <c r="G1498"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Enter a value for 'Has any for-profit entity (including the owner of the development or any entity directly or indirectly related to such owner) appointed any directors to the governing board of the nonprofit? ' in cell B123.
Enter a value for 'If "Yes", explain' in cell B124.
</v>
      </c>
      <c r="H1498" s="9"/>
      <c r="I1498" s="9"/>
    </row>
    <row r="1499" spans="1:9" ht="15" customHeight="1">
      <c r="G1499"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Enter a value for 'Has any for-profit entity (including the owner of the development or any entity directly or indirectly related to such owner) appointed any directors to the governing board of the nonprofit? ' in cell B123.
Enter a value for 'If "Yes", explain' in cell B124.
</v>
      </c>
      <c r="H1499" s="9"/>
      <c r="I1499" s="9"/>
    </row>
    <row r="1500" spans="1:9" ht="15" customHeight="1">
      <c r="G1500"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Enter a value for 'Has any for-profit entity (including the owner of the development or any entity directly or indirectly related to such owner) appointed any directors to the governing board of the nonprofit? ' in cell B123.
Enter a value for 'If "Yes", explain' in cell B124.
</v>
      </c>
      <c r="H1500" s="9"/>
      <c r="I1500" s="9"/>
    </row>
    <row r="1501" spans="1:9" ht="15" customHeight="1">
      <c r="A1501" s="55" t="s">
        <v>3847</v>
      </c>
      <c r="B1501" s="53"/>
      <c r="C1501" s="53"/>
      <c r="D1501" s="53"/>
      <c r="E1501" s="53"/>
      <c r="F1501" s="53"/>
      <c r="G1501" s="56" t="str">
        <f ca="1">OFFSET(G1501, -1, 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Enter a value for 'Has any for-profit entity (including the owner of the development or any entity directly or indirectly related to such owner) appointed any directors to the governing board of the nonprofit? ' in cell B123.
Enter a value for 'If "Yes", explain' in cell B124.
</v>
      </c>
      <c r="H1501" s="56"/>
      <c r="I1501" s="56"/>
    </row>
    <row r="1502" spans="1:9" ht="15" customHeight="1"/>
    <row r="1503" spans="1:9" ht="15" customHeight="1"/>
    <row r="1504" spans="1:9" ht="15" customHeight="1">
      <c r="A1504" s="22" t="s">
        <v>98</v>
      </c>
      <c r="F1504" s="49" t="s">
        <v>3848</v>
      </c>
    </row>
    <row r="1505" spans="1:7" ht="15" customHeight="1">
      <c r="A1505" s="53" t="s">
        <v>3792</v>
      </c>
      <c r="B1505" s="53" t="s">
        <v>3793</v>
      </c>
      <c r="C1505" s="53" t="s">
        <v>3794</v>
      </c>
      <c r="D1505" s="53" t="s">
        <v>3795</v>
      </c>
      <c r="E1505" s="53" t="s">
        <v>3796</v>
      </c>
      <c r="F1505" s="53" t="s">
        <v>3797</v>
      </c>
      <c r="G1505" s="54" t="s">
        <v>3798</v>
      </c>
    </row>
    <row r="1506" spans="1:7" ht="15" customHeight="1">
      <c r="A1506" t="str">
        <f ca="1">IF(E1506="",F1506, "")</f>
        <v xml:space="preserve">Enter a value for 'Level of Drawings Completed' in cell B3.
</v>
      </c>
      <c r="B1506">
        <f>ROW('Cost Summary'!C3)</f>
        <v>3</v>
      </c>
      <c r="C1506" t="str">
        <f ca="1">INDIRECT($F$1504 &amp; ADDRESS(B1506, 1,4  ))</f>
        <v>Level of Drawings Completed</v>
      </c>
      <c r="D1506" t="str">
        <f>ADDRESS(B1506, 2,4  )</f>
        <v>B3</v>
      </c>
      <c r="E1506" t="str">
        <f ca="1">IF(ISBLANK( INDIRECT($F$1504 &amp; D1506)),"", INDIRECT($F$1504 &amp; D1506))</f>
        <v/>
      </c>
      <c r="F1506" t="str">
        <f ca="1">CONCATENATE("Enter a value for '", C1506, "' in cell ", D1506, ".", CHAR(10))</f>
        <v xml:space="preserve">Enter a value for 'Level of Drawings Completed' in cell B3.
</v>
      </c>
      <c r="G1506" s="9" t="str">
        <f ca="1">A1506</f>
        <v xml:space="preserve">Enter a value for 'Level of Drawings Completed' in cell B3.
</v>
      </c>
    </row>
    <row r="1507" spans="1:7" ht="15" customHeight="1">
      <c r="A1507" t="str">
        <f ca="1">IF(E1507="",F1507, "")</f>
        <v xml:space="preserve">Enter a value for 'Prevailing Wages' in cell C5.
</v>
      </c>
      <c r="B1507">
        <f>ROW('Cost Summary'!A5)</f>
        <v>5</v>
      </c>
      <c r="C1507" t="str">
        <f ca="1">INDIRECT($F$1504 &amp; ADDRESS(B1507, 1,4  ))</f>
        <v>Prevailing Wages</v>
      </c>
      <c r="D1507" t="str">
        <f>ADDRESS(B1507, 3,4  )</f>
        <v>C5</v>
      </c>
      <c r="E1507" t="str">
        <f ca="1">IF(ISBLANK( INDIRECT($F$1504 &amp; D1507)),"", INDIRECT($F$1504 &amp; D1507))</f>
        <v/>
      </c>
      <c r="F1507" t="str">
        <f ca="1">CONCATENATE("Enter a value for '", C1507, "' in cell ", D1507, ".", CHAR(10))</f>
        <v xml:space="preserve">Enter a value for 'Prevailing Wages' in cell C5.
</v>
      </c>
      <c r="G1507" s="9" t="str">
        <f ca="1">A1507</f>
        <v xml:space="preserve">Enter a value for 'Prevailing Wages' in cell C5.
</v>
      </c>
    </row>
    <row r="1508" spans="1:7" ht="15" customHeight="1">
      <c r="A1508" s="52" t="str">
        <f>IF(E1508=0, F1508, "")</f>
        <v xml:space="preserve">The total of the cost in column C must be greater than zero.
</v>
      </c>
      <c r="B1508" s="52">
        <f>ROW('Cost Summary'!C8)</f>
        <v>8</v>
      </c>
      <c r="C1508" s="52"/>
      <c r="D1508" s="52" t="str">
        <f>SUBSTITUTE(ADDRESS(B1508, COLUMN('Cost Summary'!C8),4), B1508, "")</f>
        <v>C</v>
      </c>
      <c r="E1508" s="52">
        <f>Calculations!B695</f>
        <v>0</v>
      </c>
      <c r="F1508" s="52" t="str">
        <f>CONCATENATE("The total of the cost in column ", D1508, " must be greater than zero.", CHAR(10))</f>
        <v xml:space="preserve">The total of the cost in column C must be greater than zero.
</v>
      </c>
      <c r="G1508" s="9" t="str">
        <f t="shared" ref="G1508:G1539" ca="1" si="497">OFFSET(G1508, -1, 0) &amp; A1508</f>
        <v xml:space="preserve">Enter a value for 'Prevailing Wages' in cell C5.
The total of the cost in column C must be greater than zero.
</v>
      </c>
    </row>
    <row r="1509" spans="1:7" ht="15" customHeight="1">
      <c r="A1509" t="str">
        <f t="shared" ref="A1509:A1534" ca="1" si="498">IF(E1509="",F1509, "")</f>
        <v/>
      </c>
      <c r="B1509">
        <f>ROW('Cost Summary'!A8)</f>
        <v>8</v>
      </c>
      <c r="C1509" s="52" t="str">
        <f t="shared" ref="C1509:C1534" ca="1" si="499">INDIRECT($F$1504 &amp; ADDRESS(B1509, 2,4  ))</f>
        <v>General Requirements</v>
      </c>
      <c r="D1509" t="str">
        <f t="shared" ref="D1509:D1534" si="500">ADDRESS(B1509, 3,4  )</f>
        <v>C8</v>
      </c>
      <c r="E1509">
        <f t="shared" ref="E1509:E1534" ca="1" si="501">IF(ISBLANK( INDIRECT($F$1504 &amp; D1509)),"", INDIRECT($F$1504 &amp; D1509))</f>
        <v>0</v>
      </c>
      <c r="F1509" t="str">
        <f t="shared" ref="F1509:F1534" ca="1" si="502">CONCATENATE("Enter a value for '", C1509, "' in cell ", D1509, ".", CHAR(10))</f>
        <v xml:space="preserve">Enter a value for 'General Requirements' in cell C8.
</v>
      </c>
      <c r="G1509" s="9" t="str">
        <f t="shared" ca="1" si="497"/>
        <v xml:space="preserve">Enter a value for 'Prevailing Wages' in cell C5.
The total of the cost in column C must be greater than zero.
</v>
      </c>
    </row>
    <row r="1510" spans="1:7" ht="15" customHeight="1">
      <c r="A1510" t="str">
        <f t="shared" ca="1" si="498"/>
        <v/>
      </c>
      <c r="B1510">
        <f>ROW('Cost Summary'!A9)</f>
        <v>9</v>
      </c>
      <c r="C1510" s="52" t="str">
        <f t="shared" ca="1" si="499"/>
        <v>Existing Conditions</v>
      </c>
      <c r="D1510" t="str">
        <f t="shared" si="500"/>
        <v>C9</v>
      </c>
      <c r="E1510">
        <f t="shared" ca="1" si="501"/>
        <v>0</v>
      </c>
      <c r="F1510" t="str">
        <f t="shared" ca="1" si="502"/>
        <v xml:space="preserve">Enter a value for 'Existing Conditions' in cell C9.
</v>
      </c>
      <c r="G1510" s="9" t="str">
        <f t="shared" ca="1" si="497"/>
        <v xml:space="preserve">Enter a value for 'Prevailing Wages' in cell C5.
The total of the cost in column C must be greater than zero.
</v>
      </c>
    </row>
    <row r="1511" spans="1:7" ht="15" customHeight="1">
      <c r="A1511" t="str">
        <f t="shared" ca="1" si="498"/>
        <v/>
      </c>
      <c r="B1511">
        <f>ROW('Cost Summary'!A10)</f>
        <v>10</v>
      </c>
      <c r="C1511" s="52" t="str">
        <f t="shared" ca="1" si="499"/>
        <v>Concrete</v>
      </c>
      <c r="D1511" t="str">
        <f t="shared" si="500"/>
        <v>C10</v>
      </c>
      <c r="E1511">
        <f t="shared" ca="1" si="501"/>
        <v>0</v>
      </c>
      <c r="F1511" t="str">
        <f t="shared" ca="1" si="502"/>
        <v xml:space="preserve">Enter a value for 'Concrete' in cell C10.
</v>
      </c>
      <c r="G1511" s="9" t="str">
        <f t="shared" ca="1" si="497"/>
        <v xml:space="preserve">Enter a value for 'Prevailing Wages' in cell C5.
The total of the cost in column C must be greater than zero.
</v>
      </c>
    </row>
    <row r="1512" spans="1:7" ht="15" customHeight="1">
      <c r="A1512" t="str">
        <f t="shared" ca="1" si="498"/>
        <v/>
      </c>
      <c r="B1512">
        <f>ROW('Cost Summary'!A11)</f>
        <v>11</v>
      </c>
      <c r="C1512" s="52" t="str">
        <f t="shared" ca="1" si="499"/>
        <v>Masonry</v>
      </c>
      <c r="D1512" t="str">
        <f t="shared" si="500"/>
        <v>C11</v>
      </c>
      <c r="E1512">
        <f t="shared" ca="1" si="501"/>
        <v>0</v>
      </c>
      <c r="F1512" t="str">
        <f t="shared" ca="1" si="502"/>
        <v xml:space="preserve">Enter a value for 'Masonry' in cell C11.
</v>
      </c>
      <c r="G1512" s="9" t="str">
        <f t="shared" ca="1" si="497"/>
        <v xml:space="preserve">Enter a value for 'Prevailing Wages' in cell C5.
The total of the cost in column C must be greater than zero.
</v>
      </c>
    </row>
    <row r="1513" spans="1:7" ht="15" customHeight="1">
      <c r="A1513" t="str">
        <f t="shared" ca="1" si="498"/>
        <v/>
      </c>
      <c r="B1513">
        <f>ROW('Cost Summary'!A12)</f>
        <v>12</v>
      </c>
      <c r="C1513" s="52" t="str">
        <f t="shared" ca="1" si="499"/>
        <v>Metals</v>
      </c>
      <c r="D1513" t="str">
        <f t="shared" si="500"/>
        <v>C12</v>
      </c>
      <c r="E1513">
        <f t="shared" ca="1" si="501"/>
        <v>0</v>
      </c>
      <c r="F1513" t="str">
        <f t="shared" ca="1" si="502"/>
        <v xml:space="preserve">Enter a value for 'Metals' in cell C12.
</v>
      </c>
      <c r="G1513" s="9" t="str">
        <f t="shared" ca="1" si="497"/>
        <v xml:space="preserve">Enter a value for 'Prevailing Wages' in cell C5.
The total of the cost in column C must be greater than zero.
</v>
      </c>
    </row>
    <row r="1514" spans="1:7" ht="15" customHeight="1">
      <c r="A1514" t="str">
        <f t="shared" ca="1" si="498"/>
        <v/>
      </c>
      <c r="B1514">
        <f>ROW('Cost Summary'!A13)</f>
        <v>13</v>
      </c>
      <c r="C1514" s="52" t="str">
        <f t="shared" ca="1" si="499"/>
        <v>Wood, Plastics &amp; Composites</v>
      </c>
      <c r="D1514" t="str">
        <f t="shared" si="500"/>
        <v>C13</v>
      </c>
      <c r="E1514">
        <f t="shared" ca="1" si="501"/>
        <v>0</v>
      </c>
      <c r="F1514" t="str">
        <f t="shared" ca="1" si="502"/>
        <v xml:space="preserve">Enter a value for 'Wood, Plastics &amp; Composites' in cell C13.
</v>
      </c>
      <c r="G1514" s="9" t="str">
        <f t="shared" ca="1" si="497"/>
        <v xml:space="preserve">Enter a value for 'Prevailing Wages' in cell C5.
The total of the cost in column C must be greater than zero.
</v>
      </c>
    </row>
    <row r="1515" spans="1:7" ht="15" customHeight="1">
      <c r="A1515" t="str">
        <f t="shared" ca="1" si="498"/>
        <v/>
      </c>
      <c r="B1515">
        <f>ROW('Cost Summary'!A14)</f>
        <v>14</v>
      </c>
      <c r="C1515" s="52" t="str">
        <f t="shared" ca="1" si="499"/>
        <v>Thermal and Moisture Protection</v>
      </c>
      <c r="D1515" t="str">
        <f t="shared" si="500"/>
        <v>C14</v>
      </c>
      <c r="E1515">
        <f t="shared" ca="1" si="501"/>
        <v>0</v>
      </c>
      <c r="F1515" t="str">
        <f t="shared" ca="1" si="502"/>
        <v xml:space="preserve">Enter a value for 'Thermal and Moisture Protection' in cell C14.
</v>
      </c>
      <c r="G1515" s="9" t="str">
        <f t="shared" ca="1" si="497"/>
        <v xml:space="preserve">Enter a value for 'Prevailing Wages' in cell C5.
The total of the cost in column C must be greater than zero.
</v>
      </c>
    </row>
    <row r="1516" spans="1:7" ht="15" customHeight="1">
      <c r="A1516" t="str">
        <f t="shared" ca="1" si="498"/>
        <v/>
      </c>
      <c r="B1516">
        <f>ROW('Cost Summary'!A15)</f>
        <v>15</v>
      </c>
      <c r="C1516" s="52" t="str">
        <f t="shared" ca="1" si="499"/>
        <v>Openings</v>
      </c>
      <c r="D1516" t="str">
        <f t="shared" si="500"/>
        <v>C15</v>
      </c>
      <c r="E1516">
        <f t="shared" ca="1" si="501"/>
        <v>0</v>
      </c>
      <c r="F1516" t="str">
        <f t="shared" ca="1" si="502"/>
        <v xml:space="preserve">Enter a value for 'Openings' in cell C15.
</v>
      </c>
      <c r="G1516" s="9" t="str">
        <f t="shared" ca="1" si="497"/>
        <v xml:space="preserve">Enter a value for 'Prevailing Wages' in cell C5.
The total of the cost in column C must be greater than zero.
</v>
      </c>
    </row>
    <row r="1517" spans="1:7" ht="15" customHeight="1">
      <c r="A1517" t="str">
        <f t="shared" ca="1" si="498"/>
        <v/>
      </c>
      <c r="B1517">
        <f>ROW('Cost Summary'!A16)</f>
        <v>16</v>
      </c>
      <c r="C1517" s="52" t="str">
        <f t="shared" ca="1" si="499"/>
        <v>Finishes</v>
      </c>
      <c r="D1517" t="str">
        <f t="shared" si="500"/>
        <v>C16</v>
      </c>
      <c r="E1517">
        <f t="shared" ca="1" si="501"/>
        <v>0</v>
      </c>
      <c r="F1517" t="str">
        <f t="shared" ca="1" si="502"/>
        <v xml:space="preserve">Enter a value for 'Finishes' in cell C16.
</v>
      </c>
      <c r="G1517" s="9" t="str">
        <f t="shared" ca="1" si="497"/>
        <v xml:space="preserve">Enter a value for 'Prevailing Wages' in cell C5.
The total of the cost in column C must be greater than zero.
</v>
      </c>
    </row>
    <row r="1518" spans="1:7" ht="15" customHeight="1">
      <c r="A1518" t="str">
        <f t="shared" ca="1" si="498"/>
        <v/>
      </c>
      <c r="B1518">
        <f>ROW('Cost Summary'!A17)</f>
        <v>17</v>
      </c>
      <c r="C1518" s="52" t="str">
        <f t="shared" ca="1" si="499"/>
        <v>Specialties</v>
      </c>
      <c r="D1518" t="str">
        <f t="shared" si="500"/>
        <v>C17</v>
      </c>
      <c r="E1518">
        <f t="shared" ca="1" si="501"/>
        <v>0</v>
      </c>
      <c r="F1518" t="str">
        <f t="shared" ca="1" si="502"/>
        <v xml:space="preserve">Enter a value for 'Specialties' in cell C17.
</v>
      </c>
      <c r="G1518" s="9" t="str">
        <f t="shared" ca="1" si="497"/>
        <v xml:space="preserve">Enter a value for 'Prevailing Wages' in cell C5.
The total of the cost in column C must be greater than zero.
</v>
      </c>
    </row>
    <row r="1519" spans="1:7" ht="15" customHeight="1">
      <c r="A1519" t="str">
        <f t="shared" ca="1" si="498"/>
        <v/>
      </c>
      <c r="B1519">
        <f>ROW('Cost Summary'!A18)</f>
        <v>18</v>
      </c>
      <c r="C1519" s="52" t="str">
        <f t="shared" ca="1" si="499"/>
        <v>Equipment</v>
      </c>
      <c r="D1519" t="str">
        <f t="shared" si="500"/>
        <v>C18</v>
      </c>
      <c r="E1519">
        <f t="shared" ca="1" si="501"/>
        <v>0</v>
      </c>
      <c r="F1519" t="str">
        <f t="shared" ca="1" si="502"/>
        <v xml:space="preserve">Enter a value for 'Equipment' in cell C18.
</v>
      </c>
      <c r="G1519" s="9" t="str">
        <f t="shared" ca="1" si="497"/>
        <v xml:space="preserve">Enter a value for 'Prevailing Wages' in cell C5.
The total of the cost in column C must be greater than zero.
</v>
      </c>
    </row>
    <row r="1520" spans="1:7" ht="15" customHeight="1">
      <c r="A1520" t="str">
        <f t="shared" ca="1" si="498"/>
        <v/>
      </c>
      <c r="B1520">
        <f>ROW('Cost Summary'!A19)</f>
        <v>19</v>
      </c>
      <c r="C1520" s="52" t="str">
        <f t="shared" ca="1" si="499"/>
        <v>Furnishings</v>
      </c>
      <c r="D1520" t="str">
        <f t="shared" si="500"/>
        <v>C19</v>
      </c>
      <c r="E1520">
        <f t="shared" ca="1" si="501"/>
        <v>0</v>
      </c>
      <c r="F1520" t="str">
        <f t="shared" ca="1" si="502"/>
        <v xml:space="preserve">Enter a value for 'Furnishings' in cell C19.
</v>
      </c>
      <c r="G1520" s="9" t="str">
        <f t="shared" ca="1" si="497"/>
        <v xml:space="preserve">Enter a value for 'Prevailing Wages' in cell C5.
The total of the cost in column C must be greater than zero.
</v>
      </c>
    </row>
    <row r="1521" spans="1:7" ht="15" customHeight="1">
      <c r="A1521" t="str">
        <f t="shared" ca="1" si="498"/>
        <v/>
      </c>
      <c r="B1521">
        <f>ROW('Cost Summary'!A20)</f>
        <v>20</v>
      </c>
      <c r="C1521" s="52" t="str">
        <f t="shared" ca="1" si="499"/>
        <v>Special Construction</v>
      </c>
      <c r="D1521" t="str">
        <f t="shared" si="500"/>
        <v>C20</v>
      </c>
      <c r="E1521">
        <f t="shared" ca="1" si="501"/>
        <v>0</v>
      </c>
      <c r="F1521" t="str">
        <f t="shared" ca="1" si="502"/>
        <v xml:space="preserve">Enter a value for 'Special Construction' in cell C20.
</v>
      </c>
      <c r="G1521" s="9" t="str">
        <f t="shared" ca="1" si="497"/>
        <v xml:space="preserve">Enter a value for 'Prevailing Wages' in cell C5.
The total of the cost in column C must be greater than zero.
</v>
      </c>
    </row>
    <row r="1522" spans="1:7" ht="15" customHeight="1">
      <c r="A1522" t="str">
        <f t="shared" ca="1" si="498"/>
        <v/>
      </c>
      <c r="B1522">
        <f>ROW('Cost Summary'!A21)</f>
        <v>21</v>
      </c>
      <c r="C1522" s="52" t="str">
        <f t="shared" ca="1" si="499"/>
        <v>Conveying Equipment</v>
      </c>
      <c r="D1522" t="str">
        <f t="shared" si="500"/>
        <v>C21</v>
      </c>
      <c r="E1522">
        <f t="shared" ca="1" si="501"/>
        <v>0</v>
      </c>
      <c r="F1522" t="str">
        <f t="shared" ca="1" si="502"/>
        <v xml:space="preserve">Enter a value for 'Conveying Equipment' in cell C21.
</v>
      </c>
      <c r="G1522" s="9" t="str">
        <f t="shared" ca="1" si="497"/>
        <v xml:space="preserve">Enter a value for 'Prevailing Wages' in cell C5.
The total of the cost in column C must be greater than zero.
</v>
      </c>
    </row>
    <row r="1523" spans="1:7" ht="15" customHeight="1">
      <c r="A1523" t="str">
        <f t="shared" ca="1" si="498"/>
        <v/>
      </c>
      <c r="B1523">
        <f>ROW('Cost Summary'!A22)</f>
        <v>22</v>
      </c>
      <c r="C1523" s="52" t="str">
        <f t="shared" ca="1" si="499"/>
        <v>Fire Suppression</v>
      </c>
      <c r="D1523" t="str">
        <f t="shared" si="500"/>
        <v>C22</v>
      </c>
      <c r="E1523">
        <f t="shared" ca="1" si="501"/>
        <v>0</v>
      </c>
      <c r="F1523" t="str">
        <f t="shared" ca="1" si="502"/>
        <v xml:space="preserve">Enter a value for 'Fire Suppression' in cell C22.
</v>
      </c>
      <c r="G1523" s="9" t="str">
        <f t="shared" ca="1" si="497"/>
        <v xml:space="preserve">Enter a value for 'Prevailing Wages' in cell C5.
The total of the cost in column C must be greater than zero.
</v>
      </c>
    </row>
    <row r="1524" spans="1:7" ht="15" customHeight="1">
      <c r="A1524" t="str">
        <f t="shared" ca="1" si="498"/>
        <v/>
      </c>
      <c r="B1524">
        <f>ROW('Cost Summary'!A23)</f>
        <v>23</v>
      </c>
      <c r="C1524" s="52" t="str">
        <f t="shared" ca="1" si="499"/>
        <v>Plumbing</v>
      </c>
      <c r="D1524" t="str">
        <f t="shared" si="500"/>
        <v>C23</v>
      </c>
      <c r="E1524">
        <f t="shared" ca="1" si="501"/>
        <v>0</v>
      </c>
      <c r="F1524" t="str">
        <f t="shared" ca="1" si="502"/>
        <v xml:space="preserve">Enter a value for 'Plumbing' in cell C23.
</v>
      </c>
      <c r="G1524" s="9" t="str">
        <f t="shared" ca="1" si="497"/>
        <v xml:space="preserve">Enter a value for 'Prevailing Wages' in cell C5.
The total of the cost in column C must be greater than zero.
</v>
      </c>
    </row>
    <row r="1525" spans="1:7" ht="15" customHeight="1">
      <c r="A1525" t="str">
        <f t="shared" ca="1" si="498"/>
        <v/>
      </c>
      <c r="B1525">
        <f>ROW('Cost Summary'!A24)</f>
        <v>24</v>
      </c>
      <c r="C1525" s="52" t="str">
        <f t="shared" ca="1" si="499"/>
        <v>Heating Ventilation Air Conditioning</v>
      </c>
      <c r="D1525" t="str">
        <f t="shared" si="500"/>
        <v>C24</v>
      </c>
      <c r="E1525">
        <f t="shared" ca="1" si="501"/>
        <v>0</v>
      </c>
      <c r="F1525" t="str">
        <f t="shared" ca="1" si="502"/>
        <v xml:space="preserve">Enter a value for 'Heating Ventilation Air Conditioning' in cell C24.
</v>
      </c>
      <c r="G1525" s="9" t="str">
        <f t="shared" ca="1" si="497"/>
        <v xml:space="preserve">Enter a value for 'Prevailing Wages' in cell C5.
The total of the cost in column C must be greater than zero.
</v>
      </c>
    </row>
    <row r="1526" spans="1:7" ht="15" customHeight="1">
      <c r="A1526" t="str">
        <f t="shared" ca="1" si="498"/>
        <v/>
      </c>
      <c r="B1526">
        <f>ROW('Cost Summary'!A25)</f>
        <v>25</v>
      </c>
      <c r="C1526" s="52" t="str">
        <f t="shared" ca="1" si="499"/>
        <v>Integrated Automation</v>
      </c>
      <c r="D1526" t="str">
        <f t="shared" si="500"/>
        <v>C25</v>
      </c>
      <c r="E1526">
        <f t="shared" ca="1" si="501"/>
        <v>0</v>
      </c>
      <c r="F1526" t="str">
        <f t="shared" ca="1" si="502"/>
        <v xml:space="preserve">Enter a value for 'Integrated Automation' in cell C25.
</v>
      </c>
      <c r="G1526" s="9" t="str">
        <f t="shared" ca="1" si="497"/>
        <v xml:space="preserve">Enter a value for 'Prevailing Wages' in cell C5.
The total of the cost in column C must be greater than zero.
</v>
      </c>
    </row>
    <row r="1527" spans="1:7" ht="15" customHeight="1">
      <c r="A1527" t="str">
        <f t="shared" ca="1" si="498"/>
        <v/>
      </c>
      <c r="B1527">
        <f>ROW('Cost Summary'!A26)</f>
        <v>26</v>
      </c>
      <c r="C1527" s="52" t="str">
        <f t="shared" ca="1" si="499"/>
        <v>Electrical</v>
      </c>
      <c r="D1527" t="str">
        <f t="shared" si="500"/>
        <v>C26</v>
      </c>
      <c r="E1527">
        <f t="shared" ca="1" si="501"/>
        <v>0</v>
      </c>
      <c r="F1527" t="str">
        <f t="shared" ca="1" si="502"/>
        <v xml:space="preserve">Enter a value for 'Electrical' in cell C26.
</v>
      </c>
      <c r="G1527" s="9" t="str">
        <f t="shared" ca="1" si="497"/>
        <v xml:space="preserve">Enter a value for 'Prevailing Wages' in cell C5.
The total of the cost in column C must be greater than zero.
</v>
      </c>
    </row>
    <row r="1528" spans="1:7" ht="15" customHeight="1">
      <c r="A1528" t="str">
        <f t="shared" ca="1" si="498"/>
        <v/>
      </c>
      <c r="B1528">
        <f>ROW('Cost Summary'!A27)</f>
        <v>27</v>
      </c>
      <c r="C1528" s="52" t="str">
        <f t="shared" ca="1" si="499"/>
        <v>Communications</v>
      </c>
      <c r="D1528" t="str">
        <f t="shared" si="500"/>
        <v>C27</v>
      </c>
      <c r="E1528">
        <f t="shared" ca="1" si="501"/>
        <v>0</v>
      </c>
      <c r="F1528" t="str">
        <f t="shared" ca="1" si="502"/>
        <v xml:space="preserve">Enter a value for 'Communications' in cell C27.
</v>
      </c>
      <c r="G1528" s="9" t="str">
        <f t="shared" ca="1" si="497"/>
        <v xml:space="preserve">Enter a value for 'Prevailing Wages' in cell C5.
The total of the cost in column C must be greater than zero.
</v>
      </c>
    </row>
    <row r="1529" spans="1:7" ht="15" customHeight="1">
      <c r="A1529" t="str">
        <f t="shared" ca="1" si="498"/>
        <v/>
      </c>
      <c r="B1529">
        <f>ROW('Cost Summary'!A28)</f>
        <v>28</v>
      </c>
      <c r="C1529" s="52" t="str">
        <f t="shared" ca="1" si="499"/>
        <v>Electronic Safety &amp; Security</v>
      </c>
      <c r="D1529" t="str">
        <f t="shared" si="500"/>
        <v>C28</v>
      </c>
      <c r="E1529">
        <f t="shared" ca="1" si="501"/>
        <v>0</v>
      </c>
      <c r="F1529" t="str">
        <f t="shared" ca="1" si="502"/>
        <v xml:space="preserve">Enter a value for 'Electronic Safety &amp; Security' in cell C28.
</v>
      </c>
      <c r="G1529" s="9" t="str">
        <f t="shared" ca="1" si="497"/>
        <v xml:space="preserve">Enter a value for 'Prevailing Wages' in cell C5.
The total of the cost in column C must be greater than zero.
</v>
      </c>
    </row>
    <row r="1530" spans="1:7" ht="15" customHeight="1">
      <c r="A1530" t="str">
        <f t="shared" ca="1" si="498"/>
        <v/>
      </c>
      <c r="B1530">
        <f>ROW('Cost Summary'!A29)</f>
        <v>29</v>
      </c>
      <c r="C1530" s="52" t="str">
        <f t="shared" ca="1" si="499"/>
        <v>Earthwork</v>
      </c>
      <c r="D1530" t="str">
        <f t="shared" si="500"/>
        <v>C29</v>
      </c>
      <c r="E1530">
        <f t="shared" ca="1" si="501"/>
        <v>0</v>
      </c>
      <c r="F1530" t="str">
        <f t="shared" ca="1" si="502"/>
        <v xml:space="preserve">Enter a value for 'Earthwork' in cell C29.
</v>
      </c>
      <c r="G1530" s="9" t="str">
        <f t="shared" ca="1" si="497"/>
        <v xml:space="preserve">Enter a value for 'Prevailing Wages' in cell C5.
The total of the cost in column C must be greater than zero.
</v>
      </c>
    </row>
    <row r="1531" spans="1:7" ht="15" customHeight="1">
      <c r="A1531" t="str">
        <f t="shared" ca="1" si="498"/>
        <v/>
      </c>
      <c r="B1531">
        <f>ROW('Cost Summary'!A30)</f>
        <v>30</v>
      </c>
      <c r="C1531" s="52" t="str">
        <f t="shared" ca="1" si="499"/>
        <v>Exterior Improvements</v>
      </c>
      <c r="D1531" t="str">
        <f t="shared" si="500"/>
        <v>C30</v>
      </c>
      <c r="E1531">
        <f t="shared" ca="1" si="501"/>
        <v>0</v>
      </c>
      <c r="F1531" t="str">
        <f t="shared" ca="1" si="502"/>
        <v xml:space="preserve">Enter a value for 'Exterior Improvements' in cell C30.
</v>
      </c>
      <c r="G1531" s="9" t="str">
        <f t="shared" ca="1" si="497"/>
        <v xml:space="preserve">Enter a value for 'Prevailing Wages' in cell C5.
The total of the cost in column C must be greater than zero.
</v>
      </c>
    </row>
    <row r="1532" spans="1:7" ht="15" customHeight="1">
      <c r="A1532" t="str">
        <f t="shared" ca="1" si="498"/>
        <v/>
      </c>
      <c r="B1532">
        <f>ROW('Cost Summary'!A31)</f>
        <v>31</v>
      </c>
      <c r="C1532" s="52" t="str">
        <f t="shared" ca="1" si="499"/>
        <v>Utilities</v>
      </c>
      <c r="D1532" t="str">
        <f t="shared" si="500"/>
        <v>C31</v>
      </c>
      <c r="E1532">
        <f t="shared" ca="1" si="501"/>
        <v>0</v>
      </c>
      <c r="F1532" t="str">
        <f t="shared" ca="1" si="502"/>
        <v xml:space="preserve">Enter a value for 'Utilities' in cell C31.
</v>
      </c>
      <c r="G1532" s="9" t="str">
        <f t="shared" ca="1" si="497"/>
        <v xml:space="preserve">Enter a value for 'Prevailing Wages' in cell C5.
The total of the cost in column C must be greater than zero.
</v>
      </c>
    </row>
    <row r="1533" spans="1:7" ht="15" customHeight="1">
      <c r="A1533" t="str">
        <f t="shared" ca="1" si="498"/>
        <v/>
      </c>
      <c r="B1533">
        <f>ROW('Cost Summary'!A32)</f>
        <v>32</v>
      </c>
      <c r="C1533" s="52" t="str">
        <f t="shared" ca="1" si="499"/>
        <v>Transportation</v>
      </c>
      <c r="D1533" t="str">
        <f t="shared" si="500"/>
        <v>C32</v>
      </c>
      <c r="E1533">
        <f t="shared" ca="1" si="501"/>
        <v>0</v>
      </c>
      <c r="F1533" t="str">
        <f t="shared" ca="1" si="502"/>
        <v xml:space="preserve">Enter a value for 'Transportation' in cell C32.
</v>
      </c>
      <c r="G1533" s="9" t="str">
        <f t="shared" ca="1" si="497"/>
        <v xml:space="preserve">Enter a value for 'Prevailing Wages' in cell C5.
The total of the cost in column C must be greater than zero.
</v>
      </c>
    </row>
    <row r="1534" spans="1:7" ht="15" customHeight="1">
      <c r="A1534" t="str">
        <f t="shared" ca="1" si="498"/>
        <v/>
      </c>
      <c r="B1534">
        <f>ROW('Cost Summary'!A34)</f>
        <v>34</v>
      </c>
      <c r="C1534" s="52" t="str">
        <f t="shared" ca="1" si="499"/>
        <v>[Other - describe]</v>
      </c>
      <c r="D1534" t="str">
        <f t="shared" si="500"/>
        <v>C34</v>
      </c>
      <c r="E1534">
        <f t="shared" ca="1" si="501"/>
        <v>0</v>
      </c>
      <c r="F1534" t="str">
        <f t="shared" ca="1" si="502"/>
        <v xml:space="preserve">Enter a value for '[Other - describe]' in cell C34.
</v>
      </c>
      <c r="G1534" s="9" t="str">
        <f t="shared" ca="1" si="497"/>
        <v xml:space="preserve">Enter a value for 'Prevailing Wages' in cell C5.
The total of the cost in column C must be greater than zero.
</v>
      </c>
    </row>
    <row r="1535" spans="1:7" ht="15" customHeight="1">
      <c r="A1535" t="str">
        <f ca="1">IF(AND(E1535, E1534 &gt; 0), F1535, "")</f>
        <v/>
      </c>
      <c r="C1535" t="str">
        <f ca="1">INDIRECT($F$1504 &amp; ADDRESS(B1534, 2,4  ))</f>
        <v>[Other - describe]</v>
      </c>
      <c r="D1535" t="str">
        <f>ADDRESS(B1534, 2,4  )</f>
        <v>B34</v>
      </c>
      <c r="E1535" t="b">
        <f ca="1">INDIRECT($F$1504 &amp; D1535)="[Other - describe]"</f>
        <v>1</v>
      </c>
      <c r="F1535" t="str">
        <f ca="1">CONCATENATE("Please specify value for '", C1535, "' in cell ", D1535, ".", CHAR(10))</f>
        <v xml:space="preserve">Please specify value for '[Other - describe]' in cell B34.
</v>
      </c>
      <c r="G1535" s="9" t="str">
        <f t="shared" ca="1" si="497"/>
        <v xml:space="preserve">Enter a value for 'Prevailing Wages' in cell C5.
The total of the cost in column C must be greater than zero.
</v>
      </c>
    </row>
    <row r="1536" spans="1:7" ht="15" customHeight="1">
      <c r="A1536" t="str">
        <f ca="1">IF(E1536="",F1536, "")</f>
        <v/>
      </c>
      <c r="B1536">
        <f>ROW('Cost Summary'!A35)</f>
        <v>35</v>
      </c>
      <c r="C1536" s="52" t="str">
        <f ca="1">INDIRECT($F$1504 &amp; ADDRESS(B1536, 2,4  ))</f>
        <v>[Other - describe]</v>
      </c>
      <c r="D1536" t="str">
        <f>ADDRESS(B1536, 3,4  )</f>
        <v>C35</v>
      </c>
      <c r="E1536">
        <f ca="1">IF(ISBLANK( INDIRECT($F$1504 &amp; D1536)),"", INDIRECT($F$1504 &amp; D1536))</f>
        <v>0</v>
      </c>
      <c r="F1536" t="str">
        <f ca="1">CONCATENATE("Enter a value for '", C1536, "' in cell ", D1536, ".", CHAR(10))</f>
        <v xml:space="preserve">Enter a value for '[Other - describe]' in cell C35.
</v>
      </c>
      <c r="G1536" s="9" t="str">
        <f t="shared" ca="1" si="497"/>
        <v xml:space="preserve">Enter a value for 'Prevailing Wages' in cell C5.
The total of the cost in column C must be greater than zero.
</v>
      </c>
    </row>
    <row r="1537" spans="1:7" ht="15" customHeight="1">
      <c r="A1537" t="str">
        <f ca="1">IF(AND(E1537, E1536 &gt; 0), F1537, "")</f>
        <v/>
      </c>
      <c r="C1537" t="str">
        <f ca="1">INDIRECT($F$1504 &amp; ADDRESS(B1536, 2,4  ))</f>
        <v>[Other - describe]</v>
      </c>
      <c r="D1537" t="str">
        <f>ADDRESS(B1536, 2,4  )</f>
        <v>B35</v>
      </c>
      <c r="E1537" t="b">
        <f ca="1">INDIRECT($F$1504 &amp; D1537)="[Other - describe]"</f>
        <v>1</v>
      </c>
      <c r="F1537" t="str">
        <f ca="1">CONCATENATE("Please specify value for '", C1537, "' in cell ", D1537, ".", CHAR(10))</f>
        <v xml:space="preserve">Please specify value for '[Other - describe]' in cell B35.
</v>
      </c>
      <c r="G1537" s="9" t="str">
        <f t="shared" ca="1" si="497"/>
        <v xml:space="preserve">Enter a value for 'Prevailing Wages' in cell C5.
The total of the cost in column C must be greater than zero.
</v>
      </c>
    </row>
    <row r="1538" spans="1:7" ht="15" customHeight="1">
      <c r="A1538" t="str">
        <f ca="1">IF(E1538="",F1538, "")</f>
        <v/>
      </c>
      <c r="B1538">
        <f>ROW('Cost Summary'!A38)</f>
        <v>38</v>
      </c>
      <c r="C1538" s="52" t="str">
        <f ca="1">INDIRECT($F$1504 &amp; ADDRESS(B1538, 2,4  ))</f>
        <v>Procurement Pre-construction, Design-Build</v>
      </c>
      <c r="D1538" t="str">
        <f>ADDRESS(B1538, 3,4  )</f>
        <v>C38</v>
      </c>
      <c r="E1538">
        <f ca="1">IF(ISBLANK( INDIRECT($F$1504 &amp; D1538)),"", INDIRECT($F$1504 &amp; D1538))</f>
        <v>0</v>
      </c>
      <c r="F1538" t="str">
        <f ca="1">CONCATENATE("Enter a value for '", C1538, "' in cell ", D1538, ".", CHAR(10))</f>
        <v xml:space="preserve">Enter a value for 'Procurement Pre-construction, Design-Build' in cell C38.
</v>
      </c>
      <c r="G1538" s="9" t="str">
        <f t="shared" ca="1" si="497"/>
        <v xml:space="preserve">Enter a value for 'Prevailing Wages' in cell C5.
The total of the cost in column C must be greater than zero.
</v>
      </c>
    </row>
    <row r="1539" spans="1:7" ht="15" customHeight="1">
      <c r="A1539" t="str">
        <f ca="1">IF(E1539="",F1539, "")</f>
        <v/>
      </c>
      <c r="B1539">
        <f>ROW('Cost Summary'!A39)</f>
        <v>39</v>
      </c>
      <c r="C1539" s="52" t="str">
        <f ca="1">INDIRECT($F$1504 &amp; ADDRESS(B1539, 2,4  ))</f>
        <v>[Other - describe]</v>
      </c>
      <c r="D1539" t="str">
        <f>ADDRESS(B1539, 3,4  )</f>
        <v>C39</v>
      </c>
      <c r="E1539">
        <f ca="1">IF(ISBLANK( INDIRECT($F$1504 &amp; D1539)),"", INDIRECT($F$1504 &amp; D1539))</f>
        <v>0</v>
      </c>
      <c r="F1539" t="str">
        <f ca="1">CONCATENATE("Enter a value for '", C1539, "' in cell ", D1539, ".", CHAR(10))</f>
        <v xml:space="preserve">Enter a value for '[Other - describe]' in cell C39.
</v>
      </c>
      <c r="G1539" s="9" t="str">
        <f t="shared" ca="1" si="497"/>
        <v xml:space="preserve">Enter a value for 'Prevailing Wages' in cell C5.
The total of the cost in column C must be greater than zero.
</v>
      </c>
    </row>
    <row r="1540" spans="1:7" ht="15" customHeight="1">
      <c r="A1540" t="str">
        <f ca="1">IF(AND(E1540, E1539 &gt; 0), F1540, "")</f>
        <v/>
      </c>
      <c r="C1540" t="str">
        <f ca="1">INDIRECT($F$1504 &amp; ADDRESS(B1539, 2,4  ))</f>
        <v>[Other - describe]</v>
      </c>
      <c r="D1540" t="str">
        <f>ADDRESS(B1539, 2,4  )</f>
        <v>B39</v>
      </c>
      <c r="E1540" t="b">
        <f ca="1">INDIRECT($F$1504 &amp; D1540)="[Other - describe]"</f>
        <v>1</v>
      </c>
      <c r="F1540" t="str">
        <f ca="1">CONCATENATE("Please specify value for '", C1540, "' in cell ", D1540, ".", CHAR(10))</f>
        <v xml:space="preserve">Please specify value for '[Other - describe]' in cell B39.
</v>
      </c>
      <c r="G1540" s="9" t="str">
        <f t="shared" ref="G1540:G1561" ca="1" si="503">OFFSET(G1540, -1, 0) &amp; A1540</f>
        <v xml:space="preserve">Enter a value for 'Prevailing Wages' in cell C5.
The total of the cost in column C must be greater than zero.
</v>
      </c>
    </row>
    <row r="1541" spans="1:7" ht="15" customHeight="1">
      <c r="A1541" t="str">
        <f ca="1">IF(E1541="",F1541, "")</f>
        <v/>
      </c>
      <c r="B1541">
        <f>ROW('Cost Summary'!A40)</f>
        <v>40</v>
      </c>
      <c r="C1541" s="52" t="str">
        <f ca="1">INDIRECT($F$1504 &amp; ADDRESS(B1541, 2,4  ))</f>
        <v>[Other - describe]</v>
      </c>
      <c r="D1541" t="str">
        <f>ADDRESS(B1541, 3,4  )</f>
        <v>C40</v>
      </c>
      <c r="E1541">
        <f ca="1">IF(ISBLANK( INDIRECT($F$1504 &amp; D1541)),"", INDIRECT($F$1504 &amp; D1541))</f>
        <v>0</v>
      </c>
      <c r="F1541" t="str">
        <f ca="1">CONCATENATE("Enter a value for '", C1541, "' in cell ", D1541, ".", CHAR(10))</f>
        <v xml:space="preserve">Enter a value for '[Other - describe]' in cell C40.
</v>
      </c>
      <c r="G1541" s="9" t="str">
        <f t="shared" ca="1" si="503"/>
        <v xml:space="preserve">Enter a value for 'Prevailing Wages' in cell C5.
The total of the cost in column C must be greater than zero.
</v>
      </c>
    </row>
    <row r="1542" spans="1:7" ht="15" customHeight="1">
      <c r="A1542" t="str">
        <f ca="1">IF(AND(E1542, E1541 &gt; 0), F1542, "")</f>
        <v/>
      </c>
      <c r="C1542" t="str">
        <f ca="1">INDIRECT($F$1504 &amp; ADDRESS(B1541, 2,4  ))</f>
        <v>[Other - describe]</v>
      </c>
      <c r="D1542" t="str">
        <f>ADDRESS(B1541, 2,4  )</f>
        <v>B40</v>
      </c>
      <c r="E1542" t="b">
        <f ca="1">INDIRECT($F$1504 &amp; D1542)="[Other - describe]"</f>
        <v>1</v>
      </c>
      <c r="F1542" t="str">
        <f ca="1">CONCATENATE("Please specify value for '", C1542, "' in cell ", D1542, ".", CHAR(10))</f>
        <v xml:space="preserve">Please specify value for '[Other - describe]' in cell B40.
</v>
      </c>
      <c r="G1542" s="9" t="str">
        <f t="shared" ca="1" si="503"/>
        <v xml:space="preserve">Enter a value for 'Prevailing Wages' in cell C5.
The total of the cost in column C must be greater than zero.
</v>
      </c>
    </row>
    <row r="1543" spans="1:7" ht="15" customHeight="1">
      <c r="A1543" t="str">
        <f ca="1">IF(E1543="",F1543, "")</f>
        <v/>
      </c>
      <c r="B1543">
        <f>ROW('Cost Summary'!A41)</f>
        <v>41</v>
      </c>
      <c r="C1543" s="52" t="str">
        <f ca="1">INDIRECT($F$1504 &amp; ADDRESS(B1543, 2,4  ))</f>
        <v>[Other - describe]</v>
      </c>
      <c r="D1543" t="str">
        <f>ADDRESS(B1543, 3,4  )</f>
        <v>C41</v>
      </c>
      <c r="E1543">
        <f ca="1">IF(ISBLANK( INDIRECT($F$1504 &amp; D1543)),"", INDIRECT($F$1504 &amp; D1543))</f>
        <v>0</v>
      </c>
      <c r="F1543" t="str">
        <f ca="1">CONCATENATE("Enter a value for '", C1543, "' in cell ", D1543, ".", CHAR(10))</f>
        <v xml:space="preserve">Enter a value for '[Other - describe]' in cell C41.
</v>
      </c>
      <c r="G1543" s="9" t="str">
        <f t="shared" ca="1" si="503"/>
        <v xml:space="preserve">Enter a value for 'Prevailing Wages' in cell C5.
The total of the cost in column C must be greater than zero.
</v>
      </c>
    </row>
    <row r="1544" spans="1:7" ht="15" customHeight="1">
      <c r="A1544" t="str">
        <f ca="1">IF(AND(E1544, E1543 &gt; 0), F1544, "")</f>
        <v/>
      </c>
      <c r="C1544" t="str">
        <f ca="1">INDIRECT($F$1504 &amp; ADDRESS(B1543, 2,4  ))</f>
        <v>[Other - describe]</v>
      </c>
      <c r="D1544" t="str">
        <f>ADDRESS(B1543, 2,4  )</f>
        <v>B41</v>
      </c>
      <c r="E1544" t="b">
        <f ca="1">INDIRECT($F$1504 &amp; D1544)="[Other - describe]"</f>
        <v>1</v>
      </c>
      <c r="F1544" t="str">
        <f ca="1">CONCATENATE("Please specify value for '", C1544, "' in cell ", D1544, ".", CHAR(10))</f>
        <v xml:space="preserve">Please specify value for '[Other - describe]' in cell B41.
</v>
      </c>
      <c r="G1544" s="9" t="str">
        <f t="shared" ca="1" si="503"/>
        <v xml:space="preserve">Enter a value for 'Prevailing Wages' in cell C5.
The total of the cost in column C must be greater than zero.
</v>
      </c>
    </row>
    <row r="1545" spans="1:7" ht="15" customHeight="1">
      <c r="A1545" t="str">
        <f ca="1">IF(E1545="",F1545, "")</f>
        <v/>
      </c>
      <c r="B1545">
        <f>ROW('Cost Summary'!A44)</f>
        <v>44</v>
      </c>
      <c r="C1545" s="52" t="str">
        <f ca="1">INDIRECT($F$1504 &amp; ADDRESS(B1545, 2,4  ))</f>
        <v>Payment &amp; Performance Bond</v>
      </c>
      <c r="D1545" t="str">
        <f>ADDRESS(B1545, 3,4  )</f>
        <v>C44</v>
      </c>
      <c r="E1545">
        <f ca="1">IF(ISBLANK( INDIRECT($F$1504 &amp; D1545)),"", INDIRECT($F$1504 &amp; D1545))</f>
        <v>0</v>
      </c>
      <c r="F1545" t="str">
        <f ca="1">CONCATENATE("Enter a value for '", C1545, "' in cell ", D1545, ".", CHAR(10))</f>
        <v xml:space="preserve">Enter a value for 'Payment &amp; Performance Bond' in cell C44.
</v>
      </c>
      <c r="G1545" s="9" t="str">
        <f t="shared" ca="1" si="503"/>
        <v xml:space="preserve">Enter a value for 'Prevailing Wages' in cell C5.
The total of the cost in column C must be greater than zero.
</v>
      </c>
    </row>
    <row r="1546" spans="1:7" ht="15" customHeight="1">
      <c r="A1546" t="str">
        <f ca="1">IF(E1546="",F1546, "")</f>
        <v/>
      </c>
      <c r="B1546">
        <f>ROW('Cost Summary'!A45)</f>
        <v>45</v>
      </c>
      <c r="C1546" s="52" t="str">
        <f ca="1">INDIRECT($F$1504 &amp; ADDRESS(B1546, 2,4  ))</f>
        <v>Builders Risk</v>
      </c>
      <c r="D1546" t="str">
        <f>ADDRESS(B1546, 3,4  )</f>
        <v>C45</v>
      </c>
      <c r="E1546">
        <f ca="1">IF(ISBLANK( INDIRECT($F$1504 &amp; D1546)),"", INDIRECT($F$1504 &amp; D1546))</f>
        <v>0</v>
      </c>
      <c r="F1546" t="str">
        <f ca="1">CONCATENATE("Enter a value for '", C1546, "' in cell ", D1546, ".", CHAR(10))</f>
        <v xml:space="preserve">Enter a value for 'Builders Risk' in cell C45.
</v>
      </c>
      <c r="G1546" s="9" t="str">
        <f t="shared" ca="1" si="503"/>
        <v xml:space="preserve">Enter a value for 'Prevailing Wages' in cell C5.
The total of the cost in column C must be greater than zero.
</v>
      </c>
    </row>
    <row r="1547" spans="1:7" ht="15" customHeight="1">
      <c r="A1547" t="str">
        <f ca="1">IF(E1547="",F1547, "")</f>
        <v/>
      </c>
      <c r="B1547">
        <f>ROW('Cost Summary'!A46)</f>
        <v>46</v>
      </c>
      <c r="C1547" s="52" t="str">
        <f ca="1">INDIRECT($F$1504 &amp; ADDRESS(B1547, 2,4  ))</f>
        <v>General Liability</v>
      </c>
      <c r="D1547" t="str">
        <f>ADDRESS(B1547, 3,4  )</f>
        <v>C46</v>
      </c>
      <c r="E1547">
        <f ca="1">IF(ISBLANK( INDIRECT($F$1504 &amp; D1547)),"", INDIRECT($F$1504 &amp; D1547))</f>
        <v>0</v>
      </c>
      <c r="F1547" t="str">
        <f ca="1">CONCATENATE("Enter a value for '", C1547, "' in cell ", D1547, ".", CHAR(10))</f>
        <v xml:space="preserve">Enter a value for 'General Liability' in cell C46.
</v>
      </c>
      <c r="G1547" s="9" t="str">
        <f t="shared" ca="1" si="503"/>
        <v xml:space="preserve">Enter a value for 'Prevailing Wages' in cell C5.
The total of the cost in column C must be greater than zero.
</v>
      </c>
    </row>
    <row r="1548" spans="1:7" ht="15" customHeight="1">
      <c r="A1548" t="str">
        <f ca="1">IF(E1548="",F1548, "")</f>
        <v/>
      </c>
      <c r="B1548">
        <f>ROW('Cost Summary'!A47)</f>
        <v>47</v>
      </c>
      <c r="C1548" s="52" t="str">
        <f ca="1">INDIRECT($F$1504 &amp; ADDRESS(B1548, 2,4  ))</f>
        <v>Wrap Insurance Program</v>
      </c>
      <c r="D1548" t="str">
        <f>ADDRESS(B1548, 3,4  )</f>
        <v>C47</v>
      </c>
      <c r="E1548">
        <f ca="1">IF(ISBLANK( INDIRECT($F$1504 &amp; D1548)),"", INDIRECT($F$1504 &amp; D1548))</f>
        <v>0</v>
      </c>
      <c r="F1548" t="str">
        <f ca="1">CONCATENATE("Enter a value for '", C1548, "' in cell ", D1548, ".", CHAR(10))</f>
        <v xml:space="preserve">Enter a value for 'Wrap Insurance Program' in cell C47.
</v>
      </c>
      <c r="G1548" s="9" t="str">
        <f t="shared" ca="1" si="503"/>
        <v xml:space="preserve">Enter a value for 'Prevailing Wages' in cell C5.
The total of the cost in column C must be greater than zero.
</v>
      </c>
    </row>
    <row r="1549" spans="1:7" ht="15" customHeight="1">
      <c r="A1549" t="str">
        <f ca="1">IF(E1549="",F1549, "")</f>
        <v/>
      </c>
      <c r="B1549">
        <f>ROW('Cost Summary'!A48)</f>
        <v>48</v>
      </c>
      <c r="C1549" s="52" t="str">
        <f ca="1">INDIRECT($F$1504 &amp; ADDRESS(B1549, 2,4  ))</f>
        <v>[Other - describe]</v>
      </c>
      <c r="D1549" t="str">
        <f>ADDRESS(B1549, 3,4  )</f>
        <v>C48</v>
      </c>
      <c r="E1549">
        <f ca="1">IF(ISBLANK( INDIRECT($F$1504 &amp; D1549)),"", INDIRECT($F$1504 &amp; D1549))</f>
        <v>0</v>
      </c>
      <c r="F1549" t="str">
        <f ca="1">CONCATENATE("Enter a value for '", C1549, "' in cell ", D1549, ".", CHAR(10))</f>
        <v xml:space="preserve">Enter a value for '[Other - describe]' in cell C48.
</v>
      </c>
      <c r="G1549" s="9" t="str">
        <f t="shared" ca="1" si="503"/>
        <v xml:space="preserve">Enter a value for 'Prevailing Wages' in cell C5.
The total of the cost in column C must be greater than zero.
</v>
      </c>
    </row>
    <row r="1550" spans="1:7" ht="15" customHeight="1">
      <c r="A1550" t="str">
        <f ca="1">IF(AND(E1550, E1549 &gt; 0), F1550, "")</f>
        <v/>
      </c>
      <c r="C1550" t="str">
        <f ca="1">INDIRECT($F$1504 &amp; ADDRESS(B1549, 2,4  ))</f>
        <v>[Other - describe]</v>
      </c>
      <c r="D1550" t="str">
        <f>ADDRESS(B1549, 2,4  )</f>
        <v>B48</v>
      </c>
      <c r="E1550" t="b">
        <f ca="1">INDIRECT($F$1504 &amp; D1550)="[Other - describe]"</f>
        <v>1</v>
      </c>
      <c r="F1550" t="str">
        <f ca="1">CONCATENATE("Please specify value for '", C1550, "' in cell ", D1550, ".", CHAR(10))</f>
        <v xml:space="preserve">Please specify value for '[Other - describe]' in cell B48.
</v>
      </c>
      <c r="G1550" s="9" t="str">
        <f t="shared" ca="1" si="503"/>
        <v xml:space="preserve">Enter a value for 'Prevailing Wages' in cell C5.
The total of the cost in column C must be greater than zero.
</v>
      </c>
    </row>
    <row r="1551" spans="1:7" ht="15" customHeight="1">
      <c r="A1551" t="str">
        <f t="shared" ref="A1551:A1556" ca="1" si="504">IF(E1551="",F1551, "")</f>
        <v/>
      </c>
      <c r="B1551">
        <f>ROW('Cost Summary'!A51)</f>
        <v>51</v>
      </c>
      <c r="C1551" s="52" t="str">
        <f t="shared" ref="C1551:C1556" ca="1" si="505">INDIRECT($F$1504 &amp; ADDRESS(B1551, 2,4  ))</f>
        <v>Contingency (Contractor's)</v>
      </c>
      <c r="D1551" t="str">
        <f t="shared" ref="D1551:D1556" si="506">ADDRESS(B1551, 3,4  )</f>
        <v>C51</v>
      </c>
      <c r="E1551">
        <f t="shared" ref="E1551:E1556" ca="1" si="507">IF(ISBLANK( INDIRECT($F$1504 &amp; D1551)),"", INDIRECT($F$1504 &amp; D1551))</f>
        <v>0</v>
      </c>
      <c r="F1551" t="str">
        <f t="shared" ref="F1551:F1556" ca="1" si="508">CONCATENATE("Enter a value for '", C1551, "' in cell ", D1551, ".", CHAR(10))</f>
        <v xml:space="preserve">Enter a value for 'Contingency (Contractor's)' in cell C51.
</v>
      </c>
      <c r="G1551" s="9" t="str">
        <f t="shared" ca="1" si="503"/>
        <v xml:space="preserve">Enter a value for 'Prevailing Wages' in cell C5.
The total of the cost in column C must be greater than zero.
</v>
      </c>
    </row>
    <row r="1552" spans="1:7" ht="15" customHeight="1">
      <c r="A1552" t="str">
        <f t="shared" ca="1" si="504"/>
        <v/>
      </c>
      <c r="B1552">
        <f>ROW('Cost Summary'!A52)</f>
        <v>52</v>
      </c>
      <c r="C1552" s="52" t="str">
        <f t="shared" ca="1" si="505"/>
        <v>Contractor Overhead</v>
      </c>
      <c r="D1552" t="str">
        <f t="shared" si="506"/>
        <v>C52</v>
      </c>
      <c r="E1552">
        <f t="shared" ca="1" si="507"/>
        <v>0</v>
      </c>
      <c r="F1552" t="str">
        <f t="shared" ca="1" si="508"/>
        <v xml:space="preserve">Enter a value for 'Contractor Overhead' in cell C52.
</v>
      </c>
      <c r="G1552" s="9" t="str">
        <f t="shared" ca="1" si="503"/>
        <v xml:space="preserve">Enter a value for 'Prevailing Wages' in cell C5.
The total of the cost in column C must be greater than zero.
</v>
      </c>
    </row>
    <row r="1553" spans="1:15" ht="15" customHeight="1">
      <c r="A1553" t="str">
        <f t="shared" ca="1" si="504"/>
        <v/>
      </c>
      <c r="B1553">
        <f>ROW('Cost Summary'!A53)</f>
        <v>53</v>
      </c>
      <c r="C1553" s="52" t="str">
        <f t="shared" ca="1" si="505"/>
        <v>Contractor Profit</v>
      </c>
      <c r="D1553" t="str">
        <f t="shared" si="506"/>
        <v>C53</v>
      </c>
      <c r="E1553">
        <f t="shared" ca="1" si="507"/>
        <v>0</v>
      </c>
      <c r="F1553" t="str">
        <f t="shared" ca="1" si="508"/>
        <v xml:space="preserve">Enter a value for 'Contractor Profit' in cell C53.
</v>
      </c>
      <c r="G1553" s="9" t="str">
        <f t="shared" ca="1" si="503"/>
        <v xml:space="preserve">Enter a value for 'Prevailing Wages' in cell C5.
The total of the cost in column C must be greater than zero.
</v>
      </c>
    </row>
    <row r="1554" spans="1:15" ht="15" customHeight="1">
      <c r="A1554" t="str">
        <f t="shared" ca="1" si="504"/>
        <v/>
      </c>
      <c r="B1554">
        <f>ROW('Cost Summary'!A54)</f>
        <v>54</v>
      </c>
      <c r="C1554" s="52" t="str">
        <f t="shared" ca="1" si="505"/>
        <v>Cost progression/ escalation</v>
      </c>
      <c r="D1554" t="str">
        <f t="shared" si="506"/>
        <v>C54</v>
      </c>
      <c r="E1554">
        <f t="shared" ca="1" si="507"/>
        <v>0</v>
      </c>
      <c r="F1554" t="str">
        <f t="shared" ca="1" si="508"/>
        <v xml:space="preserve">Enter a value for 'Cost progression/ escalation' in cell C54.
</v>
      </c>
      <c r="G1554" s="9" t="str">
        <f t="shared" ca="1" si="503"/>
        <v xml:space="preserve">Enter a value for 'Prevailing Wages' in cell C5.
The total of the cost in column C must be greater than zero.
</v>
      </c>
    </row>
    <row r="1555" spans="1:15" ht="15" customHeight="1">
      <c r="A1555" t="str">
        <f t="shared" ca="1" si="504"/>
        <v/>
      </c>
      <c r="B1555">
        <f>ROW('Cost Summary'!A55)</f>
        <v>55</v>
      </c>
      <c r="C1555" s="52" t="str">
        <f t="shared" ca="1" si="505"/>
        <v>Permits</v>
      </c>
      <c r="D1555" t="str">
        <f t="shared" si="506"/>
        <v>C55</v>
      </c>
      <c r="E1555">
        <f t="shared" ca="1" si="507"/>
        <v>0</v>
      </c>
      <c r="F1555" t="str">
        <f t="shared" ca="1" si="508"/>
        <v xml:space="preserve">Enter a value for 'Permits' in cell C55.
</v>
      </c>
      <c r="G1555" s="9" t="str">
        <f t="shared" ca="1" si="503"/>
        <v xml:space="preserve">Enter a value for 'Prevailing Wages' in cell C5.
The total of the cost in column C must be greater than zero.
</v>
      </c>
    </row>
    <row r="1556" spans="1:15" ht="15" customHeight="1">
      <c r="A1556" t="str">
        <f t="shared" ca="1" si="504"/>
        <v/>
      </c>
      <c r="B1556">
        <f>ROW('Cost Summary'!A56)</f>
        <v>56</v>
      </c>
      <c r="C1556" s="52" t="str">
        <f t="shared" ca="1" si="505"/>
        <v>Sales, Use Taxes, etc.</v>
      </c>
      <c r="D1556" t="str">
        <f t="shared" si="506"/>
        <v>C56</v>
      </c>
      <c r="E1556">
        <f t="shared" ca="1" si="507"/>
        <v>0</v>
      </c>
      <c r="F1556" t="str">
        <f t="shared" ca="1" si="508"/>
        <v xml:space="preserve">Enter a value for 'Sales, Use Taxes, etc.' in cell C56.
</v>
      </c>
      <c r="G1556" s="9" t="str">
        <f t="shared" ca="1" si="503"/>
        <v xml:space="preserve">Enter a value for 'Prevailing Wages' in cell C5.
The total of the cost in column C must be greater than zero.
</v>
      </c>
    </row>
    <row r="1557" spans="1:15" ht="15" customHeight="1">
      <c r="G1557" s="9" t="str">
        <f t="shared" ca="1" si="503"/>
        <v xml:space="preserve">Enter a value for 'Prevailing Wages' in cell C5.
The total of the cost in column C must be greater than zero.
</v>
      </c>
      <c r="O1557" s="67"/>
    </row>
    <row r="1558" spans="1:15" ht="15" customHeight="1">
      <c r="G1558" s="9" t="str">
        <f t="shared" ca="1" si="503"/>
        <v xml:space="preserve">Enter a value for 'Prevailing Wages' in cell C5.
The total of the cost in column C must be greater than zero.
</v>
      </c>
    </row>
    <row r="1559" spans="1:15" ht="15" customHeight="1">
      <c r="G1559" s="9" t="str">
        <f t="shared" ca="1" si="503"/>
        <v xml:space="preserve">Enter a value for 'Prevailing Wages' in cell C5.
The total of the cost in column C must be greater than zero.
</v>
      </c>
    </row>
    <row r="1560" spans="1:15" ht="15" customHeight="1">
      <c r="G1560" s="9" t="str">
        <f t="shared" ca="1" si="503"/>
        <v xml:space="preserve">Enter a value for 'Prevailing Wages' in cell C5.
The total of the cost in column C must be greater than zero.
</v>
      </c>
    </row>
    <row r="1561" spans="1:15" ht="15" customHeight="1">
      <c r="G1561" s="9" t="str">
        <f t="shared" ca="1" si="503"/>
        <v xml:space="preserve">Enter a value for 'Prevailing Wages' in cell C5.
The total of the cost in column C must be greater than zero.
</v>
      </c>
    </row>
    <row r="1562" spans="1:15" ht="15" customHeight="1">
      <c r="A1562" s="55" t="s">
        <v>3849</v>
      </c>
      <c r="B1562" s="53"/>
      <c r="C1562" s="53"/>
      <c r="D1562" s="53"/>
      <c r="E1562" s="53"/>
      <c r="F1562" s="53"/>
      <c r="G1562" s="56" t="str">
        <f ca="1">OFFSET(G1562, -1, 0)</f>
        <v xml:space="preserve">Enter a value for 'Prevailing Wages' in cell C5.
The total of the cost in column C must be greater than zero.
</v>
      </c>
    </row>
    <row r="1563" spans="1:15" ht="15" customHeight="1"/>
    <row r="1564" spans="1:15" ht="15" customHeight="1"/>
    <row r="1565" spans="1:15" ht="15" customHeight="1">
      <c r="A1565" s="22" t="s">
        <v>99</v>
      </c>
      <c r="F1565" s="49" t="s">
        <v>3850</v>
      </c>
    </row>
    <row r="1566" spans="1:15" ht="15" customHeight="1">
      <c r="A1566" s="53" t="s">
        <v>3792</v>
      </c>
      <c r="B1566" s="53" t="s">
        <v>3793</v>
      </c>
      <c r="C1566" s="53" t="s">
        <v>3794</v>
      </c>
      <c r="D1566" s="53" t="s">
        <v>3795</v>
      </c>
      <c r="E1566" s="53" t="s">
        <v>3796</v>
      </c>
      <c r="F1566" s="53" t="s">
        <v>3797</v>
      </c>
      <c r="G1566" s="54" t="s">
        <v>3798</v>
      </c>
    </row>
    <row r="1567" spans="1:15" ht="15" customHeight="1">
      <c r="A1567" t="str">
        <f>""</f>
        <v/>
      </c>
      <c r="G1567" s="9" t="str">
        <f>A1567</f>
        <v/>
      </c>
    </row>
    <row r="1568" spans="1:15" ht="15" customHeight="1">
      <c r="A1568" t="str">
        <f ca="1">A56</f>
        <v xml:space="preserve">Enter a value for 'Number of Floors in the Tallest Building' in cell B60.
</v>
      </c>
      <c r="B1568" t="str">
        <f>CONCATENATE("COPY RULE FROM ADDRESS ", ADDRESS(ROW(A56),COLUMN(A56),4))</f>
        <v>COPY RULE FROM ADDRESS A56</v>
      </c>
      <c r="G1568" s="9" t="str">
        <f t="shared" ref="G1568:G1631" ca="1" si="509">OFFSET(G1568, -1, 0) &amp; A1568</f>
        <v xml:space="preserve">Enter a value for 'Number of Floors in the Tallest Building' in cell B60.
</v>
      </c>
    </row>
    <row r="1569" spans="1:11" ht="15" customHeight="1">
      <c r="A1569" t="str">
        <f>IF(AND(Calculations!$B$4, E1569),  F1569, "")</f>
        <v/>
      </c>
      <c r="E1569" t="b">
        <f>IF(ISERROR(Calculations!F809), FALSE, Calculations!C809&lt;&gt;Calculations!F809)</f>
        <v>0</v>
      </c>
      <c r="F1569" t="str">
        <f>CONCATENATE("The sum of the New Construction/Rehab Eligible Basis for the buildings does not match the value calculated for the project.", CHAR(10))</f>
        <v xml:space="preserve">The sum of the New Construction/Rehab Eligible Basis for the buildings does not match the value calculated for the project.
</v>
      </c>
      <c r="G1569" s="9" t="str">
        <f t="shared" ca="1" si="509"/>
        <v xml:space="preserve">Enter a value for 'Number of Floors in the Tallest Building' in cell B60.
</v>
      </c>
    </row>
    <row r="1570" spans="1:11" ht="15" customHeight="1">
      <c r="A1570" t="str">
        <f>IF(AND(Calculations!$B$4, E1570),  F1570, "")</f>
        <v/>
      </c>
      <c r="E1570" t="b">
        <f>IF(ISERROR(Calculations!F810), FALSE, Calculations!C810&lt;&gt;Calculations!F810)</f>
        <v>0</v>
      </c>
      <c r="F1570" t="str">
        <f>CONCATENATE("The sum of the New Construction/Rehab Qualified Basis for the buildings does not match the value calculated for the project.", CHAR(10))</f>
        <v xml:space="preserve">The sum of the New Construction/Rehab Qualified Basis for the buildings does not match the value calculated for the project.
</v>
      </c>
      <c r="G1570" s="9" t="str">
        <f t="shared" ca="1" si="509"/>
        <v xml:space="preserve">Enter a value for 'Number of Floors in the Tallest Building' in cell B60.
</v>
      </c>
    </row>
    <row r="1571" spans="1:11" ht="15" customHeight="1">
      <c r="A1571" t="str">
        <f>IF(AND(Calculations!$B$4, E1571),  F1571, "")</f>
        <v/>
      </c>
      <c r="E1571" t="b">
        <f>IF(ISERROR(Calculations!F811), FALSE, Calculations!C811&lt;&gt;Calculations!F811)</f>
        <v>0</v>
      </c>
      <c r="F1571" t="str">
        <f>CONCATENATE("The sum of the New Construction/Rehab Annual Credit Amount for the buildings does not match the value calculated for the project.", CHAR(10))</f>
        <v xml:space="preserve">The sum of the New Construction/Rehab Annual Credit Amount for the buildings does not match the value calculated for the project.
</v>
      </c>
      <c r="G1571" s="9" t="str">
        <f t="shared" ca="1" si="509"/>
        <v xml:space="preserve">Enter a value for 'Number of Floors in the Tallest Building' in cell B60.
</v>
      </c>
    </row>
    <row r="1572" spans="1:11" ht="15" customHeight="1">
      <c r="A1572" t="str">
        <f>IF(AND(Calculations!$B$4, E1572),  F1572, "")</f>
        <v/>
      </c>
      <c r="E1572" t="b">
        <f>IF(ISERROR(Calculations!F812), FALSE, Calculations!C812&lt;&gt;Calculations!F812)</f>
        <v>0</v>
      </c>
      <c r="F1572" t="str">
        <f>CONCATENATE("The sum of the Acquisition Eligible Basis for the buildings does not match the value calculated for the project.", CHAR(10))</f>
        <v xml:space="preserve">The sum of the Acquisition Eligible Basis for the buildings does not match the value calculated for the project.
</v>
      </c>
      <c r="G1572" s="9" t="str">
        <f t="shared" ca="1" si="509"/>
        <v xml:space="preserve">Enter a value for 'Number of Floors in the Tallest Building' in cell B60.
</v>
      </c>
    </row>
    <row r="1573" spans="1:11" ht="15" customHeight="1">
      <c r="A1573" t="str">
        <f>IF(AND(Calculations!$B$4, E1573),  F1573, "")</f>
        <v/>
      </c>
      <c r="E1573" t="b">
        <f>IF(ISERROR(Calculations!F813), FALSE, Calculations!C813&lt;&gt;Calculations!F813)</f>
        <v>0</v>
      </c>
      <c r="F1573" t="str">
        <f>CONCATENATE("The sum of the Acquisition Qualified Basis for the buildings does not match the value calculated for the project.", CHAR(10))</f>
        <v xml:space="preserve">The sum of the Acquisition Qualified Basis for the buildings does not match the value calculated for the project.
</v>
      </c>
      <c r="G1573" s="9" t="str">
        <f t="shared" ca="1" si="509"/>
        <v xml:space="preserve">Enter a value for 'Number of Floors in the Tallest Building' in cell B60.
</v>
      </c>
    </row>
    <row r="1574" spans="1:11" ht="15" customHeight="1">
      <c r="A1574" t="str">
        <f>IF(AND(Calculations!$B$4, E1574),  F1574, "")</f>
        <v/>
      </c>
      <c r="E1574" t="b">
        <f>IF(ISERROR(Calculations!F814), FALSE, Calculations!C814&lt;&gt;Calculations!F814)</f>
        <v>0</v>
      </c>
      <c r="F1574" t="str">
        <f>CONCATENATE("The sum of the Acquisition Annual Credit for the buildings does not match the value calculated for the project.", CHAR(10))</f>
        <v xml:space="preserve">The sum of the Acquisition Annual Credit for the buildings does not match the value calculated for the project.
</v>
      </c>
      <c r="G1574" s="9" t="str">
        <f t="shared" ca="1" si="509"/>
        <v xml:space="preserve">Enter a value for 'Number of Floors in the Tallest Building' in cell B60.
</v>
      </c>
    </row>
    <row r="1575" spans="1:11" s="321" customFormat="1" ht="15" customHeight="1">
      <c r="A1575" s="321" t="str">
        <f>IF(AND(Calculations!$B$4,E1575),F1575, "")</f>
        <v/>
      </c>
      <c r="B1575" s="321">
        <f>ROW('Final Building Profile'!D4)</f>
        <v>4</v>
      </c>
      <c r="C1575" s="321" t="str">
        <f>SUBSTITUTE(ADDRESS(ROW('Unit Mix &amp; Rents'!$D$17), COLUMN('Unit Mix &amp; Rents'!$D$17),4), ROW('Unit Mix &amp; Rents'!$D$17), "")</f>
        <v>D</v>
      </c>
      <c r="D1575" s="321" t="str">
        <f>SUBSTITUTE(ADDRESS(B1575, COLUMN('Final Building Profile'!$D$4),4), B1575, "")</f>
        <v>D</v>
      </c>
      <c r="E1575" s="321" t="b">
        <f t="shared" ref="E1575:E1582" si="510">I1575&lt;&gt;K1575</f>
        <v>0</v>
      </c>
      <c r="F1575" s="321" t="str">
        <f>CONCATENATE("The sum of the Total New Construction/Rehab total units on the final building profile in column ", D1575, " does not match the total units from unit mix and rents column ", C1575, ".", CHAR(10))</f>
        <v xml:space="preserve">The sum of the Total New Construction/Rehab total units on the final building profile in column D does not match the total units from unit mix and rents column D.
</v>
      </c>
      <c r="G1575" s="339" t="str">
        <f t="shared" ca="1" si="509"/>
        <v xml:space="preserve">Enter a value for 'Number of Floors in the Tallest Building' in cell B60.
</v>
      </c>
      <c r="H1575" s="321" t="s">
        <v>3851</v>
      </c>
      <c r="I1575" s="321">
        <f>Calculations!$B$807</f>
        <v>0</v>
      </c>
      <c r="J1575" s="321" t="s">
        <v>3852</v>
      </c>
      <c r="K1575" s="321">
        <f>Calculations!$H$45</f>
        <v>0</v>
      </c>
    </row>
    <row r="1576" spans="1:11" ht="15" customHeight="1">
      <c r="A1576" t="str">
        <f>IF(AND(Calculations!$B$4,E1576),F1576, "")</f>
        <v/>
      </c>
      <c r="B1576">
        <f>ROW('Final Building Profile'!E4)</f>
        <v>4</v>
      </c>
      <c r="C1576" t="str">
        <f>SUBSTITUTE(ADDRESS(ROW('Unit Mix &amp; Rents'!$D$17), COLUMN('Unit Mix &amp; Rents'!$D$17),4), ROW('Unit Mix &amp; Rents'!$D$17), "")</f>
        <v>D</v>
      </c>
      <c r="D1576" t="str">
        <f>SUBSTITUTE(ADDRESS(B1576, COLUMN('Final Building Profile'!$E$4),4), B1576, "")</f>
        <v>E</v>
      </c>
      <c r="E1576" s="52" t="b">
        <f t="shared" si="510"/>
        <v>0</v>
      </c>
      <c r="F1576" t="str">
        <f>CONCATENATE("The sum of the employee units on the final building profile in column ", D1576, " does not match the employee units from unit mix and rents column ", C1576, ".", CHAR(10))</f>
        <v xml:space="preserve">The sum of the employee units on the final building profile in column E does not match the employee units from unit mix and rents column D.
</v>
      </c>
      <c r="G1576" s="9" t="str">
        <f t="shared" ca="1" si="509"/>
        <v xml:space="preserve">Enter a value for 'Number of Floors in the Tallest Building' in cell B60.
</v>
      </c>
      <c r="H1576" t="s">
        <v>3851</v>
      </c>
      <c r="I1576">
        <f>Calculations!$C$807</f>
        <v>0</v>
      </c>
      <c r="J1576" t="s">
        <v>3852</v>
      </c>
      <c r="K1576">
        <f>Calculations!$H$43</f>
        <v>0</v>
      </c>
    </row>
    <row r="1577" spans="1:11" ht="15" customHeight="1">
      <c r="A1577" t="str">
        <f>IF(AND(Calculations!$B$4,E1577),F1577, "")</f>
        <v/>
      </c>
      <c r="B1577">
        <f>ROW('Final Building Profile'!F4)</f>
        <v>4</v>
      </c>
      <c r="C1577" t="str">
        <f>SUBSTITUTE(ADDRESS(ROW('Unit Mix &amp; Rents'!$D$17), COLUMN('Unit Mix &amp; Rents'!$D$17),4), ROW('Unit Mix &amp; Rents'!$D$17), "")</f>
        <v>D</v>
      </c>
      <c r="D1577" t="str">
        <f>SUBSTITUTE(ADDRESS(B1577, COLUMN('Final Building Profile'!$F$4),4), B1577, "")</f>
        <v>F</v>
      </c>
      <c r="E1577" s="52" t="b">
        <f t="shared" si="510"/>
        <v>0</v>
      </c>
      <c r="F1577" t="str">
        <f>CONCATENATE("The sum of the low income units on the final building profile in column ", D1577, " does not match the low income units from unit mix and rents column ", C1577, ".", CHAR(10))</f>
        <v xml:space="preserve">The sum of the low income units on the final building profile in column F does not match the low income units from unit mix and rents column D.
</v>
      </c>
      <c r="G1577" s="9" t="str">
        <f t="shared" ca="1" si="509"/>
        <v xml:space="preserve">Enter a value for 'Number of Floors in the Tallest Building' in cell B60.
</v>
      </c>
      <c r="H1577" t="s">
        <v>3851</v>
      </c>
      <c r="I1577" s="92">
        <f>Calculations!$D$807</f>
        <v>0</v>
      </c>
      <c r="J1577" t="s">
        <v>3852</v>
      </c>
      <c r="K1577">
        <f>Calculations!$H$41</f>
        <v>0</v>
      </c>
    </row>
    <row r="1578" spans="1:11" ht="15" customHeight="1">
      <c r="A1578" t="str">
        <f>IF(AND(Calculations!$B$4,E1578),F1578, "")</f>
        <v/>
      </c>
      <c r="B1578">
        <f>ROW('Final Building Profile'!G4)</f>
        <v>4</v>
      </c>
      <c r="C1578" t="str">
        <f>SUBSTITUTE(ADDRESS(ROW('Unit Mix &amp; Rents'!$C$17), COLUMN('Unit Mix &amp; Rents'!$C$17),4), ROW('Unit Mix &amp; Rents'!$C$17), "")</f>
        <v>C</v>
      </c>
      <c r="D1578" t="str">
        <f>SUBSTITUTE(ADDRESS(B1578, COLUMN('Final Building Profile'!$G$4),4), B1578, "")</f>
        <v>G</v>
      </c>
      <c r="E1578" s="52" t="b">
        <f t="shared" si="510"/>
        <v>0</v>
      </c>
      <c r="F1578" t="str">
        <f>CONCATENATE("The sum of the residential square footage on the final building profile in column ", D1578, " does not match the total square footage from unit mix and rents column ", C1578, " times column ",  CHAR(CODE(C1578) +1), ".", CHAR(10))</f>
        <v xml:space="preserve">The sum of the residential square footage on the final building profile in column G does not match the total square footage from unit mix and rents column C times column D.
</v>
      </c>
      <c r="G1578" s="9" t="str">
        <f t="shared" ca="1" si="509"/>
        <v xml:space="preserve">Enter a value for 'Number of Floors in the Tallest Building' in cell B60.
</v>
      </c>
      <c r="H1578" t="s">
        <v>3851</v>
      </c>
      <c r="I1578" s="92">
        <f>Calculations!$E$807</f>
        <v>0</v>
      </c>
      <c r="J1578" t="s">
        <v>3852</v>
      </c>
      <c r="K1578">
        <f>Calculations!$H$60</f>
        <v>0</v>
      </c>
    </row>
    <row r="1579" spans="1:11" ht="15" customHeight="1">
      <c r="A1579" t="str">
        <f>IF(AND(Calculations!$B$4,E1579),F1579, "")</f>
        <v/>
      </c>
      <c r="B1579">
        <f>ROW('Final Building Profile'!H4)</f>
        <v>4</v>
      </c>
      <c r="C1579" t="str">
        <f>SUBSTITUTE(ADDRESS(ROW('Unit Mix &amp; Rents'!$C$17), COLUMN('Unit Mix &amp; Rents'!$C$17),4), ROW('Unit Mix &amp; Rents'!$C$17), "")</f>
        <v>C</v>
      </c>
      <c r="D1579" t="str">
        <f>SUBSTITUTE(ADDRESS(B1579, COLUMN('Final Building Profile'!$H$4),4), B1579, "")</f>
        <v>H</v>
      </c>
      <c r="E1579" s="52" t="b">
        <f t="shared" si="510"/>
        <v>0</v>
      </c>
      <c r="F1579" t="str">
        <f>CONCATENATE("The sum of the employee square footage on the final building profile in column ", D1579, " does not match the employee square footage from unit mix and rents column ", C1579, " times column ",  CHAR(CODE(C1579) +1), ".", CHAR(10))</f>
        <v xml:space="preserve">The sum of the employee square footage on the final building profile in column H does not match the employee square footage from unit mix and rents column C times column D.
</v>
      </c>
      <c r="G1579" s="9" t="str">
        <f t="shared" ca="1" si="509"/>
        <v xml:space="preserve">Enter a value for 'Number of Floors in the Tallest Building' in cell B60.
</v>
      </c>
      <c r="H1579" t="s">
        <v>3851</v>
      </c>
      <c r="I1579" s="92">
        <f>Calculations!$F$807</f>
        <v>0</v>
      </c>
      <c r="J1579" t="s">
        <v>3852</v>
      </c>
      <c r="K1579">
        <f>Calculations!$H$58</f>
        <v>0</v>
      </c>
    </row>
    <row r="1580" spans="1:11" ht="15" customHeight="1">
      <c r="A1580" t="str">
        <f>IF(AND(Calculations!$B$4,E1580),F1580, "")</f>
        <v/>
      </c>
      <c r="B1580">
        <f>ROW('Final Building Profile'!I4)</f>
        <v>4</v>
      </c>
      <c r="C1580" t="str">
        <f>SUBSTITUTE(ADDRESS(ROW('Unit Mix &amp; Rents'!$C$17), COLUMN('Unit Mix &amp; Rents'!$C$17),4), ROW('Unit Mix &amp; Rents'!$C$17), "")</f>
        <v>C</v>
      </c>
      <c r="D1580" t="str">
        <f>SUBSTITUTE(ADDRESS(B1580, COLUMN('Final Building Profile'!$I$4),4), B1580, "")</f>
        <v>I</v>
      </c>
      <c r="E1580" s="52" t="b">
        <f t="shared" si="510"/>
        <v>0</v>
      </c>
      <c r="F1580" t="str">
        <f>CONCATENATE("The sum of the low income square footage on the final building profile in column ", D1580, " does not match the low income square footage from unit mix and rents column ", C1580, " times column ",  CHAR(CODE(C1580) +1), ".", CHAR(10))</f>
        <v xml:space="preserve">The sum of the low income square footage on the final building profile in column I does not match the low income square footage from unit mix and rents column C times column D.
</v>
      </c>
      <c r="G1580" s="9" t="str">
        <f t="shared" ca="1" si="509"/>
        <v xml:space="preserve">Enter a value for 'Number of Floors in the Tallest Building' in cell B60.
</v>
      </c>
      <c r="H1580" t="s">
        <v>3851</v>
      </c>
      <c r="I1580" s="92">
        <f>Calculations!$G$807</f>
        <v>0</v>
      </c>
      <c r="J1580" t="s">
        <v>3852</v>
      </c>
      <c r="K1580">
        <f>Calculations!$H$56</f>
        <v>0</v>
      </c>
    </row>
    <row r="1581" spans="1:11" ht="15" customHeight="1">
      <c r="A1581" t="str">
        <f>IF(AND(Calculations!$B$4,E1581),F1581, "")</f>
        <v/>
      </c>
      <c r="B1581">
        <f>ROW('Final Building Profile'!L4)</f>
        <v>4</v>
      </c>
      <c r="D1581" t="str">
        <f>SUBSTITUTE(ADDRESS(B1581, COLUMN('Final Building Profile'!$L$4),4), B1581, "")</f>
        <v>L</v>
      </c>
      <c r="E1581" s="52" t="b">
        <f t="shared" si="510"/>
        <v>0</v>
      </c>
      <c r="F1581" t="str">
        <f>CONCATENATE("The sum of the new construction/rehab eligible basis on the final building profile in column ", D1581, " does not match the total new construction/rehab eligible basis of  ", DOLLAR(K1581, 0), ".", CHAR(10))</f>
        <v xml:space="preserve">The sum of the new construction/rehab eligible basis on the final building profile in column L does not match the total new construction/rehab eligible basis of  $0.
</v>
      </c>
      <c r="G1581" s="9" t="str">
        <f t="shared" ca="1" si="509"/>
        <v xml:space="preserve">Enter a value for 'Number of Floors in the Tallest Building' in cell B60.
</v>
      </c>
      <c r="H1581" t="s">
        <v>3851</v>
      </c>
      <c r="I1581" s="92">
        <f>Calculations!$K$807+Calculations!$M$807</f>
        <v>0</v>
      </c>
      <c r="J1581" t="s">
        <v>3853</v>
      </c>
      <c r="K1581">
        <f>_xlfn.IFNA(Calculations!$B$458, 0)</f>
        <v>0</v>
      </c>
    </row>
    <row r="1582" spans="1:11" ht="15" customHeight="1">
      <c r="A1582" t="str">
        <f>IF(AND(Calculations!$B$4,E1582),F1582, "")</f>
        <v/>
      </c>
      <c r="B1582">
        <f>ROW('Final Building Profile'!M4)</f>
        <v>4</v>
      </c>
      <c r="D1582" t="str">
        <f>SUBSTITUTE(ADDRESS(B1582, COLUMN('Final Building Profile'!$M$4),4), B1582, "")</f>
        <v>M</v>
      </c>
      <c r="E1582" s="52" t="b">
        <f t="shared" si="510"/>
        <v>0</v>
      </c>
      <c r="F1582" t="str">
        <f>CONCATENATE("The sum of the eligible basis for acquisition on the final building profile in column ", D1582, " does not match the total eligible basis for acquisition of  ", DOLLAR(K1582, 0), ".", CHAR(10))</f>
        <v xml:space="preserve">The sum of the eligible basis for acquisition on the final building profile in column M does not match the total eligible basis for acquisition of  $0.
</v>
      </c>
      <c r="G1582" s="9" t="str">
        <f t="shared" ca="1" si="509"/>
        <v xml:space="preserve">Enter a value for 'Number of Floors in the Tallest Building' in cell B60.
</v>
      </c>
      <c r="H1582" t="s">
        <v>3851</v>
      </c>
      <c r="I1582" s="92">
        <f>Calculations!$S$807</f>
        <v>0</v>
      </c>
      <c r="J1582" t="s">
        <v>3853</v>
      </c>
      <c r="K1582">
        <f>_xlfn.IFNA(Calculations!$B$467, 0)</f>
        <v>0</v>
      </c>
    </row>
    <row r="1583" spans="1:11" ht="15" customHeight="1">
      <c r="A1583" t="str">
        <f ca="1">IF(AND(Calculations!$B$4,E1583=0),F1583, "")</f>
        <v/>
      </c>
      <c r="B1583">
        <f>ROW('Final Building Profile'!C4)</f>
        <v>4</v>
      </c>
      <c r="C1583">
        <f t="shared" ref="C1583:C1646" ca="1" si="511">INDIRECT($F$1565 &amp; ADDRESS(B1583, 1,4  ))</f>
        <v>1</v>
      </c>
      <c r="D1583" t="str">
        <f>ADDRESS(B1583, 3,4  )</f>
        <v>C4</v>
      </c>
      <c r="E1583" s="52">
        <f ca="1">H1583+I1583</f>
        <v>0</v>
      </c>
      <c r="F1583" t="str">
        <f ca="1">CONCATENATE("Information for building ", C1583, " required for a final application in row ", B1583, ".", CHAR(10))</f>
        <v xml:space="preserve">Information for building 1 required for a final application in row 4.
</v>
      </c>
      <c r="G1583" s="9" t="str">
        <f t="shared" ca="1" si="509"/>
        <v xml:space="preserve">Enter a value for 'Number of Floors in the Tallest Building' in cell B60.
</v>
      </c>
      <c r="H1583" s="52">
        <f ca="1">SUMPRODUCT(--ISTEXT(INDIRECT(J1583)))</f>
        <v>0</v>
      </c>
      <c r="I1583" s="52">
        <f ca="1">SUMPRODUCT(--ISNUMBER(INDIRECT(J1583)))</f>
        <v>0</v>
      </c>
      <c r="J1583" s="52" t="str">
        <f>$F$1565&amp; ADDRESS(B1583,3,4) &amp; ":" &amp; ADDRESS(B1583,15,4)</f>
        <v>'Final Building Profile'!C4:O4</v>
      </c>
    </row>
    <row r="1584" spans="1:11" ht="15" customHeight="1">
      <c r="A1584" t="str">
        <f t="shared" ref="A1584:A1593" ca="1" si="512">IF(AND(OFFSET(A1584, -I1584 + 2, 4) &gt;  0, E1584=""), F1584, "")</f>
        <v/>
      </c>
      <c r="B1584">
        <f t="shared" ref="B1584:B1598" si="513">B1583</f>
        <v>4</v>
      </c>
      <c r="C1584">
        <f t="shared" ca="1" si="511"/>
        <v>1</v>
      </c>
      <c r="D1584" t="str">
        <f t="shared" ref="D1584:D1598" si="514">ADDRESS(B1584, I1584,4  )</f>
        <v>C4</v>
      </c>
      <c r="E1584" t="str">
        <f t="shared" ref="E1584:E1598" ca="1" si="515">IF(ISBLANK( INDIRECT($F$1565 &amp; D1584)),"", INDIRECT($F$1565 &amp; D1584))</f>
        <v/>
      </c>
      <c r="F1584" t="str">
        <f t="shared" ref="F1584:F1598" ca="1" si="516">CONCATENATE("Enter a '"&amp; H1584 &amp;"' for  building ", C1584, " in cell ", D1584, ".", CHAR(10))</f>
        <v xml:space="preserve">Enter a 'Building Street Address Only 
(DO NOT ENTER CITY, STATE, OR ZIP)' for  building 1 in cell C4.
</v>
      </c>
      <c r="G1584" s="9" t="str">
        <f t="shared" ca="1" si="509"/>
        <v xml:space="preserve">Enter a value for 'Number of Floors in the Tallest Building' in cell B60.
</v>
      </c>
      <c r="H1584" s="52" t="str">
        <f t="shared" ref="H1584:H1598" ca="1" si="517">OFFSET(INDIRECT($F$1565 &amp; D1584), -B1584 + 3, 0)</f>
        <v>Building Street Address Only 
(DO NOT ENTER CITY, STATE, OR ZIP)</v>
      </c>
      <c r="I1584" s="52">
        <v>3</v>
      </c>
    </row>
    <row r="1585" spans="1:10" ht="15" customHeight="1">
      <c r="A1585" t="str">
        <f t="shared" ca="1" si="512"/>
        <v/>
      </c>
      <c r="B1585">
        <f t="shared" si="513"/>
        <v>4</v>
      </c>
      <c r="C1585">
        <f t="shared" ca="1" si="511"/>
        <v>1</v>
      </c>
      <c r="D1585" t="str">
        <f t="shared" si="514"/>
        <v>D4</v>
      </c>
      <c r="E1585" t="str">
        <f t="shared" ca="1" si="515"/>
        <v/>
      </c>
      <c r="F1585" t="str">
        <f t="shared" ca="1" si="516"/>
        <v xml:space="preserve">Enter a 'Total Units in Building*' for  building 1 in cell D4.
</v>
      </c>
      <c r="G1585" s="9" t="str">
        <f t="shared" ca="1" si="509"/>
        <v xml:space="preserve">Enter a value for 'Number of Floors in the Tallest Building' in cell B60.
</v>
      </c>
      <c r="H1585" s="52" t="str">
        <f t="shared" ca="1" si="517"/>
        <v>Total Units in Building*</v>
      </c>
      <c r="I1585" s="52">
        <v>4</v>
      </c>
    </row>
    <row r="1586" spans="1:10" ht="15" customHeight="1">
      <c r="A1586" t="str">
        <f t="shared" ca="1" si="512"/>
        <v/>
      </c>
      <c r="B1586">
        <f t="shared" si="513"/>
        <v>4</v>
      </c>
      <c r="C1586">
        <f t="shared" ca="1" si="511"/>
        <v>1</v>
      </c>
      <c r="D1586" t="str">
        <f t="shared" si="514"/>
        <v>E4</v>
      </c>
      <c r="E1586" t="str">
        <f t="shared" ca="1" si="515"/>
        <v/>
      </c>
      <c r="F1586" t="str">
        <f t="shared" ca="1" si="516"/>
        <v xml:space="preserve">Enter a 'Employee Units' for  building 1 in cell E4.
</v>
      </c>
      <c r="G1586" s="9" t="str">
        <f t="shared" ca="1" si="509"/>
        <v xml:space="preserve">Enter a value for 'Number of Floors in the Tallest Building' in cell B60.
</v>
      </c>
      <c r="H1586" s="52" t="str">
        <f t="shared" ca="1" si="517"/>
        <v>Employee Units</v>
      </c>
      <c r="I1586" s="52">
        <v>5</v>
      </c>
    </row>
    <row r="1587" spans="1:10" ht="15" customHeight="1">
      <c r="A1587" t="str">
        <f t="shared" ca="1" si="512"/>
        <v/>
      </c>
      <c r="B1587">
        <f t="shared" si="513"/>
        <v>4</v>
      </c>
      <c r="C1587">
        <f t="shared" ca="1" si="511"/>
        <v>1</v>
      </c>
      <c r="D1587" t="str">
        <f t="shared" si="514"/>
        <v>F4</v>
      </c>
      <c r="E1587" t="str">
        <f t="shared" ca="1" si="515"/>
        <v/>
      </c>
      <c r="F1587" t="str">
        <f t="shared" ca="1" si="516"/>
        <v xml:space="preserve">Enter a 'Low-Income Units' for  building 1 in cell F4.
</v>
      </c>
      <c r="G1587" s="9" t="str">
        <f t="shared" ca="1" si="509"/>
        <v xml:space="preserve">Enter a value for 'Number of Floors in the Tallest Building' in cell B60.
</v>
      </c>
      <c r="H1587" s="52" t="str">
        <f t="shared" ca="1" si="517"/>
        <v>Low-Income Units</v>
      </c>
      <c r="I1587" s="52">
        <v>6</v>
      </c>
    </row>
    <row r="1588" spans="1:10" ht="15" customHeight="1">
      <c r="A1588" t="str">
        <f t="shared" ca="1" si="512"/>
        <v/>
      </c>
      <c r="B1588">
        <f t="shared" si="513"/>
        <v>4</v>
      </c>
      <c r="C1588">
        <f t="shared" ca="1" si="511"/>
        <v>1</v>
      </c>
      <c r="D1588" t="str">
        <f t="shared" si="514"/>
        <v>G4</v>
      </c>
      <c r="E1588" t="str">
        <f t="shared" ca="1" si="515"/>
        <v/>
      </c>
      <c r="F1588" t="str">
        <f t="shared" ca="1" si="516"/>
        <v xml:space="preserve">Enter a 'Residential Square Footage**' for  building 1 in cell G4.
</v>
      </c>
      <c r="G1588" s="9" t="str">
        <f t="shared" ca="1" si="509"/>
        <v xml:space="preserve">Enter a value for 'Number of Floors in the Tallest Building' in cell B60.
</v>
      </c>
      <c r="H1588" s="52" t="str">
        <f t="shared" ca="1" si="517"/>
        <v>Residential Square Footage**</v>
      </c>
      <c r="I1588" s="52">
        <v>7</v>
      </c>
    </row>
    <row r="1589" spans="1:10" ht="15" customHeight="1">
      <c r="A1589" t="str">
        <f t="shared" ca="1" si="512"/>
        <v/>
      </c>
      <c r="B1589">
        <f t="shared" si="513"/>
        <v>4</v>
      </c>
      <c r="C1589">
        <f t="shared" ca="1" si="511"/>
        <v>1</v>
      </c>
      <c r="D1589" t="str">
        <f t="shared" si="514"/>
        <v>H4</v>
      </c>
      <c r="E1589" t="str">
        <f t="shared" ca="1" si="515"/>
        <v/>
      </c>
      <c r="F1589" t="str">
        <f t="shared" ca="1" si="516"/>
        <v xml:space="preserve">Enter a 'Square Footage of Employee Units' for  building 1 in cell H4.
</v>
      </c>
      <c r="G1589" s="9" t="str">
        <f t="shared" ca="1" si="509"/>
        <v xml:space="preserve">Enter a value for 'Number of Floors in the Tallest Building' in cell B60.
</v>
      </c>
      <c r="H1589" s="52" t="str">
        <f t="shared" ca="1" si="517"/>
        <v>Square Footage of Employee Units</v>
      </c>
      <c r="I1589" s="52">
        <v>8</v>
      </c>
    </row>
    <row r="1590" spans="1:10" ht="15" customHeight="1">
      <c r="A1590" t="str">
        <f t="shared" ca="1" si="512"/>
        <v/>
      </c>
      <c r="B1590">
        <f t="shared" si="513"/>
        <v>4</v>
      </c>
      <c r="C1590">
        <f t="shared" ca="1" si="511"/>
        <v>1</v>
      </c>
      <c r="D1590" t="str">
        <f t="shared" si="514"/>
        <v>I4</v>
      </c>
      <c r="E1590" t="str">
        <f t="shared" ca="1" si="515"/>
        <v/>
      </c>
      <c r="F1590" t="str">
        <f t="shared" ca="1" si="516"/>
        <v xml:space="preserve">Enter a 'Square Footage of Low-Income Units' for  building 1 in cell I4.
</v>
      </c>
      <c r="G1590" s="9" t="str">
        <f t="shared" ca="1" si="509"/>
        <v xml:space="preserve">Enter a value for 'Number of Floors in the Tallest Building' in cell B60.
</v>
      </c>
      <c r="H1590" s="52" t="str">
        <f t="shared" ca="1" si="517"/>
        <v>Square Footage of Low-Income Units</v>
      </c>
      <c r="I1590" s="52">
        <v>9</v>
      </c>
    </row>
    <row r="1591" spans="1:10" ht="15" customHeight="1">
      <c r="A1591" t="str">
        <f t="shared" ca="1" si="512"/>
        <v/>
      </c>
      <c r="B1591">
        <f t="shared" si="513"/>
        <v>4</v>
      </c>
      <c r="C1591">
        <f t="shared" ca="1" si="511"/>
        <v>1</v>
      </c>
      <c r="D1591" t="str">
        <f t="shared" si="514"/>
        <v>J4</v>
      </c>
      <c r="E1591" t="str">
        <f t="shared" ca="1" si="515"/>
        <v/>
      </c>
      <c r="F1591" t="str">
        <f t="shared" ca="1" si="516"/>
        <v xml:space="preserve">Enter a 'Placed-In-Service Date' for  building 1 in cell J4.
</v>
      </c>
      <c r="G1591" s="9" t="str">
        <f t="shared" ca="1" si="509"/>
        <v xml:space="preserve">Enter a value for 'Number of Floors in the Tallest Building' in cell B60.
</v>
      </c>
      <c r="H1591" s="52" t="str">
        <f t="shared" ca="1" si="517"/>
        <v>Placed-In-Service Date</v>
      </c>
      <c r="I1591" s="52">
        <v>10</v>
      </c>
    </row>
    <row r="1592" spans="1:10" ht="15" customHeight="1">
      <c r="A1592" t="str">
        <f t="shared" ca="1" si="512"/>
        <v/>
      </c>
      <c r="B1592">
        <f t="shared" si="513"/>
        <v>4</v>
      </c>
      <c r="C1592">
        <f t="shared" ca="1" si="511"/>
        <v>1</v>
      </c>
      <c r="D1592" t="str">
        <f t="shared" si="514"/>
        <v>K4</v>
      </c>
      <c r="E1592" t="str">
        <f t="shared" ca="1" si="515"/>
        <v/>
      </c>
      <c r="F1592" t="str">
        <f t="shared" ca="1" si="516"/>
        <v xml:space="preserve">Enter a 'New Construction/ Rehab APR' for  building 1 in cell K4.
</v>
      </c>
      <c r="G1592" s="9" t="str">
        <f t="shared" ca="1" si="509"/>
        <v xml:space="preserve">Enter a value for 'Number of Floors in the Tallest Building' in cell B60.
</v>
      </c>
      <c r="H1592" s="52" t="str">
        <f t="shared" ca="1" si="517"/>
        <v>New Construction/ Rehab APR</v>
      </c>
      <c r="I1592" s="52">
        <v>11</v>
      </c>
    </row>
    <row r="1593" spans="1:10" ht="15" customHeight="1">
      <c r="A1593" t="str">
        <f t="shared" ca="1" si="512"/>
        <v/>
      </c>
      <c r="B1593">
        <f t="shared" si="513"/>
        <v>4</v>
      </c>
      <c r="C1593">
        <f t="shared" ca="1" si="511"/>
        <v>1</v>
      </c>
      <c r="D1593" t="str">
        <f t="shared" si="514"/>
        <v>L4</v>
      </c>
      <c r="E1593" t="str">
        <f t="shared" ca="1" si="515"/>
        <v/>
      </c>
      <c r="F1593" t="str">
        <f t="shared" ca="1" si="516"/>
        <v xml:space="preserve">Enter a 'New Construction Eligible Basis' for  building 1 in cell L4.
</v>
      </c>
      <c r="G1593" s="9" t="str">
        <f t="shared" ca="1" si="509"/>
        <v xml:space="preserve">Enter a value for 'Number of Floors in the Tallest Building' in cell B60.
</v>
      </c>
      <c r="H1593" s="52" t="str">
        <f t="shared" ca="1" si="517"/>
        <v>New Construction Eligible Basis</v>
      </c>
      <c r="I1593" s="52">
        <v>12</v>
      </c>
    </row>
    <row r="1594" spans="1:10" ht="15" customHeight="1">
      <c r="A1594" t="str">
        <f ca="1">IF(AND(OFFSET(A1594, -I1594 + 2, 4) &gt;  0, E1594="", Calculations!$B$7), F1594, "")</f>
        <v/>
      </c>
      <c r="B1594">
        <f t="shared" si="513"/>
        <v>4</v>
      </c>
      <c r="C1594">
        <f t="shared" ca="1" si="511"/>
        <v>1</v>
      </c>
      <c r="D1594" t="str">
        <f t="shared" si="514"/>
        <v>M4</v>
      </c>
      <c r="E1594" t="str">
        <f t="shared" ca="1" si="515"/>
        <v/>
      </c>
      <c r="F1594" t="str">
        <f t="shared" ca="1" si="516"/>
        <v xml:space="preserve">Enter a 'Eligible Basis for Rehab' for  building 1 in cell M4.
</v>
      </c>
      <c r="G1594" s="9" t="str">
        <f t="shared" ca="1" si="509"/>
        <v xml:space="preserve">Enter a value for 'Number of Floors in the Tallest Building' in cell B60.
</v>
      </c>
      <c r="H1594" s="52" t="str">
        <f t="shared" ca="1" si="517"/>
        <v>Eligible Basis for Rehab</v>
      </c>
      <c r="I1594" s="52">
        <v>13</v>
      </c>
    </row>
    <row r="1595" spans="1:10" ht="15" customHeight="1">
      <c r="A1595" t="str">
        <f ca="1">IF(AND(OFFSET(A1595, -I1595 + 2, 4) &gt;  0, E1595="", Calculations!$B$7), F1595, "")</f>
        <v/>
      </c>
      <c r="B1595">
        <f t="shared" si="513"/>
        <v>4</v>
      </c>
      <c r="C1595">
        <f t="shared" ca="1" si="511"/>
        <v>1</v>
      </c>
      <c r="D1595" t="str">
        <f t="shared" si="514"/>
        <v>N4</v>
      </c>
      <c r="E1595" t="str">
        <f t="shared" ca="1" si="515"/>
        <v/>
      </c>
      <c r="F1595" t="str">
        <f t="shared" ca="1" si="516"/>
        <v xml:space="preserve">Enter a 'Cost of Acquiring the Building***' for  building 1 in cell N4.
</v>
      </c>
      <c r="G1595" s="9" t="str">
        <f t="shared" ca="1" si="509"/>
        <v xml:space="preserve">Enter a value for 'Number of Floors in the Tallest Building' in cell B60.
</v>
      </c>
      <c r="H1595" s="52" t="str">
        <f t="shared" ca="1" si="517"/>
        <v>Cost of Acquiring the Building***</v>
      </c>
      <c r="I1595" s="52">
        <v>14</v>
      </c>
    </row>
    <row r="1596" spans="1:10" ht="15" customHeight="1">
      <c r="A1596" t="str">
        <f ca="1">IF(AND(OFFSET(A1596, -I1596 + 2, 4) &gt;  0, E1596="", Calculations!$B$7), F1596, "")</f>
        <v/>
      </c>
      <c r="B1596">
        <f t="shared" si="513"/>
        <v>4</v>
      </c>
      <c r="C1596">
        <f t="shared" ca="1" si="511"/>
        <v>1</v>
      </c>
      <c r="D1596" t="str">
        <f t="shared" si="514"/>
        <v>O4</v>
      </c>
      <c r="E1596" t="str">
        <f t="shared" ca="1" si="515"/>
        <v/>
      </c>
      <c r="F1596" t="str">
        <f t="shared" ca="1" si="516"/>
        <v xml:space="preserve">Enter a 'Higher of Land Purchase Price or Land Appraised Value****' for  building 1 in cell O4.
</v>
      </c>
      <c r="G1596" s="9" t="str">
        <f t="shared" ca="1" si="509"/>
        <v xml:space="preserve">Enter a value for 'Number of Floors in the Tallest Building' in cell B60.
</v>
      </c>
      <c r="H1596" s="52" t="str">
        <f t="shared" ca="1" si="517"/>
        <v>Higher of Land Purchase Price or Land Appraised Value****</v>
      </c>
      <c r="I1596" s="52">
        <v>15</v>
      </c>
    </row>
    <row r="1597" spans="1:10" ht="15" customHeight="1">
      <c r="A1597" t="str">
        <f ca="1">IF(AND(OFFSET(A1597, -I1597 + 2, 4) &gt;  0, E1597="", Calculations!$B$7), F1597, "")</f>
        <v/>
      </c>
      <c r="B1597">
        <f t="shared" si="513"/>
        <v>4</v>
      </c>
      <c r="C1597">
        <f t="shared" ca="1" si="511"/>
        <v>1</v>
      </c>
      <c r="D1597" t="str">
        <f t="shared" si="514"/>
        <v>P4</v>
      </c>
      <c r="E1597" t="str">
        <f t="shared" ca="1" si="515"/>
        <v/>
      </c>
      <c r="F1597" t="str">
        <f t="shared" ca="1" si="516"/>
        <v xml:space="preserve">Enter a 'Acquisition Placed-in-Service Date' for  building 1 in cell P4.
</v>
      </c>
      <c r="G1597" s="9" t="str">
        <f t="shared" ca="1" si="509"/>
        <v xml:space="preserve">Enter a value for 'Number of Floors in the Tallest Building' in cell B60.
</v>
      </c>
      <c r="H1597" s="52" t="str">
        <f t="shared" ca="1" si="517"/>
        <v>Acquisition Placed-in-Service Date</v>
      </c>
      <c r="I1597" s="52">
        <v>16</v>
      </c>
    </row>
    <row r="1598" spans="1:10" ht="15" customHeight="1">
      <c r="A1598" t="str">
        <f ca="1">IF(AND(OFFSET(A1598, -I1598 + 2, 4) &gt;  0, E1598="", Calculations!$B$7), F1598, "")</f>
        <v/>
      </c>
      <c r="B1598">
        <f t="shared" si="513"/>
        <v>4</v>
      </c>
      <c r="C1598">
        <f t="shared" ca="1" si="511"/>
        <v>1</v>
      </c>
      <c r="D1598" t="str">
        <f t="shared" si="514"/>
        <v>Q4</v>
      </c>
      <c r="E1598" t="str">
        <f t="shared" ca="1" si="515"/>
        <v/>
      </c>
      <c r="F1598" t="str">
        <f t="shared" ca="1" si="516"/>
        <v xml:space="preserve">Enter a 'Acquisition APR' for  building 1 in cell Q4.
</v>
      </c>
      <c r="G1598" s="9" t="str">
        <f t="shared" ca="1" si="509"/>
        <v xml:space="preserve">Enter a value for 'Number of Floors in the Tallest Building' in cell B60.
</v>
      </c>
      <c r="H1598" s="52" t="str">
        <f t="shared" ca="1" si="517"/>
        <v>Acquisition APR</v>
      </c>
      <c r="I1598" s="52">
        <v>17</v>
      </c>
    </row>
    <row r="1599" spans="1:10" ht="15" customHeight="1">
      <c r="A1599" t="str">
        <f ca="1">IF(AND(Calculations!$B$4,Calculations!$B$29&gt;=C1599, E1599 &lt;&gt; 13),F1599,"")</f>
        <v/>
      </c>
      <c r="B1599">
        <f>ROW('Final Building Profile'!C5)</f>
        <v>5</v>
      </c>
      <c r="C1599">
        <f t="shared" ca="1" si="511"/>
        <v>2</v>
      </c>
      <c r="D1599" t="str">
        <f>ADDRESS(B1599, 3,4  )</f>
        <v>C5</v>
      </c>
      <c r="E1599" s="52">
        <f ca="1">H1599+I1599</f>
        <v>0</v>
      </c>
      <c r="F1599" t="str">
        <f ca="1">CONCATENATE("Based upon the number of buildings specified, information for  building ", C1599, " required for a final application in row ", B1599, ".", CHAR(10))</f>
        <v xml:space="preserve">Based upon the number of buildings specified, information for  building 2 required for a final application in row 5.
</v>
      </c>
      <c r="G1599" s="9" t="str">
        <f t="shared" ca="1" si="509"/>
        <v xml:space="preserve">Enter a value for 'Number of Floors in the Tallest Building' in cell B60.
</v>
      </c>
      <c r="H1599" s="52">
        <f ca="1">SUMPRODUCT(--ISTEXT(INDIRECT(J1599)))</f>
        <v>0</v>
      </c>
      <c r="I1599" s="52">
        <f ca="1">SUMPRODUCT(--ISNUMBER(INDIRECT(J1599)))</f>
        <v>0</v>
      </c>
      <c r="J1599" s="52" t="str">
        <f>$F$1565&amp; ADDRESS(B1599,3,4) &amp; ":" &amp; ADDRESS(B1599,15,4)</f>
        <v>'Final Building Profile'!C5:O5</v>
      </c>
    </row>
    <row r="1600" spans="1:10" ht="15" customHeight="1">
      <c r="A1600" t="str">
        <f t="shared" ref="A1600:A1609" ca="1" si="518">IF(AND(OFFSET(A1600, -I1600 + 2, 4) &gt;  0, E1600=""), F1600, "")</f>
        <v/>
      </c>
      <c r="B1600">
        <f t="shared" ref="B1600:B1614" si="519">B1599</f>
        <v>5</v>
      </c>
      <c r="C1600">
        <f t="shared" ca="1" si="511"/>
        <v>2</v>
      </c>
      <c r="D1600" t="str">
        <f t="shared" ref="D1600:D1614" si="520">ADDRESS(B1600, I1600,4  )</f>
        <v>C5</v>
      </c>
      <c r="E1600" t="str">
        <f t="shared" ref="E1600:E1614" ca="1" si="521">IF(ISBLANK( INDIRECT($F$1565 &amp; D1600)),"", INDIRECT($F$1565 &amp; D1600))</f>
        <v/>
      </c>
      <c r="F1600" t="str">
        <f t="shared" ref="F1600:F1614" ca="1" si="522">CONCATENATE("Enter a '"&amp; H1600 &amp;"' for  building ", C1600, " in cell ", D1600, ".", CHAR(10))</f>
        <v xml:space="preserve">Enter a 'Building Street Address Only 
(DO NOT ENTER CITY, STATE, OR ZIP)' for  building 2 in cell C5.
</v>
      </c>
      <c r="G1600" s="9" t="str">
        <f t="shared" ca="1" si="509"/>
        <v xml:space="preserve">Enter a value for 'Number of Floors in the Tallest Building' in cell B60.
</v>
      </c>
      <c r="H1600" s="52" t="str">
        <f t="shared" ref="H1600:H1614" ca="1" si="523">OFFSET(INDIRECT($F$1565 &amp; D1600), -B1600 + 3, 0)</f>
        <v>Building Street Address Only 
(DO NOT ENTER CITY, STATE, OR ZIP)</v>
      </c>
      <c r="I1600" s="52">
        <v>3</v>
      </c>
    </row>
    <row r="1601" spans="1:10" ht="15" customHeight="1">
      <c r="A1601" t="str">
        <f t="shared" ca="1" si="518"/>
        <v/>
      </c>
      <c r="B1601">
        <f t="shared" si="519"/>
        <v>5</v>
      </c>
      <c r="C1601">
        <f t="shared" ca="1" si="511"/>
        <v>2</v>
      </c>
      <c r="D1601" t="str">
        <f t="shared" si="520"/>
        <v>D5</v>
      </c>
      <c r="E1601" t="str">
        <f t="shared" ca="1" si="521"/>
        <v/>
      </c>
      <c r="F1601" t="str">
        <f t="shared" ca="1" si="522"/>
        <v xml:space="preserve">Enter a 'Total Units in Building*' for  building 2 in cell D5.
</v>
      </c>
      <c r="G1601" s="9" t="str">
        <f t="shared" ca="1" si="509"/>
        <v xml:space="preserve">Enter a value for 'Number of Floors in the Tallest Building' in cell B60.
</v>
      </c>
      <c r="H1601" s="52" t="str">
        <f t="shared" ca="1" si="523"/>
        <v>Total Units in Building*</v>
      </c>
      <c r="I1601" s="52">
        <v>4</v>
      </c>
    </row>
    <row r="1602" spans="1:10" ht="15" customHeight="1">
      <c r="A1602" t="str">
        <f t="shared" ca="1" si="518"/>
        <v/>
      </c>
      <c r="B1602">
        <f t="shared" si="519"/>
        <v>5</v>
      </c>
      <c r="C1602">
        <f t="shared" ca="1" si="511"/>
        <v>2</v>
      </c>
      <c r="D1602" t="str">
        <f t="shared" si="520"/>
        <v>E5</v>
      </c>
      <c r="E1602" t="str">
        <f t="shared" ca="1" si="521"/>
        <v/>
      </c>
      <c r="F1602" t="str">
        <f t="shared" ca="1" si="522"/>
        <v xml:space="preserve">Enter a 'Employee Units' for  building 2 in cell E5.
</v>
      </c>
      <c r="G1602" s="9" t="str">
        <f t="shared" ca="1" si="509"/>
        <v xml:space="preserve">Enter a value for 'Number of Floors in the Tallest Building' in cell B60.
</v>
      </c>
      <c r="H1602" s="52" t="str">
        <f t="shared" ca="1" si="523"/>
        <v>Employee Units</v>
      </c>
      <c r="I1602" s="52">
        <v>5</v>
      </c>
    </row>
    <row r="1603" spans="1:10" ht="15" customHeight="1">
      <c r="A1603" t="str">
        <f t="shared" ca="1" si="518"/>
        <v/>
      </c>
      <c r="B1603">
        <f t="shared" si="519"/>
        <v>5</v>
      </c>
      <c r="C1603">
        <f t="shared" ca="1" si="511"/>
        <v>2</v>
      </c>
      <c r="D1603" t="str">
        <f t="shared" si="520"/>
        <v>F5</v>
      </c>
      <c r="E1603" t="str">
        <f t="shared" ca="1" si="521"/>
        <v/>
      </c>
      <c r="F1603" t="str">
        <f t="shared" ca="1" si="522"/>
        <v xml:space="preserve">Enter a 'Low-Income Units' for  building 2 in cell F5.
</v>
      </c>
      <c r="G1603" s="9" t="str">
        <f t="shared" ca="1" si="509"/>
        <v xml:space="preserve">Enter a value for 'Number of Floors in the Tallest Building' in cell B60.
</v>
      </c>
      <c r="H1603" s="52" t="str">
        <f t="shared" ca="1" si="523"/>
        <v>Low-Income Units</v>
      </c>
      <c r="I1603" s="52">
        <v>6</v>
      </c>
    </row>
    <row r="1604" spans="1:10" ht="15" customHeight="1">
      <c r="A1604" t="str">
        <f t="shared" ca="1" si="518"/>
        <v/>
      </c>
      <c r="B1604">
        <f t="shared" si="519"/>
        <v>5</v>
      </c>
      <c r="C1604">
        <f t="shared" ca="1" si="511"/>
        <v>2</v>
      </c>
      <c r="D1604" t="str">
        <f t="shared" si="520"/>
        <v>G5</v>
      </c>
      <c r="E1604" t="str">
        <f t="shared" ca="1" si="521"/>
        <v/>
      </c>
      <c r="F1604" t="str">
        <f t="shared" ca="1" si="522"/>
        <v xml:space="preserve">Enter a 'Residential Square Footage**' for  building 2 in cell G5.
</v>
      </c>
      <c r="G1604" s="9" t="str">
        <f t="shared" ca="1" si="509"/>
        <v xml:space="preserve">Enter a value for 'Number of Floors in the Tallest Building' in cell B60.
</v>
      </c>
      <c r="H1604" s="52" t="str">
        <f t="shared" ca="1" si="523"/>
        <v>Residential Square Footage**</v>
      </c>
      <c r="I1604" s="52">
        <v>7</v>
      </c>
    </row>
    <row r="1605" spans="1:10" ht="15" customHeight="1">
      <c r="A1605" t="str">
        <f t="shared" ca="1" si="518"/>
        <v/>
      </c>
      <c r="B1605">
        <f t="shared" si="519"/>
        <v>5</v>
      </c>
      <c r="C1605">
        <f t="shared" ca="1" si="511"/>
        <v>2</v>
      </c>
      <c r="D1605" t="str">
        <f t="shared" si="520"/>
        <v>H5</v>
      </c>
      <c r="E1605" t="str">
        <f t="shared" ca="1" si="521"/>
        <v/>
      </c>
      <c r="F1605" t="str">
        <f t="shared" ca="1" si="522"/>
        <v xml:space="preserve">Enter a 'Square Footage of Employee Units' for  building 2 in cell H5.
</v>
      </c>
      <c r="G1605" s="9" t="str">
        <f t="shared" ca="1" si="509"/>
        <v xml:space="preserve">Enter a value for 'Number of Floors in the Tallest Building' in cell B60.
</v>
      </c>
      <c r="H1605" s="52" t="str">
        <f t="shared" ca="1" si="523"/>
        <v>Square Footage of Employee Units</v>
      </c>
      <c r="I1605" s="52">
        <v>8</v>
      </c>
    </row>
    <row r="1606" spans="1:10" ht="15" customHeight="1">
      <c r="A1606" t="str">
        <f t="shared" ca="1" si="518"/>
        <v/>
      </c>
      <c r="B1606">
        <f t="shared" si="519"/>
        <v>5</v>
      </c>
      <c r="C1606">
        <f t="shared" ca="1" si="511"/>
        <v>2</v>
      </c>
      <c r="D1606" t="str">
        <f t="shared" si="520"/>
        <v>I5</v>
      </c>
      <c r="E1606" t="str">
        <f t="shared" ca="1" si="521"/>
        <v/>
      </c>
      <c r="F1606" t="str">
        <f t="shared" ca="1" si="522"/>
        <v xml:space="preserve">Enter a 'Square Footage of Low-Income Units' for  building 2 in cell I5.
</v>
      </c>
      <c r="G1606" s="9" t="str">
        <f t="shared" ca="1" si="509"/>
        <v xml:space="preserve">Enter a value for 'Number of Floors in the Tallest Building' in cell B60.
</v>
      </c>
      <c r="H1606" s="52" t="str">
        <f t="shared" ca="1" si="523"/>
        <v>Square Footage of Low-Income Units</v>
      </c>
      <c r="I1606" s="52">
        <v>9</v>
      </c>
    </row>
    <row r="1607" spans="1:10" ht="15" customHeight="1">
      <c r="A1607" t="str">
        <f t="shared" ca="1" si="518"/>
        <v/>
      </c>
      <c r="B1607">
        <f t="shared" si="519"/>
        <v>5</v>
      </c>
      <c r="C1607">
        <f t="shared" ca="1" si="511"/>
        <v>2</v>
      </c>
      <c r="D1607" t="str">
        <f t="shared" si="520"/>
        <v>J5</v>
      </c>
      <c r="E1607" t="str">
        <f t="shared" ca="1" si="521"/>
        <v/>
      </c>
      <c r="F1607" t="str">
        <f t="shared" ca="1" si="522"/>
        <v xml:space="preserve">Enter a 'Placed-In-Service Date' for  building 2 in cell J5.
</v>
      </c>
      <c r="G1607" s="9" t="str">
        <f t="shared" ca="1" si="509"/>
        <v xml:space="preserve">Enter a value for 'Number of Floors in the Tallest Building' in cell B60.
</v>
      </c>
      <c r="H1607" s="52" t="str">
        <f t="shared" ca="1" si="523"/>
        <v>Placed-In-Service Date</v>
      </c>
      <c r="I1607" s="52">
        <v>10</v>
      </c>
    </row>
    <row r="1608" spans="1:10" ht="15" customHeight="1">
      <c r="A1608" t="str">
        <f t="shared" ca="1" si="518"/>
        <v/>
      </c>
      <c r="B1608">
        <f t="shared" si="519"/>
        <v>5</v>
      </c>
      <c r="C1608">
        <f t="shared" ca="1" si="511"/>
        <v>2</v>
      </c>
      <c r="D1608" t="str">
        <f t="shared" si="520"/>
        <v>K5</v>
      </c>
      <c r="E1608" t="str">
        <f t="shared" ca="1" si="521"/>
        <v/>
      </c>
      <c r="F1608" t="str">
        <f t="shared" ca="1" si="522"/>
        <v xml:space="preserve">Enter a 'New Construction/ Rehab APR' for  building 2 in cell K5.
</v>
      </c>
      <c r="G1608" s="9" t="str">
        <f t="shared" ca="1" si="509"/>
        <v xml:space="preserve">Enter a value for 'Number of Floors in the Tallest Building' in cell B60.
</v>
      </c>
      <c r="H1608" s="52" t="str">
        <f t="shared" ca="1" si="523"/>
        <v>New Construction/ Rehab APR</v>
      </c>
      <c r="I1608" s="52">
        <v>11</v>
      </c>
    </row>
    <row r="1609" spans="1:10" ht="15" customHeight="1">
      <c r="A1609" t="str">
        <f t="shared" ca="1" si="518"/>
        <v/>
      </c>
      <c r="B1609">
        <f t="shared" si="519"/>
        <v>5</v>
      </c>
      <c r="C1609">
        <f t="shared" ca="1" si="511"/>
        <v>2</v>
      </c>
      <c r="D1609" t="str">
        <f t="shared" si="520"/>
        <v>L5</v>
      </c>
      <c r="E1609" t="str">
        <f t="shared" ca="1" si="521"/>
        <v/>
      </c>
      <c r="F1609" t="str">
        <f t="shared" ca="1" si="522"/>
        <v xml:space="preserve">Enter a 'New Construction Eligible Basis' for  building 2 in cell L5.
</v>
      </c>
      <c r="G1609" s="9" t="str">
        <f t="shared" ca="1" si="509"/>
        <v xml:space="preserve">Enter a value for 'Number of Floors in the Tallest Building' in cell B60.
</v>
      </c>
      <c r="H1609" s="52" t="str">
        <f t="shared" ca="1" si="523"/>
        <v>New Construction Eligible Basis</v>
      </c>
      <c r="I1609" s="52">
        <v>12</v>
      </c>
    </row>
    <row r="1610" spans="1:10" ht="15" customHeight="1">
      <c r="A1610" t="str">
        <f ca="1">IF(AND(OFFSET(A1610, -I1610 + 2, 4) &gt;  0, E1610="", Calculations!$B$7), F1610, "")</f>
        <v/>
      </c>
      <c r="B1610">
        <f t="shared" si="519"/>
        <v>5</v>
      </c>
      <c r="C1610">
        <f t="shared" ca="1" si="511"/>
        <v>2</v>
      </c>
      <c r="D1610" t="str">
        <f t="shared" si="520"/>
        <v>M5</v>
      </c>
      <c r="E1610" t="str">
        <f t="shared" ca="1" si="521"/>
        <v/>
      </c>
      <c r="F1610" t="str">
        <f t="shared" ca="1" si="522"/>
        <v xml:space="preserve">Enter a 'Eligible Basis for Rehab' for  building 2 in cell M5.
</v>
      </c>
      <c r="G1610" s="9" t="str">
        <f t="shared" ca="1" si="509"/>
        <v xml:space="preserve">Enter a value for 'Number of Floors in the Tallest Building' in cell B60.
</v>
      </c>
      <c r="H1610" s="52" t="str">
        <f t="shared" ca="1" si="523"/>
        <v>Eligible Basis for Rehab</v>
      </c>
      <c r="I1610" s="52">
        <v>13</v>
      </c>
    </row>
    <row r="1611" spans="1:10" ht="15" customHeight="1">
      <c r="A1611" t="str">
        <f ca="1">IF(AND(OFFSET(A1611, -I1611 + 2, 4) &gt;  0, E1611="", Calculations!$B$7), F1611, "")</f>
        <v/>
      </c>
      <c r="B1611">
        <f t="shared" si="519"/>
        <v>5</v>
      </c>
      <c r="C1611">
        <f t="shared" ca="1" si="511"/>
        <v>2</v>
      </c>
      <c r="D1611" t="str">
        <f t="shared" si="520"/>
        <v>N5</v>
      </c>
      <c r="E1611" t="str">
        <f t="shared" ca="1" si="521"/>
        <v/>
      </c>
      <c r="F1611" t="str">
        <f t="shared" ca="1" si="522"/>
        <v xml:space="preserve">Enter a 'Cost of Acquiring the Building***' for  building 2 in cell N5.
</v>
      </c>
      <c r="G1611" s="9" t="str">
        <f t="shared" ca="1" si="509"/>
        <v xml:space="preserve">Enter a value for 'Number of Floors in the Tallest Building' in cell B60.
</v>
      </c>
      <c r="H1611" s="52" t="str">
        <f t="shared" ca="1" si="523"/>
        <v>Cost of Acquiring the Building***</v>
      </c>
      <c r="I1611" s="52">
        <v>14</v>
      </c>
    </row>
    <row r="1612" spans="1:10" ht="15" customHeight="1">
      <c r="A1612" t="str">
        <f ca="1">IF(AND(OFFSET(A1612, -I1612 + 2, 4) &gt;  0, E1612="", Calculations!$B$7), F1612, "")</f>
        <v/>
      </c>
      <c r="B1612">
        <f t="shared" si="519"/>
        <v>5</v>
      </c>
      <c r="C1612">
        <f t="shared" ca="1" si="511"/>
        <v>2</v>
      </c>
      <c r="D1612" t="str">
        <f t="shared" si="520"/>
        <v>O5</v>
      </c>
      <c r="E1612" t="str">
        <f t="shared" ca="1" si="521"/>
        <v/>
      </c>
      <c r="F1612" t="str">
        <f t="shared" ca="1" si="522"/>
        <v xml:space="preserve">Enter a 'Higher of Land Purchase Price or Land Appraised Value****' for  building 2 in cell O5.
</v>
      </c>
      <c r="G1612" s="9" t="str">
        <f t="shared" ca="1" si="509"/>
        <v xml:space="preserve">Enter a value for 'Number of Floors in the Tallest Building' in cell B60.
</v>
      </c>
      <c r="H1612" s="52" t="str">
        <f t="shared" ca="1" si="523"/>
        <v>Higher of Land Purchase Price or Land Appraised Value****</v>
      </c>
      <c r="I1612" s="52">
        <v>15</v>
      </c>
    </row>
    <row r="1613" spans="1:10" ht="15" customHeight="1">
      <c r="A1613" t="str">
        <f ca="1">IF(AND(OFFSET(A1613, -I1613 + 2, 4) &gt;  0, E1613="", Calculations!$B$7), F1613, "")</f>
        <v/>
      </c>
      <c r="B1613">
        <f t="shared" si="519"/>
        <v>5</v>
      </c>
      <c r="C1613">
        <f t="shared" ca="1" si="511"/>
        <v>2</v>
      </c>
      <c r="D1613" t="str">
        <f t="shared" si="520"/>
        <v>P5</v>
      </c>
      <c r="E1613" t="str">
        <f t="shared" ca="1" si="521"/>
        <v/>
      </c>
      <c r="F1613" t="str">
        <f t="shared" ca="1" si="522"/>
        <v xml:space="preserve">Enter a 'Acquisition Placed-in-Service Date' for  building 2 in cell P5.
</v>
      </c>
      <c r="G1613" s="9" t="str">
        <f t="shared" ca="1" si="509"/>
        <v xml:space="preserve">Enter a value for 'Number of Floors in the Tallest Building' in cell B60.
</v>
      </c>
      <c r="H1613" s="52" t="str">
        <f t="shared" ca="1" si="523"/>
        <v>Acquisition Placed-in-Service Date</v>
      </c>
      <c r="I1613" s="52">
        <v>16</v>
      </c>
    </row>
    <row r="1614" spans="1:10" ht="15" customHeight="1">
      <c r="A1614" t="str">
        <f ca="1">IF(AND(OFFSET(A1614, -I1614 + 2, 4) &gt;  0, E1614="", Calculations!$B$7), F1614, "")</f>
        <v/>
      </c>
      <c r="B1614">
        <f t="shared" si="519"/>
        <v>5</v>
      </c>
      <c r="C1614">
        <f t="shared" ca="1" si="511"/>
        <v>2</v>
      </c>
      <c r="D1614" t="str">
        <f t="shared" si="520"/>
        <v>Q5</v>
      </c>
      <c r="E1614" t="str">
        <f t="shared" ca="1" si="521"/>
        <v/>
      </c>
      <c r="F1614" t="str">
        <f t="shared" ca="1" si="522"/>
        <v xml:space="preserve">Enter a 'Acquisition APR' for  building 2 in cell Q5.
</v>
      </c>
      <c r="G1614" s="9" t="str">
        <f t="shared" ca="1" si="509"/>
        <v xml:space="preserve">Enter a value for 'Number of Floors in the Tallest Building' in cell B60.
</v>
      </c>
      <c r="H1614" s="52" t="str">
        <f t="shared" ca="1" si="523"/>
        <v>Acquisition APR</v>
      </c>
      <c r="I1614" s="52">
        <v>17</v>
      </c>
    </row>
    <row r="1615" spans="1:10" ht="15" customHeight="1">
      <c r="A1615" t="str">
        <f ca="1">IF(AND(Calculations!$B$4,Calculations!$B$29&gt;=C1615, E1615 &lt;&gt; 13),F1615,"")</f>
        <v/>
      </c>
      <c r="B1615">
        <f>ROW('Final Building Profile'!C6)</f>
        <v>6</v>
      </c>
      <c r="C1615">
        <f t="shared" ca="1" si="511"/>
        <v>3</v>
      </c>
      <c r="D1615" t="str">
        <f>ADDRESS(B1615, 3,4  )</f>
        <v>C6</v>
      </c>
      <c r="E1615" s="52">
        <f ca="1">H1615+I1615</f>
        <v>0</v>
      </c>
      <c r="F1615" t="str">
        <f ca="1">CONCATENATE("Based upon the number of buildings specified, information for  building ", C1615, " required for a final application in row ", B1615, ".", CHAR(10))</f>
        <v xml:space="preserve">Based upon the number of buildings specified, information for  building 3 required for a final application in row 6.
</v>
      </c>
      <c r="G1615" s="9" t="str">
        <f t="shared" ca="1" si="509"/>
        <v xml:space="preserve">Enter a value for 'Number of Floors in the Tallest Building' in cell B60.
</v>
      </c>
      <c r="H1615" s="52">
        <f ca="1">SUMPRODUCT(--ISTEXT(INDIRECT(J1615)))</f>
        <v>0</v>
      </c>
      <c r="I1615" s="52">
        <f ca="1">SUMPRODUCT(--ISNUMBER(INDIRECT(J1615)))</f>
        <v>0</v>
      </c>
      <c r="J1615" s="52" t="str">
        <f>$F$1565&amp; ADDRESS(B1615,3,4) &amp; ":" &amp; ADDRESS(B1615,15,4)</f>
        <v>'Final Building Profile'!C6:O6</v>
      </c>
    </row>
    <row r="1616" spans="1:10" ht="15" customHeight="1">
      <c r="A1616" t="str">
        <f t="shared" ref="A1616:A1625" ca="1" si="524">IF(AND(OFFSET(A1616, -I1616 + 2, 4) &gt;  0, E1616=""), F1616, "")</f>
        <v/>
      </c>
      <c r="B1616">
        <f t="shared" ref="B1616:B1630" si="525">B1615</f>
        <v>6</v>
      </c>
      <c r="C1616">
        <f t="shared" ca="1" si="511"/>
        <v>3</v>
      </c>
      <c r="D1616" t="str">
        <f t="shared" ref="D1616:D1630" si="526">ADDRESS(B1616, I1616,4  )</f>
        <v>C6</v>
      </c>
      <c r="E1616" t="str">
        <f t="shared" ref="E1616:E1630" ca="1" si="527">IF(ISBLANK( INDIRECT($F$1565 &amp; D1616)),"", INDIRECT($F$1565 &amp; D1616))</f>
        <v/>
      </c>
      <c r="F1616" t="str">
        <f t="shared" ref="F1616:F1630" ca="1" si="528">CONCATENATE("Enter a '"&amp; H1616 &amp;"' for  building ", C1616, " in cell ", D1616, ".", CHAR(10))</f>
        <v xml:space="preserve">Enter a 'Building Street Address Only 
(DO NOT ENTER CITY, STATE, OR ZIP)' for  building 3 in cell C6.
</v>
      </c>
      <c r="G1616" s="9" t="str">
        <f t="shared" ca="1" si="509"/>
        <v xml:space="preserve">Enter a value for 'Number of Floors in the Tallest Building' in cell B60.
</v>
      </c>
      <c r="H1616" s="52" t="str">
        <f t="shared" ref="H1616:H1630" ca="1" si="529">OFFSET(INDIRECT($F$1565 &amp; D1616), -B1616 + 3, 0)</f>
        <v>Building Street Address Only 
(DO NOT ENTER CITY, STATE, OR ZIP)</v>
      </c>
      <c r="I1616" s="52">
        <v>3</v>
      </c>
    </row>
    <row r="1617" spans="1:10" ht="15" customHeight="1">
      <c r="A1617" t="str">
        <f t="shared" ca="1" si="524"/>
        <v/>
      </c>
      <c r="B1617">
        <f t="shared" si="525"/>
        <v>6</v>
      </c>
      <c r="C1617">
        <f t="shared" ca="1" si="511"/>
        <v>3</v>
      </c>
      <c r="D1617" t="str">
        <f t="shared" si="526"/>
        <v>D6</v>
      </c>
      <c r="E1617" t="str">
        <f t="shared" ca="1" si="527"/>
        <v/>
      </c>
      <c r="F1617" t="str">
        <f t="shared" ca="1" si="528"/>
        <v xml:space="preserve">Enter a 'Total Units in Building*' for  building 3 in cell D6.
</v>
      </c>
      <c r="G1617" s="9" t="str">
        <f t="shared" ca="1" si="509"/>
        <v xml:space="preserve">Enter a value for 'Number of Floors in the Tallest Building' in cell B60.
</v>
      </c>
      <c r="H1617" s="52" t="str">
        <f t="shared" ca="1" si="529"/>
        <v>Total Units in Building*</v>
      </c>
      <c r="I1617" s="52">
        <v>4</v>
      </c>
    </row>
    <row r="1618" spans="1:10" ht="15" customHeight="1">
      <c r="A1618" t="str">
        <f t="shared" ca="1" si="524"/>
        <v/>
      </c>
      <c r="B1618">
        <f t="shared" si="525"/>
        <v>6</v>
      </c>
      <c r="C1618">
        <f t="shared" ca="1" si="511"/>
        <v>3</v>
      </c>
      <c r="D1618" t="str">
        <f t="shared" si="526"/>
        <v>E6</v>
      </c>
      <c r="E1618" t="str">
        <f t="shared" ca="1" si="527"/>
        <v/>
      </c>
      <c r="F1618" t="str">
        <f t="shared" ca="1" si="528"/>
        <v xml:space="preserve">Enter a 'Employee Units' for  building 3 in cell E6.
</v>
      </c>
      <c r="G1618" s="9" t="str">
        <f t="shared" ca="1" si="509"/>
        <v xml:space="preserve">Enter a value for 'Number of Floors in the Tallest Building' in cell B60.
</v>
      </c>
      <c r="H1618" s="52" t="str">
        <f t="shared" ca="1" si="529"/>
        <v>Employee Units</v>
      </c>
      <c r="I1618" s="52">
        <v>5</v>
      </c>
    </row>
    <row r="1619" spans="1:10" ht="15" customHeight="1">
      <c r="A1619" t="str">
        <f t="shared" ca="1" si="524"/>
        <v/>
      </c>
      <c r="B1619">
        <f t="shared" si="525"/>
        <v>6</v>
      </c>
      <c r="C1619">
        <f t="shared" ca="1" si="511"/>
        <v>3</v>
      </c>
      <c r="D1619" t="str">
        <f t="shared" si="526"/>
        <v>F6</v>
      </c>
      <c r="E1619" t="str">
        <f t="shared" ca="1" si="527"/>
        <v/>
      </c>
      <c r="F1619" t="str">
        <f t="shared" ca="1" si="528"/>
        <v xml:space="preserve">Enter a 'Low-Income Units' for  building 3 in cell F6.
</v>
      </c>
      <c r="G1619" s="9" t="str">
        <f t="shared" ca="1" si="509"/>
        <v xml:space="preserve">Enter a value for 'Number of Floors in the Tallest Building' in cell B60.
</v>
      </c>
      <c r="H1619" s="52" t="str">
        <f t="shared" ca="1" si="529"/>
        <v>Low-Income Units</v>
      </c>
      <c r="I1619" s="52">
        <v>6</v>
      </c>
    </row>
    <row r="1620" spans="1:10" ht="15" customHeight="1">
      <c r="A1620" t="str">
        <f t="shared" ca="1" si="524"/>
        <v/>
      </c>
      <c r="B1620">
        <f t="shared" si="525"/>
        <v>6</v>
      </c>
      <c r="C1620">
        <f t="shared" ca="1" si="511"/>
        <v>3</v>
      </c>
      <c r="D1620" t="str">
        <f t="shared" si="526"/>
        <v>G6</v>
      </c>
      <c r="E1620" t="str">
        <f t="shared" ca="1" si="527"/>
        <v/>
      </c>
      <c r="F1620" t="str">
        <f t="shared" ca="1" si="528"/>
        <v xml:space="preserve">Enter a 'Residential Square Footage**' for  building 3 in cell G6.
</v>
      </c>
      <c r="G1620" s="9" t="str">
        <f t="shared" ca="1" si="509"/>
        <v xml:space="preserve">Enter a value for 'Number of Floors in the Tallest Building' in cell B60.
</v>
      </c>
      <c r="H1620" s="52" t="str">
        <f t="shared" ca="1" si="529"/>
        <v>Residential Square Footage**</v>
      </c>
      <c r="I1620" s="52">
        <v>7</v>
      </c>
    </row>
    <row r="1621" spans="1:10" ht="15" customHeight="1">
      <c r="A1621" t="str">
        <f t="shared" ca="1" si="524"/>
        <v/>
      </c>
      <c r="B1621">
        <f t="shared" si="525"/>
        <v>6</v>
      </c>
      <c r="C1621">
        <f t="shared" ca="1" si="511"/>
        <v>3</v>
      </c>
      <c r="D1621" t="str">
        <f t="shared" si="526"/>
        <v>H6</v>
      </c>
      <c r="E1621" t="str">
        <f t="shared" ca="1" si="527"/>
        <v/>
      </c>
      <c r="F1621" t="str">
        <f t="shared" ca="1" si="528"/>
        <v xml:space="preserve">Enter a 'Square Footage of Employee Units' for  building 3 in cell H6.
</v>
      </c>
      <c r="G1621" s="9" t="str">
        <f t="shared" ca="1" si="509"/>
        <v xml:space="preserve">Enter a value for 'Number of Floors in the Tallest Building' in cell B60.
</v>
      </c>
      <c r="H1621" s="52" t="str">
        <f t="shared" ca="1" si="529"/>
        <v>Square Footage of Employee Units</v>
      </c>
      <c r="I1621" s="52">
        <v>8</v>
      </c>
    </row>
    <row r="1622" spans="1:10" ht="15" customHeight="1">
      <c r="A1622" t="str">
        <f t="shared" ca="1" si="524"/>
        <v/>
      </c>
      <c r="B1622">
        <f t="shared" si="525"/>
        <v>6</v>
      </c>
      <c r="C1622">
        <f t="shared" ca="1" si="511"/>
        <v>3</v>
      </c>
      <c r="D1622" t="str">
        <f t="shared" si="526"/>
        <v>I6</v>
      </c>
      <c r="E1622" t="str">
        <f t="shared" ca="1" si="527"/>
        <v/>
      </c>
      <c r="F1622" t="str">
        <f t="shared" ca="1" si="528"/>
        <v xml:space="preserve">Enter a 'Square Footage of Low-Income Units' for  building 3 in cell I6.
</v>
      </c>
      <c r="G1622" s="9" t="str">
        <f t="shared" ca="1" si="509"/>
        <v xml:space="preserve">Enter a value for 'Number of Floors in the Tallest Building' in cell B60.
</v>
      </c>
      <c r="H1622" s="52" t="str">
        <f t="shared" ca="1" si="529"/>
        <v>Square Footage of Low-Income Units</v>
      </c>
      <c r="I1622" s="52">
        <v>9</v>
      </c>
    </row>
    <row r="1623" spans="1:10" ht="15" customHeight="1">
      <c r="A1623" t="str">
        <f t="shared" ca="1" si="524"/>
        <v/>
      </c>
      <c r="B1623">
        <f t="shared" si="525"/>
        <v>6</v>
      </c>
      <c r="C1623">
        <f t="shared" ca="1" si="511"/>
        <v>3</v>
      </c>
      <c r="D1623" t="str">
        <f t="shared" si="526"/>
        <v>J6</v>
      </c>
      <c r="E1623" t="str">
        <f t="shared" ca="1" si="527"/>
        <v/>
      </c>
      <c r="F1623" t="str">
        <f t="shared" ca="1" si="528"/>
        <v xml:space="preserve">Enter a 'Placed-In-Service Date' for  building 3 in cell J6.
</v>
      </c>
      <c r="G1623" s="9" t="str">
        <f t="shared" ca="1" si="509"/>
        <v xml:space="preserve">Enter a value for 'Number of Floors in the Tallest Building' in cell B60.
</v>
      </c>
      <c r="H1623" s="52" t="str">
        <f t="shared" ca="1" si="529"/>
        <v>Placed-In-Service Date</v>
      </c>
      <c r="I1623" s="52">
        <v>10</v>
      </c>
    </row>
    <row r="1624" spans="1:10" ht="15" customHeight="1">
      <c r="A1624" t="str">
        <f t="shared" ca="1" si="524"/>
        <v/>
      </c>
      <c r="B1624">
        <f t="shared" si="525"/>
        <v>6</v>
      </c>
      <c r="C1624">
        <f t="shared" ca="1" si="511"/>
        <v>3</v>
      </c>
      <c r="D1624" t="str">
        <f t="shared" si="526"/>
        <v>K6</v>
      </c>
      <c r="E1624" t="str">
        <f t="shared" ca="1" si="527"/>
        <v/>
      </c>
      <c r="F1624" t="str">
        <f t="shared" ca="1" si="528"/>
        <v xml:space="preserve">Enter a 'New Construction/ Rehab APR' for  building 3 in cell K6.
</v>
      </c>
      <c r="G1624" s="9" t="str">
        <f t="shared" ca="1" si="509"/>
        <v xml:space="preserve">Enter a value for 'Number of Floors in the Tallest Building' in cell B60.
</v>
      </c>
      <c r="H1624" s="52" t="str">
        <f t="shared" ca="1" si="529"/>
        <v>New Construction/ Rehab APR</v>
      </c>
      <c r="I1624" s="52">
        <v>11</v>
      </c>
    </row>
    <row r="1625" spans="1:10" ht="15" customHeight="1">
      <c r="A1625" t="str">
        <f t="shared" ca="1" si="524"/>
        <v/>
      </c>
      <c r="B1625">
        <f t="shared" si="525"/>
        <v>6</v>
      </c>
      <c r="C1625">
        <f t="shared" ca="1" si="511"/>
        <v>3</v>
      </c>
      <c r="D1625" t="str">
        <f t="shared" si="526"/>
        <v>L6</v>
      </c>
      <c r="E1625" t="str">
        <f t="shared" ca="1" si="527"/>
        <v/>
      </c>
      <c r="F1625" t="str">
        <f t="shared" ca="1" si="528"/>
        <v xml:space="preserve">Enter a 'New Construction Eligible Basis' for  building 3 in cell L6.
</v>
      </c>
      <c r="G1625" s="9" t="str">
        <f t="shared" ca="1" si="509"/>
        <v xml:space="preserve">Enter a value for 'Number of Floors in the Tallest Building' in cell B60.
</v>
      </c>
      <c r="H1625" s="52" t="str">
        <f t="shared" ca="1" si="529"/>
        <v>New Construction Eligible Basis</v>
      </c>
      <c r="I1625" s="52">
        <v>12</v>
      </c>
    </row>
    <row r="1626" spans="1:10" ht="15" customHeight="1">
      <c r="A1626" t="str">
        <f ca="1">IF(AND(OFFSET(A1626, -I1626 + 2, 4) &gt;  0, E1626="", Calculations!$B$7), F1626, "")</f>
        <v/>
      </c>
      <c r="B1626">
        <f t="shared" si="525"/>
        <v>6</v>
      </c>
      <c r="C1626">
        <f t="shared" ca="1" si="511"/>
        <v>3</v>
      </c>
      <c r="D1626" t="str">
        <f t="shared" si="526"/>
        <v>M6</v>
      </c>
      <c r="E1626" t="str">
        <f t="shared" ca="1" si="527"/>
        <v/>
      </c>
      <c r="F1626" t="str">
        <f t="shared" ca="1" si="528"/>
        <v xml:space="preserve">Enter a 'Eligible Basis for Rehab' for  building 3 in cell M6.
</v>
      </c>
      <c r="G1626" s="9" t="str">
        <f t="shared" ca="1" si="509"/>
        <v xml:space="preserve">Enter a value for 'Number of Floors in the Tallest Building' in cell B60.
</v>
      </c>
      <c r="H1626" s="52" t="str">
        <f t="shared" ca="1" si="529"/>
        <v>Eligible Basis for Rehab</v>
      </c>
      <c r="I1626" s="52">
        <v>13</v>
      </c>
    </row>
    <row r="1627" spans="1:10" ht="15" customHeight="1">
      <c r="A1627" t="str">
        <f ca="1">IF(AND(OFFSET(A1627, -I1627 + 2, 4) &gt;  0, E1627="", Calculations!$B$7), F1627, "")</f>
        <v/>
      </c>
      <c r="B1627">
        <f t="shared" si="525"/>
        <v>6</v>
      </c>
      <c r="C1627">
        <f t="shared" ca="1" si="511"/>
        <v>3</v>
      </c>
      <c r="D1627" t="str">
        <f t="shared" si="526"/>
        <v>N6</v>
      </c>
      <c r="E1627" t="str">
        <f t="shared" ca="1" si="527"/>
        <v/>
      </c>
      <c r="F1627" t="str">
        <f t="shared" ca="1" si="528"/>
        <v xml:space="preserve">Enter a 'Cost of Acquiring the Building***' for  building 3 in cell N6.
</v>
      </c>
      <c r="G1627" s="9" t="str">
        <f t="shared" ca="1" si="509"/>
        <v xml:space="preserve">Enter a value for 'Number of Floors in the Tallest Building' in cell B60.
</v>
      </c>
      <c r="H1627" s="52" t="str">
        <f t="shared" ca="1" si="529"/>
        <v>Cost of Acquiring the Building***</v>
      </c>
      <c r="I1627" s="52">
        <v>14</v>
      </c>
    </row>
    <row r="1628" spans="1:10" ht="15" customHeight="1">
      <c r="A1628" t="str">
        <f ca="1">IF(AND(OFFSET(A1628, -I1628 + 2, 4) &gt;  0, E1628="", Calculations!$B$7), F1628, "")</f>
        <v/>
      </c>
      <c r="B1628">
        <f t="shared" si="525"/>
        <v>6</v>
      </c>
      <c r="C1628">
        <f t="shared" ca="1" si="511"/>
        <v>3</v>
      </c>
      <c r="D1628" t="str">
        <f t="shared" si="526"/>
        <v>O6</v>
      </c>
      <c r="E1628" t="str">
        <f t="shared" ca="1" si="527"/>
        <v/>
      </c>
      <c r="F1628" t="str">
        <f t="shared" ca="1" si="528"/>
        <v xml:space="preserve">Enter a 'Higher of Land Purchase Price or Land Appraised Value****' for  building 3 in cell O6.
</v>
      </c>
      <c r="G1628" s="9" t="str">
        <f t="shared" ca="1" si="509"/>
        <v xml:space="preserve">Enter a value for 'Number of Floors in the Tallest Building' in cell B60.
</v>
      </c>
      <c r="H1628" s="52" t="str">
        <f t="shared" ca="1" si="529"/>
        <v>Higher of Land Purchase Price or Land Appraised Value****</v>
      </c>
      <c r="I1628" s="52">
        <v>15</v>
      </c>
    </row>
    <row r="1629" spans="1:10" ht="15" customHeight="1">
      <c r="A1629" t="str">
        <f ca="1">IF(AND(OFFSET(A1629, -I1629 + 2, 4) &gt;  0, E1629="", Calculations!$B$7), F1629, "")</f>
        <v/>
      </c>
      <c r="B1629">
        <f t="shared" si="525"/>
        <v>6</v>
      </c>
      <c r="C1629">
        <f t="shared" ca="1" si="511"/>
        <v>3</v>
      </c>
      <c r="D1629" t="str">
        <f t="shared" si="526"/>
        <v>P6</v>
      </c>
      <c r="E1629" t="str">
        <f t="shared" ca="1" si="527"/>
        <v/>
      </c>
      <c r="F1629" t="str">
        <f t="shared" ca="1" si="528"/>
        <v xml:space="preserve">Enter a 'Acquisition Placed-in-Service Date' for  building 3 in cell P6.
</v>
      </c>
      <c r="G1629" s="9" t="str">
        <f t="shared" ca="1" si="509"/>
        <v xml:space="preserve">Enter a value for 'Number of Floors in the Tallest Building' in cell B60.
</v>
      </c>
      <c r="H1629" s="52" t="str">
        <f t="shared" ca="1" si="529"/>
        <v>Acquisition Placed-in-Service Date</v>
      </c>
      <c r="I1629" s="52">
        <v>16</v>
      </c>
    </row>
    <row r="1630" spans="1:10" ht="15" customHeight="1">
      <c r="A1630" t="str">
        <f ca="1">IF(AND(OFFSET(A1630, -I1630 + 2, 4) &gt;  0, E1630="", Calculations!$B$7), F1630, "")</f>
        <v/>
      </c>
      <c r="B1630">
        <f t="shared" si="525"/>
        <v>6</v>
      </c>
      <c r="C1630">
        <f t="shared" ca="1" si="511"/>
        <v>3</v>
      </c>
      <c r="D1630" t="str">
        <f t="shared" si="526"/>
        <v>Q6</v>
      </c>
      <c r="E1630" t="str">
        <f t="shared" ca="1" si="527"/>
        <v/>
      </c>
      <c r="F1630" t="str">
        <f t="shared" ca="1" si="528"/>
        <v xml:space="preserve">Enter a 'Acquisition APR' for  building 3 in cell Q6.
</v>
      </c>
      <c r="G1630" s="9" t="str">
        <f t="shared" ca="1" si="509"/>
        <v xml:space="preserve">Enter a value for 'Number of Floors in the Tallest Building' in cell B60.
</v>
      </c>
      <c r="H1630" s="52" t="str">
        <f t="shared" ca="1" si="529"/>
        <v>Acquisition APR</v>
      </c>
      <c r="I1630" s="52">
        <v>17</v>
      </c>
    </row>
    <row r="1631" spans="1:10" ht="15" customHeight="1">
      <c r="A1631" t="str">
        <f ca="1">IF(AND(Calculations!$B$4,Calculations!$B$29&gt;=C1631, E1631 &lt;&gt; 13),F1631,"")</f>
        <v/>
      </c>
      <c r="B1631">
        <f>ROW('Final Building Profile'!C7)</f>
        <v>7</v>
      </c>
      <c r="C1631">
        <f t="shared" ca="1" si="511"/>
        <v>4</v>
      </c>
      <c r="D1631" t="str">
        <f>ADDRESS(B1631, 3,4  )</f>
        <v>C7</v>
      </c>
      <c r="E1631" s="52">
        <f ca="1">H1631+I1631</f>
        <v>0</v>
      </c>
      <c r="F1631" t="str">
        <f ca="1">CONCATENATE("Based upon the number of buildings specified, information for  building ", C1631, " required for a final application in row ", B1631, ".", CHAR(10))</f>
        <v xml:space="preserve">Based upon the number of buildings specified, information for  building 4 required for a final application in row 7.
</v>
      </c>
      <c r="G1631" s="9" t="str">
        <f t="shared" ca="1" si="509"/>
        <v xml:space="preserve">Enter a value for 'Number of Floors in the Tallest Building' in cell B60.
</v>
      </c>
      <c r="H1631" s="52">
        <f ca="1">SUMPRODUCT(--ISTEXT(INDIRECT(J1631)))</f>
        <v>0</v>
      </c>
      <c r="I1631" s="52">
        <f ca="1">SUMPRODUCT(--ISNUMBER(INDIRECT(J1631)))</f>
        <v>0</v>
      </c>
      <c r="J1631" s="52" t="str">
        <f>$F$1565&amp; ADDRESS(B1631,3,4) &amp; ":" &amp; ADDRESS(B1631,15,4)</f>
        <v>'Final Building Profile'!C7:O7</v>
      </c>
    </row>
    <row r="1632" spans="1:10" ht="15" customHeight="1">
      <c r="A1632" t="str">
        <f t="shared" ref="A1632:A1641" ca="1" si="530">IF(AND(OFFSET(A1632, -I1632 + 2, 4) &gt;  0, E1632=""), F1632, "")</f>
        <v/>
      </c>
      <c r="B1632">
        <f t="shared" ref="B1632:B1646" si="531">B1631</f>
        <v>7</v>
      </c>
      <c r="C1632">
        <f t="shared" ca="1" si="511"/>
        <v>4</v>
      </c>
      <c r="D1632" t="str">
        <f t="shared" ref="D1632:D1646" si="532">ADDRESS(B1632, I1632,4  )</f>
        <v>C7</v>
      </c>
      <c r="E1632" t="str">
        <f t="shared" ref="E1632:E1646" ca="1" si="533">IF(ISBLANK( INDIRECT($F$1565 &amp; D1632)),"", INDIRECT($F$1565 &amp; D1632))</f>
        <v/>
      </c>
      <c r="F1632" t="str">
        <f t="shared" ref="F1632:F1646" ca="1" si="534">CONCATENATE("Enter a '"&amp; H1632 &amp;"' for  building ", C1632, " in cell ", D1632, ".", CHAR(10))</f>
        <v xml:space="preserve">Enter a 'Building Street Address Only 
(DO NOT ENTER CITY, STATE, OR ZIP)' for  building 4 in cell C7.
</v>
      </c>
      <c r="G1632" s="9" t="str">
        <f t="shared" ref="G1632:G1695" ca="1" si="535">OFFSET(G1632, -1, 0) &amp; A1632</f>
        <v xml:space="preserve">Enter a value for 'Number of Floors in the Tallest Building' in cell B60.
</v>
      </c>
      <c r="H1632" s="52" t="str">
        <f t="shared" ref="H1632:H1646" ca="1" si="536">OFFSET(INDIRECT($F$1565 &amp; D1632), -B1632 + 3, 0)</f>
        <v>Building Street Address Only 
(DO NOT ENTER CITY, STATE, OR ZIP)</v>
      </c>
      <c r="I1632" s="52">
        <v>3</v>
      </c>
    </row>
    <row r="1633" spans="1:10" ht="15" customHeight="1">
      <c r="A1633" t="str">
        <f t="shared" ca="1" si="530"/>
        <v/>
      </c>
      <c r="B1633">
        <f t="shared" si="531"/>
        <v>7</v>
      </c>
      <c r="C1633">
        <f t="shared" ca="1" si="511"/>
        <v>4</v>
      </c>
      <c r="D1633" t="str">
        <f t="shared" si="532"/>
        <v>D7</v>
      </c>
      <c r="E1633" t="str">
        <f t="shared" ca="1" si="533"/>
        <v/>
      </c>
      <c r="F1633" t="str">
        <f t="shared" ca="1" si="534"/>
        <v xml:space="preserve">Enter a 'Total Units in Building*' for  building 4 in cell D7.
</v>
      </c>
      <c r="G1633" s="9" t="str">
        <f t="shared" ca="1" si="535"/>
        <v xml:space="preserve">Enter a value for 'Number of Floors in the Tallest Building' in cell B60.
</v>
      </c>
      <c r="H1633" s="52" t="str">
        <f t="shared" ca="1" si="536"/>
        <v>Total Units in Building*</v>
      </c>
      <c r="I1633" s="52">
        <v>4</v>
      </c>
    </row>
    <row r="1634" spans="1:10" ht="15" customHeight="1">
      <c r="A1634" t="str">
        <f t="shared" ca="1" si="530"/>
        <v/>
      </c>
      <c r="B1634">
        <f t="shared" si="531"/>
        <v>7</v>
      </c>
      <c r="C1634">
        <f t="shared" ca="1" si="511"/>
        <v>4</v>
      </c>
      <c r="D1634" t="str">
        <f t="shared" si="532"/>
        <v>E7</v>
      </c>
      <c r="E1634" t="str">
        <f t="shared" ca="1" si="533"/>
        <v/>
      </c>
      <c r="F1634" t="str">
        <f t="shared" ca="1" si="534"/>
        <v xml:space="preserve">Enter a 'Employee Units' for  building 4 in cell E7.
</v>
      </c>
      <c r="G1634" s="9" t="str">
        <f t="shared" ca="1" si="535"/>
        <v xml:space="preserve">Enter a value for 'Number of Floors in the Tallest Building' in cell B60.
</v>
      </c>
      <c r="H1634" s="52" t="str">
        <f t="shared" ca="1" si="536"/>
        <v>Employee Units</v>
      </c>
      <c r="I1634" s="52">
        <v>5</v>
      </c>
    </row>
    <row r="1635" spans="1:10" ht="15" customHeight="1">
      <c r="A1635" t="str">
        <f t="shared" ca="1" si="530"/>
        <v/>
      </c>
      <c r="B1635">
        <f t="shared" si="531"/>
        <v>7</v>
      </c>
      <c r="C1635">
        <f t="shared" ca="1" si="511"/>
        <v>4</v>
      </c>
      <c r="D1635" t="str">
        <f t="shared" si="532"/>
        <v>F7</v>
      </c>
      <c r="E1635" t="str">
        <f t="shared" ca="1" si="533"/>
        <v/>
      </c>
      <c r="F1635" t="str">
        <f t="shared" ca="1" si="534"/>
        <v xml:space="preserve">Enter a 'Low-Income Units' for  building 4 in cell F7.
</v>
      </c>
      <c r="G1635" s="9" t="str">
        <f t="shared" ca="1" si="535"/>
        <v xml:space="preserve">Enter a value for 'Number of Floors in the Tallest Building' in cell B60.
</v>
      </c>
      <c r="H1635" s="52" t="str">
        <f t="shared" ca="1" si="536"/>
        <v>Low-Income Units</v>
      </c>
      <c r="I1635" s="52">
        <v>6</v>
      </c>
    </row>
    <row r="1636" spans="1:10" ht="15" customHeight="1">
      <c r="A1636" t="str">
        <f t="shared" ca="1" si="530"/>
        <v/>
      </c>
      <c r="B1636">
        <f t="shared" si="531"/>
        <v>7</v>
      </c>
      <c r="C1636">
        <f t="shared" ca="1" si="511"/>
        <v>4</v>
      </c>
      <c r="D1636" t="str">
        <f t="shared" si="532"/>
        <v>G7</v>
      </c>
      <c r="E1636" t="str">
        <f t="shared" ca="1" si="533"/>
        <v/>
      </c>
      <c r="F1636" t="str">
        <f t="shared" ca="1" si="534"/>
        <v xml:space="preserve">Enter a 'Residential Square Footage**' for  building 4 in cell G7.
</v>
      </c>
      <c r="G1636" s="9" t="str">
        <f t="shared" ca="1" si="535"/>
        <v xml:space="preserve">Enter a value for 'Number of Floors in the Tallest Building' in cell B60.
</v>
      </c>
      <c r="H1636" s="52" t="str">
        <f t="shared" ca="1" si="536"/>
        <v>Residential Square Footage**</v>
      </c>
      <c r="I1636" s="52">
        <v>7</v>
      </c>
    </row>
    <row r="1637" spans="1:10" ht="15" customHeight="1">
      <c r="A1637" t="str">
        <f t="shared" ca="1" si="530"/>
        <v/>
      </c>
      <c r="B1637">
        <f t="shared" si="531"/>
        <v>7</v>
      </c>
      <c r="C1637">
        <f t="shared" ca="1" si="511"/>
        <v>4</v>
      </c>
      <c r="D1637" t="str">
        <f t="shared" si="532"/>
        <v>H7</v>
      </c>
      <c r="E1637" t="str">
        <f t="shared" ca="1" si="533"/>
        <v/>
      </c>
      <c r="F1637" t="str">
        <f t="shared" ca="1" si="534"/>
        <v xml:space="preserve">Enter a 'Square Footage of Employee Units' for  building 4 in cell H7.
</v>
      </c>
      <c r="G1637" s="9" t="str">
        <f t="shared" ca="1" si="535"/>
        <v xml:space="preserve">Enter a value for 'Number of Floors in the Tallest Building' in cell B60.
</v>
      </c>
      <c r="H1637" s="52" t="str">
        <f t="shared" ca="1" si="536"/>
        <v>Square Footage of Employee Units</v>
      </c>
      <c r="I1637" s="52">
        <v>8</v>
      </c>
    </row>
    <row r="1638" spans="1:10" ht="15" customHeight="1">
      <c r="A1638" t="str">
        <f t="shared" ca="1" si="530"/>
        <v/>
      </c>
      <c r="B1638">
        <f t="shared" si="531"/>
        <v>7</v>
      </c>
      <c r="C1638">
        <f t="shared" ca="1" si="511"/>
        <v>4</v>
      </c>
      <c r="D1638" t="str">
        <f t="shared" si="532"/>
        <v>I7</v>
      </c>
      <c r="E1638" t="str">
        <f t="shared" ca="1" si="533"/>
        <v/>
      </c>
      <c r="F1638" t="str">
        <f t="shared" ca="1" si="534"/>
        <v xml:space="preserve">Enter a 'Square Footage of Low-Income Units' for  building 4 in cell I7.
</v>
      </c>
      <c r="G1638" s="9" t="str">
        <f t="shared" ca="1" si="535"/>
        <v xml:space="preserve">Enter a value for 'Number of Floors in the Tallest Building' in cell B60.
</v>
      </c>
      <c r="H1638" s="52" t="str">
        <f t="shared" ca="1" si="536"/>
        <v>Square Footage of Low-Income Units</v>
      </c>
      <c r="I1638" s="52">
        <v>9</v>
      </c>
    </row>
    <row r="1639" spans="1:10" ht="15" customHeight="1">
      <c r="A1639" t="str">
        <f t="shared" ca="1" si="530"/>
        <v/>
      </c>
      <c r="B1639">
        <f t="shared" si="531"/>
        <v>7</v>
      </c>
      <c r="C1639">
        <f t="shared" ca="1" si="511"/>
        <v>4</v>
      </c>
      <c r="D1639" t="str">
        <f t="shared" si="532"/>
        <v>J7</v>
      </c>
      <c r="E1639" t="str">
        <f t="shared" ca="1" si="533"/>
        <v/>
      </c>
      <c r="F1639" t="str">
        <f t="shared" ca="1" si="534"/>
        <v xml:space="preserve">Enter a 'Placed-In-Service Date' for  building 4 in cell J7.
</v>
      </c>
      <c r="G1639" s="9" t="str">
        <f t="shared" ca="1" si="535"/>
        <v xml:space="preserve">Enter a value for 'Number of Floors in the Tallest Building' in cell B60.
</v>
      </c>
      <c r="H1639" s="52" t="str">
        <f t="shared" ca="1" si="536"/>
        <v>Placed-In-Service Date</v>
      </c>
      <c r="I1639" s="52">
        <v>10</v>
      </c>
    </row>
    <row r="1640" spans="1:10" ht="15" customHeight="1">
      <c r="A1640" t="str">
        <f t="shared" ca="1" si="530"/>
        <v/>
      </c>
      <c r="B1640">
        <f t="shared" si="531"/>
        <v>7</v>
      </c>
      <c r="C1640">
        <f t="shared" ca="1" si="511"/>
        <v>4</v>
      </c>
      <c r="D1640" t="str">
        <f t="shared" si="532"/>
        <v>K7</v>
      </c>
      <c r="E1640" t="str">
        <f t="shared" ca="1" si="533"/>
        <v/>
      </c>
      <c r="F1640" t="str">
        <f t="shared" ca="1" si="534"/>
        <v xml:space="preserve">Enter a 'New Construction/ Rehab APR' for  building 4 in cell K7.
</v>
      </c>
      <c r="G1640" s="9" t="str">
        <f t="shared" ca="1" si="535"/>
        <v xml:space="preserve">Enter a value for 'Number of Floors in the Tallest Building' in cell B60.
</v>
      </c>
      <c r="H1640" s="52" t="str">
        <f t="shared" ca="1" si="536"/>
        <v>New Construction/ Rehab APR</v>
      </c>
      <c r="I1640" s="52">
        <v>11</v>
      </c>
    </row>
    <row r="1641" spans="1:10" ht="15" customHeight="1">
      <c r="A1641" t="str">
        <f t="shared" ca="1" si="530"/>
        <v/>
      </c>
      <c r="B1641">
        <f t="shared" si="531"/>
        <v>7</v>
      </c>
      <c r="C1641">
        <f t="shared" ca="1" si="511"/>
        <v>4</v>
      </c>
      <c r="D1641" t="str">
        <f t="shared" si="532"/>
        <v>L7</v>
      </c>
      <c r="E1641" t="str">
        <f t="shared" ca="1" si="533"/>
        <v/>
      </c>
      <c r="F1641" t="str">
        <f t="shared" ca="1" si="534"/>
        <v xml:space="preserve">Enter a 'New Construction Eligible Basis' for  building 4 in cell L7.
</v>
      </c>
      <c r="G1641" s="9" t="str">
        <f t="shared" ca="1" si="535"/>
        <v xml:space="preserve">Enter a value for 'Number of Floors in the Tallest Building' in cell B60.
</v>
      </c>
      <c r="H1641" s="52" t="str">
        <f t="shared" ca="1" si="536"/>
        <v>New Construction Eligible Basis</v>
      </c>
      <c r="I1641" s="52">
        <v>12</v>
      </c>
    </row>
    <row r="1642" spans="1:10" ht="15" customHeight="1">
      <c r="A1642" t="str">
        <f ca="1">IF(AND(OFFSET(A1642, -I1642 + 2, 4) &gt;  0, E1642="", Calculations!$B$7), F1642, "")</f>
        <v/>
      </c>
      <c r="B1642">
        <f t="shared" si="531"/>
        <v>7</v>
      </c>
      <c r="C1642">
        <f t="shared" ca="1" si="511"/>
        <v>4</v>
      </c>
      <c r="D1642" t="str">
        <f t="shared" si="532"/>
        <v>M7</v>
      </c>
      <c r="E1642" t="str">
        <f t="shared" ca="1" si="533"/>
        <v/>
      </c>
      <c r="F1642" t="str">
        <f t="shared" ca="1" si="534"/>
        <v xml:space="preserve">Enter a 'Eligible Basis for Rehab' for  building 4 in cell M7.
</v>
      </c>
      <c r="G1642" s="9" t="str">
        <f t="shared" ca="1" si="535"/>
        <v xml:space="preserve">Enter a value for 'Number of Floors in the Tallest Building' in cell B60.
</v>
      </c>
      <c r="H1642" s="52" t="str">
        <f t="shared" ca="1" si="536"/>
        <v>Eligible Basis for Rehab</v>
      </c>
      <c r="I1642" s="52">
        <v>13</v>
      </c>
    </row>
    <row r="1643" spans="1:10" ht="15" customHeight="1">
      <c r="A1643" t="str">
        <f ca="1">IF(AND(OFFSET(A1643, -I1643 + 2, 4) &gt;  0, E1643="", Calculations!$B$7), F1643, "")</f>
        <v/>
      </c>
      <c r="B1643">
        <f t="shared" si="531"/>
        <v>7</v>
      </c>
      <c r="C1643">
        <f t="shared" ca="1" si="511"/>
        <v>4</v>
      </c>
      <c r="D1643" t="str">
        <f t="shared" si="532"/>
        <v>N7</v>
      </c>
      <c r="E1643" t="str">
        <f t="shared" ca="1" si="533"/>
        <v/>
      </c>
      <c r="F1643" t="str">
        <f t="shared" ca="1" si="534"/>
        <v xml:space="preserve">Enter a 'Cost of Acquiring the Building***' for  building 4 in cell N7.
</v>
      </c>
      <c r="G1643" s="9" t="str">
        <f t="shared" ca="1" si="535"/>
        <v xml:space="preserve">Enter a value for 'Number of Floors in the Tallest Building' in cell B60.
</v>
      </c>
      <c r="H1643" s="52" t="str">
        <f t="shared" ca="1" si="536"/>
        <v>Cost of Acquiring the Building***</v>
      </c>
      <c r="I1643" s="52">
        <v>14</v>
      </c>
    </row>
    <row r="1644" spans="1:10" ht="15" customHeight="1">
      <c r="A1644" t="str">
        <f ca="1">IF(AND(OFFSET(A1644, -I1644 + 2, 4) &gt;  0, E1644="", Calculations!$B$7), F1644, "")</f>
        <v/>
      </c>
      <c r="B1644">
        <f t="shared" si="531"/>
        <v>7</v>
      </c>
      <c r="C1644">
        <f t="shared" ca="1" si="511"/>
        <v>4</v>
      </c>
      <c r="D1644" t="str">
        <f t="shared" si="532"/>
        <v>O7</v>
      </c>
      <c r="E1644" t="str">
        <f t="shared" ca="1" si="533"/>
        <v/>
      </c>
      <c r="F1644" t="str">
        <f t="shared" ca="1" si="534"/>
        <v xml:space="preserve">Enter a 'Higher of Land Purchase Price or Land Appraised Value****' for  building 4 in cell O7.
</v>
      </c>
      <c r="G1644" s="9" t="str">
        <f t="shared" ca="1" si="535"/>
        <v xml:space="preserve">Enter a value for 'Number of Floors in the Tallest Building' in cell B60.
</v>
      </c>
      <c r="H1644" s="52" t="str">
        <f t="shared" ca="1" si="536"/>
        <v>Higher of Land Purchase Price or Land Appraised Value****</v>
      </c>
      <c r="I1644" s="52">
        <v>15</v>
      </c>
    </row>
    <row r="1645" spans="1:10" ht="15" customHeight="1">
      <c r="A1645" t="str">
        <f ca="1">IF(AND(OFFSET(A1645, -I1645 + 2, 4) &gt;  0, E1645="", Calculations!$B$7), F1645, "")</f>
        <v/>
      </c>
      <c r="B1645">
        <f t="shared" si="531"/>
        <v>7</v>
      </c>
      <c r="C1645">
        <f t="shared" ca="1" si="511"/>
        <v>4</v>
      </c>
      <c r="D1645" t="str">
        <f t="shared" si="532"/>
        <v>P7</v>
      </c>
      <c r="E1645" t="str">
        <f t="shared" ca="1" si="533"/>
        <v/>
      </c>
      <c r="F1645" t="str">
        <f t="shared" ca="1" si="534"/>
        <v xml:space="preserve">Enter a 'Acquisition Placed-in-Service Date' for  building 4 in cell P7.
</v>
      </c>
      <c r="G1645" s="9" t="str">
        <f t="shared" ca="1" si="535"/>
        <v xml:space="preserve">Enter a value for 'Number of Floors in the Tallest Building' in cell B60.
</v>
      </c>
      <c r="H1645" s="52" t="str">
        <f t="shared" ca="1" si="536"/>
        <v>Acquisition Placed-in-Service Date</v>
      </c>
      <c r="I1645" s="52">
        <v>16</v>
      </c>
    </row>
    <row r="1646" spans="1:10" ht="15" customHeight="1">
      <c r="A1646" t="str">
        <f ca="1">IF(AND(OFFSET(A1646, -I1646 + 2, 4) &gt;  0, E1646="", Calculations!$B$7), F1646, "")</f>
        <v/>
      </c>
      <c r="B1646">
        <f t="shared" si="531"/>
        <v>7</v>
      </c>
      <c r="C1646">
        <f t="shared" ca="1" si="511"/>
        <v>4</v>
      </c>
      <c r="D1646" t="str">
        <f t="shared" si="532"/>
        <v>Q7</v>
      </c>
      <c r="E1646" t="str">
        <f t="shared" ca="1" si="533"/>
        <v/>
      </c>
      <c r="F1646" t="str">
        <f t="shared" ca="1" si="534"/>
        <v xml:space="preserve">Enter a 'Acquisition APR' for  building 4 in cell Q7.
</v>
      </c>
      <c r="G1646" s="9" t="str">
        <f t="shared" ca="1" si="535"/>
        <v xml:space="preserve">Enter a value for 'Number of Floors in the Tallest Building' in cell B60.
</v>
      </c>
      <c r="H1646" s="52" t="str">
        <f t="shared" ca="1" si="536"/>
        <v>Acquisition APR</v>
      </c>
      <c r="I1646" s="52">
        <v>17</v>
      </c>
    </row>
    <row r="1647" spans="1:10" ht="15" customHeight="1">
      <c r="A1647" t="str">
        <f ca="1">IF(AND(Calculations!$B$4,Calculations!$B$29&gt;=C1647, E1647 &lt;&gt; 13),F1647,"")</f>
        <v/>
      </c>
      <c r="B1647">
        <f>ROW('Final Building Profile'!C8)</f>
        <v>8</v>
      </c>
      <c r="C1647">
        <f t="shared" ref="C1647:C1710" ca="1" si="537">INDIRECT($F$1565 &amp; ADDRESS(B1647, 1,4  ))</f>
        <v>5</v>
      </c>
      <c r="D1647" t="str">
        <f>ADDRESS(B1647, 3,4  )</f>
        <v>C8</v>
      </c>
      <c r="E1647" s="52">
        <f ca="1">H1647+I1647</f>
        <v>0</v>
      </c>
      <c r="F1647" t="str">
        <f ca="1">CONCATENATE("Based upon the number of buildings specified, information for  building ", C1647, " required for a final application in row ", B1647, ".", CHAR(10))</f>
        <v xml:space="preserve">Based upon the number of buildings specified, information for  building 5 required for a final application in row 8.
</v>
      </c>
      <c r="G1647" s="9" t="str">
        <f t="shared" ca="1" si="535"/>
        <v xml:space="preserve">Enter a value for 'Number of Floors in the Tallest Building' in cell B60.
</v>
      </c>
      <c r="H1647" s="52">
        <f ca="1">SUMPRODUCT(--ISTEXT(INDIRECT(J1647)))</f>
        <v>0</v>
      </c>
      <c r="I1647" s="52">
        <f ca="1">SUMPRODUCT(--ISNUMBER(INDIRECT(J1647)))</f>
        <v>0</v>
      </c>
      <c r="J1647" s="52" t="str">
        <f>$F$1565&amp; ADDRESS(B1647,3,4) &amp; ":" &amp; ADDRESS(B1647,15,4)</f>
        <v>'Final Building Profile'!C8:O8</v>
      </c>
    </row>
    <row r="1648" spans="1:10" ht="15" customHeight="1">
      <c r="A1648" t="str">
        <f t="shared" ref="A1648:A1657" ca="1" si="538">IF(AND(OFFSET(A1648, -I1648 + 2, 4) &gt;  0, E1648=""), F1648, "")</f>
        <v/>
      </c>
      <c r="B1648">
        <f t="shared" ref="B1648:B1662" si="539">B1647</f>
        <v>8</v>
      </c>
      <c r="C1648">
        <f t="shared" ca="1" si="537"/>
        <v>5</v>
      </c>
      <c r="D1648" t="str">
        <f t="shared" ref="D1648:D1662" si="540">ADDRESS(B1648, I1648,4  )</f>
        <v>C8</v>
      </c>
      <c r="E1648" t="str">
        <f t="shared" ref="E1648:E1662" ca="1" si="541">IF(ISBLANK( INDIRECT($F$1565 &amp; D1648)),"", INDIRECT($F$1565 &amp; D1648))</f>
        <v/>
      </c>
      <c r="F1648" t="str">
        <f t="shared" ref="F1648:F1662" ca="1" si="542">CONCATENATE("Enter a '"&amp; H1648 &amp;"' for  building ", C1648, " in cell ", D1648, ".", CHAR(10))</f>
        <v xml:space="preserve">Enter a 'Building Street Address Only 
(DO NOT ENTER CITY, STATE, OR ZIP)' for  building 5 in cell C8.
</v>
      </c>
      <c r="G1648" s="9" t="str">
        <f t="shared" ca="1" si="535"/>
        <v xml:space="preserve">Enter a value for 'Number of Floors in the Tallest Building' in cell B60.
</v>
      </c>
      <c r="H1648" s="52" t="str">
        <f t="shared" ref="H1648:H1662" ca="1" si="543">OFFSET(INDIRECT($F$1565 &amp; D1648), -B1648 + 3, 0)</f>
        <v>Building Street Address Only 
(DO NOT ENTER CITY, STATE, OR ZIP)</v>
      </c>
      <c r="I1648" s="52">
        <v>3</v>
      </c>
    </row>
    <row r="1649" spans="1:10" ht="15" customHeight="1">
      <c r="A1649" t="str">
        <f t="shared" ca="1" si="538"/>
        <v/>
      </c>
      <c r="B1649">
        <f t="shared" si="539"/>
        <v>8</v>
      </c>
      <c r="C1649">
        <f t="shared" ca="1" si="537"/>
        <v>5</v>
      </c>
      <c r="D1649" t="str">
        <f t="shared" si="540"/>
        <v>D8</v>
      </c>
      <c r="E1649" t="str">
        <f t="shared" ca="1" si="541"/>
        <v/>
      </c>
      <c r="F1649" t="str">
        <f t="shared" ca="1" si="542"/>
        <v xml:space="preserve">Enter a 'Total Units in Building*' for  building 5 in cell D8.
</v>
      </c>
      <c r="G1649" s="9" t="str">
        <f t="shared" ca="1" si="535"/>
        <v xml:space="preserve">Enter a value for 'Number of Floors in the Tallest Building' in cell B60.
</v>
      </c>
      <c r="H1649" s="52" t="str">
        <f t="shared" ca="1" si="543"/>
        <v>Total Units in Building*</v>
      </c>
      <c r="I1649" s="52">
        <v>4</v>
      </c>
    </row>
    <row r="1650" spans="1:10" ht="15" customHeight="1">
      <c r="A1650" t="str">
        <f t="shared" ca="1" si="538"/>
        <v/>
      </c>
      <c r="B1650">
        <f t="shared" si="539"/>
        <v>8</v>
      </c>
      <c r="C1650">
        <f t="shared" ca="1" si="537"/>
        <v>5</v>
      </c>
      <c r="D1650" t="str">
        <f t="shared" si="540"/>
        <v>E8</v>
      </c>
      <c r="E1650" t="str">
        <f t="shared" ca="1" si="541"/>
        <v/>
      </c>
      <c r="F1650" t="str">
        <f t="shared" ca="1" si="542"/>
        <v xml:space="preserve">Enter a 'Employee Units' for  building 5 in cell E8.
</v>
      </c>
      <c r="G1650" s="9" t="str">
        <f t="shared" ca="1" si="535"/>
        <v xml:space="preserve">Enter a value for 'Number of Floors in the Tallest Building' in cell B60.
</v>
      </c>
      <c r="H1650" s="52" t="str">
        <f t="shared" ca="1" si="543"/>
        <v>Employee Units</v>
      </c>
      <c r="I1650" s="52">
        <v>5</v>
      </c>
    </row>
    <row r="1651" spans="1:10" ht="15" customHeight="1">
      <c r="A1651" t="str">
        <f t="shared" ca="1" si="538"/>
        <v/>
      </c>
      <c r="B1651">
        <f t="shared" si="539"/>
        <v>8</v>
      </c>
      <c r="C1651">
        <f t="shared" ca="1" si="537"/>
        <v>5</v>
      </c>
      <c r="D1651" t="str">
        <f t="shared" si="540"/>
        <v>F8</v>
      </c>
      <c r="E1651" t="str">
        <f t="shared" ca="1" si="541"/>
        <v/>
      </c>
      <c r="F1651" t="str">
        <f t="shared" ca="1" si="542"/>
        <v xml:space="preserve">Enter a 'Low-Income Units' for  building 5 in cell F8.
</v>
      </c>
      <c r="G1651" s="9" t="str">
        <f t="shared" ca="1" si="535"/>
        <v xml:space="preserve">Enter a value for 'Number of Floors in the Tallest Building' in cell B60.
</v>
      </c>
      <c r="H1651" s="52" t="str">
        <f t="shared" ca="1" si="543"/>
        <v>Low-Income Units</v>
      </c>
      <c r="I1651" s="52">
        <v>6</v>
      </c>
    </row>
    <row r="1652" spans="1:10" ht="15" customHeight="1">
      <c r="A1652" t="str">
        <f t="shared" ca="1" si="538"/>
        <v/>
      </c>
      <c r="B1652">
        <f t="shared" si="539"/>
        <v>8</v>
      </c>
      <c r="C1652">
        <f t="shared" ca="1" si="537"/>
        <v>5</v>
      </c>
      <c r="D1652" t="str">
        <f t="shared" si="540"/>
        <v>G8</v>
      </c>
      <c r="E1652" t="str">
        <f t="shared" ca="1" si="541"/>
        <v/>
      </c>
      <c r="F1652" t="str">
        <f t="shared" ca="1" si="542"/>
        <v xml:space="preserve">Enter a 'Residential Square Footage**' for  building 5 in cell G8.
</v>
      </c>
      <c r="G1652" s="9" t="str">
        <f t="shared" ca="1" si="535"/>
        <v xml:space="preserve">Enter a value for 'Number of Floors in the Tallest Building' in cell B60.
</v>
      </c>
      <c r="H1652" s="52" t="str">
        <f t="shared" ca="1" si="543"/>
        <v>Residential Square Footage**</v>
      </c>
      <c r="I1652" s="52">
        <v>7</v>
      </c>
    </row>
    <row r="1653" spans="1:10" ht="15" customHeight="1">
      <c r="A1653" t="str">
        <f t="shared" ca="1" si="538"/>
        <v/>
      </c>
      <c r="B1653">
        <f t="shared" si="539"/>
        <v>8</v>
      </c>
      <c r="C1653">
        <f t="shared" ca="1" si="537"/>
        <v>5</v>
      </c>
      <c r="D1653" t="str">
        <f t="shared" si="540"/>
        <v>H8</v>
      </c>
      <c r="E1653" t="str">
        <f t="shared" ca="1" si="541"/>
        <v/>
      </c>
      <c r="F1653" t="str">
        <f t="shared" ca="1" si="542"/>
        <v xml:space="preserve">Enter a 'Square Footage of Employee Units' for  building 5 in cell H8.
</v>
      </c>
      <c r="G1653" s="9" t="str">
        <f t="shared" ca="1" si="535"/>
        <v xml:space="preserve">Enter a value for 'Number of Floors in the Tallest Building' in cell B60.
</v>
      </c>
      <c r="H1653" s="52" t="str">
        <f t="shared" ca="1" si="543"/>
        <v>Square Footage of Employee Units</v>
      </c>
      <c r="I1653" s="52">
        <v>8</v>
      </c>
    </row>
    <row r="1654" spans="1:10" ht="15" customHeight="1">
      <c r="A1654" t="str">
        <f t="shared" ca="1" si="538"/>
        <v/>
      </c>
      <c r="B1654">
        <f t="shared" si="539"/>
        <v>8</v>
      </c>
      <c r="C1654">
        <f t="shared" ca="1" si="537"/>
        <v>5</v>
      </c>
      <c r="D1654" t="str">
        <f t="shared" si="540"/>
        <v>I8</v>
      </c>
      <c r="E1654" t="str">
        <f t="shared" ca="1" si="541"/>
        <v/>
      </c>
      <c r="F1654" t="str">
        <f t="shared" ca="1" si="542"/>
        <v xml:space="preserve">Enter a 'Square Footage of Low-Income Units' for  building 5 in cell I8.
</v>
      </c>
      <c r="G1654" s="9" t="str">
        <f t="shared" ca="1" si="535"/>
        <v xml:space="preserve">Enter a value for 'Number of Floors in the Tallest Building' in cell B60.
</v>
      </c>
      <c r="H1654" s="52" t="str">
        <f t="shared" ca="1" si="543"/>
        <v>Square Footage of Low-Income Units</v>
      </c>
      <c r="I1654" s="52">
        <v>9</v>
      </c>
    </row>
    <row r="1655" spans="1:10" ht="15" customHeight="1">
      <c r="A1655" t="str">
        <f t="shared" ca="1" si="538"/>
        <v/>
      </c>
      <c r="B1655">
        <f t="shared" si="539"/>
        <v>8</v>
      </c>
      <c r="C1655">
        <f t="shared" ca="1" si="537"/>
        <v>5</v>
      </c>
      <c r="D1655" t="str">
        <f t="shared" si="540"/>
        <v>J8</v>
      </c>
      <c r="E1655" t="str">
        <f t="shared" ca="1" si="541"/>
        <v/>
      </c>
      <c r="F1655" t="str">
        <f t="shared" ca="1" si="542"/>
        <v xml:space="preserve">Enter a 'Placed-In-Service Date' for  building 5 in cell J8.
</v>
      </c>
      <c r="G1655" s="9" t="str">
        <f t="shared" ca="1" si="535"/>
        <v xml:space="preserve">Enter a value for 'Number of Floors in the Tallest Building' in cell B60.
</v>
      </c>
      <c r="H1655" s="52" t="str">
        <f t="shared" ca="1" si="543"/>
        <v>Placed-In-Service Date</v>
      </c>
      <c r="I1655" s="52">
        <v>10</v>
      </c>
    </row>
    <row r="1656" spans="1:10" ht="15" customHeight="1">
      <c r="A1656" t="str">
        <f t="shared" ca="1" si="538"/>
        <v/>
      </c>
      <c r="B1656">
        <f t="shared" si="539"/>
        <v>8</v>
      </c>
      <c r="C1656">
        <f t="shared" ca="1" si="537"/>
        <v>5</v>
      </c>
      <c r="D1656" t="str">
        <f t="shared" si="540"/>
        <v>K8</v>
      </c>
      <c r="E1656" t="str">
        <f t="shared" ca="1" si="541"/>
        <v/>
      </c>
      <c r="F1656" t="str">
        <f t="shared" ca="1" si="542"/>
        <v xml:space="preserve">Enter a 'New Construction/ Rehab APR' for  building 5 in cell K8.
</v>
      </c>
      <c r="G1656" s="9" t="str">
        <f t="shared" ca="1" si="535"/>
        <v xml:space="preserve">Enter a value for 'Number of Floors in the Tallest Building' in cell B60.
</v>
      </c>
      <c r="H1656" s="52" t="str">
        <f t="shared" ca="1" si="543"/>
        <v>New Construction/ Rehab APR</v>
      </c>
      <c r="I1656" s="52">
        <v>11</v>
      </c>
    </row>
    <row r="1657" spans="1:10" ht="15" customHeight="1">
      <c r="A1657" t="str">
        <f t="shared" ca="1" si="538"/>
        <v/>
      </c>
      <c r="B1657">
        <f t="shared" si="539"/>
        <v>8</v>
      </c>
      <c r="C1657">
        <f t="shared" ca="1" si="537"/>
        <v>5</v>
      </c>
      <c r="D1657" t="str">
        <f t="shared" si="540"/>
        <v>L8</v>
      </c>
      <c r="E1657" t="str">
        <f t="shared" ca="1" si="541"/>
        <v/>
      </c>
      <c r="F1657" t="str">
        <f t="shared" ca="1" si="542"/>
        <v xml:space="preserve">Enter a 'New Construction Eligible Basis' for  building 5 in cell L8.
</v>
      </c>
      <c r="G1657" s="9" t="str">
        <f t="shared" ca="1" si="535"/>
        <v xml:space="preserve">Enter a value for 'Number of Floors in the Tallest Building' in cell B60.
</v>
      </c>
      <c r="H1657" s="52" t="str">
        <f t="shared" ca="1" si="543"/>
        <v>New Construction Eligible Basis</v>
      </c>
      <c r="I1657" s="52">
        <v>12</v>
      </c>
    </row>
    <row r="1658" spans="1:10" ht="15" customHeight="1">
      <c r="A1658" t="str">
        <f ca="1">IF(AND(OFFSET(A1658, -I1658 + 2, 4) &gt;  0, E1658="", Calculations!$B$7), F1658, "")</f>
        <v/>
      </c>
      <c r="B1658">
        <f t="shared" si="539"/>
        <v>8</v>
      </c>
      <c r="C1658">
        <f t="shared" ca="1" si="537"/>
        <v>5</v>
      </c>
      <c r="D1658" t="str">
        <f t="shared" si="540"/>
        <v>M8</v>
      </c>
      <c r="E1658" t="str">
        <f t="shared" ca="1" si="541"/>
        <v/>
      </c>
      <c r="F1658" t="str">
        <f t="shared" ca="1" si="542"/>
        <v xml:space="preserve">Enter a 'Eligible Basis for Rehab' for  building 5 in cell M8.
</v>
      </c>
      <c r="G1658" s="9" t="str">
        <f t="shared" ca="1" si="535"/>
        <v xml:space="preserve">Enter a value for 'Number of Floors in the Tallest Building' in cell B60.
</v>
      </c>
      <c r="H1658" s="52" t="str">
        <f t="shared" ca="1" si="543"/>
        <v>Eligible Basis for Rehab</v>
      </c>
      <c r="I1658" s="52">
        <v>13</v>
      </c>
    </row>
    <row r="1659" spans="1:10" ht="15" customHeight="1">
      <c r="A1659" t="str">
        <f ca="1">IF(AND(OFFSET(A1659, -I1659 + 2, 4) &gt;  0, E1659="", Calculations!$B$7), F1659, "")</f>
        <v/>
      </c>
      <c r="B1659">
        <f t="shared" si="539"/>
        <v>8</v>
      </c>
      <c r="C1659">
        <f t="shared" ca="1" si="537"/>
        <v>5</v>
      </c>
      <c r="D1659" t="str">
        <f t="shared" si="540"/>
        <v>N8</v>
      </c>
      <c r="E1659" t="str">
        <f t="shared" ca="1" si="541"/>
        <v/>
      </c>
      <c r="F1659" t="str">
        <f t="shared" ca="1" si="542"/>
        <v xml:space="preserve">Enter a 'Cost of Acquiring the Building***' for  building 5 in cell N8.
</v>
      </c>
      <c r="G1659" s="9" t="str">
        <f t="shared" ca="1" si="535"/>
        <v xml:space="preserve">Enter a value for 'Number of Floors in the Tallest Building' in cell B60.
</v>
      </c>
      <c r="H1659" s="52" t="str">
        <f t="shared" ca="1" si="543"/>
        <v>Cost of Acquiring the Building***</v>
      </c>
      <c r="I1659" s="52">
        <v>14</v>
      </c>
    </row>
    <row r="1660" spans="1:10" ht="15" customHeight="1">
      <c r="A1660" t="str">
        <f ca="1">IF(AND(OFFSET(A1660, -I1660 + 2, 4) &gt;  0, E1660="", Calculations!$B$7), F1660, "")</f>
        <v/>
      </c>
      <c r="B1660">
        <f t="shared" si="539"/>
        <v>8</v>
      </c>
      <c r="C1660">
        <f t="shared" ca="1" si="537"/>
        <v>5</v>
      </c>
      <c r="D1660" t="str">
        <f t="shared" si="540"/>
        <v>O8</v>
      </c>
      <c r="E1660" t="str">
        <f t="shared" ca="1" si="541"/>
        <v/>
      </c>
      <c r="F1660" t="str">
        <f t="shared" ca="1" si="542"/>
        <v xml:space="preserve">Enter a 'Higher of Land Purchase Price or Land Appraised Value****' for  building 5 in cell O8.
</v>
      </c>
      <c r="G1660" s="9" t="str">
        <f t="shared" ca="1" si="535"/>
        <v xml:space="preserve">Enter a value for 'Number of Floors in the Tallest Building' in cell B60.
</v>
      </c>
      <c r="H1660" s="52" t="str">
        <f t="shared" ca="1" si="543"/>
        <v>Higher of Land Purchase Price or Land Appraised Value****</v>
      </c>
      <c r="I1660" s="52">
        <v>15</v>
      </c>
    </row>
    <row r="1661" spans="1:10" ht="15" customHeight="1">
      <c r="A1661" t="str">
        <f ca="1">IF(AND(OFFSET(A1661, -I1661 + 2, 4) &gt;  0, E1661="", Calculations!$B$7), F1661, "")</f>
        <v/>
      </c>
      <c r="B1661">
        <f t="shared" si="539"/>
        <v>8</v>
      </c>
      <c r="C1661">
        <f t="shared" ca="1" si="537"/>
        <v>5</v>
      </c>
      <c r="D1661" t="str">
        <f t="shared" si="540"/>
        <v>P8</v>
      </c>
      <c r="E1661" t="str">
        <f t="shared" ca="1" si="541"/>
        <v/>
      </c>
      <c r="F1661" t="str">
        <f t="shared" ca="1" si="542"/>
        <v xml:space="preserve">Enter a 'Acquisition Placed-in-Service Date' for  building 5 in cell P8.
</v>
      </c>
      <c r="G1661" s="9" t="str">
        <f t="shared" ca="1" si="535"/>
        <v xml:space="preserve">Enter a value for 'Number of Floors in the Tallest Building' in cell B60.
</v>
      </c>
      <c r="H1661" s="52" t="str">
        <f t="shared" ca="1" si="543"/>
        <v>Acquisition Placed-in-Service Date</v>
      </c>
      <c r="I1661" s="52">
        <v>16</v>
      </c>
    </row>
    <row r="1662" spans="1:10" ht="15" customHeight="1">
      <c r="A1662" t="str">
        <f ca="1">IF(AND(OFFSET(A1662, -I1662 + 2, 4) &gt;  0, E1662="", Calculations!$B$7), F1662, "")</f>
        <v/>
      </c>
      <c r="B1662">
        <f t="shared" si="539"/>
        <v>8</v>
      </c>
      <c r="C1662">
        <f t="shared" ca="1" si="537"/>
        <v>5</v>
      </c>
      <c r="D1662" t="str">
        <f t="shared" si="540"/>
        <v>Q8</v>
      </c>
      <c r="E1662" t="str">
        <f t="shared" ca="1" si="541"/>
        <v/>
      </c>
      <c r="F1662" t="str">
        <f t="shared" ca="1" si="542"/>
        <v xml:space="preserve">Enter a 'Acquisition APR' for  building 5 in cell Q8.
</v>
      </c>
      <c r="G1662" s="9" t="str">
        <f t="shared" ca="1" si="535"/>
        <v xml:space="preserve">Enter a value for 'Number of Floors in the Tallest Building' in cell B60.
</v>
      </c>
      <c r="H1662" s="52" t="str">
        <f t="shared" ca="1" si="543"/>
        <v>Acquisition APR</v>
      </c>
      <c r="I1662" s="52">
        <v>17</v>
      </c>
    </row>
    <row r="1663" spans="1:10" ht="15" customHeight="1">
      <c r="A1663" t="str">
        <f ca="1">IF(AND(Calculations!$B$4,Calculations!$B$29&gt;=C1663, E1663 &lt;&gt; 13),F1663,"")</f>
        <v/>
      </c>
      <c r="B1663">
        <f>ROW('Final Building Profile'!C9)</f>
        <v>9</v>
      </c>
      <c r="C1663">
        <f t="shared" ca="1" si="537"/>
        <v>6</v>
      </c>
      <c r="D1663" t="str">
        <f>ADDRESS(B1663, 3,4  )</f>
        <v>C9</v>
      </c>
      <c r="E1663" s="52">
        <f ca="1">H1663+I1663</f>
        <v>0</v>
      </c>
      <c r="F1663" t="str">
        <f ca="1">CONCATENATE("Based upon the number of buildings specified, information for  building ", C1663, " required for a final application in row ", B1663, ".", CHAR(10))</f>
        <v xml:space="preserve">Based upon the number of buildings specified, information for  building 6 required for a final application in row 9.
</v>
      </c>
      <c r="G1663" s="9" t="str">
        <f t="shared" ca="1" si="535"/>
        <v xml:space="preserve">Enter a value for 'Number of Floors in the Tallest Building' in cell B60.
</v>
      </c>
      <c r="H1663" s="52">
        <f ca="1">SUMPRODUCT(--ISTEXT(INDIRECT(J1663)))</f>
        <v>0</v>
      </c>
      <c r="I1663" s="52">
        <f ca="1">SUMPRODUCT(--ISNUMBER(INDIRECT(J1663)))</f>
        <v>0</v>
      </c>
      <c r="J1663" s="52" t="str">
        <f>$F$1565&amp; ADDRESS(B1663,3,4) &amp; ":" &amp; ADDRESS(B1663,15,4)</f>
        <v>'Final Building Profile'!C9:O9</v>
      </c>
    </row>
    <row r="1664" spans="1:10" ht="15" customHeight="1">
      <c r="A1664" t="str">
        <f t="shared" ref="A1664:A1673" ca="1" si="544">IF(AND(OFFSET(A1664, -I1664 + 2, 4) &gt;  0, E1664=""), F1664, "")</f>
        <v/>
      </c>
      <c r="B1664">
        <f t="shared" ref="B1664:B1678" si="545">B1663</f>
        <v>9</v>
      </c>
      <c r="C1664">
        <f t="shared" ca="1" si="537"/>
        <v>6</v>
      </c>
      <c r="D1664" t="str">
        <f t="shared" ref="D1664:D1678" si="546">ADDRESS(B1664, I1664,4  )</f>
        <v>C9</v>
      </c>
      <c r="E1664" t="str">
        <f t="shared" ref="E1664:E1678" ca="1" si="547">IF(ISBLANK( INDIRECT($F$1565 &amp; D1664)),"", INDIRECT($F$1565 &amp; D1664))</f>
        <v/>
      </c>
      <c r="F1664" t="str">
        <f t="shared" ref="F1664:F1678" ca="1" si="548">CONCATENATE("Enter a '"&amp; H1664 &amp;"' for  building ", C1664, " in cell ", D1664, ".", CHAR(10))</f>
        <v xml:space="preserve">Enter a 'Building Street Address Only 
(DO NOT ENTER CITY, STATE, OR ZIP)' for  building 6 in cell C9.
</v>
      </c>
      <c r="G1664" s="9" t="str">
        <f t="shared" ca="1" si="535"/>
        <v xml:space="preserve">Enter a value for 'Number of Floors in the Tallest Building' in cell B60.
</v>
      </c>
      <c r="H1664" s="52" t="str">
        <f t="shared" ref="H1664:H1678" ca="1" si="549">OFFSET(INDIRECT($F$1565 &amp; D1664), -B1664 + 3, 0)</f>
        <v>Building Street Address Only 
(DO NOT ENTER CITY, STATE, OR ZIP)</v>
      </c>
      <c r="I1664" s="52">
        <v>3</v>
      </c>
    </row>
    <row r="1665" spans="1:10" ht="15" customHeight="1">
      <c r="A1665" t="str">
        <f t="shared" ca="1" si="544"/>
        <v/>
      </c>
      <c r="B1665">
        <f t="shared" si="545"/>
        <v>9</v>
      </c>
      <c r="C1665">
        <f t="shared" ca="1" si="537"/>
        <v>6</v>
      </c>
      <c r="D1665" t="str">
        <f t="shared" si="546"/>
        <v>D9</v>
      </c>
      <c r="E1665" t="str">
        <f t="shared" ca="1" si="547"/>
        <v/>
      </c>
      <c r="F1665" t="str">
        <f t="shared" ca="1" si="548"/>
        <v xml:space="preserve">Enter a 'Total Units in Building*' for  building 6 in cell D9.
</v>
      </c>
      <c r="G1665" s="9" t="str">
        <f t="shared" ca="1" si="535"/>
        <v xml:space="preserve">Enter a value for 'Number of Floors in the Tallest Building' in cell B60.
</v>
      </c>
      <c r="H1665" s="52" t="str">
        <f t="shared" ca="1" si="549"/>
        <v>Total Units in Building*</v>
      </c>
      <c r="I1665" s="52">
        <v>4</v>
      </c>
    </row>
    <row r="1666" spans="1:10" ht="15" customHeight="1">
      <c r="A1666" t="str">
        <f t="shared" ca="1" si="544"/>
        <v/>
      </c>
      <c r="B1666">
        <f t="shared" si="545"/>
        <v>9</v>
      </c>
      <c r="C1666">
        <f t="shared" ca="1" si="537"/>
        <v>6</v>
      </c>
      <c r="D1666" t="str">
        <f t="shared" si="546"/>
        <v>E9</v>
      </c>
      <c r="E1666" t="str">
        <f t="shared" ca="1" si="547"/>
        <v/>
      </c>
      <c r="F1666" t="str">
        <f t="shared" ca="1" si="548"/>
        <v xml:space="preserve">Enter a 'Employee Units' for  building 6 in cell E9.
</v>
      </c>
      <c r="G1666" s="9" t="str">
        <f t="shared" ca="1" si="535"/>
        <v xml:space="preserve">Enter a value for 'Number of Floors in the Tallest Building' in cell B60.
</v>
      </c>
      <c r="H1666" s="52" t="str">
        <f t="shared" ca="1" si="549"/>
        <v>Employee Units</v>
      </c>
      <c r="I1666" s="52">
        <v>5</v>
      </c>
    </row>
    <row r="1667" spans="1:10" ht="15" customHeight="1">
      <c r="A1667" t="str">
        <f t="shared" ca="1" si="544"/>
        <v/>
      </c>
      <c r="B1667">
        <f t="shared" si="545"/>
        <v>9</v>
      </c>
      <c r="C1667">
        <f t="shared" ca="1" si="537"/>
        <v>6</v>
      </c>
      <c r="D1667" t="str">
        <f t="shared" si="546"/>
        <v>F9</v>
      </c>
      <c r="E1667" t="str">
        <f t="shared" ca="1" si="547"/>
        <v/>
      </c>
      <c r="F1667" t="str">
        <f t="shared" ca="1" si="548"/>
        <v xml:space="preserve">Enter a 'Low-Income Units' for  building 6 in cell F9.
</v>
      </c>
      <c r="G1667" s="9" t="str">
        <f t="shared" ca="1" si="535"/>
        <v xml:space="preserve">Enter a value for 'Number of Floors in the Tallest Building' in cell B60.
</v>
      </c>
      <c r="H1667" s="52" t="str">
        <f t="shared" ca="1" si="549"/>
        <v>Low-Income Units</v>
      </c>
      <c r="I1667" s="52">
        <v>6</v>
      </c>
    </row>
    <row r="1668" spans="1:10" ht="15" customHeight="1">
      <c r="A1668" t="str">
        <f t="shared" ca="1" si="544"/>
        <v/>
      </c>
      <c r="B1668">
        <f t="shared" si="545"/>
        <v>9</v>
      </c>
      <c r="C1668">
        <f t="shared" ca="1" si="537"/>
        <v>6</v>
      </c>
      <c r="D1668" t="str">
        <f t="shared" si="546"/>
        <v>G9</v>
      </c>
      <c r="E1668" t="str">
        <f t="shared" ca="1" si="547"/>
        <v/>
      </c>
      <c r="F1668" t="str">
        <f t="shared" ca="1" si="548"/>
        <v xml:space="preserve">Enter a 'Residential Square Footage**' for  building 6 in cell G9.
</v>
      </c>
      <c r="G1668" s="9" t="str">
        <f t="shared" ca="1" si="535"/>
        <v xml:space="preserve">Enter a value for 'Number of Floors in the Tallest Building' in cell B60.
</v>
      </c>
      <c r="H1668" s="52" t="str">
        <f t="shared" ca="1" si="549"/>
        <v>Residential Square Footage**</v>
      </c>
      <c r="I1668" s="52">
        <v>7</v>
      </c>
    </row>
    <row r="1669" spans="1:10" ht="15" customHeight="1">
      <c r="A1669" t="str">
        <f t="shared" ca="1" si="544"/>
        <v/>
      </c>
      <c r="B1669">
        <f t="shared" si="545"/>
        <v>9</v>
      </c>
      <c r="C1669">
        <f t="shared" ca="1" si="537"/>
        <v>6</v>
      </c>
      <c r="D1669" t="str">
        <f t="shared" si="546"/>
        <v>H9</v>
      </c>
      <c r="E1669" t="str">
        <f t="shared" ca="1" si="547"/>
        <v/>
      </c>
      <c r="F1669" t="str">
        <f t="shared" ca="1" si="548"/>
        <v xml:space="preserve">Enter a 'Square Footage of Employee Units' for  building 6 in cell H9.
</v>
      </c>
      <c r="G1669" s="9" t="str">
        <f t="shared" ca="1" si="535"/>
        <v xml:space="preserve">Enter a value for 'Number of Floors in the Tallest Building' in cell B60.
</v>
      </c>
      <c r="H1669" s="52" t="str">
        <f t="shared" ca="1" si="549"/>
        <v>Square Footage of Employee Units</v>
      </c>
      <c r="I1669" s="52">
        <v>8</v>
      </c>
    </row>
    <row r="1670" spans="1:10" ht="15" customHeight="1">
      <c r="A1670" t="str">
        <f t="shared" ca="1" si="544"/>
        <v/>
      </c>
      <c r="B1670">
        <f t="shared" si="545"/>
        <v>9</v>
      </c>
      <c r="C1670">
        <f t="shared" ca="1" si="537"/>
        <v>6</v>
      </c>
      <c r="D1670" t="str">
        <f t="shared" si="546"/>
        <v>I9</v>
      </c>
      <c r="E1670" t="str">
        <f t="shared" ca="1" si="547"/>
        <v/>
      </c>
      <c r="F1670" t="str">
        <f t="shared" ca="1" si="548"/>
        <v xml:space="preserve">Enter a 'Square Footage of Low-Income Units' for  building 6 in cell I9.
</v>
      </c>
      <c r="G1670" s="9" t="str">
        <f t="shared" ca="1" si="535"/>
        <v xml:space="preserve">Enter a value for 'Number of Floors in the Tallest Building' in cell B60.
</v>
      </c>
      <c r="H1670" s="52" t="str">
        <f t="shared" ca="1" si="549"/>
        <v>Square Footage of Low-Income Units</v>
      </c>
      <c r="I1670" s="52">
        <v>9</v>
      </c>
    </row>
    <row r="1671" spans="1:10" ht="15" customHeight="1">
      <c r="A1671" t="str">
        <f t="shared" ca="1" si="544"/>
        <v/>
      </c>
      <c r="B1671">
        <f t="shared" si="545"/>
        <v>9</v>
      </c>
      <c r="C1671">
        <f t="shared" ca="1" si="537"/>
        <v>6</v>
      </c>
      <c r="D1671" t="str">
        <f t="shared" si="546"/>
        <v>J9</v>
      </c>
      <c r="E1671" t="str">
        <f t="shared" ca="1" si="547"/>
        <v/>
      </c>
      <c r="F1671" t="str">
        <f t="shared" ca="1" si="548"/>
        <v xml:space="preserve">Enter a 'Placed-In-Service Date' for  building 6 in cell J9.
</v>
      </c>
      <c r="G1671" s="9" t="str">
        <f t="shared" ca="1" si="535"/>
        <v xml:space="preserve">Enter a value for 'Number of Floors in the Tallest Building' in cell B60.
</v>
      </c>
      <c r="H1671" s="52" t="str">
        <f t="shared" ca="1" si="549"/>
        <v>Placed-In-Service Date</v>
      </c>
      <c r="I1671" s="52">
        <v>10</v>
      </c>
    </row>
    <row r="1672" spans="1:10" ht="15" customHeight="1">
      <c r="A1672" t="str">
        <f t="shared" ca="1" si="544"/>
        <v/>
      </c>
      <c r="B1672">
        <f t="shared" si="545"/>
        <v>9</v>
      </c>
      <c r="C1672">
        <f t="shared" ca="1" si="537"/>
        <v>6</v>
      </c>
      <c r="D1672" t="str">
        <f t="shared" si="546"/>
        <v>K9</v>
      </c>
      <c r="E1672" t="str">
        <f t="shared" ca="1" si="547"/>
        <v/>
      </c>
      <c r="F1672" t="str">
        <f t="shared" ca="1" si="548"/>
        <v xml:space="preserve">Enter a 'New Construction/ Rehab APR' for  building 6 in cell K9.
</v>
      </c>
      <c r="G1672" s="9" t="str">
        <f t="shared" ca="1" si="535"/>
        <v xml:space="preserve">Enter a value for 'Number of Floors in the Tallest Building' in cell B60.
</v>
      </c>
      <c r="H1672" s="52" t="str">
        <f t="shared" ca="1" si="549"/>
        <v>New Construction/ Rehab APR</v>
      </c>
      <c r="I1672" s="52">
        <v>11</v>
      </c>
    </row>
    <row r="1673" spans="1:10" ht="15" customHeight="1">
      <c r="A1673" t="str">
        <f t="shared" ca="1" si="544"/>
        <v/>
      </c>
      <c r="B1673">
        <f t="shared" si="545"/>
        <v>9</v>
      </c>
      <c r="C1673">
        <f t="shared" ca="1" si="537"/>
        <v>6</v>
      </c>
      <c r="D1673" t="str">
        <f t="shared" si="546"/>
        <v>L9</v>
      </c>
      <c r="E1673" t="str">
        <f t="shared" ca="1" si="547"/>
        <v/>
      </c>
      <c r="F1673" t="str">
        <f t="shared" ca="1" si="548"/>
        <v xml:space="preserve">Enter a 'New Construction Eligible Basis' for  building 6 in cell L9.
</v>
      </c>
      <c r="G1673" s="9" t="str">
        <f t="shared" ca="1" si="535"/>
        <v xml:space="preserve">Enter a value for 'Number of Floors in the Tallest Building' in cell B60.
</v>
      </c>
      <c r="H1673" s="52" t="str">
        <f t="shared" ca="1" si="549"/>
        <v>New Construction Eligible Basis</v>
      </c>
      <c r="I1673" s="52">
        <v>12</v>
      </c>
    </row>
    <row r="1674" spans="1:10" ht="15" customHeight="1">
      <c r="A1674" t="str">
        <f ca="1">IF(AND(OFFSET(A1674, -I1674 + 2, 4) &gt;  0, E1674="", Calculations!$B$7), F1674, "")</f>
        <v/>
      </c>
      <c r="B1674">
        <f t="shared" si="545"/>
        <v>9</v>
      </c>
      <c r="C1674">
        <f t="shared" ca="1" si="537"/>
        <v>6</v>
      </c>
      <c r="D1674" t="str">
        <f t="shared" si="546"/>
        <v>M9</v>
      </c>
      <c r="E1674" t="str">
        <f t="shared" ca="1" si="547"/>
        <v/>
      </c>
      <c r="F1674" t="str">
        <f t="shared" ca="1" si="548"/>
        <v xml:space="preserve">Enter a 'Eligible Basis for Rehab' for  building 6 in cell M9.
</v>
      </c>
      <c r="G1674" s="9" t="str">
        <f t="shared" ca="1" si="535"/>
        <v xml:space="preserve">Enter a value for 'Number of Floors in the Tallest Building' in cell B60.
</v>
      </c>
      <c r="H1674" s="52" t="str">
        <f t="shared" ca="1" si="549"/>
        <v>Eligible Basis for Rehab</v>
      </c>
      <c r="I1674" s="52">
        <v>13</v>
      </c>
    </row>
    <row r="1675" spans="1:10" ht="15" customHeight="1">
      <c r="A1675" t="str">
        <f ca="1">IF(AND(OFFSET(A1675, -I1675 + 2, 4) &gt;  0, E1675="", Calculations!$B$7), F1675, "")</f>
        <v/>
      </c>
      <c r="B1675">
        <f t="shared" si="545"/>
        <v>9</v>
      </c>
      <c r="C1675">
        <f t="shared" ca="1" si="537"/>
        <v>6</v>
      </c>
      <c r="D1675" t="str">
        <f t="shared" si="546"/>
        <v>N9</v>
      </c>
      <c r="E1675" t="str">
        <f t="shared" ca="1" si="547"/>
        <v/>
      </c>
      <c r="F1675" t="str">
        <f t="shared" ca="1" si="548"/>
        <v xml:space="preserve">Enter a 'Cost of Acquiring the Building***' for  building 6 in cell N9.
</v>
      </c>
      <c r="G1675" s="9" t="str">
        <f t="shared" ca="1" si="535"/>
        <v xml:space="preserve">Enter a value for 'Number of Floors in the Tallest Building' in cell B60.
</v>
      </c>
      <c r="H1675" s="52" t="str">
        <f t="shared" ca="1" si="549"/>
        <v>Cost of Acquiring the Building***</v>
      </c>
      <c r="I1675" s="52">
        <v>14</v>
      </c>
    </row>
    <row r="1676" spans="1:10" ht="15" customHeight="1">
      <c r="A1676" t="str">
        <f ca="1">IF(AND(OFFSET(A1676, -I1676 + 2, 4) &gt;  0, E1676="", Calculations!$B$7), F1676, "")</f>
        <v/>
      </c>
      <c r="B1676">
        <f t="shared" si="545"/>
        <v>9</v>
      </c>
      <c r="C1676">
        <f t="shared" ca="1" si="537"/>
        <v>6</v>
      </c>
      <c r="D1676" t="str">
        <f t="shared" si="546"/>
        <v>O9</v>
      </c>
      <c r="E1676" t="str">
        <f t="shared" ca="1" si="547"/>
        <v/>
      </c>
      <c r="F1676" t="str">
        <f t="shared" ca="1" si="548"/>
        <v xml:space="preserve">Enter a 'Higher of Land Purchase Price or Land Appraised Value****' for  building 6 in cell O9.
</v>
      </c>
      <c r="G1676" s="9" t="str">
        <f t="shared" ca="1" si="535"/>
        <v xml:space="preserve">Enter a value for 'Number of Floors in the Tallest Building' in cell B60.
</v>
      </c>
      <c r="H1676" s="52" t="str">
        <f t="shared" ca="1" si="549"/>
        <v>Higher of Land Purchase Price or Land Appraised Value****</v>
      </c>
      <c r="I1676" s="52">
        <v>15</v>
      </c>
    </row>
    <row r="1677" spans="1:10" ht="15" customHeight="1">
      <c r="A1677" t="str">
        <f ca="1">IF(AND(OFFSET(A1677, -I1677 + 2, 4) &gt;  0, E1677="", Calculations!$B$7), F1677, "")</f>
        <v/>
      </c>
      <c r="B1677">
        <f t="shared" si="545"/>
        <v>9</v>
      </c>
      <c r="C1677">
        <f t="shared" ca="1" si="537"/>
        <v>6</v>
      </c>
      <c r="D1677" t="str">
        <f t="shared" si="546"/>
        <v>P9</v>
      </c>
      <c r="E1677" t="str">
        <f t="shared" ca="1" si="547"/>
        <v/>
      </c>
      <c r="F1677" t="str">
        <f t="shared" ca="1" si="548"/>
        <v xml:space="preserve">Enter a 'Acquisition Placed-in-Service Date' for  building 6 in cell P9.
</v>
      </c>
      <c r="G1677" s="9" t="str">
        <f t="shared" ca="1" si="535"/>
        <v xml:space="preserve">Enter a value for 'Number of Floors in the Tallest Building' in cell B60.
</v>
      </c>
      <c r="H1677" s="52" t="str">
        <f t="shared" ca="1" si="549"/>
        <v>Acquisition Placed-in-Service Date</v>
      </c>
      <c r="I1677" s="52">
        <v>16</v>
      </c>
    </row>
    <row r="1678" spans="1:10" ht="15" customHeight="1">
      <c r="A1678" t="str">
        <f ca="1">IF(AND(OFFSET(A1678, -I1678 + 2, 4) &gt;  0, E1678="", Calculations!$B$7), F1678, "")</f>
        <v/>
      </c>
      <c r="B1678">
        <f t="shared" si="545"/>
        <v>9</v>
      </c>
      <c r="C1678">
        <f t="shared" ca="1" si="537"/>
        <v>6</v>
      </c>
      <c r="D1678" t="str">
        <f t="shared" si="546"/>
        <v>Q9</v>
      </c>
      <c r="E1678" t="str">
        <f t="shared" ca="1" si="547"/>
        <v/>
      </c>
      <c r="F1678" t="str">
        <f t="shared" ca="1" si="548"/>
        <v xml:space="preserve">Enter a 'Acquisition APR' for  building 6 in cell Q9.
</v>
      </c>
      <c r="G1678" s="9" t="str">
        <f t="shared" ca="1" si="535"/>
        <v xml:space="preserve">Enter a value for 'Number of Floors in the Tallest Building' in cell B60.
</v>
      </c>
      <c r="H1678" s="52" t="str">
        <f t="shared" ca="1" si="549"/>
        <v>Acquisition APR</v>
      </c>
      <c r="I1678" s="52">
        <v>17</v>
      </c>
    </row>
    <row r="1679" spans="1:10" ht="15" customHeight="1">
      <c r="A1679" t="str">
        <f ca="1">IF(AND(Calculations!$B$4,Calculations!$B$29&gt;=C1679, E1679 &lt;&gt; 13),F1679,"")</f>
        <v/>
      </c>
      <c r="B1679">
        <f>ROW('Final Building Profile'!C10)</f>
        <v>10</v>
      </c>
      <c r="C1679">
        <f t="shared" ca="1" si="537"/>
        <v>7</v>
      </c>
      <c r="D1679" t="str">
        <f>ADDRESS(B1679, 3,4  )</f>
        <v>C10</v>
      </c>
      <c r="E1679" s="52">
        <f ca="1">H1679+I1679</f>
        <v>0</v>
      </c>
      <c r="F1679" t="str">
        <f ca="1">CONCATENATE("Based upon the number of buildings specified, information for  building ", C1679, " required for a final application in row ", B1679, ".", CHAR(10))</f>
        <v xml:space="preserve">Based upon the number of buildings specified, information for  building 7 required for a final application in row 10.
</v>
      </c>
      <c r="G1679" s="9" t="str">
        <f t="shared" ca="1" si="535"/>
        <v xml:space="preserve">Enter a value for 'Number of Floors in the Tallest Building' in cell B60.
</v>
      </c>
      <c r="H1679" s="52">
        <f ca="1">SUMPRODUCT(--ISTEXT(INDIRECT(J1679)))</f>
        <v>0</v>
      </c>
      <c r="I1679" s="52">
        <f ca="1">SUMPRODUCT(--ISNUMBER(INDIRECT(J1679)))</f>
        <v>0</v>
      </c>
      <c r="J1679" s="52" t="str">
        <f>$F$1565&amp; ADDRESS(B1679,3,4) &amp; ":" &amp; ADDRESS(B1679,15,4)</f>
        <v>'Final Building Profile'!C10:O10</v>
      </c>
    </row>
    <row r="1680" spans="1:10" ht="15" customHeight="1">
      <c r="A1680" t="str">
        <f t="shared" ref="A1680:A1689" ca="1" si="550">IF(AND(OFFSET(A1680, -I1680 + 2, 4) &gt;  0, E1680=""), F1680, "")</f>
        <v/>
      </c>
      <c r="B1680">
        <f t="shared" ref="B1680:B1694" si="551">B1679</f>
        <v>10</v>
      </c>
      <c r="C1680">
        <f t="shared" ca="1" si="537"/>
        <v>7</v>
      </c>
      <c r="D1680" t="str">
        <f t="shared" ref="D1680:D1694" si="552">ADDRESS(B1680, I1680,4  )</f>
        <v>C10</v>
      </c>
      <c r="E1680" t="str">
        <f t="shared" ref="E1680:E1694" ca="1" si="553">IF(ISBLANK( INDIRECT($F$1565 &amp; D1680)),"", INDIRECT($F$1565 &amp; D1680))</f>
        <v/>
      </c>
      <c r="F1680" t="str">
        <f t="shared" ref="F1680:F1694" ca="1" si="554">CONCATENATE("Enter a '"&amp; H1680 &amp;"' for  building ", C1680, " in cell ", D1680, ".", CHAR(10))</f>
        <v xml:space="preserve">Enter a 'Building Street Address Only 
(DO NOT ENTER CITY, STATE, OR ZIP)' for  building 7 in cell C10.
</v>
      </c>
      <c r="G1680" s="9" t="str">
        <f t="shared" ca="1" si="535"/>
        <v xml:space="preserve">Enter a value for 'Number of Floors in the Tallest Building' in cell B60.
</v>
      </c>
      <c r="H1680" s="52" t="str">
        <f t="shared" ref="H1680:H1694" ca="1" si="555">OFFSET(INDIRECT($F$1565 &amp; D1680), -B1680 + 3, 0)</f>
        <v>Building Street Address Only 
(DO NOT ENTER CITY, STATE, OR ZIP)</v>
      </c>
      <c r="I1680" s="52">
        <v>3</v>
      </c>
    </row>
    <row r="1681" spans="1:10" ht="15" customHeight="1">
      <c r="A1681" t="str">
        <f t="shared" ca="1" si="550"/>
        <v/>
      </c>
      <c r="B1681">
        <f t="shared" si="551"/>
        <v>10</v>
      </c>
      <c r="C1681">
        <f t="shared" ca="1" si="537"/>
        <v>7</v>
      </c>
      <c r="D1681" t="str">
        <f t="shared" si="552"/>
        <v>D10</v>
      </c>
      <c r="E1681" t="str">
        <f t="shared" ca="1" si="553"/>
        <v/>
      </c>
      <c r="F1681" t="str">
        <f t="shared" ca="1" si="554"/>
        <v xml:space="preserve">Enter a 'Total Units in Building*' for  building 7 in cell D10.
</v>
      </c>
      <c r="G1681" s="9" t="str">
        <f t="shared" ca="1" si="535"/>
        <v xml:space="preserve">Enter a value for 'Number of Floors in the Tallest Building' in cell B60.
</v>
      </c>
      <c r="H1681" s="52" t="str">
        <f t="shared" ca="1" si="555"/>
        <v>Total Units in Building*</v>
      </c>
      <c r="I1681" s="52">
        <v>4</v>
      </c>
    </row>
    <row r="1682" spans="1:10" ht="15" customHeight="1">
      <c r="A1682" t="str">
        <f t="shared" ca="1" si="550"/>
        <v/>
      </c>
      <c r="B1682">
        <f t="shared" si="551"/>
        <v>10</v>
      </c>
      <c r="C1682">
        <f t="shared" ca="1" si="537"/>
        <v>7</v>
      </c>
      <c r="D1682" t="str">
        <f t="shared" si="552"/>
        <v>E10</v>
      </c>
      <c r="E1682" t="str">
        <f t="shared" ca="1" si="553"/>
        <v/>
      </c>
      <c r="F1682" t="str">
        <f t="shared" ca="1" si="554"/>
        <v xml:space="preserve">Enter a 'Employee Units' for  building 7 in cell E10.
</v>
      </c>
      <c r="G1682" s="9" t="str">
        <f t="shared" ca="1" si="535"/>
        <v xml:space="preserve">Enter a value for 'Number of Floors in the Tallest Building' in cell B60.
</v>
      </c>
      <c r="H1682" s="52" t="str">
        <f t="shared" ca="1" si="555"/>
        <v>Employee Units</v>
      </c>
      <c r="I1682" s="52">
        <v>5</v>
      </c>
    </row>
    <row r="1683" spans="1:10" ht="15" customHeight="1">
      <c r="A1683" t="str">
        <f t="shared" ca="1" si="550"/>
        <v/>
      </c>
      <c r="B1683">
        <f t="shared" si="551"/>
        <v>10</v>
      </c>
      <c r="C1683">
        <f t="shared" ca="1" si="537"/>
        <v>7</v>
      </c>
      <c r="D1683" t="str">
        <f t="shared" si="552"/>
        <v>F10</v>
      </c>
      <c r="E1683" t="str">
        <f t="shared" ca="1" si="553"/>
        <v/>
      </c>
      <c r="F1683" t="str">
        <f t="shared" ca="1" si="554"/>
        <v xml:space="preserve">Enter a 'Low-Income Units' for  building 7 in cell F10.
</v>
      </c>
      <c r="G1683" s="9" t="str">
        <f t="shared" ca="1" si="535"/>
        <v xml:space="preserve">Enter a value for 'Number of Floors in the Tallest Building' in cell B60.
</v>
      </c>
      <c r="H1683" s="52" t="str">
        <f t="shared" ca="1" si="555"/>
        <v>Low-Income Units</v>
      </c>
      <c r="I1683" s="52">
        <v>6</v>
      </c>
    </row>
    <row r="1684" spans="1:10" ht="15" customHeight="1">
      <c r="A1684" t="str">
        <f t="shared" ca="1" si="550"/>
        <v/>
      </c>
      <c r="B1684">
        <f t="shared" si="551"/>
        <v>10</v>
      </c>
      <c r="C1684">
        <f t="shared" ca="1" si="537"/>
        <v>7</v>
      </c>
      <c r="D1684" t="str">
        <f t="shared" si="552"/>
        <v>G10</v>
      </c>
      <c r="E1684" t="str">
        <f t="shared" ca="1" si="553"/>
        <v/>
      </c>
      <c r="F1684" t="str">
        <f t="shared" ca="1" si="554"/>
        <v xml:space="preserve">Enter a 'Residential Square Footage**' for  building 7 in cell G10.
</v>
      </c>
      <c r="G1684" s="9" t="str">
        <f t="shared" ca="1" si="535"/>
        <v xml:space="preserve">Enter a value for 'Number of Floors in the Tallest Building' in cell B60.
</v>
      </c>
      <c r="H1684" s="52" t="str">
        <f t="shared" ca="1" si="555"/>
        <v>Residential Square Footage**</v>
      </c>
      <c r="I1684" s="52">
        <v>7</v>
      </c>
    </row>
    <row r="1685" spans="1:10" ht="15" customHeight="1">
      <c r="A1685" t="str">
        <f t="shared" ca="1" si="550"/>
        <v/>
      </c>
      <c r="B1685">
        <f t="shared" si="551"/>
        <v>10</v>
      </c>
      <c r="C1685">
        <f t="shared" ca="1" si="537"/>
        <v>7</v>
      </c>
      <c r="D1685" t="str">
        <f t="shared" si="552"/>
        <v>H10</v>
      </c>
      <c r="E1685" t="str">
        <f t="shared" ca="1" si="553"/>
        <v/>
      </c>
      <c r="F1685" t="str">
        <f t="shared" ca="1" si="554"/>
        <v xml:space="preserve">Enter a 'Square Footage of Employee Units' for  building 7 in cell H10.
</v>
      </c>
      <c r="G1685" s="9" t="str">
        <f t="shared" ca="1" si="535"/>
        <v xml:space="preserve">Enter a value for 'Number of Floors in the Tallest Building' in cell B60.
</v>
      </c>
      <c r="H1685" s="52" t="str">
        <f t="shared" ca="1" si="555"/>
        <v>Square Footage of Employee Units</v>
      </c>
      <c r="I1685" s="52">
        <v>8</v>
      </c>
    </row>
    <row r="1686" spans="1:10" ht="15" customHeight="1">
      <c r="A1686" t="str">
        <f t="shared" ca="1" si="550"/>
        <v/>
      </c>
      <c r="B1686">
        <f t="shared" si="551"/>
        <v>10</v>
      </c>
      <c r="C1686">
        <f t="shared" ca="1" si="537"/>
        <v>7</v>
      </c>
      <c r="D1686" t="str">
        <f t="shared" si="552"/>
        <v>I10</v>
      </c>
      <c r="E1686" t="str">
        <f t="shared" ca="1" si="553"/>
        <v/>
      </c>
      <c r="F1686" t="str">
        <f t="shared" ca="1" si="554"/>
        <v xml:space="preserve">Enter a 'Square Footage of Low-Income Units' for  building 7 in cell I10.
</v>
      </c>
      <c r="G1686" s="9" t="str">
        <f t="shared" ca="1" si="535"/>
        <v xml:space="preserve">Enter a value for 'Number of Floors in the Tallest Building' in cell B60.
</v>
      </c>
      <c r="H1686" s="52" t="str">
        <f t="shared" ca="1" si="555"/>
        <v>Square Footage of Low-Income Units</v>
      </c>
      <c r="I1686" s="52">
        <v>9</v>
      </c>
    </row>
    <row r="1687" spans="1:10" ht="15" customHeight="1">
      <c r="A1687" t="str">
        <f t="shared" ca="1" si="550"/>
        <v/>
      </c>
      <c r="B1687">
        <f t="shared" si="551"/>
        <v>10</v>
      </c>
      <c r="C1687">
        <f t="shared" ca="1" si="537"/>
        <v>7</v>
      </c>
      <c r="D1687" t="str">
        <f t="shared" si="552"/>
        <v>J10</v>
      </c>
      <c r="E1687" t="str">
        <f t="shared" ca="1" si="553"/>
        <v/>
      </c>
      <c r="F1687" t="str">
        <f t="shared" ca="1" si="554"/>
        <v xml:space="preserve">Enter a 'Placed-In-Service Date' for  building 7 in cell J10.
</v>
      </c>
      <c r="G1687" s="9" t="str">
        <f t="shared" ca="1" si="535"/>
        <v xml:space="preserve">Enter a value for 'Number of Floors in the Tallest Building' in cell B60.
</v>
      </c>
      <c r="H1687" s="52" t="str">
        <f t="shared" ca="1" si="555"/>
        <v>Placed-In-Service Date</v>
      </c>
      <c r="I1687" s="52">
        <v>10</v>
      </c>
    </row>
    <row r="1688" spans="1:10" ht="15" customHeight="1">
      <c r="A1688" t="str">
        <f t="shared" ca="1" si="550"/>
        <v/>
      </c>
      <c r="B1688">
        <f t="shared" si="551"/>
        <v>10</v>
      </c>
      <c r="C1688">
        <f t="shared" ca="1" si="537"/>
        <v>7</v>
      </c>
      <c r="D1688" t="str">
        <f t="shared" si="552"/>
        <v>K10</v>
      </c>
      <c r="E1688" t="str">
        <f t="shared" ca="1" si="553"/>
        <v/>
      </c>
      <c r="F1688" t="str">
        <f t="shared" ca="1" si="554"/>
        <v xml:space="preserve">Enter a 'New Construction/ Rehab APR' for  building 7 in cell K10.
</v>
      </c>
      <c r="G1688" s="9" t="str">
        <f t="shared" ca="1" si="535"/>
        <v xml:space="preserve">Enter a value for 'Number of Floors in the Tallest Building' in cell B60.
</v>
      </c>
      <c r="H1688" s="52" t="str">
        <f t="shared" ca="1" si="555"/>
        <v>New Construction/ Rehab APR</v>
      </c>
      <c r="I1688" s="52">
        <v>11</v>
      </c>
    </row>
    <row r="1689" spans="1:10" ht="15" customHeight="1">
      <c r="A1689" t="str">
        <f t="shared" ca="1" si="550"/>
        <v/>
      </c>
      <c r="B1689">
        <f t="shared" si="551"/>
        <v>10</v>
      </c>
      <c r="C1689">
        <f t="shared" ca="1" si="537"/>
        <v>7</v>
      </c>
      <c r="D1689" t="str">
        <f t="shared" si="552"/>
        <v>L10</v>
      </c>
      <c r="E1689" t="str">
        <f t="shared" ca="1" si="553"/>
        <v/>
      </c>
      <c r="F1689" t="str">
        <f t="shared" ca="1" si="554"/>
        <v xml:space="preserve">Enter a 'New Construction Eligible Basis' for  building 7 in cell L10.
</v>
      </c>
      <c r="G1689" s="9" t="str">
        <f t="shared" ca="1" si="535"/>
        <v xml:space="preserve">Enter a value for 'Number of Floors in the Tallest Building' in cell B60.
</v>
      </c>
      <c r="H1689" s="52" t="str">
        <f t="shared" ca="1" si="555"/>
        <v>New Construction Eligible Basis</v>
      </c>
      <c r="I1689" s="52">
        <v>12</v>
      </c>
    </row>
    <row r="1690" spans="1:10" ht="15" customHeight="1">
      <c r="A1690" t="str">
        <f ca="1">IF(AND(OFFSET(A1690, -I1690 + 2, 4) &gt;  0, E1690="", Calculations!$B$7), F1690, "")</f>
        <v/>
      </c>
      <c r="B1690">
        <f t="shared" si="551"/>
        <v>10</v>
      </c>
      <c r="C1690">
        <f t="shared" ca="1" si="537"/>
        <v>7</v>
      </c>
      <c r="D1690" t="str">
        <f t="shared" si="552"/>
        <v>M10</v>
      </c>
      <c r="E1690" t="str">
        <f t="shared" ca="1" si="553"/>
        <v/>
      </c>
      <c r="F1690" t="str">
        <f t="shared" ca="1" si="554"/>
        <v xml:space="preserve">Enter a 'Eligible Basis for Rehab' for  building 7 in cell M10.
</v>
      </c>
      <c r="G1690" s="9" t="str">
        <f t="shared" ca="1" si="535"/>
        <v xml:space="preserve">Enter a value for 'Number of Floors in the Tallest Building' in cell B60.
</v>
      </c>
      <c r="H1690" s="52" t="str">
        <f t="shared" ca="1" si="555"/>
        <v>Eligible Basis for Rehab</v>
      </c>
      <c r="I1690" s="52">
        <v>13</v>
      </c>
    </row>
    <row r="1691" spans="1:10" ht="15" customHeight="1">
      <c r="A1691" t="str">
        <f ca="1">IF(AND(OFFSET(A1691, -I1691 + 2, 4) &gt;  0, E1691="", Calculations!$B$7), F1691, "")</f>
        <v/>
      </c>
      <c r="B1691">
        <f t="shared" si="551"/>
        <v>10</v>
      </c>
      <c r="C1691">
        <f t="shared" ca="1" si="537"/>
        <v>7</v>
      </c>
      <c r="D1691" t="str">
        <f t="shared" si="552"/>
        <v>N10</v>
      </c>
      <c r="E1691" t="str">
        <f t="shared" ca="1" si="553"/>
        <v/>
      </c>
      <c r="F1691" t="str">
        <f t="shared" ca="1" si="554"/>
        <v xml:space="preserve">Enter a 'Cost of Acquiring the Building***' for  building 7 in cell N10.
</v>
      </c>
      <c r="G1691" s="9" t="str">
        <f t="shared" ca="1" si="535"/>
        <v xml:space="preserve">Enter a value for 'Number of Floors in the Tallest Building' in cell B60.
</v>
      </c>
      <c r="H1691" s="52" t="str">
        <f t="shared" ca="1" si="555"/>
        <v>Cost of Acquiring the Building***</v>
      </c>
      <c r="I1691" s="52">
        <v>14</v>
      </c>
    </row>
    <row r="1692" spans="1:10" ht="15" customHeight="1">
      <c r="A1692" t="str">
        <f ca="1">IF(AND(OFFSET(A1692, -I1692 + 2, 4) &gt;  0, E1692="", Calculations!$B$7), F1692, "")</f>
        <v/>
      </c>
      <c r="B1692">
        <f t="shared" si="551"/>
        <v>10</v>
      </c>
      <c r="C1692">
        <f t="shared" ca="1" si="537"/>
        <v>7</v>
      </c>
      <c r="D1692" t="str">
        <f t="shared" si="552"/>
        <v>O10</v>
      </c>
      <c r="E1692" t="str">
        <f t="shared" ca="1" si="553"/>
        <v/>
      </c>
      <c r="F1692" t="str">
        <f t="shared" ca="1" si="554"/>
        <v xml:space="preserve">Enter a 'Higher of Land Purchase Price or Land Appraised Value****' for  building 7 in cell O10.
</v>
      </c>
      <c r="G1692" s="9" t="str">
        <f t="shared" ca="1" si="535"/>
        <v xml:space="preserve">Enter a value for 'Number of Floors in the Tallest Building' in cell B60.
</v>
      </c>
      <c r="H1692" s="52" t="str">
        <f t="shared" ca="1" si="555"/>
        <v>Higher of Land Purchase Price or Land Appraised Value****</v>
      </c>
      <c r="I1692" s="52">
        <v>15</v>
      </c>
    </row>
    <row r="1693" spans="1:10" ht="15" customHeight="1">
      <c r="A1693" t="str">
        <f ca="1">IF(AND(OFFSET(A1693, -I1693 + 2, 4) &gt;  0, E1693="", Calculations!$B$7), F1693, "")</f>
        <v/>
      </c>
      <c r="B1693">
        <f t="shared" si="551"/>
        <v>10</v>
      </c>
      <c r="C1693">
        <f t="shared" ca="1" si="537"/>
        <v>7</v>
      </c>
      <c r="D1693" t="str">
        <f t="shared" si="552"/>
        <v>P10</v>
      </c>
      <c r="E1693" t="str">
        <f t="shared" ca="1" si="553"/>
        <v/>
      </c>
      <c r="F1693" t="str">
        <f t="shared" ca="1" si="554"/>
        <v xml:space="preserve">Enter a 'Acquisition Placed-in-Service Date' for  building 7 in cell P10.
</v>
      </c>
      <c r="G1693" s="9" t="str">
        <f t="shared" ca="1" si="535"/>
        <v xml:space="preserve">Enter a value for 'Number of Floors in the Tallest Building' in cell B60.
</v>
      </c>
      <c r="H1693" s="52" t="str">
        <f t="shared" ca="1" si="555"/>
        <v>Acquisition Placed-in-Service Date</v>
      </c>
      <c r="I1693" s="52">
        <v>16</v>
      </c>
    </row>
    <row r="1694" spans="1:10" ht="15" customHeight="1">
      <c r="A1694" t="str">
        <f ca="1">IF(AND(OFFSET(A1694, -I1694 + 2, 4) &gt;  0, E1694="", Calculations!$B$7), F1694, "")</f>
        <v/>
      </c>
      <c r="B1694">
        <f t="shared" si="551"/>
        <v>10</v>
      </c>
      <c r="C1694">
        <f t="shared" ca="1" si="537"/>
        <v>7</v>
      </c>
      <c r="D1694" t="str">
        <f t="shared" si="552"/>
        <v>Q10</v>
      </c>
      <c r="E1694" t="str">
        <f t="shared" ca="1" si="553"/>
        <v/>
      </c>
      <c r="F1694" t="str">
        <f t="shared" ca="1" si="554"/>
        <v xml:space="preserve">Enter a 'Acquisition APR' for  building 7 in cell Q10.
</v>
      </c>
      <c r="G1694" s="9" t="str">
        <f t="shared" ca="1" si="535"/>
        <v xml:space="preserve">Enter a value for 'Number of Floors in the Tallest Building' in cell B60.
</v>
      </c>
      <c r="H1694" s="52" t="str">
        <f t="shared" ca="1" si="555"/>
        <v>Acquisition APR</v>
      </c>
      <c r="I1694" s="52">
        <v>17</v>
      </c>
    </row>
    <row r="1695" spans="1:10" ht="15" customHeight="1">
      <c r="A1695" t="str">
        <f ca="1">IF(AND(Calculations!$B$4,Calculations!$B$29&gt;=C1695, E1695 &lt;&gt; 13),F1695,"")</f>
        <v/>
      </c>
      <c r="B1695">
        <f>ROW('Final Building Profile'!C11)</f>
        <v>11</v>
      </c>
      <c r="C1695">
        <f t="shared" ca="1" si="537"/>
        <v>8</v>
      </c>
      <c r="D1695" t="str">
        <f>ADDRESS(B1695, 3,4  )</f>
        <v>C11</v>
      </c>
      <c r="E1695" s="52">
        <f ca="1">H1695+I1695</f>
        <v>0</v>
      </c>
      <c r="F1695" t="str">
        <f ca="1">CONCATENATE("Based upon the number of buildings specified, information for  building ", C1695, " required for a final application in row ", B1695, ".", CHAR(10))</f>
        <v xml:space="preserve">Based upon the number of buildings specified, information for  building 8 required for a final application in row 11.
</v>
      </c>
      <c r="G1695" s="9" t="str">
        <f t="shared" ca="1" si="535"/>
        <v xml:space="preserve">Enter a value for 'Number of Floors in the Tallest Building' in cell B60.
</v>
      </c>
      <c r="H1695" s="52">
        <f ca="1">SUMPRODUCT(--ISTEXT(INDIRECT(J1695)))</f>
        <v>0</v>
      </c>
      <c r="I1695" s="52">
        <f ca="1">SUMPRODUCT(--ISNUMBER(INDIRECT(J1695)))</f>
        <v>0</v>
      </c>
      <c r="J1695" s="52" t="str">
        <f>$F$1565&amp; ADDRESS(B1695,3,4) &amp; ":" &amp; ADDRESS(B1695,15,4)</f>
        <v>'Final Building Profile'!C11:O11</v>
      </c>
    </row>
    <row r="1696" spans="1:10" ht="15" customHeight="1">
      <c r="A1696" t="str">
        <f t="shared" ref="A1696:A1705" ca="1" si="556">IF(AND(OFFSET(A1696, -I1696 + 2, 4) &gt;  0, E1696=""), F1696, "")</f>
        <v/>
      </c>
      <c r="B1696">
        <f t="shared" ref="B1696:B1710" si="557">B1695</f>
        <v>11</v>
      </c>
      <c r="C1696">
        <f t="shared" ca="1" si="537"/>
        <v>8</v>
      </c>
      <c r="D1696" t="str">
        <f t="shared" ref="D1696:D1710" si="558">ADDRESS(B1696, I1696,4  )</f>
        <v>C11</v>
      </c>
      <c r="E1696" t="str">
        <f t="shared" ref="E1696:E1710" ca="1" si="559">IF(ISBLANK( INDIRECT($F$1565 &amp; D1696)),"", INDIRECT($F$1565 &amp; D1696))</f>
        <v/>
      </c>
      <c r="F1696" t="str">
        <f t="shared" ref="F1696:F1710" ca="1" si="560">CONCATENATE("Enter a '"&amp; H1696 &amp;"' for  building ", C1696, " in cell ", D1696, ".", CHAR(10))</f>
        <v xml:space="preserve">Enter a 'Building Street Address Only 
(DO NOT ENTER CITY, STATE, OR ZIP)' for  building 8 in cell C11.
</v>
      </c>
      <c r="G1696" s="9" t="str">
        <f t="shared" ref="G1696:G1759" ca="1" si="561">OFFSET(G1696, -1, 0) &amp; A1696</f>
        <v xml:space="preserve">Enter a value for 'Number of Floors in the Tallest Building' in cell B60.
</v>
      </c>
      <c r="H1696" s="52" t="str">
        <f t="shared" ref="H1696:H1710" ca="1" si="562">OFFSET(INDIRECT($F$1565 &amp; D1696), -B1696 + 3, 0)</f>
        <v>Building Street Address Only 
(DO NOT ENTER CITY, STATE, OR ZIP)</v>
      </c>
      <c r="I1696" s="52">
        <v>3</v>
      </c>
    </row>
    <row r="1697" spans="1:10" ht="15" customHeight="1">
      <c r="A1697" t="str">
        <f t="shared" ca="1" si="556"/>
        <v/>
      </c>
      <c r="B1697">
        <f t="shared" si="557"/>
        <v>11</v>
      </c>
      <c r="C1697">
        <f t="shared" ca="1" si="537"/>
        <v>8</v>
      </c>
      <c r="D1697" t="str">
        <f t="shared" si="558"/>
        <v>D11</v>
      </c>
      <c r="E1697" t="str">
        <f t="shared" ca="1" si="559"/>
        <v/>
      </c>
      <c r="F1697" t="str">
        <f t="shared" ca="1" si="560"/>
        <v xml:space="preserve">Enter a 'Total Units in Building*' for  building 8 in cell D11.
</v>
      </c>
      <c r="G1697" s="9" t="str">
        <f t="shared" ca="1" si="561"/>
        <v xml:space="preserve">Enter a value for 'Number of Floors in the Tallest Building' in cell B60.
</v>
      </c>
      <c r="H1697" s="52" t="str">
        <f t="shared" ca="1" si="562"/>
        <v>Total Units in Building*</v>
      </c>
      <c r="I1697" s="52">
        <v>4</v>
      </c>
    </row>
    <row r="1698" spans="1:10" ht="15" customHeight="1">
      <c r="A1698" t="str">
        <f t="shared" ca="1" si="556"/>
        <v/>
      </c>
      <c r="B1698">
        <f t="shared" si="557"/>
        <v>11</v>
      </c>
      <c r="C1698">
        <f t="shared" ca="1" si="537"/>
        <v>8</v>
      </c>
      <c r="D1698" t="str">
        <f t="shared" si="558"/>
        <v>E11</v>
      </c>
      <c r="E1698" t="str">
        <f t="shared" ca="1" si="559"/>
        <v/>
      </c>
      <c r="F1698" t="str">
        <f t="shared" ca="1" si="560"/>
        <v xml:space="preserve">Enter a 'Employee Units' for  building 8 in cell E11.
</v>
      </c>
      <c r="G1698" s="9" t="str">
        <f t="shared" ca="1" si="561"/>
        <v xml:space="preserve">Enter a value for 'Number of Floors in the Tallest Building' in cell B60.
</v>
      </c>
      <c r="H1698" s="52" t="str">
        <f t="shared" ca="1" si="562"/>
        <v>Employee Units</v>
      </c>
      <c r="I1698" s="52">
        <v>5</v>
      </c>
    </row>
    <row r="1699" spans="1:10" ht="15" customHeight="1">
      <c r="A1699" t="str">
        <f t="shared" ca="1" si="556"/>
        <v/>
      </c>
      <c r="B1699">
        <f t="shared" si="557"/>
        <v>11</v>
      </c>
      <c r="C1699">
        <f t="shared" ca="1" si="537"/>
        <v>8</v>
      </c>
      <c r="D1699" t="str">
        <f t="shared" si="558"/>
        <v>F11</v>
      </c>
      <c r="E1699" t="str">
        <f t="shared" ca="1" si="559"/>
        <v/>
      </c>
      <c r="F1699" t="str">
        <f t="shared" ca="1" si="560"/>
        <v xml:space="preserve">Enter a 'Low-Income Units' for  building 8 in cell F11.
</v>
      </c>
      <c r="G1699" s="9" t="str">
        <f t="shared" ca="1" si="561"/>
        <v xml:space="preserve">Enter a value for 'Number of Floors in the Tallest Building' in cell B60.
</v>
      </c>
      <c r="H1699" s="52" t="str">
        <f t="shared" ca="1" si="562"/>
        <v>Low-Income Units</v>
      </c>
      <c r="I1699" s="52">
        <v>6</v>
      </c>
    </row>
    <row r="1700" spans="1:10" ht="15" customHeight="1">
      <c r="A1700" t="str">
        <f t="shared" ca="1" si="556"/>
        <v/>
      </c>
      <c r="B1700">
        <f t="shared" si="557"/>
        <v>11</v>
      </c>
      <c r="C1700">
        <f t="shared" ca="1" si="537"/>
        <v>8</v>
      </c>
      <c r="D1700" t="str">
        <f t="shared" si="558"/>
        <v>G11</v>
      </c>
      <c r="E1700" t="str">
        <f t="shared" ca="1" si="559"/>
        <v/>
      </c>
      <c r="F1700" t="str">
        <f t="shared" ca="1" si="560"/>
        <v xml:space="preserve">Enter a 'Residential Square Footage**' for  building 8 in cell G11.
</v>
      </c>
      <c r="G1700" s="9" t="str">
        <f t="shared" ca="1" si="561"/>
        <v xml:space="preserve">Enter a value for 'Number of Floors in the Tallest Building' in cell B60.
</v>
      </c>
      <c r="H1700" s="52" t="str">
        <f t="shared" ca="1" si="562"/>
        <v>Residential Square Footage**</v>
      </c>
      <c r="I1700" s="52">
        <v>7</v>
      </c>
    </row>
    <row r="1701" spans="1:10" ht="15" customHeight="1">
      <c r="A1701" t="str">
        <f t="shared" ca="1" si="556"/>
        <v/>
      </c>
      <c r="B1701">
        <f t="shared" si="557"/>
        <v>11</v>
      </c>
      <c r="C1701">
        <f t="shared" ca="1" si="537"/>
        <v>8</v>
      </c>
      <c r="D1701" t="str">
        <f t="shared" si="558"/>
        <v>H11</v>
      </c>
      <c r="E1701" t="str">
        <f t="shared" ca="1" si="559"/>
        <v/>
      </c>
      <c r="F1701" t="str">
        <f t="shared" ca="1" si="560"/>
        <v xml:space="preserve">Enter a 'Square Footage of Employee Units' for  building 8 in cell H11.
</v>
      </c>
      <c r="G1701" s="9" t="str">
        <f t="shared" ca="1" si="561"/>
        <v xml:space="preserve">Enter a value for 'Number of Floors in the Tallest Building' in cell B60.
</v>
      </c>
      <c r="H1701" s="52" t="str">
        <f t="shared" ca="1" si="562"/>
        <v>Square Footage of Employee Units</v>
      </c>
      <c r="I1701" s="52">
        <v>8</v>
      </c>
    </row>
    <row r="1702" spans="1:10" ht="15" customHeight="1">
      <c r="A1702" t="str">
        <f t="shared" ca="1" si="556"/>
        <v/>
      </c>
      <c r="B1702">
        <f t="shared" si="557"/>
        <v>11</v>
      </c>
      <c r="C1702">
        <f t="shared" ca="1" si="537"/>
        <v>8</v>
      </c>
      <c r="D1702" t="str">
        <f t="shared" si="558"/>
        <v>I11</v>
      </c>
      <c r="E1702" t="str">
        <f t="shared" ca="1" si="559"/>
        <v/>
      </c>
      <c r="F1702" t="str">
        <f t="shared" ca="1" si="560"/>
        <v xml:space="preserve">Enter a 'Square Footage of Low-Income Units' for  building 8 in cell I11.
</v>
      </c>
      <c r="G1702" s="9" t="str">
        <f t="shared" ca="1" si="561"/>
        <v xml:space="preserve">Enter a value for 'Number of Floors in the Tallest Building' in cell B60.
</v>
      </c>
      <c r="H1702" s="52" t="str">
        <f t="shared" ca="1" si="562"/>
        <v>Square Footage of Low-Income Units</v>
      </c>
      <c r="I1702" s="52">
        <v>9</v>
      </c>
    </row>
    <row r="1703" spans="1:10" ht="15" customHeight="1">
      <c r="A1703" t="str">
        <f t="shared" ca="1" si="556"/>
        <v/>
      </c>
      <c r="B1703">
        <f t="shared" si="557"/>
        <v>11</v>
      </c>
      <c r="C1703">
        <f t="shared" ca="1" si="537"/>
        <v>8</v>
      </c>
      <c r="D1703" t="str">
        <f t="shared" si="558"/>
        <v>J11</v>
      </c>
      <c r="E1703" t="str">
        <f t="shared" ca="1" si="559"/>
        <v/>
      </c>
      <c r="F1703" t="str">
        <f t="shared" ca="1" si="560"/>
        <v xml:space="preserve">Enter a 'Placed-In-Service Date' for  building 8 in cell J11.
</v>
      </c>
      <c r="G1703" s="9" t="str">
        <f t="shared" ca="1" si="561"/>
        <v xml:space="preserve">Enter a value for 'Number of Floors in the Tallest Building' in cell B60.
</v>
      </c>
      <c r="H1703" s="52" t="str">
        <f t="shared" ca="1" si="562"/>
        <v>Placed-In-Service Date</v>
      </c>
      <c r="I1703" s="52">
        <v>10</v>
      </c>
    </row>
    <row r="1704" spans="1:10" ht="15" customHeight="1">
      <c r="A1704" t="str">
        <f t="shared" ca="1" si="556"/>
        <v/>
      </c>
      <c r="B1704">
        <f t="shared" si="557"/>
        <v>11</v>
      </c>
      <c r="C1704">
        <f t="shared" ca="1" si="537"/>
        <v>8</v>
      </c>
      <c r="D1704" t="str">
        <f t="shared" si="558"/>
        <v>K11</v>
      </c>
      <c r="E1704" t="str">
        <f t="shared" ca="1" si="559"/>
        <v/>
      </c>
      <c r="F1704" t="str">
        <f t="shared" ca="1" si="560"/>
        <v xml:space="preserve">Enter a 'New Construction/ Rehab APR' for  building 8 in cell K11.
</v>
      </c>
      <c r="G1704" s="9" t="str">
        <f t="shared" ca="1" si="561"/>
        <v xml:space="preserve">Enter a value for 'Number of Floors in the Tallest Building' in cell B60.
</v>
      </c>
      <c r="H1704" s="52" t="str">
        <f t="shared" ca="1" si="562"/>
        <v>New Construction/ Rehab APR</v>
      </c>
      <c r="I1704" s="52">
        <v>11</v>
      </c>
    </row>
    <row r="1705" spans="1:10" ht="15" customHeight="1">
      <c r="A1705" t="str">
        <f t="shared" ca="1" si="556"/>
        <v/>
      </c>
      <c r="B1705">
        <f t="shared" si="557"/>
        <v>11</v>
      </c>
      <c r="C1705">
        <f t="shared" ca="1" si="537"/>
        <v>8</v>
      </c>
      <c r="D1705" t="str">
        <f t="shared" si="558"/>
        <v>L11</v>
      </c>
      <c r="E1705" t="str">
        <f t="shared" ca="1" si="559"/>
        <v/>
      </c>
      <c r="F1705" t="str">
        <f t="shared" ca="1" si="560"/>
        <v xml:space="preserve">Enter a 'New Construction Eligible Basis' for  building 8 in cell L11.
</v>
      </c>
      <c r="G1705" s="9" t="str">
        <f t="shared" ca="1" si="561"/>
        <v xml:space="preserve">Enter a value for 'Number of Floors in the Tallest Building' in cell B60.
</v>
      </c>
      <c r="H1705" s="52" t="str">
        <f t="shared" ca="1" si="562"/>
        <v>New Construction Eligible Basis</v>
      </c>
      <c r="I1705" s="52">
        <v>12</v>
      </c>
    </row>
    <row r="1706" spans="1:10" ht="15" customHeight="1">
      <c r="A1706" t="str">
        <f ca="1">IF(AND(OFFSET(A1706, -I1706 + 2, 4) &gt;  0, E1706="", Calculations!$B$7), F1706, "")</f>
        <v/>
      </c>
      <c r="B1706">
        <f t="shared" si="557"/>
        <v>11</v>
      </c>
      <c r="C1706">
        <f t="shared" ca="1" si="537"/>
        <v>8</v>
      </c>
      <c r="D1706" t="str">
        <f t="shared" si="558"/>
        <v>M11</v>
      </c>
      <c r="E1706" t="str">
        <f t="shared" ca="1" si="559"/>
        <v/>
      </c>
      <c r="F1706" t="str">
        <f t="shared" ca="1" si="560"/>
        <v xml:space="preserve">Enter a 'Eligible Basis for Rehab' for  building 8 in cell M11.
</v>
      </c>
      <c r="G1706" s="9" t="str">
        <f t="shared" ca="1" si="561"/>
        <v xml:space="preserve">Enter a value for 'Number of Floors in the Tallest Building' in cell B60.
</v>
      </c>
      <c r="H1706" s="52" t="str">
        <f t="shared" ca="1" si="562"/>
        <v>Eligible Basis for Rehab</v>
      </c>
      <c r="I1706" s="52">
        <v>13</v>
      </c>
    </row>
    <row r="1707" spans="1:10" ht="15" customHeight="1">
      <c r="A1707" t="str">
        <f ca="1">IF(AND(OFFSET(A1707, -I1707 + 2, 4) &gt;  0, E1707="", Calculations!$B$7), F1707, "")</f>
        <v/>
      </c>
      <c r="B1707">
        <f t="shared" si="557"/>
        <v>11</v>
      </c>
      <c r="C1707">
        <f t="shared" ca="1" si="537"/>
        <v>8</v>
      </c>
      <c r="D1707" t="str">
        <f t="shared" si="558"/>
        <v>N11</v>
      </c>
      <c r="E1707" t="str">
        <f t="shared" ca="1" si="559"/>
        <v/>
      </c>
      <c r="F1707" t="str">
        <f t="shared" ca="1" si="560"/>
        <v xml:space="preserve">Enter a 'Cost of Acquiring the Building***' for  building 8 in cell N11.
</v>
      </c>
      <c r="G1707" s="9" t="str">
        <f t="shared" ca="1" si="561"/>
        <v xml:space="preserve">Enter a value for 'Number of Floors in the Tallest Building' in cell B60.
</v>
      </c>
      <c r="H1707" s="52" t="str">
        <f t="shared" ca="1" si="562"/>
        <v>Cost of Acquiring the Building***</v>
      </c>
      <c r="I1707" s="52">
        <v>14</v>
      </c>
    </row>
    <row r="1708" spans="1:10" ht="15" customHeight="1">
      <c r="A1708" t="str">
        <f ca="1">IF(AND(OFFSET(A1708, -I1708 + 2, 4) &gt;  0, E1708="", Calculations!$B$7), F1708, "")</f>
        <v/>
      </c>
      <c r="B1708">
        <f t="shared" si="557"/>
        <v>11</v>
      </c>
      <c r="C1708">
        <f t="shared" ca="1" si="537"/>
        <v>8</v>
      </c>
      <c r="D1708" t="str">
        <f t="shared" si="558"/>
        <v>O11</v>
      </c>
      <c r="E1708" t="str">
        <f t="shared" ca="1" si="559"/>
        <v/>
      </c>
      <c r="F1708" t="str">
        <f t="shared" ca="1" si="560"/>
        <v xml:space="preserve">Enter a 'Higher of Land Purchase Price or Land Appraised Value****' for  building 8 in cell O11.
</v>
      </c>
      <c r="G1708" s="9" t="str">
        <f t="shared" ca="1" si="561"/>
        <v xml:space="preserve">Enter a value for 'Number of Floors in the Tallest Building' in cell B60.
</v>
      </c>
      <c r="H1708" s="52" t="str">
        <f t="shared" ca="1" si="562"/>
        <v>Higher of Land Purchase Price or Land Appraised Value****</v>
      </c>
      <c r="I1708" s="52">
        <v>15</v>
      </c>
    </row>
    <row r="1709" spans="1:10" ht="15" customHeight="1">
      <c r="A1709" t="str">
        <f ca="1">IF(AND(OFFSET(A1709, -I1709 + 2, 4) &gt;  0, E1709="", Calculations!$B$7), F1709, "")</f>
        <v/>
      </c>
      <c r="B1709">
        <f t="shared" si="557"/>
        <v>11</v>
      </c>
      <c r="C1709">
        <f t="shared" ca="1" si="537"/>
        <v>8</v>
      </c>
      <c r="D1709" t="str">
        <f t="shared" si="558"/>
        <v>P11</v>
      </c>
      <c r="E1709" t="str">
        <f t="shared" ca="1" si="559"/>
        <v/>
      </c>
      <c r="F1709" t="str">
        <f t="shared" ca="1" si="560"/>
        <v xml:space="preserve">Enter a 'Acquisition Placed-in-Service Date' for  building 8 in cell P11.
</v>
      </c>
      <c r="G1709" s="9" t="str">
        <f t="shared" ca="1" si="561"/>
        <v xml:space="preserve">Enter a value for 'Number of Floors in the Tallest Building' in cell B60.
</v>
      </c>
      <c r="H1709" s="52" t="str">
        <f t="shared" ca="1" si="562"/>
        <v>Acquisition Placed-in-Service Date</v>
      </c>
      <c r="I1709" s="52">
        <v>16</v>
      </c>
    </row>
    <row r="1710" spans="1:10" ht="15" customHeight="1">
      <c r="A1710" t="str">
        <f ca="1">IF(AND(OFFSET(A1710, -I1710 + 2, 4) &gt;  0, E1710="", Calculations!$B$7), F1710, "")</f>
        <v/>
      </c>
      <c r="B1710">
        <f t="shared" si="557"/>
        <v>11</v>
      </c>
      <c r="C1710">
        <f t="shared" ca="1" si="537"/>
        <v>8</v>
      </c>
      <c r="D1710" t="str">
        <f t="shared" si="558"/>
        <v>Q11</v>
      </c>
      <c r="E1710" t="str">
        <f t="shared" ca="1" si="559"/>
        <v/>
      </c>
      <c r="F1710" t="str">
        <f t="shared" ca="1" si="560"/>
        <v xml:space="preserve">Enter a 'Acquisition APR' for  building 8 in cell Q11.
</v>
      </c>
      <c r="G1710" s="9" t="str">
        <f t="shared" ca="1" si="561"/>
        <v xml:space="preserve">Enter a value for 'Number of Floors in the Tallest Building' in cell B60.
</v>
      </c>
      <c r="H1710" s="52" t="str">
        <f t="shared" ca="1" si="562"/>
        <v>Acquisition APR</v>
      </c>
      <c r="I1710" s="52">
        <v>17</v>
      </c>
    </row>
    <row r="1711" spans="1:10" ht="15" customHeight="1">
      <c r="A1711" t="str">
        <f ca="1">IF(AND(Calculations!$B$4,Calculations!$B$29&gt;=C1711, E1711 &lt;&gt; 13),F1711,"")</f>
        <v/>
      </c>
      <c r="B1711">
        <f>ROW('Final Building Profile'!C12)</f>
        <v>12</v>
      </c>
      <c r="C1711">
        <f t="shared" ref="C1711:C1774" ca="1" si="563">INDIRECT($F$1565 &amp; ADDRESS(B1711, 1,4  ))</f>
        <v>9</v>
      </c>
      <c r="D1711" t="str">
        <f>ADDRESS(B1711, 3,4  )</f>
        <v>C12</v>
      </c>
      <c r="E1711" s="52">
        <f ca="1">H1711+I1711</f>
        <v>0</v>
      </c>
      <c r="F1711" t="str">
        <f ca="1">CONCATENATE("Based upon the number of buildings specified, information for  building ", C1711, " required for a final application in row ", B1711, ".", CHAR(10))</f>
        <v xml:space="preserve">Based upon the number of buildings specified, information for  building 9 required for a final application in row 12.
</v>
      </c>
      <c r="G1711" s="9" t="str">
        <f t="shared" ca="1" si="561"/>
        <v xml:space="preserve">Enter a value for 'Number of Floors in the Tallest Building' in cell B60.
</v>
      </c>
      <c r="H1711" s="52">
        <f ca="1">SUMPRODUCT(--ISTEXT(INDIRECT(J1711)))</f>
        <v>0</v>
      </c>
      <c r="I1711" s="52">
        <f ca="1">SUMPRODUCT(--ISNUMBER(INDIRECT(J1711)))</f>
        <v>0</v>
      </c>
      <c r="J1711" s="52" t="str">
        <f>$F$1565&amp; ADDRESS(B1711,3,4) &amp; ":" &amp; ADDRESS(B1711,15,4)</f>
        <v>'Final Building Profile'!C12:O12</v>
      </c>
    </row>
    <row r="1712" spans="1:10" ht="15" customHeight="1">
      <c r="A1712" t="str">
        <f t="shared" ref="A1712:A1721" ca="1" si="564">IF(AND(OFFSET(A1712, -I1712 + 2, 4) &gt;  0, E1712=""), F1712, "")</f>
        <v/>
      </c>
      <c r="B1712">
        <f t="shared" ref="B1712:B1726" si="565">B1711</f>
        <v>12</v>
      </c>
      <c r="C1712">
        <f t="shared" ca="1" si="563"/>
        <v>9</v>
      </c>
      <c r="D1712" t="str">
        <f t="shared" ref="D1712:D1726" si="566">ADDRESS(B1712, I1712,4  )</f>
        <v>C12</v>
      </c>
      <c r="E1712" t="str">
        <f t="shared" ref="E1712:E1726" ca="1" si="567">IF(ISBLANK( INDIRECT($F$1565 &amp; D1712)),"", INDIRECT($F$1565 &amp; D1712))</f>
        <v/>
      </c>
      <c r="F1712" t="str">
        <f t="shared" ref="F1712:F1726" ca="1" si="568">CONCATENATE("Enter a '"&amp; H1712 &amp;"' for  building ", C1712, " in cell ", D1712, ".", CHAR(10))</f>
        <v xml:space="preserve">Enter a 'Building Street Address Only 
(DO NOT ENTER CITY, STATE, OR ZIP)' for  building 9 in cell C12.
</v>
      </c>
      <c r="G1712" s="9" t="str">
        <f t="shared" ca="1" si="561"/>
        <v xml:space="preserve">Enter a value for 'Number of Floors in the Tallest Building' in cell B60.
</v>
      </c>
      <c r="H1712" s="52" t="str">
        <f t="shared" ref="H1712:H1726" ca="1" si="569">OFFSET(INDIRECT($F$1565 &amp; D1712), -B1712 + 3, 0)</f>
        <v>Building Street Address Only 
(DO NOT ENTER CITY, STATE, OR ZIP)</v>
      </c>
      <c r="I1712" s="52">
        <v>3</v>
      </c>
    </row>
    <row r="1713" spans="1:10" ht="15" customHeight="1">
      <c r="A1713" t="str">
        <f t="shared" ca="1" si="564"/>
        <v/>
      </c>
      <c r="B1713">
        <f t="shared" si="565"/>
        <v>12</v>
      </c>
      <c r="C1713">
        <f t="shared" ca="1" si="563"/>
        <v>9</v>
      </c>
      <c r="D1713" t="str">
        <f t="shared" si="566"/>
        <v>D12</v>
      </c>
      <c r="E1713" t="str">
        <f t="shared" ca="1" si="567"/>
        <v/>
      </c>
      <c r="F1713" t="str">
        <f t="shared" ca="1" si="568"/>
        <v xml:space="preserve">Enter a 'Total Units in Building*' for  building 9 in cell D12.
</v>
      </c>
      <c r="G1713" s="9" t="str">
        <f t="shared" ca="1" si="561"/>
        <v xml:space="preserve">Enter a value for 'Number of Floors in the Tallest Building' in cell B60.
</v>
      </c>
      <c r="H1713" s="52" t="str">
        <f t="shared" ca="1" si="569"/>
        <v>Total Units in Building*</v>
      </c>
      <c r="I1713" s="52">
        <v>4</v>
      </c>
    </row>
    <row r="1714" spans="1:10" ht="15" customHeight="1">
      <c r="A1714" t="str">
        <f t="shared" ca="1" si="564"/>
        <v/>
      </c>
      <c r="B1714">
        <f t="shared" si="565"/>
        <v>12</v>
      </c>
      <c r="C1714">
        <f t="shared" ca="1" si="563"/>
        <v>9</v>
      </c>
      <c r="D1714" t="str">
        <f t="shared" si="566"/>
        <v>E12</v>
      </c>
      <c r="E1714" t="str">
        <f t="shared" ca="1" si="567"/>
        <v/>
      </c>
      <c r="F1714" t="str">
        <f t="shared" ca="1" si="568"/>
        <v xml:space="preserve">Enter a 'Employee Units' for  building 9 in cell E12.
</v>
      </c>
      <c r="G1714" s="9" t="str">
        <f t="shared" ca="1" si="561"/>
        <v xml:space="preserve">Enter a value for 'Number of Floors in the Tallest Building' in cell B60.
</v>
      </c>
      <c r="H1714" s="52" t="str">
        <f t="shared" ca="1" si="569"/>
        <v>Employee Units</v>
      </c>
      <c r="I1714" s="52">
        <v>5</v>
      </c>
    </row>
    <row r="1715" spans="1:10" ht="15" customHeight="1">
      <c r="A1715" t="str">
        <f t="shared" ca="1" si="564"/>
        <v/>
      </c>
      <c r="B1715">
        <f t="shared" si="565"/>
        <v>12</v>
      </c>
      <c r="C1715">
        <f t="shared" ca="1" si="563"/>
        <v>9</v>
      </c>
      <c r="D1715" t="str">
        <f t="shared" si="566"/>
        <v>F12</v>
      </c>
      <c r="E1715" t="str">
        <f t="shared" ca="1" si="567"/>
        <v/>
      </c>
      <c r="F1715" t="str">
        <f t="shared" ca="1" si="568"/>
        <v xml:space="preserve">Enter a 'Low-Income Units' for  building 9 in cell F12.
</v>
      </c>
      <c r="G1715" s="9" t="str">
        <f t="shared" ca="1" si="561"/>
        <v xml:space="preserve">Enter a value for 'Number of Floors in the Tallest Building' in cell B60.
</v>
      </c>
      <c r="H1715" s="52" t="str">
        <f t="shared" ca="1" si="569"/>
        <v>Low-Income Units</v>
      </c>
      <c r="I1715" s="52">
        <v>6</v>
      </c>
    </row>
    <row r="1716" spans="1:10" ht="15" customHeight="1">
      <c r="A1716" t="str">
        <f t="shared" ca="1" si="564"/>
        <v/>
      </c>
      <c r="B1716">
        <f t="shared" si="565"/>
        <v>12</v>
      </c>
      <c r="C1716">
        <f t="shared" ca="1" si="563"/>
        <v>9</v>
      </c>
      <c r="D1716" t="str">
        <f t="shared" si="566"/>
        <v>G12</v>
      </c>
      <c r="E1716" t="str">
        <f t="shared" ca="1" si="567"/>
        <v/>
      </c>
      <c r="F1716" t="str">
        <f t="shared" ca="1" si="568"/>
        <v xml:space="preserve">Enter a 'Residential Square Footage**' for  building 9 in cell G12.
</v>
      </c>
      <c r="G1716" s="9" t="str">
        <f t="shared" ca="1" si="561"/>
        <v xml:space="preserve">Enter a value for 'Number of Floors in the Tallest Building' in cell B60.
</v>
      </c>
      <c r="H1716" s="52" t="str">
        <f t="shared" ca="1" si="569"/>
        <v>Residential Square Footage**</v>
      </c>
      <c r="I1716" s="52">
        <v>7</v>
      </c>
    </row>
    <row r="1717" spans="1:10" ht="15" customHeight="1">
      <c r="A1717" t="str">
        <f t="shared" ca="1" si="564"/>
        <v/>
      </c>
      <c r="B1717">
        <f t="shared" si="565"/>
        <v>12</v>
      </c>
      <c r="C1717">
        <f t="shared" ca="1" si="563"/>
        <v>9</v>
      </c>
      <c r="D1717" t="str">
        <f t="shared" si="566"/>
        <v>H12</v>
      </c>
      <c r="E1717" t="str">
        <f t="shared" ca="1" si="567"/>
        <v/>
      </c>
      <c r="F1717" t="str">
        <f t="shared" ca="1" si="568"/>
        <v xml:space="preserve">Enter a 'Square Footage of Employee Units' for  building 9 in cell H12.
</v>
      </c>
      <c r="G1717" s="9" t="str">
        <f t="shared" ca="1" si="561"/>
        <v xml:space="preserve">Enter a value for 'Number of Floors in the Tallest Building' in cell B60.
</v>
      </c>
      <c r="H1717" s="52" t="str">
        <f t="shared" ca="1" si="569"/>
        <v>Square Footage of Employee Units</v>
      </c>
      <c r="I1717" s="52">
        <v>8</v>
      </c>
    </row>
    <row r="1718" spans="1:10" ht="15" customHeight="1">
      <c r="A1718" t="str">
        <f t="shared" ca="1" si="564"/>
        <v/>
      </c>
      <c r="B1718">
        <f t="shared" si="565"/>
        <v>12</v>
      </c>
      <c r="C1718">
        <f t="shared" ca="1" si="563"/>
        <v>9</v>
      </c>
      <c r="D1718" t="str">
        <f t="shared" si="566"/>
        <v>I12</v>
      </c>
      <c r="E1718" t="str">
        <f t="shared" ca="1" si="567"/>
        <v/>
      </c>
      <c r="F1718" t="str">
        <f t="shared" ca="1" si="568"/>
        <v xml:space="preserve">Enter a 'Square Footage of Low-Income Units' for  building 9 in cell I12.
</v>
      </c>
      <c r="G1718" s="9" t="str">
        <f t="shared" ca="1" si="561"/>
        <v xml:space="preserve">Enter a value for 'Number of Floors in the Tallest Building' in cell B60.
</v>
      </c>
      <c r="H1718" s="52" t="str">
        <f t="shared" ca="1" si="569"/>
        <v>Square Footage of Low-Income Units</v>
      </c>
      <c r="I1718" s="52">
        <v>9</v>
      </c>
    </row>
    <row r="1719" spans="1:10" ht="15" customHeight="1">
      <c r="A1719" t="str">
        <f t="shared" ca="1" si="564"/>
        <v/>
      </c>
      <c r="B1719">
        <f t="shared" si="565"/>
        <v>12</v>
      </c>
      <c r="C1719">
        <f t="shared" ca="1" si="563"/>
        <v>9</v>
      </c>
      <c r="D1719" t="str">
        <f t="shared" si="566"/>
        <v>J12</v>
      </c>
      <c r="E1719" t="str">
        <f t="shared" ca="1" si="567"/>
        <v/>
      </c>
      <c r="F1719" t="str">
        <f t="shared" ca="1" si="568"/>
        <v xml:space="preserve">Enter a 'Placed-In-Service Date' for  building 9 in cell J12.
</v>
      </c>
      <c r="G1719" s="9" t="str">
        <f t="shared" ca="1" si="561"/>
        <v xml:space="preserve">Enter a value for 'Number of Floors in the Tallest Building' in cell B60.
</v>
      </c>
      <c r="H1719" s="52" t="str">
        <f t="shared" ca="1" si="569"/>
        <v>Placed-In-Service Date</v>
      </c>
      <c r="I1719" s="52">
        <v>10</v>
      </c>
    </row>
    <row r="1720" spans="1:10" ht="15" customHeight="1">
      <c r="A1720" t="str">
        <f t="shared" ca="1" si="564"/>
        <v/>
      </c>
      <c r="B1720">
        <f t="shared" si="565"/>
        <v>12</v>
      </c>
      <c r="C1720">
        <f t="shared" ca="1" si="563"/>
        <v>9</v>
      </c>
      <c r="D1720" t="str">
        <f t="shared" si="566"/>
        <v>K12</v>
      </c>
      <c r="E1720" t="str">
        <f t="shared" ca="1" si="567"/>
        <v/>
      </c>
      <c r="F1720" t="str">
        <f t="shared" ca="1" si="568"/>
        <v xml:space="preserve">Enter a 'New Construction/ Rehab APR' for  building 9 in cell K12.
</v>
      </c>
      <c r="G1720" s="9" t="str">
        <f t="shared" ca="1" si="561"/>
        <v xml:space="preserve">Enter a value for 'Number of Floors in the Tallest Building' in cell B60.
</v>
      </c>
      <c r="H1720" s="52" t="str">
        <f t="shared" ca="1" si="569"/>
        <v>New Construction/ Rehab APR</v>
      </c>
      <c r="I1720" s="52">
        <v>11</v>
      </c>
    </row>
    <row r="1721" spans="1:10" ht="15" customHeight="1">
      <c r="A1721" t="str">
        <f t="shared" ca="1" si="564"/>
        <v/>
      </c>
      <c r="B1721">
        <f t="shared" si="565"/>
        <v>12</v>
      </c>
      <c r="C1721">
        <f t="shared" ca="1" si="563"/>
        <v>9</v>
      </c>
      <c r="D1721" t="str">
        <f t="shared" si="566"/>
        <v>L12</v>
      </c>
      <c r="E1721" t="str">
        <f t="shared" ca="1" si="567"/>
        <v/>
      </c>
      <c r="F1721" t="str">
        <f t="shared" ca="1" si="568"/>
        <v xml:space="preserve">Enter a 'New Construction Eligible Basis' for  building 9 in cell L12.
</v>
      </c>
      <c r="G1721" s="9" t="str">
        <f t="shared" ca="1" si="561"/>
        <v xml:space="preserve">Enter a value for 'Number of Floors in the Tallest Building' in cell B60.
</v>
      </c>
      <c r="H1721" s="52" t="str">
        <f t="shared" ca="1" si="569"/>
        <v>New Construction Eligible Basis</v>
      </c>
      <c r="I1721" s="52">
        <v>12</v>
      </c>
    </row>
    <row r="1722" spans="1:10" ht="15" customHeight="1">
      <c r="A1722" t="str">
        <f ca="1">IF(AND(OFFSET(A1722, -I1722 + 2, 4) &gt;  0, E1722="", Calculations!$B$7), F1722, "")</f>
        <v/>
      </c>
      <c r="B1722">
        <f t="shared" si="565"/>
        <v>12</v>
      </c>
      <c r="C1722">
        <f t="shared" ca="1" si="563"/>
        <v>9</v>
      </c>
      <c r="D1722" t="str">
        <f t="shared" si="566"/>
        <v>M12</v>
      </c>
      <c r="E1722" t="str">
        <f t="shared" ca="1" si="567"/>
        <v/>
      </c>
      <c r="F1722" t="str">
        <f t="shared" ca="1" si="568"/>
        <v xml:space="preserve">Enter a 'Eligible Basis for Rehab' for  building 9 in cell M12.
</v>
      </c>
      <c r="G1722" s="9" t="str">
        <f t="shared" ca="1" si="561"/>
        <v xml:space="preserve">Enter a value for 'Number of Floors in the Tallest Building' in cell B60.
</v>
      </c>
      <c r="H1722" s="52" t="str">
        <f t="shared" ca="1" si="569"/>
        <v>Eligible Basis for Rehab</v>
      </c>
      <c r="I1722" s="52">
        <v>13</v>
      </c>
    </row>
    <row r="1723" spans="1:10" ht="15" customHeight="1">
      <c r="A1723" t="str">
        <f ca="1">IF(AND(OFFSET(A1723, -I1723 + 2, 4) &gt;  0, E1723="", Calculations!$B$7), F1723, "")</f>
        <v/>
      </c>
      <c r="B1723">
        <f t="shared" si="565"/>
        <v>12</v>
      </c>
      <c r="C1723">
        <f t="shared" ca="1" si="563"/>
        <v>9</v>
      </c>
      <c r="D1723" t="str">
        <f t="shared" si="566"/>
        <v>N12</v>
      </c>
      <c r="E1723" t="str">
        <f t="shared" ca="1" si="567"/>
        <v/>
      </c>
      <c r="F1723" t="str">
        <f t="shared" ca="1" si="568"/>
        <v xml:space="preserve">Enter a 'Cost of Acquiring the Building***' for  building 9 in cell N12.
</v>
      </c>
      <c r="G1723" s="9" t="str">
        <f t="shared" ca="1" si="561"/>
        <v xml:space="preserve">Enter a value for 'Number of Floors in the Tallest Building' in cell B60.
</v>
      </c>
      <c r="H1723" s="52" t="str">
        <f t="shared" ca="1" si="569"/>
        <v>Cost of Acquiring the Building***</v>
      </c>
      <c r="I1723" s="52">
        <v>14</v>
      </c>
    </row>
    <row r="1724" spans="1:10" ht="15" customHeight="1">
      <c r="A1724" t="str">
        <f ca="1">IF(AND(OFFSET(A1724, -I1724 + 2, 4) &gt;  0, E1724="", Calculations!$B$7), F1724, "")</f>
        <v/>
      </c>
      <c r="B1724">
        <f t="shared" si="565"/>
        <v>12</v>
      </c>
      <c r="C1724">
        <f t="shared" ca="1" si="563"/>
        <v>9</v>
      </c>
      <c r="D1724" t="str">
        <f t="shared" si="566"/>
        <v>O12</v>
      </c>
      <c r="E1724" t="str">
        <f t="shared" ca="1" si="567"/>
        <v/>
      </c>
      <c r="F1724" t="str">
        <f t="shared" ca="1" si="568"/>
        <v xml:space="preserve">Enter a 'Higher of Land Purchase Price or Land Appraised Value****' for  building 9 in cell O12.
</v>
      </c>
      <c r="G1724" s="9" t="str">
        <f t="shared" ca="1" si="561"/>
        <v xml:space="preserve">Enter a value for 'Number of Floors in the Tallest Building' in cell B60.
</v>
      </c>
      <c r="H1724" s="52" t="str">
        <f t="shared" ca="1" si="569"/>
        <v>Higher of Land Purchase Price or Land Appraised Value****</v>
      </c>
      <c r="I1724" s="52">
        <v>15</v>
      </c>
    </row>
    <row r="1725" spans="1:10" ht="15" customHeight="1">
      <c r="A1725" t="str">
        <f ca="1">IF(AND(OFFSET(A1725, -I1725 + 2, 4) &gt;  0, E1725="", Calculations!$B$7), F1725, "")</f>
        <v/>
      </c>
      <c r="B1725">
        <f t="shared" si="565"/>
        <v>12</v>
      </c>
      <c r="C1725">
        <f t="shared" ca="1" si="563"/>
        <v>9</v>
      </c>
      <c r="D1725" t="str">
        <f t="shared" si="566"/>
        <v>P12</v>
      </c>
      <c r="E1725" t="str">
        <f t="shared" ca="1" si="567"/>
        <v/>
      </c>
      <c r="F1725" t="str">
        <f t="shared" ca="1" si="568"/>
        <v xml:space="preserve">Enter a 'Acquisition Placed-in-Service Date' for  building 9 in cell P12.
</v>
      </c>
      <c r="G1725" s="9" t="str">
        <f t="shared" ca="1" si="561"/>
        <v xml:space="preserve">Enter a value for 'Number of Floors in the Tallest Building' in cell B60.
</v>
      </c>
      <c r="H1725" s="52" t="str">
        <f t="shared" ca="1" si="569"/>
        <v>Acquisition Placed-in-Service Date</v>
      </c>
      <c r="I1725" s="52">
        <v>16</v>
      </c>
    </row>
    <row r="1726" spans="1:10" ht="15" customHeight="1">
      <c r="A1726" t="str">
        <f ca="1">IF(AND(OFFSET(A1726, -I1726 + 2, 4) &gt;  0, E1726="", Calculations!$B$7), F1726, "")</f>
        <v/>
      </c>
      <c r="B1726">
        <f t="shared" si="565"/>
        <v>12</v>
      </c>
      <c r="C1726">
        <f t="shared" ca="1" si="563"/>
        <v>9</v>
      </c>
      <c r="D1726" t="str">
        <f t="shared" si="566"/>
        <v>Q12</v>
      </c>
      <c r="E1726" t="str">
        <f t="shared" ca="1" si="567"/>
        <v/>
      </c>
      <c r="F1726" t="str">
        <f t="shared" ca="1" si="568"/>
        <v xml:space="preserve">Enter a 'Acquisition APR' for  building 9 in cell Q12.
</v>
      </c>
      <c r="G1726" s="9" t="str">
        <f t="shared" ca="1" si="561"/>
        <v xml:space="preserve">Enter a value for 'Number of Floors in the Tallest Building' in cell B60.
</v>
      </c>
      <c r="H1726" s="52" t="str">
        <f t="shared" ca="1" si="569"/>
        <v>Acquisition APR</v>
      </c>
      <c r="I1726" s="52">
        <v>17</v>
      </c>
    </row>
    <row r="1727" spans="1:10" ht="15" customHeight="1">
      <c r="A1727" t="str">
        <f ca="1">IF(AND(Calculations!$B$4,Calculations!$B$29&gt;=C1727, E1727 &lt;&gt; 13),F1727,"")</f>
        <v/>
      </c>
      <c r="B1727">
        <f>ROW('Final Building Profile'!C13)</f>
        <v>13</v>
      </c>
      <c r="C1727">
        <f t="shared" ca="1" si="563"/>
        <v>10</v>
      </c>
      <c r="D1727" t="str">
        <f>ADDRESS(B1727, 3,4  )</f>
        <v>C13</v>
      </c>
      <c r="E1727" s="52">
        <f ca="1">H1727+I1727</f>
        <v>0</v>
      </c>
      <c r="F1727" t="str">
        <f ca="1">CONCATENATE("Based upon the number of buildings specified, information for  building ", C1727, " required for a final application in row ", B1727, ".", CHAR(10))</f>
        <v xml:space="preserve">Based upon the number of buildings specified, information for  building 10 required for a final application in row 13.
</v>
      </c>
      <c r="G1727" s="9" t="str">
        <f t="shared" ca="1" si="561"/>
        <v xml:space="preserve">Enter a value for 'Number of Floors in the Tallest Building' in cell B60.
</v>
      </c>
      <c r="H1727" s="52">
        <f ca="1">SUMPRODUCT(--ISTEXT(INDIRECT(J1727)))</f>
        <v>0</v>
      </c>
      <c r="I1727" s="52">
        <f ca="1">SUMPRODUCT(--ISNUMBER(INDIRECT(J1727)))</f>
        <v>0</v>
      </c>
      <c r="J1727" s="52" t="str">
        <f>$F$1565&amp; ADDRESS(B1727,3,4) &amp; ":" &amp; ADDRESS(B1727,15,4)</f>
        <v>'Final Building Profile'!C13:O13</v>
      </c>
    </row>
    <row r="1728" spans="1:10" ht="15" customHeight="1">
      <c r="A1728" t="str">
        <f t="shared" ref="A1728:A1737" ca="1" si="570">IF(AND(OFFSET(A1728, -I1728 + 2, 4) &gt;  0, E1728=""), F1728, "")</f>
        <v/>
      </c>
      <c r="B1728">
        <f t="shared" ref="B1728:B1742" si="571">B1727</f>
        <v>13</v>
      </c>
      <c r="C1728">
        <f t="shared" ca="1" si="563"/>
        <v>10</v>
      </c>
      <c r="D1728" t="str">
        <f t="shared" ref="D1728:D1742" si="572">ADDRESS(B1728, I1728,4  )</f>
        <v>C13</v>
      </c>
      <c r="E1728" t="str">
        <f t="shared" ref="E1728:E1742" ca="1" si="573">IF(ISBLANK( INDIRECT($F$1565 &amp; D1728)),"", INDIRECT($F$1565 &amp; D1728))</f>
        <v/>
      </c>
      <c r="F1728" t="str">
        <f t="shared" ref="F1728:F1742" ca="1" si="574">CONCATENATE("Enter a '"&amp; H1728 &amp;"' for  building ", C1728, " in cell ", D1728, ".", CHAR(10))</f>
        <v xml:space="preserve">Enter a 'Building Street Address Only 
(DO NOT ENTER CITY, STATE, OR ZIP)' for  building 10 in cell C13.
</v>
      </c>
      <c r="G1728" s="9" t="str">
        <f t="shared" ca="1" si="561"/>
        <v xml:space="preserve">Enter a value for 'Number of Floors in the Tallest Building' in cell B60.
</v>
      </c>
      <c r="H1728" s="52" t="str">
        <f t="shared" ref="H1728:H1742" ca="1" si="575">OFFSET(INDIRECT($F$1565 &amp; D1728), -B1728 + 3, 0)</f>
        <v>Building Street Address Only 
(DO NOT ENTER CITY, STATE, OR ZIP)</v>
      </c>
      <c r="I1728" s="52">
        <v>3</v>
      </c>
    </row>
    <row r="1729" spans="1:10" ht="15" customHeight="1">
      <c r="A1729" t="str">
        <f t="shared" ca="1" si="570"/>
        <v/>
      </c>
      <c r="B1729">
        <f t="shared" si="571"/>
        <v>13</v>
      </c>
      <c r="C1729">
        <f t="shared" ca="1" si="563"/>
        <v>10</v>
      </c>
      <c r="D1729" t="str">
        <f t="shared" si="572"/>
        <v>D13</v>
      </c>
      <c r="E1729" t="str">
        <f t="shared" ca="1" si="573"/>
        <v/>
      </c>
      <c r="F1729" t="str">
        <f t="shared" ca="1" si="574"/>
        <v xml:space="preserve">Enter a 'Total Units in Building*' for  building 10 in cell D13.
</v>
      </c>
      <c r="G1729" s="9" t="str">
        <f t="shared" ca="1" si="561"/>
        <v xml:space="preserve">Enter a value for 'Number of Floors in the Tallest Building' in cell B60.
</v>
      </c>
      <c r="H1729" s="52" t="str">
        <f t="shared" ca="1" si="575"/>
        <v>Total Units in Building*</v>
      </c>
      <c r="I1729" s="52">
        <v>4</v>
      </c>
    </row>
    <row r="1730" spans="1:10" ht="15" customHeight="1">
      <c r="A1730" t="str">
        <f t="shared" ca="1" si="570"/>
        <v/>
      </c>
      <c r="B1730">
        <f t="shared" si="571"/>
        <v>13</v>
      </c>
      <c r="C1730">
        <f t="shared" ca="1" si="563"/>
        <v>10</v>
      </c>
      <c r="D1730" t="str">
        <f t="shared" si="572"/>
        <v>E13</v>
      </c>
      <c r="E1730" t="str">
        <f t="shared" ca="1" si="573"/>
        <v/>
      </c>
      <c r="F1730" t="str">
        <f t="shared" ca="1" si="574"/>
        <v xml:space="preserve">Enter a 'Employee Units' for  building 10 in cell E13.
</v>
      </c>
      <c r="G1730" s="9" t="str">
        <f t="shared" ca="1" si="561"/>
        <v xml:space="preserve">Enter a value for 'Number of Floors in the Tallest Building' in cell B60.
</v>
      </c>
      <c r="H1730" s="52" t="str">
        <f t="shared" ca="1" si="575"/>
        <v>Employee Units</v>
      </c>
      <c r="I1730" s="52">
        <v>5</v>
      </c>
    </row>
    <row r="1731" spans="1:10" ht="15" customHeight="1">
      <c r="A1731" t="str">
        <f t="shared" ca="1" si="570"/>
        <v/>
      </c>
      <c r="B1731">
        <f t="shared" si="571"/>
        <v>13</v>
      </c>
      <c r="C1731">
        <f t="shared" ca="1" si="563"/>
        <v>10</v>
      </c>
      <c r="D1731" t="str">
        <f t="shared" si="572"/>
        <v>F13</v>
      </c>
      <c r="E1731" t="str">
        <f t="shared" ca="1" si="573"/>
        <v/>
      </c>
      <c r="F1731" t="str">
        <f t="shared" ca="1" si="574"/>
        <v xml:space="preserve">Enter a 'Low-Income Units' for  building 10 in cell F13.
</v>
      </c>
      <c r="G1731" s="9" t="str">
        <f t="shared" ca="1" si="561"/>
        <v xml:space="preserve">Enter a value for 'Number of Floors in the Tallest Building' in cell B60.
</v>
      </c>
      <c r="H1731" s="52" t="str">
        <f t="shared" ca="1" si="575"/>
        <v>Low-Income Units</v>
      </c>
      <c r="I1731" s="52">
        <v>6</v>
      </c>
    </row>
    <row r="1732" spans="1:10" ht="15" customHeight="1">
      <c r="A1732" t="str">
        <f t="shared" ca="1" si="570"/>
        <v/>
      </c>
      <c r="B1732">
        <f t="shared" si="571"/>
        <v>13</v>
      </c>
      <c r="C1732">
        <f t="shared" ca="1" si="563"/>
        <v>10</v>
      </c>
      <c r="D1732" t="str">
        <f t="shared" si="572"/>
        <v>G13</v>
      </c>
      <c r="E1732" t="str">
        <f t="shared" ca="1" si="573"/>
        <v/>
      </c>
      <c r="F1732" t="str">
        <f t="shared" ca="1" si="574"/>
        <v xml:space="preserve">Enter a 'Residential Square Footage**' for  building 10 in cell G13.
</v>
      </c>
      <c r="G1732" s="9" t="str">
        <f t="shared" ca="1" si="561"/>
        <v xml:space="preserve">Enter a value for 'Number of Floors in the Tallest Building' in cell B60.
</v>
      </c>
      <c r="H1732" s="52" t="str">
        <f t="shared" ca="1" si="575"/>
        <v>Residential Square Footage**</v>
      </c>
      <c r="I1732" s="52">
        <v>7</v>
      </c>
    </row>
    <row r="1733" spans="1:10" ht="15" customHeight="1">
      <c r="A1733" t="str">
        <f t="shared" ca="1" si="570"/>
        <v/>
      </c>
      <c r="B1733">
        <f t="shared" si="571"/>
        <v>13</v>
      </c>
      <c r="C1733">
        <f t="shared" ca="1" si="563"/>
        <v>10</v>
      </c>
      <c r="D1733" t="str">
        <f t="shared" si="572"/>
        <v>H13</v>
      </c>
      <c r="E1733" t="str">
        <f t="shared" ca="1" si="573"/>
        <v/>
      </c>
      <c r="F1733" t="str">
        <f t="shared" ca="1" si="574"/>
        <v xml:space="preserve">Enter a 'Square Footage of Employee Units' for  building 10 in cell H13.
</v>
      </c>
      <c r="G1733" s="9" t="str">
        <f t="shared" ca="1" si="561"/>
        <v xml:space="preserve">Enter a value for 'Number of Floors in the Tallest Building' in cell B60.
</v>
      </c>
      <c r="H1733" s="52" t="str">
        <f t="shared" ca="1" si="575"/>
        <v>Square Footage of Employee Units</v>
      </c>
      <c r="I1733" s="52">
        <v>8</v>
      </c>
    </row>
    <row r="1734" spans="1:10" ht="15" customHeight="1">
      <c r="A1734" t="str">
        <f t="shared" ca="1" si="570"/>
        <v/>
      </c>
      <c r="B1734">
        <f t="shared" si="571"/>
        <v>13</v>
      </c>
      <c r="C1734">
        <f t="shared" ca="1" si="563"/>
        <v>10</v>
      </c>
      <c r="D1734" t="str">
        <f t="shared" si="572"/>
        <v>I13</v>
      </c>
      <c r="E1734" t="str">
        <f t="shared" ca="1" si="573"/>
        <v/>
      </c>
      <c r="F1734" t="str">
        <f t="shared" ca="1" si="574"/>
        <v xml:space="preserve">Enter a 'Square Footage of Low-Income Units' for  building 10 in cell I13.
</v>
      </c>
      <c r="G1734" s="9" t="str">
        <f t="shared" ca="1" si="561"/>
        <v xml:space="preserve">Enter a value for 'Number of Floors in the Tallest Building' in cell B60.
</v>
      </c>
      <c r="H1734" s="52" t="str">
        <f t="shared" ca="1" si="575"/>
        <v>Square Footage of Low-Income Units</v>
      </c>
      <c r="I1734" s="52">
        <v>9</v>
      </c>
    </row>
    <row r="1735" spans="1:10" ht="15" customHeight="1">
      <c r="A1735" t="str">
        <f t="shared" ca="1" si="570"/>
        <v/>
      </c>
      <c r="B1735">
        <f t="shared" si="571"/>
        <v>13</v>
      </c>
      <c r="C1735">
        <f t="shared" ca="1" si="563"/>
        <v>10</v>
      </c>
      <c r="D1735" t="str">
        <f t="shared" si="572"/>
        <v>J13</v>
      </c>
      <c r="E1735" t="str">
        <f t="shared" ca="1" si="573"/>
        <v/>
      </c>
      <c r="F1735" t="str">
        <f t="shared" ca="1" si="574"/>
        <v xml:space="preserve">Enter a 'Placed-In-Service Date' for  building 10 in cell J13.
</v>
      </c>
      <c r="G1735" s="9" t="str">
        <f t="shared" ca="1" si="561"/>
        <v xml:space="preserve">Enter a value for 'Number of Floors in the Tallest Building' in cell B60.
</v>
      </c>
      <c r="H1735" s="52" t="str">
        <f t="shared" ca="1" si="575"/>
        <v>Placed-In-Service Date</v>
      </c>
      <c r="I1735" s="52">
        <v>10</v>
      </c>
    </row>
    <row r="1736" spans="1:10" ht="15" customHeight="1">
      <c r="A1736" t="str">
        <f t="shared" ca="1" si="570"/>
        <v/>
      </c>
      <c r="B1736">
        <f t="shared" si="571"/>
        <v>13</v>
      </c>
      <c r="C1736">
        <f t="shared" ca="1" si="563"/>
        <v>10</v>
      </c>
      <c r="D1736" t="str">
        <f t="shared" si="572"/>
        <v>K13</v>
      </c>
      <c r="E1736" t="str">
        <f t="shared" ca="1" si="573"/>
        <v/>
      </c>
      <c r="F1736" t="str">
        <f t="shared" ca="1" si="574"/>
        <v xml:space="preserve">Enter a 'New Construction/ Rehab APR' for  building 10 in cell K13.
</v>
      </c>
      <c r="G1736" s="9" t="str">
        <f t="shared" ca="1" si="561"/>
        <v xml:space="preserve">Enter a value for 'Number of Floors in the Tallest Building' in cell B60.
</v>
      </c>
      <c r="H1736" s="52" t="str">
        <f t="shared" ca="1" si="575"/>
        <v>New Construction/ Rehab APR</v>
      </c>
      <c r="I1736" s="52">
        <v>11</v>
      </c>
    </row>
    <row r="1737" spans="1:10" ht="15" customHeight="1">
      <c r="A1737" t="str">
        <f t="shared" ca="1" si="570"/>
        <v/>
      </c>
      <c r="B1737">
        <f t="shared" si="571"/>
        <v>13</v>
      </c>
      <c r="C1737">
        <f t="shared" ca="1" si="563"/>
        <v>10</v>
      </c>
      <c r="D1737" t="str">
        <f t="shared" si="572"/>
        <v>L13</v>
      </c>
      <c r="E1737" t="str">
        <f t="shared" ca="1" si="573"/>
        <v/>
      </c>
      <c r="F1737" t="str">
        <f t="shared" ca="1" si="574"/>
        <v xml:space="preserve">Enter a 'New Construction Eligible Basis' for  building 10 in cell L13.
</v>
      </c>
      <c r="G1737" s="9" t="str">
        <f t="shared" ca="1" si="561"/>
        <v xml:space="preserve">Enter a value for 'Number of Floors in the Tallest Building' in cell B60.
</v>
      </c>
      <c r="H1737" s="52" t="str">
        <f t="shared" ca="1" si="575"/>
        <v>New Construction Eligible Basis</v>
      </c>
      <c r="I1737" s="52">
        <v>12</v>
      </c>
    </row>
    <row r="1738" spans="1:10" ht="15" customHeight="1">
      <c r="A1738" t="str">
        <f ca="1">IF(AND(OFFSET(A1738, -I1738 + 2, 4) &gt;  0, E1738="", Calculations!$B$7), F1738, "")</f>
        <v/>
      </c>
      <c r="B1738">
        <f t="shared" si="571"/>
        <v>13</v>
      </c>
      <c r="C1738">
        <f t="shared" ca="1" si="563"/>
        <v>10</v>
      </c>
      <c r="D1738" t="str">
        <f t="shared" si="572"/>
        <v>M13</v>
      </c>
      <c r="E1738" t="str">
        <f t="shared" ca="1" si="573"/>
        <v/>
      </c>
      <c r="F1738" t="str">
        <f t="shared" ca="1" si="574"/>
        <v xml:space="preserve">Enter a 'Eligible Basis for Rehab' for  building 10 in cell M13.
</v>
      </c>
      <c r="G1738" s="9" t="str">
        <f t="shared" ca="1" si="561"/>
        <v xml:space="preserve">Enter a value for 'Number of Floors in the Tallest Building' in cell B60.
</v>
      </c>
      <c r="H1738" s="52" t="str">
        <f t="shared" ca="1" si="575"/>
        <v>Eligible Basis for Rehab</v>
      </c>
      <c r="I1738" s="52">
        <v>13</v>
      </c>
    </row>
    <row r="1739" spans="1:10" ht="15" customHeight="1">
      <c r="A1739" t="str">
        <f ca="1">IF(AND(OFFSET(A1739, -I1739 + 2, 4) &gt;  0, E1739="", Calculations!$B$7), F1739, "")</f>
        <v/>
      </c>
      <c r="B1739">
        <f t="shared" si="571"/>
        <v>13</v>
      </c>
      <c r="C1739">
        <f t="shared" ca="1" si="563"/>
        <v>10</v>
      </c>
      <c r="D1739" t="str">
        <f t="shared" si="572"/>
        <v>N13</v>
      </c>
      <c r="E1739" t="str">
        <f t="shared" ca="1" si="573"/>
        <v/>
      </c>
      <c r="F1739" t="str">
        <f t="shared" ca="1" si="574"/>
        <v xml:space="preserve">Enter a 'Cost of Acquiring the Building***' for  building 10 in cell N13.
</v>
      </c>
      <c r="G1739" s="9" t="str">
        <f t="shared" ca="1" si="561"/>
        <v xml:space="preserve">Enter a value for 'Number of Floors in the Tallest Building' in cell B60.
</v>
      </c>
      <c r="H1739" s="52" t="str">
        <f t="shared" ca="1" si="575"/>
        <v>Cost of Acquiring the Building***</v>
      </c>
      <c r="I1739" s="52">
        <v>14</v>
      </c>
    </row>
    <row r="1740" spans="1:10" ht="15" customHeight="1">
      <c r="A1740" t="str">
        <f ca="1">IF(AND(OFFSET(A1740, -I1740 + 2, 4) &gt;  0, E1740="", Calculations!$B$7), F1740, "")</f>
        <v/>
      </c>
      <c r="B1740">
        <f t="shared" si="571"/>
        <v>13</v>
      </c>
      <c r="C1740">
        <f t="shared" ca="1" si="563"/>
        <v>10</v>
      </c>
      <c r="D1740" t="str">
        <f t="shared" si="572"/>
        <v>O13</v>
      </c>
      <c r="E1740" t="str">
        <f t="shared" ca="1" si="573"/>
        <v/>
      </c>
      <c r="F1740" t="str">
        <f t="shared" ca="1" si="574"/>
        <v xml:space="preserve">Enter a 'Higher of Land Purchase Price or Land Appraised Value****' for  building 10 in cell O13.
</v>
      </c>
      <c r="G1740" s="9" t="str">
        <f t="shared" ca="1" si="561"/>
        <v xml:space="preserve">Enter a value for 'Number of Floors in the Tallest Building' in cell B60.
</v>
      </c>
      <c r="H1740" s="52" t="str">
        <f t="shared" ca="1" si="575"/>
        <v>Higher of Land Purchase Price or Land Appraised Value****</v>
      </c>
      <c r="I1740" s="52">
        <v>15</v>
      </c>
    </row>
    <row r="1741" spans="1:10" ht="15" customHeight="1">
      <c r="A1741" t="str">
        <f ca="1">IF(AND(OFFSET(A1741, -I1741 + 2, 4) &gt;  0, E1741="", Calculations!$B$7), F1741, "")</f>
        <v/>
      </c>
      <c r="B1741">
        <f t="shared" si="571"/>
        <v>13</v>
      </c>
      <c r="C1741">
        <f t="shared" ca="1" si="563"/>
        <v>10</v>
      </c>
      <c r="D1741" t="str">
        <f t="shared" si="572"/>
        <v>P13</v>
      </c>
      <c r="E1741" t="str">
        <f t="shared" ca="1" si="573"/>
        <v/>
      </c>
      <c r="F1741" t="str">
        <f t="shared" ca="1" si="574"/>
        <v xml:space="preserve">Enter a 'Acquisition Placed-in-Service Date' for  building 10 in cell P13.
</v>
      </c>
      <c r="G1741" s="9" t="str">
        <f t="shared" ca="1" si="561"/>
        <v xml:space="preserve">Enter a value for 'Number of Floors in the Tallest Building' in cell B60.
</v>
      </c>
      <c r="H1741" s="52" t="str">
        <f t="shared" ca="1" si="575"/>
        <v>Acquisition Placed-in-Service Date</v>
      </c>
      <c r="I1741" s="52">
        <v>16</v>
      </c>
    </row>
    <row r="1742" spans="1:10" ht="15" customHeight="1">
      <c r="A1742" t="str">
        <f ca="1">IF(AND(OFFSET(A1742, -I1742 + 2, 4) &gt;  0, E1742="", Calculations!$B$7), F1742, "")</f>
        <v/>
      </c>
      <c r="B1742">
        <f t="shared" si="571"/>
        <v>13</v>
      </c>
      <c r="C1742">
        <f t="shared" ca="1" si="563"/>
        <v>10</v>
      </c>
      <c r="D1742" t="str">
        <f t="shared" si="572"/>
        <v>Q13</v>
      </c>
      <c r="E1742" t="str">
        <f t="shared" ca="1" si="573"/>
        <v/>
      </c>
      <c r="F1742" t="str">
        <f t="shared" ca="1" si="574"/>
        <v xml:space="preserve">Enter a 'Acquisition APR' for  building 10 in cell Q13.
</v>
      </c>
      <c r="G1742" s="9" t="str">
        <f t="shared" ca="1" si="561"/>
        <v xml:space="preserve">Enter a value for 'Number of Floors in the Tallest Building' in cell B60.
</v>
      </c>
      <c r="H1742" s="52" t="str">
        <f t="shared" ca="1" si="575"/>
        <v>Acquisition APR</v>
      </c>
      <c r="I1742" s="52">
        <v>17</v>
      </c>
    </row>
    <row r="1743" spans="1:10" ht="15" customHeight="1">
      <c r="A1743" t="str">
        <f ca="1">IF(AND(Calculations!$B$4,Calculations!$B$29&gt;=C1743, E1743 &lt;&gt; 13),F1743,"")</f>
        <v/>
      </c>
      <c r="B1743">
        <f>ROW('Final Building Profile'!C14)</f>
        <v>14</v>
      </c>
      <c r="C1743">
        <f t="shared" ca="1" si="563"/>
        <v>11</v>
      </c>
      <c r="D1743" t="str">
        <f>ADDRESS(B1743, 3,4  )</f>
        <v>C14</v>
      </c>
      <c r="E1743" s="52">
        <f ca="1">H1743+I1743</f>
        <v>0</v>
      </c>
      <c r="F1743" t="str">
        <f ca="1">CONCATENATE("Based upon the number of buildings specified, information for  building ", C1743, " required for a final application in row ", B1743, ".", CHAR(10))</f>
        <v xml:space="preserve">Based upon the number of buildings specified, information for  building 11 required for a final application in row 14.
</v>
      </c>
      <c r="G1743" s="9" t="str">
        <f t="shared" ca="1" si="561"/>
        <v xml:space="preserve">Enter a value for 'Number of Floors in the Tallest Building' in cell B60.
</v>
      </c>
      <c r="H1743" s="52">
        <f ca="1">SUMPRODUCT(--ISTEXT(INDIRECT(J1743)))</f>
        <v>0</v>
      </c>
      <c r="I1743" s="52">
        <f ca="1">SUMPRODUCT(--ISNUMBER(INDIRECT(J1743)))</f>
        <v>0</v>
      </c>
      <c r="J1743" s="52" t="str">
        <f>$F$1565&amp; ADDRESS(B1743,3,4) &amp; ":" &amp; ADDRESS(B1743,15,4)</f>
        <v>'Final Building Profile'!C14:O14</v>
      </c>
    </row>
    <row r="1744" spans="1:10" ht="15" customHeight="1">
      <c r="A1744" t="str">
        <f t="shared" ref="A1744:A1753" ca="1" si="576">IF(AND(OFFSET(A1744, -I1744 + 2, 4) &gt;  0, E1744=""), F1744, "")</f>
        <v/>
      </c>
      <c r="B1744">
        <f t="shared" ref="B1744:B1758" si="577">B1743</f>
        <v>14</v>
      </c>
      <c r="C1744">
        <f t="shared" ca="1" si="563"/>
        <v>11</v>
      </c>
      <c r="D1744" t="str">
        <f t="shared" ref="D1744:D1758" si="578">ADDRESS(B1744, I1744,4  )</f>
        <v>C14</v>
      </c>
      <c r="E1744" t="str">
        <f t="shared" ref="E1744:E1758" ca="1" si="579">IF(ISBLANK( INDIRECT($F$1565 &amp; D1744)),"", INDIRECT($F$1565 &amp; D1744))</f>
        <v/>
      </c>
      <c r="F1744" t="str">
        <f t="shared" ref="F1744:F1758" ca="1" si="580">CONCATENATE("Enter a '"&amp; H1744 &amp;"' for  building ", C1744, " in cell ", D1744, ".", CHAR(10))</f>
        <v xml:space="preserve">Enter a 'Building Street Address Only 
(DO NOT ENTER CITY, STATE, OR ZIP)' for  building 11 in cell C14.
</v>
      </c>
      <c r="G1744" s="9" t="str">
        <f t="shared" ca="1" si="561"/>
        <v xml:space="preserve">Enter a value for 'Number of Floors in the Tallest Building' in cell B60.
</v>
      </c>
      <c r="H1744" s="52" t="str">
        <f t="shared" ref="H1744:H1758" ca="1" si="581">OFFSET(INDIRECT($F$1565 &amp; D1744), -B1744 + 3, 0)</f>
        <v>Building Street Address Only 
(DO NOT ENTER CITY, STATE, OR ZIP)</v>
      </c>
      <c r="I1744" s="52">
        <v>3</v>
      </c>
    </row>
    <row r="1745" spans="1:10" ht="15" customHeight="1">
      <c r="A1745" t="str">
        <f t="shared" ca="1" si="576"/>
        <v/>
      </c>
      <c r="B1745">
        <f t="shared" si="577"/>
        <v>14</v>
      </c>
      <c r="C1745">
        <f t="shared" ca="1" si="563"/>
        <v>11</v>
      </c>
      <c r="D1745" t="str">
        <f t="shared" si="578"/>
        <v>D14</v>
      </c>
      <c r="E1745" t="str">
        <f t="shared" ca="1" si="579"/>
        <v/>
      </c>
      <c r="F1745" t="str">
        <f t="shared" ca="1" si="580"/>
        <v xml:space="preserve">Enter a 'Total Units in Building*' for  building 11 in cell D14.
</v>
      </c>
      <c r="G1745" s="9" t="str">
        <f t="shared" ca="1" si="561"/>
        <v xml:space="preserve">Enter a value for 'Number of Floors in the Tallest Building' in cell B60.
</v>
      </c>
      <c r="H1745" s="52" t="str">
        <f t="shared" ca="1" si="581"/>
        <v>Total Units in Building*</v>
      </c>
      <c r="I1745" s="52">
        <v>4</v>
      </c>
    </row>
    <row r="1746" spans="1:10" ht="15" customHeight="1">
      <c r="A1746" t="str">
        <f t="shared" ca="1" si="576"/>
        <v/>
      </c>
      <c r="B1746">
        <f t="shared" si="577"/>
        <v>14</v>
      </c>
      <c r="C1746">
        <f t="shared" ca="1" si="563"/>
        <v>11</v>
      </c>
      <c r="D1746" t="str">
        <f t="shared" si="578"/>
        <v>E14</v>
      </c>
      <c r="E1746" t="str">
        <f t="shared" ca="1" si="579"/>
        <v/>
      </c>
      <c r="F1746" t="str">
        <f t="shared" ca="1" si="580"/>
        <v xml:space="preserve">Enter a 'Employee Units' for  building 11 in cell E14.
</v>
      </c>
      <c r="G1746" s="9" t="str">
        <f t="shared" ca="1" si="561"/>
        <v xml:space="preserve">Enter a value for 'Number of Floors in the Tallest Building' in cell B60.
</v>
      </c>
      <c r="H1746" s="52" t="str">
        <f t="shared" ca="1" si="581"/>
        <v>Employee Units</v>
      </c>
      <c r="I1746" s="52">
        <v>5</v>
      </c>
    </row>
    <row r="1747" spans="1:10" ht="15" customHeight="1">
      <c r="A1747" t="str">
        <f t="shared" ca="1" si="576"/>
        <v/>
      </c>
      <c r="B1747">
        <f t="shared" si="577"/>
        <v>14</v>
      </c>
      <c r="C1747">
        <f t="shared" ca="1" si="563"/>
        <v>11</v>
      </c>
      <c r="D1747" t="str">
        <f t="shared" si="578"/>
        <v>F14</v>
      </c>
      <c r="E1747" t="str">
        <f t="shared" ca="1" si="579"/>
        <v/>
      </c>
      <c r="F1747" t="str">
        <f t="shared" ca="1" si="580"/>
        <v xml:space="preserve">Enter a 'Low-Income Units' for  building 11 in cell F14.
</v>
      </c>
      <c r="G1747" s="9" t="str">
        <f t="shared" ca="1" si="561"/>
        <v xml:space="preserve">Enter a value for 'Number of Floors in the Tallest Building' in cell B60.
</v>
      </c>
      <c r="H1747" s="52" t="str">
        <f t="shared" ca="1" si="581"/>
        <v>Low-Income Units</v>
      </c>
      <c r="I1747" s="52">
        <v>6</v>
      </c>
    </row>
    <row r="1748" spans="1:10" ht="15" customHeight="1">
      <c r="A1748" t="str">
        <f t="shared" ca="1" si="576"/>
        <v/>
      </c>
      <c r="B1748">
        <f t="shared" si="577"/>
        <v>14</v>
      </c>
      <c r="C1748">
        <f t="shared" ca="1" si="563"/>
        <v>11</v>
      </c>
      <c r="D1748" t="str">
        <f t="shared" si="578"/>
        <v>G14</v>
      </c>
      <c r="E1748" t="str">
        <f t="shared" ca="1" si="579"/>
        <v/>
      </c>
      <c r="F1748" t="str">
        <f t="shared" ca="1" si="580"/>
        <v xml:space="preserve">Enter a 'Residential Square Footage**' for  building 11 in cell G14.
</v>
      </c>
      <c r="G1748" s="9" t="str">
        <f t="shared" ca="1" si="561"/>
        <v xml:space="preserve">Enter a value for 'Number of Floors in the Tallest Building' in cell B60.
</v>
      </c>
      <c r="H1748" s="52" t="str">
        <f t="shared" ca="1" si="581"/>
        <v>Residential Square Footage**</v>
      </c>
      <c r="I1748" s="52">
        <v>7</v>
      </c>
    </row>
    <row r="1749" spans="1:10" ht="15" customHeight="1">
      <c r="A1749" t="str">
        <f t="shared" ca="1" si="576"/>
        <v/>
      </c>
      <c r="B1749">
        <f t="shared" si="577"/>
        <v>14</v>
      </c>
      <c r="C1749">
        <f t="shared" ca="1" si="563"/>
        <v>11</v>
      </c>
      <c r="D1749" t="str">
        <f t="shared" si="578"/>
        <v>H14</v>
      </c>
      <c r="E1749" t="str">
        <f t="shared" ca="1" si="579"/>
        <v/>
      </c>
      <c r="F1749" t="str">
        <f t="shared" ca="1" si="580"/>
        <v xml:space="preserve">Enter a 'Square Footage of Employee Units' for  building 11 in cell H14.
</v>
      </c>
      <c r="G1749" s="9" t="str">
        <f t="shared" ca="1" si="561"/>
        <v xml:space="preserve">Enter a value for 'Number of Floors in the Tallest Building' in cell B60.
</v>
      </c>
      <c r="H1749" s="52" t="str">
        <f t="shared" ca="1" si="581"/>
        <v>Square Footage of Employee Units</v>
      </c>
      <c r="I1749" s="52">
        <v>8</v>
      </c>
    </row>
    <row r="1750" spans="1:10" ht="15" customHeight="1">
      <c r="A1750" t="str">
        <f t="shared" ca="1" si="576"/>
        <v/>
      </c>
      <c r="B1750">
        <f t="shared" si="577"/>
        <v>14</v>
      </c>
      <c r="C1750">
        <f t="shared" ca="1" si="563"/>
        <v>11</v>
      </c>
      <c r="D1750" t="str">
        <f t="shared" si="578"/>
        <v>I14</v>
      </c>
      <c r="E1750" t="str">
        <f t="shared" ca="1" si="579"/>
        <v/>
      </c>
      <c r="F1750" t="str">
        <f t="shared" ca="1" si="580"/>
        <v xml:space="preserve">Enter a 'Square Footage of Low-Income Units' for  building 11 in cell I14.
</v>
      </c>
      <c r="G1750" s="9" t="str">
        <f t="shared" ca="1" si="561"/>
        <v xml:space="preserve">Enter a value for 'Number of Floors in the Tallest Building' in cell B60.
</v>
      </c>
      <c r="H1750" s="52" t="str">
        <f t="shared" ca="1" si="581"/>
        <v>Square Footage of Low-Income Units</v>
      </c>
      <c r="I1750" s="52">
        <v>9</v>
      </c>
    </row>
    <row r="1751" spans="1:10" ht="15" customHeight="1">
      <c r="A1751" t="str">
        <f t="shared" ca="1" si="576"/>
        <v/>
      </c>
      <c r="B1751">
        <f t="shared" si="577"/>
        <v>14</v>
      </c>
      <c r="C1751">
        <f t="shared" ca="1" si="563"/>
        <v>11</v>
      </c>
      <c r="D1751" t="str">
        <f t="shared" si="578"/>
        <v>J14</v>
      </c>
      <c r="E1751" t="str">
        <f t="shared" ca="1" si="579"/>
        <v/>
      </c>
      <c r="F1751" t="str">
        <f t="shared" ca="1" si="580"/>
        <v xml:space="preserve">Enter a 'Placed-In-Service Date' for  building 11 in cell J14.
</v>
      </c>
      <c r="G1751" s="9" t="str">
        <f t="shared" ca="1" si="561"/>
        <v xml:space="preserve">Enter a value for 'Number of Floors in the Tallest Building' in cell B60.
</v>
      </c>
      <c r="H1751" s="52" t="str">
        <f t="shared" ca="1" si="581"/>
        <v>Placed-In-Service Date</v>
      </c>
      <c r="I1751" s="52">
        <v>10</v>
      </c>
    </row>
    <row r="1752" spans="1:10" ht="15" customHeight="1">
      <c r="A1752" t="str">
        <f t="shared" ca="1" si="576"/>
        <v/>
      </c>
      <c r="B1752">
        <f t="shared" si="577"/>
        <v>14</v>
      </c>
      <c r="C1752">
        <f t="shared" ca="1" si="563"/>
        <v>11</v>
      </c>
      <c r="D1752" t="str">
        <f t="shared" si="578"/>
        <v>K14</v>
      </c>
      <c r="E1752" t="str">
        <f t="shared" ca="1" si="579"/>
        <v/>
      </c>
      <c r="F1752" t="str">
        <f t="shared" ca="1" si="580"/>
        <v xml:space="preserve">Enter a 'New Construction/ Rehab APR' for  building 11 in cell K14.
</v>
      </c>
      <c r="G1752" s="9" t="str">
        <f t="shared" ca="1" si="561"/>
        <v xml:space="preserve">Enter a value for 'Number of Floors in the Tallest Building' in cell B60.
</v>
      </c>
      <c r="H1752" s="52" t="str">
        <f t="shared" ca="1" si="581"/>
        <v>New Construction/ Rehab APR</v>
      </c>
      <c r="I1752" s="52">
        <v>11</v>
      </c>
    </row>
    <row r="1753" spans="1:10" ht="15" customHeight="1">
      <c r="A1753" t="str">
        <f t="shared" ca="1" si="576"/>
        <v/>
      </c>
      <c r="B1753">
        <f t="shared" si="577"/>
        <v>14</v>
      </c>
      <c r="C1753">
        <f t="shared" ca="1" si="563"/>
        <v>11</v>
      </c>
      <c r="D1753" t="str">
        <f t="shared" si="578"/>
        <v>L14</v>
      </c>
      <c r="E1753" t="str">
        <f t="shared" ca="1" si="579"/>
        <v/>
      </c>
      <c r="F1753" t="str">
        <f t="shared" ca="1" si="580"/>
        <v xml:space="preserve">Enter a 'New Construction Eligible Basis' for  building 11 in cell L14.
</v>
      </c>
      <c r="G1753" s="9" t="str">
        <f t="shared" ca="1" si="561"/>
        <v xml:space="preserve">Enter a value for 'Number of Floors in the Tallest Building' in cell B60.
</v>
      </c>
      <c r="H1753" s="52" t="str">
        <f t="shared" ca="1" si="581"/>
        <v>New Construction Eligible Basis</v>
      </c>
      <c r="I1753" s="52">
        <v>12</v>
      </c>
    </row>
    <row r="1754" spans="1:10" ht="15" customHeight="1">
      <c r="A1754" t="str">
        <f ca="1">IF(AND(OFFSET(A1754, -I1754 + 2, 4) &gt;  0, E1754="", Calculations!$B$7), F1754, "")</f>
        <v/>
      </c>
      <c r="B1754">
        <f t="shared" si="577"/>
        <v>14</v>
      </c>
      <c r="C1754">
        <f t="shared" ca="1" si="563"/>
        <v>11</v>
      </c>
      <c r="D1754" t="str">
        <f t="shared" si="578"/>
        <v>M14</v>
      </c>
      <c r="E1754" t="str">
        <f t="shared" ca="1" si="579"/>
        <v/>
      </c>
      <c r="F1754" t="str">
        <f t="shared" ca="1" si="580"/>
        <v xml:space="preserve">Enter a 'Eligible Basis for Rehab' for  building 11 in cell M14.
</v>
      </c>
      <c r="G1754" s="9" t="str">
        <f t="shared" ca="1" si="561"/>
        <v xml:space="preserve">Enter a value for 'Number of Floors in the Tallest Building' in cell B60.
</v>
      </c>
      <c r="H1754" s="52" t="str">
        <f t="shared" ca="1" si="581"/>
        <v>Eligible Basis for Rehab</v>
      </c>
      <c r="I1754" s="52">
        <v>13</v>
      </c>
    </row>
    <row r="1755" spans="1:10" ht="15" customHeight="1">
      <c r="A1755" t="str">
        <f ca="1">IF(AND(OFFSET(A1755, -I1755 + 2, 4) &gt;  0, E1755="", Calculations!$B$7), F1755, "")</f>
        <v/>
      </c>
      <c r="B1755">
        <f t="shared" si="577"/>
        <v>14</v>
      </c>
      <c r="C1755">
        <f t="shared" ca="1" si="563"/>
        <v>11</v>
      </c>
      <c r="D1755" t="str">
        <f t="shared" si="578"/>
        <v>N14</v>
      </c>
      <c r="E1755" t="str">
        <f t="shared" ca="1" si="579"/>
        <v/>
      </c>
      <c r="F1755" t="str">
        <f t="shared" ca="1" si="580"/>
        <v xml:space="preserve">Enter a 'Cost of Acquiring the Building***' for  building 11 in cell N14.
</v>
      </c>
      <c r="G1755" s="9" t="str">
        <f t="shared" ca="1" si="561"/>
        <v xml:space="preserve">Enter a value for 'Number of Floors in the Tallest Building' in cell B60.
</v>
      </c>
      <c r="H1755" s="52" t="str">
        <f t="shared" ca="1" si="581"/>
        <v>Cost of Acquiring the Building***</v>
      </c>
      <c r="I1755" s="52">
        <v>14</v>
      </c>
    </row>
    <row r="1756" spans="1:10" ht="15" customHeight="1">
      <c r="A1756" t="str">
        <f ca="1">IF(AND(OFFSET(A1756, -I1756 + 2, 4) &gt;  0, E1756="", Calculations!$B$7), F1756, "")</f>
        <v/>
      </c>
      <c r="B1756">
        <f t="shared" si="577"/>
        <v>14</v>
      </c>
      <c r="C1756">
        <f t="shared" ca="1" si="563"/>
        <v>11</v>
      </c>
      <c r="D1756" t="str">
        <f t="shared" si="578"/>
        <v>O14</v>
      </c>
      <c r="E1756" t="str">
        <f t="shared" ca="1" si="579"/>
        <v/>
      </c>
      <c r="F1756" t="str">
        <f t="shared" ca="1" si="580"/>
        <v xml:space="preserve">Enter a 'Higher of Land Purchase Price or Land Appraised Value****' for  building 11 in cell O14.
</v>
      </c>
      <c r="G1756" s="9" t="str">
        <f t="shared" ca="1" si="561"/>
        <v xml:space="preserve">Enter a value for 'Number of Floors in the Tallest Building' in cell B60.
</v>
      </c>
      <c r="H1756" s="52" t="str">
        <f t="shared" ca="1" si="581"/>
        <v>Higher of Land Purchase Price or Land Appraised Value****</v>
      </c>
      <c r="I1756" s="52">
        <v>15</v>
      </c>
    </row>
    <row r="1757" spans="1:10" ht="15" customHeight="1">
      <c r="A1757" t="str">
        <f ca="1">IF(AND(OFFSET(A1757, -I1757 + 2, 4) &gt;  0, E1757="", Calculations!$B$7), F1757, "")</f>
        <v/>
      </c>
      <c r="B1757">
        <f t="shared" si="577"/>
        <v>14</v>
      </c>
      <c r="C1757">
        <f t="shared" ca="1" si="563"/>
        <v>11</v>
      </c>
      <c r="D1757" t="str">
        <f t="shared" si="578"/>
        <v>P14</v>
      </c>
      <c r="E1757" t="str">
        <f t="shared" ca="1" si="579"/>
        <v/>
      </c>
      <c r="F1757" t="str">
        <f t="shared" ca="1" si="580"/>
        <v xml:space="preserve">Enter a 'Acquisition Placed-in-Service Date' for  building 11 in cell P14.
</v>
      </c>
      <c r="G1757" s="9" t="str">
        <f t="shared" ca="1" si="561"/>
        <v xml:space="preserve">Enter a value for 'Number of Floors in the Tallest Building' in cell B60.
</v>
      </c>
      <c r="H1757" s="52" t="str">
        <f t="shared" ca="1" si="581"/>
        <v>Acquisition Placed-in-Service Date</v>
      </c>
      <c r="I1757" s="52">
        <v>16</v>
      </c>
    </row>
    <row r="1758" spans="1:10" ht="15" customHeight="1">
      <c r="A1758" t="str">
        <f ca="1">IF(AND(OFFSET(A1758, -I1758 + 2, 4) &gt;  0, E1758="", Calculations!$B$7), F1758, "")</f>
        <v/>
      </c>
      <c r="B1758">
        <f t="shared" si="577"/>
        <v>14</v>
      </c>
      <c r="C1758">
        <f t="shared" ca="1" si="563"/>
        <v>11</v>
      </c>
      <c r="D1758" t="str">
        <f t="shared" si="578"/>
        <v>Q14</v>
      </c>
      <c r="E1758" t="str">
        <f t="shared" ca="1" si="579"/>
        <v/>
      </c>
      <c r="F1758" t="str">
        <f t="shared" ca="1" si="580"/>
        <v xml:space="preserve">Enter a 'Acquisition APR' for  building 11 in cell Q14.
</v>
      </c>
      <c r="G1758" s="9" t="str">
        <f t="shared" ca="1" si="561"/>
        <v xml:space="preserve">Enter a value for 'Number of Floors in the Tallest Building' in cell B60.
</v>
      </c>
      <c r="H1758" s="52" t="str">
        <f t="shared" ca="1" si="581"/>
        <v>Acquisition APR</v>
      </c>
      <c r="I1758" s="52">
        <v>17</v>
      </c>
    </row>
    <row r="1759" spans="1:10" ht="15" customHeight="1">
      <c r="A1759" t="str">
        <f ca="1">IF(AND(Calculations!$B$4,Calculations!$B$29&gt;=C1759, E1759 &lt;&gt; 13),F1759,"")</f>
        <v/>
      </c>
      <c r="B1759">
        <f>ROW('Final Building Profile'!C15)</f>
        <v>15</v>
      </c>
      <c r="C1759">
        <f t="shared" ca="1" si="563"/>
        <v>12</v>
      </c>
      <c r="D1759" t="str">
        <f>ADDRESS(B1759, 3,4  )</f>
        <v>C15</v>
      </c>
      <c r="E1759" s="52">
        <f ca="1">H1759+I1759</f>
        <v>0</v>
      </c>
      <c r="F1759" t="str">
        <f ca="1">CONCATENATE("Based upon the number of buildings specified, information for  building ", C1759, " required for a final application in row ", B1759, ".", CHAR(10))</f>
        <v xml:space="preserve">Based upon the number of buildings specified, information for  building 12 required for a final application in row 15.
</v>
      </c>
      <c r="G1759" s="9" t="str">
        <f t="shared" ca="1" si="561"/>
        <v xml:space="preserve">Enter a value for 'Number of Floors in the Tallest Building' in cell B60.
</v>
      </c>
      <c r="H1759" s="52">
        <f ca="1">SUMPRODUCT(--ISTEXT(INDIRECT(J1759)))</f>
        <v>0</v>
      </c>
      <c r="I1759" s="52">
        <f ca="1">SUMPRODUCT(--ISNUMBER(INDIRECT(J1759)))</f>
        <v>0</v>
      </c>
      <c r="J1759" s="52" t="str">
        <f>$F$1565&amp; ADDRESS(B1759,3,4) &amp; ":" &amp; ADDRESS(B1759,15,4)</f>
        <v>'Final Building Profile'!C15:O15</v>
      </c>
    </row>
    <row r="1760" spans="1:10" ht="15" customHeight="1">
      <c r="A1760" t="str">
        <f t="shared" ref="A1760:A1769" ca="1" si="582">IF(AND(OFFSET(A1760, -I1760 + 2, 4) &gt;  0, E1760=""), F1760, "")</f>
        <v/>
      </c>
      <c r="B1760">
        <f t="shared" ref="B1760:B1774" si="583">B1759</f>
        <v>15</v>
      </c>
      <c r="C1760">
        <f t="shared" ca="1" si="563"/>
        <v>12</v>
      </c>
      <c r="D1760" t="str">
        <f t="shared" ref="D1760:D1774" si="584">ADDRESS(B1760, I1760,4  )</f>
        <v>C15</v>
      </c>
      <c r="E1760" t="str">
        <f t="shared" ref="E1760:E1774" ca="1" si="585">IF(ISBLANK( INDIRECT($F$1565 &amp; D1760)),"", INDIRECT($F$1565 &amp; D1760))</f>
        <v/>
      </c>
      <c r="F1760" t="str">
        <f t="shared" ref="F1760:F1774" ca="1" si="586">CONCATENATE("Enter a '"&amp; H1760 &amp;"' for  building ", C1760, " in cell ", D1760, ".", CHAR(10))</f>
        <v xml:space="preserve">Enter a 'Building Street Address Only 
(DO NOT ENTER CITY, STATE, OR ZIP)' for  building 12 in cell C15.
</v>
      </c>
      <c r="G1760" s="9" t="str">
        <f t="shared" ref="G1760:G1823" ca="1" si="587">OFFSET(G1760, -1, 0) &amp; A1760</f>
        <v xml:space="preserve">Enter a value for 'Number of Floors in the Tallest Building' in cell B60.
</v>
      </c>
      <c r="H1760" s="52" t="str">
        <f t="shared" ref="H1760:H1774" ca="1" si="588">OFFSET(INDIRECT($F$1565 &amp; D1760), -B1760 + 3, 0)</f>
        <v>Building Street Address Only 
(DO NOT ENTER CITY, STATE, OR ZIP)</v>
      </c>
      <c r="I1760" s="52">
        <v>3</v>
      </c>
    </row>
    <row r="1761" spans="1:10" ht="15" customHeight="1">
      <c r="A1761" t="str">
        <f t="shared" ca="1" si="582"/>
        <v/>
      </c>
      <c r="B1761">
        <f t="shared" si="583"/>
        <v>15</v>
      </c>
      <c r="C1761">
        <f t="shared" ca="1" si="563"/>
        <v>12</v>
      </c>
      <c r="D1761" t="str">
        <f t="shared" si="584"/>
        <v>D15</v>
      </c>
      <c r="E1761" t="str">
        <f t="shared" ca="1" si="585"/>
        <v/>
      </c>
      <c r="F1761" t="str">
        <f t="shared" ca="1" si="586"/>
        <v xml:space="preserve">Enter a 'Total Units in Building*' for  building 12 in cell D15.
</v>
      </c>
      <c r="G1761" s="9" t="str">
        <f t="shared" ca="1" si="587"/>
        <v xml:space="preserve">Enter a value for 'Number of Floors in the Tallest Building' in cell B60.
</v>
      </c>
      <c r="H1761" s="52" t="str">
        <f t="shared" ca="1" si="588"/>
        <v>Total Units in Building*</v>
      </c>
      <c r="I1761" s="52">
        <v>4</v>
      </c>
    </row>
    <row r="1762" spans="1:10" ht="15" customHeight="1">
      <c r="A1762" t="str">
        <f t="shared" ca="1" si="582"/>
        <v/>
      </c>
      <c r="B1762">
        <f t="shared" si="583"/>
        <v>15</v>
      </c>
      <c r="C1762">
        <f t="shared" ca="1" si="563"/>
        <v>12</v>
      </c>
      <c r="D1762" t="str">
        <f t="shared" si="584"/>
        <v>E15</v>
      </c>
      <c r="E1762" t="str">
        <f t="shared" ca="1" si="585"/>
        <v/>
      </c>
      <c r="F1762" t="str">
        <f t="shared" ca="1" si="586"/>
        <v xml:space="preserve">Enter a 'Employee Units' for  building 12 in cell E15.
</v>
      </c>
      <c r="G1762" s="9" t="str">
        <f t="shared" ca="1" si="587"/>
        <v xml:space="preserve">Enter a value for 'Number of Floors in the Tallest Building' in cell B60.
</v>
      </c>
      <c r="H1762" s="52" t="str">
        <f t="shared" ca="1" si="588"/>
        <v>Employee Units</v>
      </c>
      <c r="I1762" s="52">
        <v>5</v>
      </c>
    </row>
    <row r="1763" spans="1:10" ht="15" customHeight="1">
      <c r="A1763" t="str">
        <f t="shared" ca="1" si="582"/>
        <v/>
      </c>
      <c r="B1763">
        <f t="shared" si="583"/>
        <v>15</v>
      </c>
      <c r="C1763">
        <f t="shared" ca="1" si="563"/>
        <v>12</v>
      </c>
      <c r="D1763" t="str">
        <f t="shared" si="584"/>
        <v>F15</v>
      </c>
      <c r="E1763" t="str">
        <f t="shared" ca="1" si="585"/>
        <v/>
      </c>
      <c r="F1763" t="str">
        <f t="shared" ca="1" si="586"/>
        <v xml:space="preserve">Enter a 'Low-Income Units' for  building 12 in cell F15.
</v>
      </c>
      <c r="G1763" s="9" t="str">
        <f t="shared" ca="1" si="587"/>
        <v xml:space="preserve">Enter a value for 'Number of Floors in the Tallest Building' in cell B60.
</v>
      </c>
      <c r="H1763" s="52" t="str">
        <f t="shared" ca="1" si="588"/>
        <v>Low-Income Units</v>
      </c>
      <c r="I1763" s="52">
        <v>6</v>
      </c>
    </row>
    <row r="1764" spans="1:10" ht="15" customHeight="1">
      <c r="A1764" t="str">
        <f t="shared" ca="1" si="582"/>
        <v/>
      </c>
      <c r="B1764">
        <f t="shared" si="583"/>
        <v>15</v>
      </c>
      <c r="C1764">
        <f t="shared" ca="1" si="563"/>
        <v>12</v>
      </c>
      <c r="D1764" t="str">
        <f t="shared" si="584"/>
        <v>G15</v>
      </c>
      <c r="E1764" t="str">
        <f t="shared" ca="1" si="585"/>
        <v/>
      </c>
      <c r="F1764" t="str">
        <f t="shared" ca="1" si="586"/>
        <v xml:space="preserve">Enter a 'Residential Square Footage**' for  building 12 in cell G15.
</v>
      </c>
      <c r="G1764" s="9" t="str">
        <f t="shared" ca="1" si="587"/>
        <v xml:space="preserve">Enter a value for 'Number of Floors in the Tallest Building' in cell B60.
</v>
      </c>
      <c r="H1764" s="52" t="str">
        <f t="shared" ca="1" si="588"/>
        <v>Residential Square Footage**</v>
      </c>
      <c r="I1764" s="52">
        <v>7</v>
      </c>
    </row>
    <row r="1765" spans="1:10" ht="15" customHeight="1">
      <c r="A1765" t="str">
        <f t="shared" ca="1" si="582"/>
        <v/>
      </c>
      <c r="B1765">
        <f t="shared" si="583"/>
        <v>15</v>
      </c>
      <c r="C1765">
        <f t="shared" ca="1" si="563"/>
        <v>12</v>
      </c>
      <c r="D1765" t="str">
        <f t="shared" si="584"/>
        <v>H15</v>
      </c>
      <c r="E1765" t="str">
        <f t="shared" ca="1" si="585"/>
        <v/>
      </c>
      <c r="F1765" t="str">
        <f t="shared" ca="1" si="586"/>
        <v xml:space="preserve">Enter a 'Square Footage of Employee Units' for  building 12 in cell H15.
</v>
      </c>
      <c r="G1765" s="9" t="str">
        <f t="shared" ca="1" si="587"/>
        <v xml:space="preserve">Enter a value for 'Number of Floors in the Tallest Building' in cell B60.
</v>
      </c>
      <c r="H1765" s="52" t="str">
        <f t="shared" ca="1" si="588"/>
        <v>Square Footage of Employee Units</v>
      </c>
      <c r="I1765" s="52">
        <v>8</v>
      </c>
    </row>
    <row r="1766" spans="1:10" ht="15" customHeight="1">
      <c r="A1766" t="str">
        <f t="shared" ca="1" si="582"/>
        <v/>
      </c>
      <c r="B1766">
        <f t="shared" si="583"/>
        <v>15</v>
      </c>
      <c r="C1766">
        <f t="shared" ca="1" si="563"/>
        <v>12</v>
      </c>
      <c r="D1766" t="str">
        <f t="shared" si="584"/>
        <v>I15</v>
      </c>
      <c r="E1766" t="str">
        <f t="shared" ca="1" si="585"/>
        <v/>
      </c>
      <c r="F1766" t="str">
        <f t="shared" ca="1" si="586"/>
        <v xml:space="preserve">Enter a 'Square Footage of Low-Income Units' for  building 12 in cell I15.
</v>
      </c>
      <c r="G1766" s="9" t="str">
        <f t="shared" ca="1" si="587"/>
        <v xml:space="preserve">Enter a value for 'Number of Floors in the Tallest Building' in cell B60.
</v>
      </c>
      <c r="H1766" s="52" t="str">
        <f t="shared" ca="1" si="588"/>
        <v>Square Footage of Low-Income Units</v>
      </c>
      <c r="I1766" s="52">
        <v>9</v>
      </c>
    </row>
    <row r="1767" spans="1:10" ht="15" customHeight="1">
      <c r="A1767" t="str">
        <f t="shared" ca="1" si="582"/>
        <v/>
      </c>
      <c r="B1767">
        <f t="shared" si="583"/>
        <v>15</v>
      </c>
      <c r="C1767">
        <f t="shared" ca="1" si="563"/>
        <v>12</v>
      </c>
      <c r="D1767" t="str">
        <f t="shared" si="584"/>
        <v>J15</v>
      </c>
      <c r="E1767" t="str">
        <f t="shared" ca="1" si="585"/>
        <v/>
      </c>
      <c r="F1767" t="str">
        <f t="shared" ca="1" si="586"/>
        <v xml:space="preserve">Enter a 'Placed-In-Service Date' for  building 12 in cell J15.
</v>
      </c>
      <c r="G1767" s="9" t="str">
        <f t="shared" ca="1" si="587"/>
        <v xml:space="preserve">Enter a value for 'Number of Floors in the Tallest Building' in cell B60.
</v>
      </c>
      <c r="H1767" s="52" t="str">
        <f t="shared" ca="1" si="588"/>
        <v>Placed-In-Service Date</v>
      </c>
      <c r="I1767" s="52">
        <v>10</v>
      </c>
    </row>
    <row r="1768" spans="1:10" ht="15" customHeight="1">
      <c r="A1768" t="str">
        <f t="shared" ca="1" si="582"/>
        <v/>
      </c>
      <c r="B1768">
        <f t="shared" si="583"/>
        <v>15</v>
      </c>
      <c r="C1768">
        <f t="shared" ca="1" si="563"/>
        <v>12</v>
      </c>
      <c r="D1768" t="str">
        <f t="shared" si="584"/>
        <v>K15</v>
      </c>
      <c r="E1768" t="str">
        <f t="shared" ca="1" si="585"/>
        <v/>
      </c>
      <c r="F1768" t="str">
        <f t="shared" ca="1" si="586"/>
        <v xml:space="preserve">Enter a 'New Construction/ Rehab APR' for  building 12 in cell K15.
</v>
      </c>
      <c r="G1768" s="9" t="str">
        <f t="shared" ca="1" si="587"/>
        <v xml:space="preserve">Enter a value for 'Number of Floors in the Tallest Building' in cell B60.
</v>
      </c>
      <c r="H1768" s="52" t="str">
        <f t="shared" ca="1" si="588"/>
        <v>New Construction/ Rehab APR</v>
      </c>
      <c r="I1768" s="52">
        <v>11</v>
      </c>
    </row>
    <row r="1769" spans="1:10" ht="15" customHeight="1">
      <c r="A1769" t="str">
        <f t="shared" ca="1" si="582"/>
        <v/>
      </c>
      <c r="B1769">
        <f t="shared" si="583"/>
        <v>15</v>
      </c>
      <c r="C1769">
        <f t="shared" ca="1" si="563"/>
        <v>12</v>
      </c>
      <c r="D1769" t="str">
        <f t="shared" si="584"/>
        <v>L15</v>
      </c>
      <c r="E1769" t="str">
        <f t="shared" ca="1" si="585"/>
        <v/>
      </c>
      <c r="F1769" t="str">
        <f t="shared" ca="1" si="586"/>
        <v xml:space="preserve">Enter a 'New Construction Eligible Basis' for  building 12 in cell L15.
</v>
      </c>
      <c r="G1769" s="9" t="str">
        <f t="shared" ca="1" si="587"/>
        <v xml:space="preserve">Enter a value for 'Number of Floors in the Tallest Building' in cell B60.
</v>
      </c>
      <c r="H1769" s="52" t="str">
        <f t="shared" ca="1" si="588"/>
        <v>New Construction Eligible Basis</v>
      </c>
      <c r="I1769" s="52">
        <v>12</v>
      </c>
    </row>
    <row r="1770" spans="1:10" ht="15" customHeight="1">
      <c r="A1770" t="str">
        <f ca="1">IF(AND(OFFSET(A1770, -I1770 + 2, 4) &gt;  0, E1770="", Calculations!$B$7), F1770, "")</f>
        <v/>
      </c>
      <c r="B1770">
        <f t="shared" si="583"/>
        <v>15</v>
      </c>
      <c r="C1770">
        <f t="shared" ca="1" si="563"/>
        <v>12</v>
      </c>
      <c r="D1770" t="str">
        <f t="shared" si="584"/>
        <v>M15</v>
      </c>
      <c r="E1770" t="str">
        <f t="shared" ca="1" si="585"/>
        <v/>
      </c>
      <c r="F1770" t="str">
        <f t="shared" ca="1" si="586"/>
        <v xml:space="preserve">Enter a 'Eligible Basis for Rehab' for  building 12 in cell M15.
</v>
      </c>
      <c r="G1770" s="9" t="str">
        <f t="shared" ca="1" si="587"/>
        <v xml:space="preserve">Enter a value for 'Number of Floors in the Tallest Building' in cell B60.
</v>
      </c>
      <c r="H1770" s="52" t="str">
        <f t="shared" ca="1" si="588"/>
        <v>Eligible Basis for Rehab</v>
      </c>
      <c r="I1770" s="52">
        <v>13</v>
      </c>
    </row>
    <row r="1771" spans="1:10" ht="15" customHeight="1">
      <c r="A1771" t="str">
        <f ca="1">IF(AND(OFFSET(A1771, -I1771 + 2, 4) &gt;  0, E1771="", Calculations!$B$7), F1771, "")</f>
        <v/>
      </c>
      <c r="B1771">
        <f t="shared" si="583"/>
        <v>15</v>
      </c>
      <c r="C1771">
        <f t="shared" ca="1" si="563"/>
        <v>12</v>
      </c>
      <c r="D1771" t="str">
        <f t="shared" si="584"/>
        <v>N15</v>
      </c>
      <c r="E1771" t="str">
        <f t="shared" ca="1" si="585"/>
        <v/>
      </c>
      <c r="F1771" t="str">
        <f t="shared" ca="1" si="586"/>
        <v xml:space="preserve">Enter a 'Cost of Acquiring the Building***' for  building 12 in cell N15.
</v>
      </c>
      <c r="G1771" s="9" t="str">
        <f t="shared" ca="1" si="587"/>
        <v xml:space="preserve">Enter a value for 'Number of Floors in the Tallest Building' in cell B60.
</v>
      </c>
      <c r="H1771" s="52" t="str">
        <f t="shared" ca="1" si="588"/>
        <v>Cost of Acquiring the Building***</v>
      </c>
      <c r="I1771" s="52">
        <v>14</v>
      </c>
    </row>
    <row r="1772" spans="1:10" ht="15" customHeight="1">
      <c r="A1772" t="str">
        <f ca="1">IF(AND(OFFSET(A1772, -I1772 + 2, 4) &gt;  0, E1772="", Calculations!$B$7), F1772, "")</f>
        <v/>
      </c>
      <c r="B1772">
        <f t="shared" si="583"/>
        <v>15</v>
      </c>
      <c r="C1772">
        <f t="shared" ca="1" si="563"/>
        <v>12</v>
      </c>
      <c r="D1772" t="str">
        <f t="shared" si="584"/>
        <v>O15</v>
      </c>
      <c r="E1772" t="str">
        <f t="shared" ca="1" si="585"/>
        <v/>
      </c>
      <c r="F1772" t="str">
        <f t="shared" ca="1" si="586"/>
        <v xml:space="preserve">Enter a 'Higher of Land Purchase Price or Land Appraised Value****' for  building 12 in cell O15.
</v>
      </c>
      <c r="G1772" s="9" t="str">
        <f t="shared" ca="1" si="587"/>
        <v xml:space="preserve">Enter a value for 'Number of Floors in the Tallest Building' in cell B60.
</v>
      </c>
      <c r="H1772" s="52" t="str">
        <f t="shared" ca="1" si="588"/>
        <v>Higher of Land Purchase Price or Land Appraised Value****</v>
      </c>
      <c r="I1772" s="52">
        <v>15</v>
      </c>
    </row>
    <row r="1773" spans="1:10" ht="15" customHeight="1">
      <c r="A1773" t="str">
        <f ca="1">IF(AND(OFFSET(A1773, -I1773 + 2, 4) &gt;  0, E1773="", Calculations!$B$7), F1773, "")</f>
        <v/>
      </c>
      <c r="B1773">
        <f t="shared" si="583"/>
        <v>15</v>
      </c>
      <c r="C1773">
        <f t="shared" ca="1" si="563"/>
        <v>12</v>
      </c>
      <c r="D1773" t="str">
        <f t="shared" si="584"/>
        <v>P15</v>
      </c>
      <c r="E1773" t="str">
        <f t="shared" ca="1" si="585"/>
        <v/>
      </c>
      <c r="F1773" t="str">
        <f t="shared" ca="1" si="586"/>
        <v xml:space="preserve">Enter a 'Acquisition Placed-in-Service Date' for  building 12 in cell P15.
</v>
      </c>
      <c r="G1773" s="9" t="str">
        <f t="shared" ca="1" si="587"/>
        <v xml:space="preserve">Enter a value for 'Number of Floors in the Tallest Building' in cell B60.
</v>
      </c>
      <c r="H1773" s="52" t="str">
        <f t="shared" ca="1" si="588"/>
        <v>Acquisition Placed-in-Service Date</v>
      </c>
      <c r="I1773" s="52">
        <v>16</v>
      </c>
    </row>
    <row r="1774" spans="1:10" ht="15" customHeight="1">
      <c r="A1774" t="str">
        <f ca="1">IF(AND(OFFSET(A1774, -I1774 + 2, 4) &gt;  0, E1774="", Calculations!$B$7), F1774, "")</f>
        <v/>
      </c>
      <c r="B1774">
        <f t="shared" si="583"/>
        <v>15</v>
      </c>
      <c r="C1774">
        <f t="shared" ca="1" si="563"/>
        <v>12</v>
      </c>
      <c r="D1774" t="str">
        <f t="shared" si="584"/>
        <v>Q15</v>
      </c>
      <c r="E1774" t="str">
        <f t="shared" ca="1" si="585"/>
        <v/>
      </c>
      <c r="F1774" t="str">
        <f t="shared" ca="1" si="586"/>
        <v xml:space="preserve">Enter a 'Acquisition APR' for  building 12 in cell Q15.
</v>
      </c>
      <c r="G1774" s="9" t="str">
        <f t="shared" ca="1" si="587"/>
        <v xml:space="preserve">Enter a value for 'Number of Floors in the Tallest Building' in cell B60.
</v>
      </c>
      <c r="H1774" s="52" t="str">
        <f t="shared" ca="1" si="588"/>
        <v>Acquisition APR</v>
      </c>
      <c r="I1774" s="52">
        <v>17</v>
      </c>
    </row>
    <row r="1775" spans="1:10" ht="15" customHeight="1">
      <c r="A1775" t="str">
        <f ca="1">IF(AND(Calculations!$B$4,Calculations!$B$29&gt;=C1775, E1775 &lt;&gt; 13),F1775,"")</f>
        <v/>
      </c>
      <c r="B1775">
        <f>ROW('Final Building Profile'!C16)</f>
        <v>16</v>
      </c>
      <c r="C1775">
        <f t="shared" ref="C1775:C1838" ca="1" si="589">INDIRECT($F$1565 &amp; ADDRESS(B1775, 1,4  ))</f>
        <v>13</v>
      </c>
      <c r="D1775" t="str">
        <f>ADDRESS(B1775, 3,4  )</f>
        <v>C16</v>
      </c>
      <c r="E1775" s="52">
        <f ca="1">H1775+I1775</f>
        <v>0</v>
      </c>
      <c r="F1775" t="str">
        <f ca="1">CONCATENATE("Based upon the number of buildings specified, information for  building ", C1775, " required for a final application in row ", B1775, ".", CHAR(10))</f>
        <v xml:space="preserve">Based upon the number of buildings specified, information for  building 13 required for a final application in row 16.
</v>
      </c>
      <c r="G1775" s="9" t="str">
        <f t="shared" ca="1" si="587"/>
        <v xml:space="preserve">Enter a value for 'Number of Floors in the Tallest Building' in cell B60.
</v>
      </c>
      <c r="H1775" s="52">
        <f ca="1">SUMPRODUCT(--ISTEXT(INDIRECT(J1775)))</f>
        <v>0</v>
      </c>
      <c r="I1775" s="52">
        <f ca="1">SUMPRODUCT(--ISNUMBER(INDIRECT(J1775)))</f>
        <v>0</v>
      </c>
      <c r="J1775" s="52" t="str">
        <f>$F$1565&amp; ADDRESS(B1775,3,4) &amp; ":" &amp; ADDRESS(B1775,15,4)</f>
        <v>'Final Building Profile'!C16:O16</v>
      </c>
    </row>
    <row r="1776" spans="1:10" ht="15" customHeight="1">
      <c r="A1776" t="str">
        <f t="shared" ref="A1776:A1785" ca="1" si="590">IF(AND(OFFSET(A1776, -I1776 + 2, 4) &gt;  0, E1776=""), F1776, "")</f>
        <v/>
      </c>
      <c r="B1776">
        <f t="shared" ref="B1776:B1790" si="591">B1775</f>
        <v>16</v>
      </c>
      <c r="C1776">
        <f t="shared" ca="1" si="589"/>
        <v>13</v>
      </c>
      <c r="D1776" t="str">
        <f t="shared" ref="D1776:D1790" si="592">ADDRESS(B1776, I1776,4  )</f>
        <v>C16</v>
      </c>
      <c r="E1776" t="str">
        <f t="shared" ref="E1776:E1790" ca="1" si="593">IF(ISBLANK( INDIRECT($F$1565 &amp; D1776)),"", INDIRECT($F$1565 &amp; D1776))</f>
        <v/>
      </c>
      <c r="F1776" t="str">
        <f t="shared" ref="F1776:F1790" ca="1" si="594">CONCATENATE("Enter a '"&amp; H1776 &amp;"' for  building ", C1776, " in cell ", D1776, ".", CHAR(10))</f>
        <v xml:space="preserve">Enter a 'Building Street Address Only 
(DO NOT ENTER CITY, STATE, OR ZIP)' for  building 13 in cell C16.
</v>
      </c>
      <c r="G1776" s="9" t="str">
        <f t="shared" ca="1" si="587"/>
        <v xml:space="preserve">Enter a value for 'Number of Floors in the Tallest Building' in cell B60.
</v>
      </c>
      <c r="H1776" s="52" t="str">
        <f t="shared" ref="H1776:H1790" ca="1" si="595">OFFSET(INDIRECT($F$1565 &amp; D1776), -B1776 + 3, 0)</f>
        <v>Building Street Address Only 
(DO NOT ENTER CITY, STATE, OR ZIP)</v>
      </c>
      <c r="I1776" s="52">
        <v>3</v>
      </c>
    </row>
    <row r="1777" spans="1:10" ht="15" customHeight="1">
      <c r="A1777" t="str">
        <f t="shared" ca="1" si="590"/>
        <v/>
      </c>
      <c r="B1777">
        <f t="shared" si="591"/>
        <v>16</v>
      </c>
      <c r="C1777">
        <f t="shared" ca="1" si="589"/>
        <v>13</v>
      </c>
      <c r="D1777" t="str">
        <f t="shared" si="592"/>
        <v>D16</v>
      </c>
      <c r="E1777" t="str">
        <f t="shared" ca="1" si="593"/>
        <v/>
      </c>
      <c r="F1777" t="str">
        <f t="shared" ca="1" si="594"/>
        <v xml:space="preserve">Enter a 'Total Units in Building*' for  building 13 in cell D16.
</v>
      </c>
      <c r="G1777" s="9" t="str">
        <f t="shared" ca="1" si="587"/>
        <v xml:space="preserve">Enter a value for 'Number of Floors in the Tallest Building' in cell B60.
</v>
      </c>
      <c r="H1777" s="52" t="str">
        <f t="shared" ca="1" si="595"/>
        <v>Total Units in Building*</v>
      </c>
      <c r="I1777" s="52">
        <v>4</v>
      </c>
    </row>
    <row r="1778" spans="1:10" ht="15" customHeight="1">
      <c r="A1778" t="str">
        <f t="shared" ca="1" si="590"/>
        <v/>
      </c>
      <c r="B1778">
        <f t="shared" si="591"/>
        <v>16</v>
      </c>
      <c r="C1778">
        <f t="shared" ca="1" si="589"/>
        <v>13</v>
      </c>
      <c r="D1778" t="str">
        <f t="shared" si="592"/>
        <v>E16</v>
      </c>
      <c r="E1778" t="str">
        <f t="shared" ca="1" si="593"/>
        <v/>
      </c>
      <c r="F1778" t="str">
        <f t="shared" ca="1" si="594"/>
        <v xml:space="preserve">Enter a 'Employee Units' for  building 13 in cell E16.
</v>
      </c>
      <c r="G1778" s="9" t="str">
        <f t="shared" ca="1" si="587"/>
        <v xml:space="preserve">Enter a value for 'Number of Floors in the Tallest Building' in cell B60.
</v>
      </c>
      <c r="H1778" s="52" t="str">
        <f t="shared" ca="1" si="595"/>
        <v>Employee Units</v>
      </c>
      <c r="I1778" s="52">
        <v>5</v>
      </c>
    </row>
    <row r="1779" spans="1:10" ht="15" customHeight="1">
      <c r="A1779" t="str">
        <f t="shared" ca="1" si="590"/>
        <v/>
      </c>
      <c r="B1779">
        <f t="shared" si="591"/>
        <v>16</v>
      </c>
      <c r="C1779">
        <f t="shared" ca="1" si="589"/>
        <v>13</v>
      </c>
      <c r="D1779" t="str">
        <f t="shared" si="592"/>
        <v>F16</v>
      </c>
      <c r="E1779" t="str">
        <f t="shared" ca="1" si="593"/>
        <v/>
      </c>
      <c r="F1779" t="str">
        <f t="shared" ca="1" si="594"/>
        <v xml:space="preserve">Enter a 'Low-Income Units' for  building 13 in cell F16.
</v>
      </c>
      <c r="G1779" s="9" t="str">
        <f t="shared" ca="1" si="587"/>
        <v xml:space="preserve">Enter a value for 'Number of Floors in the Tallest Building' in cell B60.
</v>
      </c>
      <c r="H1779" s="52" t="str">
        <f t="shared" ca="1" si="595"/>
        <v>Low-Income Units</v>
      </c>
      <c r="I1779" s="52">
        <v>6</v>
      </c>
    </row>
    <row r="1780" spans="1:10" ht="15" customHeight="1">
      <c r="A1780" t="str">
        <f t="shared" ca="1" si="590"/>
        <v/>
      </c>
      <c r="B1780">
        <f t="shared" si="591"/>
        <v>16</v>
      </c>
      <c r="C1780">
        <f t="shared" ca="1" si="589"/>
        <v>13</v>
      </c>
      <c r="D1780" t="str">
        <f t="shared" si="592"/>
        <v>G16</v>
      </c>
      <c r="E1780" t="str">
        <f t="shared" ca="1" si="593"/>
        <v/>
      </c>
      <c r="F1780" t="str">
        <f t="shared" ca="1" si="594"/>
        <v xml:space="preserve">Enter a 'Residential Square Footage**' for  building 13 in cell G16.
</v>
      </c>
      <c r="G1780" s="9" t="str">
        <f t="shared" ca="1" si="587"/>
        <v xml:space="preserve">Enter a value for 'Number of Floors in the Tallest Building' in cell B60.
</v>
      </c>
      <c r="H1780" s="52" t="str">
        <f t="shared" ca="1" si="595"/>
        <v>Residential Square Footage**</v>
      </c>
      <c r="I1780" s="52">
        <v>7</v>
      </c>
    </row>
    <row r="1781" spans="1:10" ht="15" customHeight="1">
      <c r="A1781" t="str">
        <f t="shared" ca="1" si="590"/>
        <v/>
      </c>
      <c r="B1781">
        <f t="shared" si="591"/>
        <v>16</v>
      </c>
      <c r="C1781">
        <f t="shared" ca="1" si="589"/>
        <v>13</v>
      </c>
      <c r="D1781" t="str">
        <f t="shared" si="592"/>
        <v>H16</v>
      </c>
      <c r="E1781" t="str">
        <f t="shared" ca="1" si="593"/>
        <v/>
      </c>
      <c r="F1781" t="str">
        <f t="shared" ca="1" si="594"/>
        <v xml:space="preserve">Enter a 'Square Footage of Employee Units' for  building 13 in cell H16.
</v>
      </c>
      <c r="G1781" s="9" t="str">
        <f t="shared" ca="1" si="587"/>
        <v xml:space="preserve">Enter a value for 'Number of Floors in the Tallest Building' in cell B60.
</v>
      </c>
      <c r="H1781" s="52" t="str">
        <f t="shared" ca="1" si="595"/>
        <v>Square Footage of Employee Units</v>
      </c>
      <c r="I1781" s="52">
        <v>8</v>
      </c>
    </row>
    <row r="1782" spans="1:10" ht="15" customHeight="1">
      <c r="A1782" t="str">
        <f t="shared" ca="1" si="590"/>
        <v/>
      </c>
      <c r="B1782">
        <f t="shared" si="591"/>
        <v>16</v>
      </c>
      <c r="C1782">
        <f t="shared" ca="1" si="589"/>
        <v>13</v>
      </c>
      <c r="D1782" t="str">
        <f t="shared" si="592"/>
        <v>I16</v>
      </c>
      <c r="E1782" t="str">
        <f t="shared" ca="1" si="593"/>
        <v/>
      </c>
      <c r="F1782" t="str">
        <f t="shared" ca="1" si="594"/>
        <v xml:space="preserve">Enter a 'Square Footage of Low-Income Units' for  building 13 in cell I16.
</v>
      </c>
      <c r="G1782" s="9" t="str">
        <f t="shared" ca="1" si="587"/>
        <v xml:space="preserve">Enter a value for 'Number of Floors in the Tallest Building' in cell B60.
</v>
      </c>
      <c r="H1782" s="52" t="str">
        <f t="shared" ca="1" si="595"/>
        <v>Square Footage of Low-Income Units</v>
      </c>
      <c r="I1782" s="52">
        <v>9</v>
      </c>
    </row>
    <row r="1783" spans="1:10" ht="15" customHeight="1">
      <c r="A1783" t="str">
        <f t="shared" ca="1" si="590"/>
        <v/>
      </c>
      <c r="B1783">
        <f t="shared" si="591"/>
        <v>16</v>
      </c>
      <c r="C1783">
        <f t="shared" ca="1" si="589"/>
        <v>13</v>
      </c>
      <c r="D1783" t="str">
        <f t="shared" si="592"/>
        <v>J16</v>
      </c>
      <c r="E1783" t="str">
        <f t="shared" ca="1" si="593"/>
        <v/>
      </c>
      <c r="F1783" t="str">
        <f t="shared" ca="1" si="594"/>
        <v xml:space="preserve">Enter a 'Placed-In-Service Date' for  building 13 in cell J16.
</v>
      </c>
      <c r="G1783" s="9" t="str">
        <f t="shared" ca="1" si="587"/>
        <v xml:space="preserve">Enter a value for 'Number of Floors in the Tallest Building' in cell B60.
</v>
      </c>
      <c r="H1783" s="52" t="str">
        <f t="shared" ca="1" si="595"/>
        <v>Placed-In-Service Date</v>
      </c>
      <c r="I1783" s="52">
        <v>10</v>
      </c>
    </row>
    <row r="1784" spans="1:10" ht="15" customHeight="1">
      <c r="A1784" t="str">
        <f t="shared" ca="1" si="590"/>
        <v/>
      </c>
      <c r="B1784">
        <f t="shared" si="591"/>
        <v>16</v>
      </c>
      <c r="C1784">
        <f t="shared" ca="1" si="589"/>
        <v>13</v>
      </c>
      <c r="D1784" t="str">
        <f t="shared" si="592"/>
        <v>K16</v>
      </c>
      <c r="E1784" t="str">
        <f t="shared" ca="1" si="593"/>
        <v/>
      </c>
      <c r="F1784" t="str">
        <f t="shared" ca="1" si="594"/>
        <v xml:space="preserve">Enter a 'New Construction/ Rehab APR' for  building 13 in cell K16.
</v>
      </c>
      <c r="G1784" s="9" t="str">
        <f t="shared" ca="1" si="587"/>
        <v xml:space="preserve">Enter a value for 'Number of Floors in the Tallest Building' in cell B60.
</v>
      </c>
      <c r="H1784" s="52" t="str">
        <f t="shared" ca="1" si="595"/>
        <v>New Construction/ Rehab APR</v>
      </c>
      <c r="I1784" s="52">
        <v>11</v>
      </c>
    </row>
    <row r="1785" spans="1:10" ht="15" customHeight="1">
      <c r="A1785" t="str">
        <f t="shared" ca="1" si="590"/>
        <v/>
      </c>
      <c r="B1785">
        <f t="shared" si="591"/>
        <v>16</v>
      </c>
      <c r="C1785">
        <f t="shared" ca="1" si="589"/>
        <v>13</v>
      </c>
      <c r="D1785" t="str">
        <f t="shared" si="592"/>
        <v>L16</v>
      </c>
      <c r="E1785" t="str">
        <f t="shared" ca="1" si="593"/>
        <v/>
      </c>
      <c r="F1785" t="str">
        <f t="shared" ca="1" si="594"/>
        <v xml:space="preserve">Enter a 'New Construction Eligible Basis' for  building 13 in cell L16.
</v>
      </c>
      <c r="G1785" s="9" t="str">
        <f t="shared" ca="1" si="587"/>
        <v xml:space="preserve">Enter a value for 'Number of Floors in the Tallest Building' in cell B60.
</v>
      </c>
      <c r="H1785" s="52" t="str">
        <f t="shared" ca="1" si="595"/>
        <v>New Construction Eligible Basis</v>
      </c>
      <c r="I1785" s="52">
        <v>12</v>
      </c>
    </row>
    <row r="1786" spans="1:10" ht="15" customHeight="1">
      <c r="A1786" t="str">
        <f ca="1">IF(AND(OFFSET(A1786, -I1786 + 2, 4) &gt;  0, E1786="", Calculations!$B$7), F1786, "")</f>
        <v/>
      </c>
      <c r="B1786">
        <f t="shared" si="591"/>
        <v>16</v>
      </c>
      <c r="C1786">
        <f t="shared" ca="1" si="589"/>
        <v>13</v>
      </c>
      <c r="D1786" t="str">
        <f t="shared" si="592"/>
        <v>M16</v>
      </c>
      <c r="E1786" t="str">
        <f t="shared" ca="1" si="593"/>
        <v/>
      </c>
      <c r="F1786" t="str">
        <f t="shared" ca="1" si="594"/>
        <v xml:space="preserve">Enter a 'Eligible Basis for Rehab' for  building 13 in cell M16.
</v>
      </c>
      <c r="G1786" s="9" t="str">
        <f t="shared" ca="1" si="587"/>
        <v xml:space="preserve">Enter a value for 'Number of Floors in the Tallest Building' in cell B60.
</v>
      </c>
      <c r="H1786" s="52" t="str">
        <f t="shared" ca="1" si="595"/>
        <v>Eligible Basis for Rehab</v>
      </c>
      <c r="I1786" s="52">
        <v>13</v>
      </c>
    </row>
    <row r="1787" spans="1:10" ht="15" customHeight="1">
      <c r="A1787" t="str">
        <f ca="1">IF(AND(OFFSET(A1787, -I1787 + 2, 4) &gt;  0, E1787="", Calculations!$B$7), F1787, "")</f>
        <v/>
      </c>
      <c r="B1787">
        <f t="shared" si="591"/>
        <v>16</v>
      </c>
      <c r="C1787">
        <f t="shared" ca="1" si="589"/>
        <v>13</v>
      </c>
      <c r="D1787" t="str">
        <f t="shared" si="592"/>
        <v>N16</v>
      </c>
      <c r="E1787" t="str">
        <f t="shared" ca="1" si="593"/>
        <v/>
      </c>
      <c r="F1787" t="str">
        <f t="shared" ca="1" si="594"/>
        <v xml:space="preserve">Enter a 'Cost of Acquiring the Building***' for  building 13 in cell N16.
</v>
      </c>
      <c r="G1787" s="9" t="str">
        <f t="shared" ca="1" si="587"/>
        <v xml:space="preserve">Enter a value for 'Number of Floors in the Tallest Building' in cell B60.
</v>
      </c>
      <c r="H1787" s="52" t="str">
        <f t="shared" ca="1" si="595"/>
        <v>Cost of Acquiring the Building***</v>
      </c>
      <c r="I1787" s="52">
        <v>14</v>
      </c>
    </row>
    <row r="1788" spans="1:10" ht="15" customHeight="1">
      <c r="A1788" t="str">
        <f ca="1">IF(AND(OFFSET(A1788, -I1788 + 2, 4) &gt;  0, E1788="", Calculations!$B$7), F1788, "")</f>
        <v/>
      </c>
      <c r="B1788">
        <f t="shared" si="591"/>
        <v>16</v>
      </c>
      <c r="C1788">
        <f t="shared" ca="1" si="589"/>
        <v>13</v>
      </c>
      <c r="D1788" t="str">
        <f t="shared" si="592"/>
        <v>O16</v>
      </c>
      <c r="E1788" t="str">
        <f t="shared" ca="1" si="593"/>
        <v/>
      </c>
      <c r="F1788" t="str">
        <f t="shared" ca="1" si="594"/>
        <v xml:space="preserve">Enter a 'Higher of Land Purchase Price or Land Appraised Value****' for  building 13 in cell O16.
</v>
      </c>
      <c r="G1788" s="9" t="str">
        <f t="shared" ca="1" si="587"/>
        <v xml:space="preserve">Enter a value for 'Number of Floors in the Tallest Building' in cell B60.
</v>
      </c>
      <c r="H1788" s="52" t="str">
        <f t="shared" ca="1" si="595"/>
        <v>Higher of Land Purchase Price or Land Appraised Value****</v>
      </c>
      <c r="I1788" s="52">
        <v>15</v>
      </c>
    </row>
    <row r="1789" spans="1:10" ht="15" customHeight="1">
      <c r="A1789" t="str">
        <f ca="1">IF(AND(OFFSET(A1789, -I1789 + 2, 4) &gt;  0, E1789="", Calculations!$B$7), F1789, "")</f>
        <v/>
      </c>
      <c r="B1789">
        <f t="shared" si="591"/>
        <v>16</v>
      </c>
      <c r="C1789">
        <f t="shared" ca="1" si="589"/>
        <v>13</v>
      </c>
      <c r="D1789" t="str">
        <f t="shared" si="592"/>
        <v>P16</v>
      </c>
      <c r="E1789" t="str">
        <f t="shared" ca="1" si="593"/>
        <v/>
      </c>
      <c r="F1789" t="str">
        <f t="shared" ca="1" si="594"/>
        <v xml:space="preserve">Enter a 'Acquisition Placed-in-Service Date' for  building 13 in cell P16.
</v>
      </c>
      <c r="G1789" s="9" t="str">
        <f t="shared" ca="1" si="587"/>
        <v xml:space="preserve">Enter a value for 'Number of Floors in the Tallest Building' in cell B60.
</v>
      </c>
      <c r="H1789" s="52" t="str">
        <f t="shared" ca="1" si="595"/>
        <v>Acquisition Placed-in-Service Date</v>
      </c>
      <c r="I1789" s="52">
        <v>16</v>
      </c>
    </row>
    <row r="1790" spans="1:10" ht="15" customHeight="1">
      <c r="A1790" t="str">
        <f ca="1">IF(AND(OFFSET(A1790, -I1790 + 2, 4) &gt;  0, E1790="", Calculations!$B$7), F1790, "")</f>
        <v/>
      </c>
      <c r="B1790">
        <f t="shared" si="591"/>
        <v>16</v>
      </c>
      <c r="C1790">
        <f t="shared" ca="1" si="589"/>
        <v>13</v>
      </c>
      <c r="D1790" t="str">
        <f t="shared" si="592"/>
        <v>Q16</v>
      </c>
      <c r="E1790" t="str">
        <f t="shared" ca="1" si="593"/>
        <v/>
      </c>
      <c r="F1790" t="str">
        <f t="shared" ca="1" si="594"/>
        <v xml:space="preserve">Enter a 'Acquisition APR' for  building 13 in cell Q16.
</v>
      </c>
      <c r="G1790" s="9" t="str">
        <f t="shared" ca="1" si="587"/>
        <v xml:space="preserve">Enter a value for 'Number of Floors in the Tallest Building' in cell B60.
</v>
      </c>
      <c r="H1790" s="52" t="str">
        <f t="shared" ca="1" si="595"/>
        <v>Acquisition APR</v>
      </c>
      <c r="I1790" s="52">
        <v>17</v>
      </c>
    </row>
    <row r="1791" spans="1:10" ht="15" customHeight="1">
      <c r="A1791" t="str">
        <f ca="1">IF(AND(Calculations!$B$4,Calculations!$B$29&gt;=C1791, E1791 &lt;&gt; 13),F1791,"")</f>
        <v/>
      </c>
      <c r="B1791">
        <f>ROW('Final Building Profile'!C17)</f>
        <v>17</v>
      </c>
      <c r="C1791">
        <f t="shared" ca="1" si="589"/>
        <v>14</v>
      </c>
      <c r="D1791" t="str">
        <f>ADDRESS(B1791, 3,4  )</f>
        <v>C17</v>
      </c>
      <c r="E1791" s="52">
        <f ca="1">H1791+I1791</f>
        <v>0</v>
      </c>
      <c r="F1791" t="str">
        <f ca="1">CONCATENATE("Based upon the number of buildings specified, information for  building ", C1791, " required for a final application in row ", B1791, ".", CHAR(10))</f>
        <v xml:space="preserve">Based upon the number of buildings specified, information for  building 14 required for a final application in row 17.
</v>
      </c>
      <c r="G1791" s="9" t="str">
        <f t="shared" ca="1" si="587"/>
        <v xml:space="preserve">Enter a value for 'Number of Floors in the Tallest Building' in cell B60.
</v>
      </c>
      <c r="H1791" s="52">
        <f ca="1">SUMPRODUCT(--ISTEXT(INDIRECT(J1791)))</f>
        <v>0</v>
      </c>
      <c r="I1791" s="52">
        <f ca="1">SUMPRODUCT(--ISNUMBER(INDIRECT(J1791)))</f>
        <v>0</v>
      </c>
      <c r="J1791" s="52" t="str">
        <f>$F$1565&amp; ADDRESS(B1791,3,4) &amp; ":" &amp; ADDRESS(B1791,15,4)</f>
        <v>'Final Building Profile'!C17:O17</v>
      </c>
    </row>
    <row r="1792" spans="1:10" ht="15" customHeight="1">
      <c r="A1792" t="str">
        <f t="shared" ref="A1792:A1801" ca="1" si="596">IF(AND(OFFSET(A1792, -I1792 + 2, 4) &gt;  0, E1792=""), F1792, "")</f>
        <v/>
      </c>
      <c r="B1792">
        <f t="shared" ref="B1792:B1806" si="597">B1791</f>
        <v>17</v>
      </c>
      <c r="C1792">
        <f t="shared" ca="1" si="589"/>
        <v>14</v>
      </c>
      <c r="D1792" t="str">
        <f t="shared" ref="D1792:D1806" si="598">ADDRESS(B1792, I1792,4  )</f>
        <v>C17</v>
      </c>
      <c r="E1792" t="str">
        <f t="shared" ref="E1792:E1806" ca="1" si="599">IF(ISBLANK( INDIRECT($F$1565 &amp; D1792)),"", INDIRECT($F$1565 &amp; D1792))</f>
        <v/>
      </c>
      <c r="F1792" t="str">
        <f t="shared" ref="F1792:F1806" ca="1" si="600">CONCATENATE("Enter a '"&amp; H1792 &amp;"' for  building ", C1792, " in cell ", D1792, ".", CHAR(10))</f>
        <v xml:space="preserve">Enter a 'Building Street Address Only 
(DO NOT ENTER CITY, STATE, OR ZIP)' for  building 14 in cell C17.
</v>
      </c>
      <c r="G1792" s="9" t="str">
        <f t="shared" ca="1" si="587"/>
        <v xml:space="preserve">Enter a value for 'Number of Floors in the Tallest Building' in cell B60.
</v>
      </c>
      <c r="H1792" s="52" t="str">
        <f t="shared" ref="H1792:H1806" ca="1" si="601">OFFSET(INDIRECT($F$1565 &amp; D1792), -B1792 + 3, 0)</f>
        <v>Building Street Address Only 
(DO NOT ENTER CITY, STATE, OR ZIP)</v>
      </c>
      <c r="I1792" s="52">
        <v>3</v>
      </c>
    </row>
    <row r="1793" spans="1:10" ht="15" customHeight="1">
      <c r="A1793" t="str">
        <f t="shared" ca="1" si="596"/>
        <v/>
      </c>
      <c r="B1793">
        <f t="shared" si="597"/>
        <v>17</v>
      </c>
      <c r="C1793">
        <f t="shared" ca="1" si="589"/>
        <v>14</v>
      </c>
      <c r="D1793" t="str">
        <f t="shared" si="598"/>
        <v>D17</v>
      </c>
      <c r="E1793" t="str">
        <f t="shared" ca="1" si="599"/>
        <v/>
      </c>
      <c r="F1793" t="str">
        <f t="shared" ca="1" si="600"/>
        <v xml:space="preserve">Enter a 'Total Units in Building*' for  building 14 in cell D17.
</v>
      </c>
      <c r="G1793" s="9" t="str">
        <f t="shared" ca="1" si="587"/>
        <v xml:space="preserve">Enter a value for 'Number of Floors in the Tallest Building' in cell B60.
</v>
      </c>
      <c r="H1793" s="52" t="str">
        <f t="shared" ca="1" si="601"/>
        <v>Total Units in Building*</v>
      </c>
      <c r="I1793" s="52">
        <v>4</v>
      </c>
    </row>
    <row r="1794" spans="1:10" ht="15" customHeight="1">
      <c r="A1794" t="str">
        <f t="shared" ca="1" si="596"/>
        <v/>
      </c>
      <c r="B1794">
        <f t="shared" si="597"/>
        <v>17</v>
      </c>
      <c r="C1794">
        <f t="shared" ca="1" si="589"/>
        <v>14</v>
      </c>
      <c r="D1794" t="str">
        <f t="shared" si="598"/>
        <v>E17</v>
      </c>
      <c r="E1794" t="str">
        <f t="shared" ca="1" si="599"/>
        <v/>
      </c>
      <c r="F1794" t="str">
        <f t="shared" ca="1" si="600"/>
        <v xml:space="preserve">Enter a 'Employee Units' for  building 14 in cell E17.
</v>
      </c>
      <c r="G1794" s="9" t="str">
        <f t="shared" ca="1" si="587"/>
        <v xml:space="preserve">Enter a value for 'Number of Floors in the Tallest Building' in cell B60.
</v>
      </c>
      <c r="H1794" s="52" t="str">
        <f t="shared" ca="1" si="601"/>
        <v>Employee Units</v>
      </c>
      <c r="I1794" s="52">
        <v>5</v>
      </c>
    </row>
    <row r="1795" spans="1:10" ht="15" customHeight="1">
      <c r="A1795" t="str">
        <f t="shared" ca="1" si="596"/>
        <v/>
      </c>
      <c r="B1795">
        <f t="shared" si="597"/>
        <v>17</v>
      </c>
      <c r="C1795">
        <f t="shared" ca="1" si="589"/>
        <v>14</v>
      </c>
      <c r="D1795" t="str">
        <f t="shared" si="598"/>
        <v>F17</v>
      </c>
      <c r="E1795" t="str">
        <f t="shared" ca="1" si="599"/>
        <v/>
      </c>
      <c r="F1795" t="str">
        <f t="shared" ca="1" si="600"/>
        <v xml:space="preserve">Enter a 'Low-Income Units' for  building 14 in cell F17.
</v>
      </c>
      <c r="G1795" s="9" t="str">
        <f t="shared" ca="1" si="587"/>
        <v xml:space="preserve">Enter a value for 'Number of Floors in the Tallest Building' in cell B60.
</v>
      </c>
      <c r="H1795" s="52" t="str">
        <f t="shared" ca="1" si="601"/>
        <v>Low-Income Units</v>
      </c>
      <c r="I1795" s="52">
        <v>6</v>
      </c>
    </row>
    <row r="1796" spans="1:10" ht="15" customHeight="1">
      <c r="A1796" t="str">
        <f t="shared" ca="1" si="596"/>
        <v/>
      </c>
      <c r="B1796">
        <f t="shared" si="597"/>
        <v>17</v>
      </c>
      <c r="C1796">
        <f t="shared" ca="1" si="589"/>
        <v>14</v>
      </c>
      <c r="D1796" t="str">
        <f t="shared" si="598"/>
        <v>G17</v>
      </c>
      <c r="E1796" t="str">
        <f t="shared" ca="1" si="599"/>
        <v/>
      </c>
      <c r="F1796" t="str">
        <f t="shared" ca="1" si="600"/>
        <v xml:space="preserve">Enter a 'Residential Square Footage**' for  building 14 in cell G17.
</v>
      </c>
      <c r="G1796" s="9" t="str">
        <f t="shared" ca="1" si="587"/>
        <v xml:space="preserve">Enter a value for 'Number of Floors in the Tallest Building' in cell B60.
</v>
      </c>
      <c r="H1796" s="52" t="str">
        <f t="shared" ca="1" si="601"/>
        <v>Residential Square Footage**</v>
      </c>
      <c r="I1796" s="52">
        <v>7</v>
      </c>
    </row>
    <row r="1797" spans="1:10" ht="15" customHeight="1">
      <c r="A1797" t="str">
        <f t="shared" ca="1" si="596"/>
        <v/>
      </c>
      <c r="B1797">
        <f t="shared" si="597"/>
        <v>17</v>
      </c>
      <c r="C1797">
        <f t="shared" ca="1" si="589"/>
        <v>14</v>
      </c>
      <c r="D1797" t="str">
        <f t="shared" si="598"/>
        <v>H17</v>
      </c>
      <c r="E1797" t="str">
        <f t="shared" ca="1" si="599"/>
        <v/>
      </c>
      <c r="F1797" t="str">
        <f t="shared" ca="1" si="600"/>
        <v xml:space="preserve">Enter a 'Square Footage of Employee Units' for  building 14 in cell H17.
</v>
      </c>
      <c r="G1797" s="9" t="str">
        <f t="shared" ca="1" si="587"/>
        <v xml:space="preserve">Enter a value for 'Number of Floors in the Tallest Building' in cell B60.
</v>
      </c>
      <c r="H1797" s="52" t="str">
        <f t="shared" ca="1" si="601"/>
        <v>Square Footage of Employee Units</v>
      </c>
      <c r="I1797" s="52">
        <v>8</v>
      </c>
    </row>
    <row r="1798" spans="1:10" ht="15" customHeight="1">
      <c r="A1798" t="str">
        <f t="shared" ca="1" si="596"/>
        <v/>
      </c>
      <c r="B1798">
        <f t="shared" si="597"/>
        <v>17</v>
      </c>
      <c r="C1798">
        <f t="shared" ca="1" si="589"/>
        <v>14</v>
      </c>
      <c r="D1798" t="str">
        <f t="shared" si="598"/>
        <v>I17</v>
      </c>
      <c r="E1798" t="str">
        <f t="shared" ca="1" si="599"/>
        <v/>
      </c>
      <c r="F1798" t="str">
        <f t="shared" ca="1" si="600"/>
        <v xml:space="preserve">Enter a 'Square Footage of Low-Income Units' for  building 14 in cell I17.
</v>
      </c>
      <c r="G1798" s="9" t="str">
        <f t="shared" ca="1" si="587"/>
        <v xml:space="preserve">Enter a value for 'Number of Floors in the Tallest Building' in cell B60.
</v>
      </c>
      <c r="H1798" s="52" t="str">
        <f t="shared" ca="1" si="601"/>
        <v>Square Footage of Low-Income Units</v>
      </c>
      <c r="I1798" s="52">
        <v>9</v>
      </c>
    </row>
    <row r="1799" spans="1:10" ht="15" customHeight="1">
      <c r="A1799" t="str">
        <f t="shared" ca="1" si="596"/>
        <v/>
      </c>
      <c r="B1799">
        <f t="shared" si="597"/>
        <v>17</v>
      </c>
      <c r="C1799">
        <f t="shared" ca="1" si="589"/>
        <v>14</v>
      </c>
      <c r="D1799" t="str">
        <f t="shared" si="598"/>
        <v>J17</v>
      </c>
      <c r="E1799" t="str">
        <f t="shared" ca="1" si="599"/>
        <v/>
      </c>
      <c r="F1799" t="str">
        <f t="shared" ca="1" si="600"/>
        <v xml:space="preserve">Enter a 'Placed-In-Service Date' for  building 14 in cell J17.
</v>
      </c>
      <c r="G1799" s="9" t="str">
        <f t="shared" ca="1" si="587"/>
        <v xml:space="preserve">Enter a value for 'Number of Floors in the Tallest Building' in cell B60.
</v>
      </c>
      <c r="H1799" s="52" t="str">
        <f t="shared" ca="1" si="601"/>
        <v>Placed-In-Service Date</v>
      </c>
      <c r="I1799" s="52">
        <v>10</v>
      </c>
    </row>
    <row r="1800" spans="1:10" ht="15" customHeight="1">
      <c r="A1800" t="str">
        <f t="shared" ca="1" si="596"/>
        <v/>
      </c>
      <c r="B1800">
        <f t="shared" si="597"/>
        <v>17</v>
      </c>
      <c r="C1800">
        <f t="shared" ca="1" si="589"/>
        <v>14</v>
      </c>
      <c r="D1800" t="str">
        <f t="shared" si="598"/>
        <v>K17</v>
      </c>
      <c r="E1800" t="str">
        <f t="shared" ca="1" si="599"/>
        <v/>
      </c>
      <c r="F1800" t="str">
        <f t="shared" ca="1" si="600"/>
        <v xml:space="preserve">Enter a 'New Construction/ Rehab APR' for  building 14 in cell K17.
</v>
      </c>
      <c r="G1800" s="9" t="str">
        <f t="shared" ca="1" si="587"/>
        <v xml:space="preserve">Enter a value for 'Number of Floors in the Tallest Building' in cell B60.
</v>
      </c>
      <c r="H1800" s="52" t="str">
        <f t="shared" ca="1" si="601"/>
        <v>New Construction/ Rehab APR</v>
      </c>
      <c r="I1800" s="52">
        <v>11</v>
      </c>
    </row>
    <row r="1801" spans="1:10" ht="15" customHeight="1">
      <c r="A1801" t="str">
        <f t="shared" ca="1" si="596"/>
        <v/>
      </c>
      <c r="B1801">
        <f t="shared" si="597"/>
        <v>17</v>
      </c>
      <c r="C1801">
        <f t="shared" ca="1" si="589"/>
        <v>14</v>
      </c>
      <c r="D1801" t="str">
        <f t="shared" si="598"/>
        <v>L17</v>
      </c>
      <c r="E1801" t="str">
        <f t="shared" ca="1" si="599"/>
        <v/>
      </c>
      <c r="F1801" t="str">
        <f t="shared" ca="1" si="600"/>
        <v xml:space="preserve">Enter a 'New Construction Eligible Basis' for  building 14 in cell L17.
</v>
      </c>
      <c r="G1801" s="9" t="str">
        <f t="shared" ca="1" si="587"/>
        <v xml:space="preserve">Enter a value for 'Number of Floors in the Tallest Building' in cell B60.
</v>
      </c>
      <c r="H1801" s="52" t="str">
        <f t="shared" ca="1" si="601"/>
        <v>New Construction Eligible Basis</v>
      </c>
      <c r="I1801" s="52">
        <v>12</v>
      </c>
    </row>
    <row r="1802" spans="1:10" ht="15" customHeight="1">
      <c r="A1802" t="str">
        <f ca="1">IF(AND(OFFSET(A1802, -I1802 + 2, 4) &gt;  0, E1802="", Calculations!$B$7), F1802, "")</f>
        <v/>
      </c>
      <c r="B1802">
        <f t="shared" si="597"/>
        <v>17</v>
      </c>
      <c r="C1802">
        <f t="shared" ca="1" si="589"/>
        <v>14</v>
      </c>
      <c r="D1802" t="str">
        <f t="shared" si="598"/>
        <v>M17</v>
      </c>
      <c r="E1802" t="str">
        <f t="shared" ca="1" si="599"/>
        <v/>
      </c>
      <c r="F1802" t="str">
        <f t="shared" ca="1" si="600"/>
        <v xml:space="preserve">Enter a 'Eligible Basis for Rehab' for  building 14 in cell M17.
</v>
      </c>
      <c r="G1802" s="9" t="str">
        <f t="shared" ca="1" si="587"/>
        <v xml:space="preserve">Enter a value for 'Number of Floors in the Tallest Building' in cell B60.
</v>
      </c>
      <c r="H1802" s="52" t="str">
        <f t="shared" ca="1" si="601"/>
        <v>Eligible Basis for Rehab</v>
      </c>
      <c r="I1802" s="52">
        <v>13</v>
      </c>
    </row>
    <row r="1803" spans="1:10" ht="15" customHeight="1">
      <c r="A1803" t="str">
        <f ca="1">IF(AND(OFFSET(A1803, -I1803 + 2, 4) &gt;  0, E1803="", Calculations!$B$7), F1803, "")</f>
        <v/>
      </c>
      <c r="B1803">
        <f t="shared" si="597"/>
        <v>17</v>
      </c>
      <c r="C1803">
        <f t="shared" ca="1" si="589"/>
        <v>14</v>
      </c>
      <c r="D1803" t="str">
        <f t="shared" si="598"/>
        <v>N17</v>
      </c>
      <c r="E1803" t="str">
        <f t="shared" ca="1" si="599"/>
        <v/>
      </c>
      <c r="F1803" t="str">
        <f t="shared" ca="1" si="600"/>
        <v xml:space="preserve">Enter a 'Cost of Acquiring the Building***' for  building 14 in cell N17.
</v>
      </c>
      <c r="G1803" s="9" t="str">
        <f t="shared" ca="1" si="587"/>
        <v xml:space="preserve">Enter a value for 'Number of Floors in the Tallest Building' in cell B60.
</v>
      </c>
      <c r="H1803" s="52" t="str">
        <f t="shared" ca="1" si="601"/>
        <v>Cost of Acquiring the Building***</v>
      </c>
      <c r="I1803" s="52">
        <v>14</v>
      </c>
    </row>
    <row r="1804" spans="1:10" ht="15" customHeight="1">
      <c r="A1804" t="str">
        <f ca="1">IF(AND(OFFSET(A1804, -I1804 + 2, 4) &gt;  0, E1804="", Calculations!$B$7), F1804, "")</f>
        <v/>
      </c>
      <c r="B1804">
        <f t="shared" si="597"/>
        <v>17</v>
      </c>
      <c r="C1804">
        <f t="shared" ca="1" si="589"/>
        <v>14</v>
      </c>
      <c r="D1804" t="str">
        <f t="shared" si="598"/>
        <v>O17</v>
      </c>
      <c r="E1804" t="str">
        <f t="shared" ca="1" si="599"/>
        <v/>
      </c>
      <c r="F1804" t="str">
        <f t="shared" ca="1" si="600"/>
        <v xml:space="preserve">Enter a 'Higher of Land Purchase Price or Land Appraised Value****' for  building 14 in cell O17.
</v>
      </c>
      <c r="G1804" s="9" t="str">
        <f t="shared" ca="1" si="587"/>
        <v xml:space="preserve">Enter a value for 'Number of Floors in the Tallest Building' in cell B60.
</v>
      </c>
      <c r="H1804" s="52" t="str">
        <f t="shared" ca="1" si="601"/>
        <v>Higher of Land Purchase Price or Land Appraised Value****</v>
      </c>
      <c r="I1804" s="52">
        <v>15</v>
      </c>
    </row>
    <row r="1805" spans="1:10" ht="15" customHeight="1">
      <c r="A1805" t="str">
        <f ca="1">IF(AND(OFFSET(A1805, -I1805 + 2, 4) &gt;  0, E1805="", Calculations!$B$7), F1805, "")</f>
        <v/>
      </c>
      <c r="B1805">
        <f t="shared" si="597"/>
        <v>17</v>
      </c>
      <c r="C1805">
        <f t="shared" ca="1" si="589"/>
        <v>14</v>
      </c>
      <c r="D1805" t="str">
        <f t="shared" si="598"/>
        <v>P17</v>
      </c>
      <c r="E1805" t="str">
        <f t="shared" ca="1" si="599"/>
        <v/>
      </c>
      <c r="F1805" t="str">
        <f t="shared" ca="1" si="600"/>
        <v xml:space="preserve">Enter a 'Acquisition Placed-in-Service Date' for  building 14 in cell P17.
</v>
      </c>
      <c r="G1805" s="9" t="str">
        <f t="shared" ca="1" si="587"/>
        <v xml:space="preserve">Enter a value for 'Number of Floors in the Tallest Building' in cell B60.
</v>
      </c>
      <c r="H1805" s="52" t="str">
        <f t="shared" ca="1" si="601"/>
        <v>Acquisition Placed-in-Service Date</v>
      </c>
      <c r="I1805" s="52">
        <v>16</v>
      </c>
    </row>
    <row r="1806" spans="1:10" ht="15" customHeight="1">
      <c r="A1806" t="str">
        <f ca="1">IF(AND(OFFSET(A1806, -I1806 + 2, 4) &gt;  0, E1806="", Calculations!$B$7), F1806, "")</f>
        <v/>
      </c>
      <c r="B1806">
        <f t="shared" si="597"/>
        <v>17</v>
      </c>
      <c r="C1806">
        <f t="shared" ca="1" si="589"/>
        <v>14</v>
      </c>
      <c r="D1806" t="str">
        <f t="shared" si="598"/>
        <v>Q17</v>
      </c>
      <c r="E1806" t="str">
        <f t="shared" ca="1" si="599"/>
        <v/>
      </c>
      <c r="F1806" t="str">
        <f t="shared" ca="1" si="600"/>
        <v xml:space="preserve">Enter a 'Acquisition APR' for  building 14 in cell Q17.
</v>
      </c>
      <c r="G1806" s="9" t="str">
        <f t="shared" ca="1" si="587"/>
        <v xml:space="preserve">Enter a value for 'Number of Floors in the Tallest Building' in cell B60.
</v>
      </c>
      <c r="H1806" s="52" t="str">
        <f t="shared" ca="1" si="601"/>
        <v>Acquisition APR</v>
      </c>
      <c r="I1806" s="52">
        <v>17</v>
      </c>
    </row>
    <row r="1807" spans="1:10" ht="15" customHeight="1">
      <c r="A1807" t="str">
        <f ca="1">IF(AND(Calculations!$B$4,Calculations!$B$29&gt;=C1807, E1807 &lt;&gt; 13),F1807,"")</f>
        <v/>
      </c>
      <c r="B1807">
        <f>ROW('Final Building Profile'!C18)</f>
        <v>18</v>
      </c>
      <c r="C1807">
        <f t="shared" ca="1" si="589"/>
        <v>15</v>
      </c>
      <c r="D1807" t="str">
        <f>ADDRESS(B1807, 3,4  )</f>
        <v>C18</v>
      </c>
      <c r="E1807" s="52">
        <f ca="1">H1807+I1807</f>
        <v>0</v>
      </c>
      <c r="F1807" t="str">
        <f ca="1">CONCATENATE("Based upon the number of buildings specified, information for  building ", C1807, " required for a final application in row ", B1807, ".", CHAR(10))</f>
        <v xml:space="preserve">Based upon the number of buildings specified, information for  building 15 required for a final application in row 18.
</v>
      </c>
      <c r="G1807" s="9" t="str">
        <f t="shared" ca="1" si="587"/>
        <v xml:space="preserve">Enter a value for 'Number of Floors in the Tallest Building' in cell B60.
</v>
      </c>
      <c r="H1807" s="52">
        <f ca="1">SUMPRODUCT(--ISTEXT(INDIRECT(J1807)))</f>
        <v>0</v>
      </c>
      <c r="I1807" s="52">
        <f ca="1">SUMPRODUCT(--ISNUMBER(INDIRECT(J1807)))</f>
        <v>0</v>
      </c>
      <c r="J1807" s="52" t="str">
        <f>$F$1565&amp; ADDRESS(B1807,3,4) &amp; ":" &amp; ADDRESS(B1807,15,4)</f>
        <v>'Final Building Profile'!C18:O18</v>
      </c>
    </row>
    <row r="1808" spans="1:10" ht="15" customHeight="1">
      <c r="A1808" t="str">
        <f t="shared" ref="A1808:A1817" ca="1" si="602">IF(AND(OFFSET(A1808, -I1808 + 2, 4) &gt;  0, E1808=""), F1808, "")</f>
        <v/>
      </c>
      <c r="B1808">
        <f t="shared" ref="B1808:B1822" si="603">B1807</f>
        <v>18</v>
      </c>
      <c r="C1808">
        <f t="shared" ca="1" si="589"/>
        <v>15</v>
      </c>
      <c r="D1808" t="str">
        <f t="shared" ref="D1808:D1822" si="604">ADDRESS(B1808, I1808,4  )</f>
        <v>C18</v>
      </c>
      <c r="E1808" t="str">
        <f t="shared" ref="E1808:E1822" ca="1" si="605">IF(ISBLANK( INDIRECT($F$1565 &amp; D1808)),"", INDIRECT($F$1565 &amp; D1808))</f>
        <v/>
      </c>
      <c r="F1808" t="str">
        <f t="shared" ref="F1808:F1822" ca="1" si="606">CONCATENATE("Enter a '"&amp; H1808 &amp;"' for  building ", C1808, " in cell ", D1808, ".", CHAR(10))</f>
        <v xml:space="preserve">Enter a 'Building Street Address Only 
(DO NOT ENTER CITY, STATE, OR ZIP)' for  building 15 in cell C18.
</v>
      </c>
      <c r="G1808" s="9" t="str">
        <f t="shared" ca="1" si="587"/>
        <v xml:space="preserve">Enter a value for 'Number of Floors in the Tallest Building' in cell B60.
</v>
      </c>
      <c r="H1808" s="52" t="str">
        <f t="shared" ref="H1808:H1822" ca="1" si="607">OFFSET(INDIRECT($F$1565 &amp; D1808), -B1808 + 3, 0)</f>
        <v>Building Street Address Only 
(DO NOT ENTER CITY, STATE, OR ZIP)</v>
      </c>
      <c r="I1808" s="52">
        <v>3</v>
      </c>
    </row>
    <row r="1809" spans="1:10" ht="15" customHeight="1">
      <c r="A1809" t="str">
        <f t="shared" ca="1" si="602"/>
        <v/>
      </c>
      <c r="B1809">
        <f t="shared" si="603"/>
        <v>18</v>
      </c>
      <c r="C1809">
        <f t="shared" ca="1" si="589"/>
        <v>15</v>
      </c>
      <c r="D1809" t="str">
        <f t="shared" si="604"/>
        <v>D18</v>
      </c>
      <c r="E1809" t="str">
        <f t="shared" ca="1" si="605"/>
        <v/>
      </c>
      <c r="F1809" t="str">
        <f t="shared" ca="1" si="606"/>
        <v xml:space="preserve">Enter a 'Total Units in Building*' for  building 15 in cell D18.
</v>
      </c>
      <c r="G1809" s="9" t="str">
        <f t="shared" ca="1" si="587"/>
        <v xml:space="preserve">Enter a value for 'Number of Floors in the Tallest Building' in cell B60.
</v>
      </c>
      <c r="H1809" s="52" t="str">
        <f t="shared" ca="1" si="607"/>
        <v>Total Units in Building*</v>
      </c>
      <c r="I1809" s="52">
        <v>4</v>
      </c>
    </row>
    <row r="1810" spans="1:10" ht="15" customHeight="1">
      <c r="A1810" t="str">
        <f t="shared" ca="1" si="602"/>
        <v/>
      </c>
      <c r="B1810">
        <f t="shared" si="603"/>
        <v>18</v>
      </c>
      <c r="C1810">
        <f t="shared" ca="1" si="589"/>
        <v>15</v>
      </c>
      <c r="D1810" t="str">
        <f t="shared" si="604"/>
        <v>E18</v>
      </c>
      <c r="E1810" t="str">
        <f t="shared" ca="1" si="605"/>
        <v/>
      </c>
      <c r="F1810" t="str">
        <f t="shared" ca="1" si="606"/>
        <v xml:space="preserve">Enter a 'Employee Units' for  building 15 in cell E18.
</v>
      </c>
      <c r="G1810" s="9" t="str">
        <f t="shared" ca="1" si="587"/>
        <v xml:space="preserve">Enter a value for 'Number of Floors in the Tallest Building' in cell B60.
</v>
      </c>
      <c r="H1810" s="52" t="str">
        <f t="shared" ca="1" si="607"/>
        <v>Employee Units</v>
      </c>
      <c r="I1810" s="52">
        <v>5</v>
      </c>
    </row>
    <row r="1811" spans="1:10" ht="15" customHeight="1">
      <c r="A1811" t="str">
        <f t="shared" ca="1" si="602"/>
        <v/>
      </c>
      <c r="B1811">
        <f t="shared" si="603"/>
        <v>18</v>
      </c>
      <c r="C1811">
        <f t="shared" ca="1" si="589"/>
        <v>15</v>
      </c>
      <c r="D1811" t="str">
        <f t="shared" si="604"/>
        <v>F18</v>
      </c>
      <c r="E1811" t="str">
        <f t="shared" ca="1" si="605"/>
        <v/>
      </c>
      <c r="F1811" t="str">
        <f t="shared" ca="1" si="606"/>
        <v xml:space="preserve">Enter a 'Low-Income Units' for  building 15 in cell F18.
</v>
      </c>
      <c r="G1811" s="9" t="str">
        <f t="shared" ca="1" si="587"/>
        <v xml:space="preserve">Enter a value for 'Number of Floors in the Tallest Building' in cell B60.
</v>
      </c>
      <c r="H1811" s="52" t="str">
        <f t="shared" ca="1" si="607"/>
        <v>Low-Income Units</v>
      </c>
      <c r="I1811" s="52">
        <v>6</v>
      </c>
    </row>
    <row r="1812" spans="1:10" ht="15" customHeight="1">
      <c r="A1812" t="str">
        <f t="shared" ca="1" si="602"/>
        <v/>
      </c>
      <c r="B1812">
        <f t="shared" si="603"/>
        <v>18</v>
      </c>
      <c r="C1812">
        <f t="shared" ca="1" si="589"/>
        <v>15</v>
      </c>
      <c r="D1812" t="str">
        <f t="shared" si="604"/>
        <v>G18</v>
      </c>
      <c r="E1812" t="str">
        <f t="shared" ca="1" si="605"/>
        <v/>
      </c>
      <c r="F1812" t="str">
        <f t="shared" ca="1" si="606"/>
        <v xml:space="preserve">Enter a 'Residential Square Footage**' for  building 15 in cell G18.
</v>
      </c>
      <c r="G1812" s="9" t="str">
        <f t="shared" ca="1" si="587"/>
        <v xml:space="preserve">Enter a value for 'Number of Floors in the Tallest Building' in cell B60.
</v>
      </c>
      <c r="H1812" s="52" t="str">
        <f t="shared" ca="1" si="607"/>
        <v>Residential Square Footage**</v>
      </c>
      <c r="I1812" s="52">
        <v>7</v>
      </c>
    </row>
    <row r="1813" spans="1:10" ht="15" customHeight="1">
      <c r="A1813" t="str">
        <f t="shared" ca="1" si="602"/>
        <v/>
      </c>
      <c r="B1813">
        <f t="shared" si="603"/>
        <v>18</v>
      </c>
      <c r="C1813">
        <f t="shared" ca="1" si="589"/>
        <v>15</v>
      </c>
      <c r="D1813" t="str">
        <f t="shared" si="604"/>
        <v>H18</v>
      </c>
      <c r="E1813" t="str">
        <f t="shared" ca="1" si="605"/>
        <v/>
      </c>
      <c r="F1813" t="str">
        <f t="shared" ca="1" si="606"/>
        <v xml:space="preserve">Enter a 'Square Footage of Employee Units' for  building 15 in cell H18.
</v>
      </c>
      <c r="G1813" s="9" t="str">
        <f t="shared" ca="1" si="587"/>
        <v xml:space="preserve">Enter a value for 'Number of Floors in the Tallest Building' in cell B60.
</v>
      </c>
      <c r="H1813" s="52" t="str">
        <f t="shared" ca="1" si="607"/>
        <v>Square Footage of Employee Units</v>
      </c>
      <c r="I1813" s="52">
        <v>8</v>
      </c>
    </row>
    <row r="1814" spans="1:10" ht="15" customHeight="1">
      <c r="A1814" t="str">
        <f t="shared" ca="1" si="602"/>
        <v/>
      </c>
      <c r="B1814">
        <f t="shared" si="603"/>
        <v>18</v>
      </c>
      <c r="C1814">
        <f t="shared" ca="1" si="589"/>
        <v>15</v>
      </c>
      <c r="D1814" t="str">
        <f t="shared" si="604"/>
        <v>I18</v>
      </c>
      <c r="E1814" t="str">
        <f t="shared" ca="1" si="605"/>
        <v/>
      </c>
      <c r="F1814" t="str">
        <f t="shared" ca="1" si="606"/>
        <v xml:space="preserve">Enter a 'Square Footage of Low-Income Units' for  building 15 in cell I18.
</v>
      </c>
      <c r="G1814" s="9" t="str">
        <f t="shared" ca="1" si="587"/>
        <v xml:space="preserve">Enter a value for 'Number of Floors in the Tallest Building' in cell B60.
</v>
      </c>
      <c r="H1814" s="52" t="str">
        <f t="shared" ca="1" si="607"/>
        <v>Square Footage of Low-Income Units</v>
      </c>
      <c r="I1814" s="52">
        <v>9</v>
      </c>
    </row>
    <row r="1815" spans="1:10" ht="15" customHeight="1">
      <c r="A1815" t="str">
        <f t="shared" ca="1" si="602"/>
        <v/>
      </c>
      <c r="B1815">
        <f t="shared" si="603"/>
        <v>18</v>
      </c>
      <c r="C1815">
        <f t="shared" ca="1" si="589"/>
        <v>15</v>
      </c>
      <c r="D1815" t="str">
        <f t="shared" si="604"/>
        <v>J18</v>
      </c>
      <c r="E1815" t="str">
        <f t="shared" ca="1" si="605"/>
        <v/>
      </c>
      <c r="F1815" t="str">
        <f t="shared" ca="1" si="606"/>
        <v xml:space="preserve">Enter a 'Placed-In-Service Date' for  building 15 in cell J18.
</v>
      </c>
      <c r="G1815" s="9" t="str">
        <f t="shared" ca="1" si="587"/>
        <v xml:space="preserve">Enter a value for 'Number of Floors in the Tallest Building' in cell B60.
</v>
      </c>
      <c r="H1815" s="52" t="str">
        <f t="shared" ca="1" si="607"/>
        <v>Placed-In-Service Date</v>
      </c>
      <c r="I1815" s="52">
        <v>10</v>
      </c>
    </row>
    <row r="1816" spans="1:10" ht="15" customHeight="1">
      <c r="A1816" t="str">
        <f t="shared" ca="1" si="602"/>
        <v/>
      </c>
      <c r="B1816">
        <f t="shared" si="603"/>
        <v>18</v>
      </c>
      <c r="C1816">
        <f t="shared" ca="1" si="589"/>
        <v>15</v>
      </c>
      <c r="D1816" t="str">
        <f t="shared" si="604"/>
        <v>K18</v>
      </c>
      <c r="E1816" t="str">
        <f t="shared" ca="1" si="605"/>
        <v/>
      </c>
      <c r="F1816" t="str">
        <f t="shared" ca="1" si="606"/>
        <v xml:space="preserve">Enter a 'New Construction/ Rehab APR' for  building 15 in cell K18.
</v>
      </c>
      <c r="G1816" s="9" t="str">
        <f t="shared" ca="1" si="587"/>
        <v xml:space="preserve">Enter a value for 'Number of Floors in the Tallest Building' in cell B60.
</v>
      </c>
      <c r="H1816" s="52" t="str">
        <f t="shared" ca="1" si="607"/>
        <v>New Construction/ Rehab APR</v>
      </c>
      <c r="I1816" s="52">
        <v>11</v>
      </c>
    </row>
    <row r="1817" spans="1:10" ht="15" customHeight="1">
      <c r="A1817" t="str">
        <f t="shared" ca="1" si="602"/>
        <v/>
      </c>
      <c r="B1817">
        <f t="shared" si="603"/>
        <v>18</v>
      </c>
      <c r="C1817">
        <f t="shared" ca="1" si="589"/>
        <v>15</v>
      </c>
      <c r="D1817" t="str">
        <f t="shared" si="604"/>
        <v>L18</v>
      </c>
      <c r="E1817" t="str">
        <f t="shared" ca="1" si="605"/>
        <v/>
      </c>
      <c r="F1817" t="str">
        <f t="shared" ca="1" si="606"/>
        <v xml:space="preserve">Enter a 'New Construction Eligible Basis' for  building 15 in cell L18.
</v>
      </c>
      <c r="G1817" s="9" t="str">
        <f t="shared" ca="1" si="587"/>
        <v xml:space="preserve">Enter a value for 'Number of Floors in the Tallest Building' in cell B60.
</v>
      </c>
      <c r="H1817" s="52" t="str">
        <f t="shared" ca="1" si="607"/>
        <v>New Construction Eligible Basis</v>
      </c>
      <c r="I1817" s="52">
        <v>12</v>
      </c>
    </row>
    <row r="1818" spans="1:10" ht="15" customHeight="1">
      <c r="A1818" t="str">
        <f ca="1">IF(AND(OFFSET(A1818, -I1818 + 2, 4) &gt;  0, E1818="", Calculations!$B$7), F1818, "")</f>
        <v/>
      </c>
      <c r="B1818">
        <f t="shared" si="603"/>
        <v>18</v>
      </c>
      <c r="C1818">
        <f t="shared" ca="1" si="589"/>
        <v>15</v>
      </c>
      <c r="D1818" t="str">
        <f t="shared" si="604"/>
        <v>M18</v>
      </c>
      <c r="E1818" t="str">
        <f t="shared" ca="1" si="605"/>
        <v/>
      </c>
      <c r="F1818" t="str">
        <f t="shared" ca="1" si="606"/>
        <v xml:space="preserve">Enter a 'Eligible Basis for Rehab' for  building 15 in cell M18.
</v>
      </c>
      <c r="G1818" s="9" t="str">
        <f t="shared" ca="1" si="587"/>
        <v xml:space="preserve">Enter a value for 'Number of Floors in the Tallest Building' in cell B60.
</v>
      </c>
      <c r="H1818" s="52" t="str">
        <f t="shared" ca="1" si="607"/>
        <v>Eligible Basis for Rehab</v>
      </c>
      <c r="I1818" s="52">
        <v>13</v>
      </c>
    </row>
    <row r="1819" spans="1:10" ht="15" customHeight="1">
      <c r="A1819" t="str">
        <f ca="1">IF(AND(OFFSET(A1819, -I1819 + 2, 4) &gt;  0, E1819="", Calculations!$B$7), F1819, "")</f>
        <v/>
      </c>
      <c r="B1819">
        <f t="shared" si="603"/>
        <v>18</v>
      </c>
      <c r="C1819">
        <f t="shared" ca="1" si="589"/>
        <v>15</v>
      </c>
      <c r="D1819" t="str">
        <f t="shared" si="604"/>
        <v>N18</v>
      </c>
      <c r="E1819" t="str">
        <f t="shared" ca="1" si="605"/>
        <v/>
      </c>
      <c r="F1819" t="str">
        <f t="shared" ca="1" si="606"/>
        <v xml:space="preserve">Enter a 'Cost of Acquiring the Building***' for  building 15 in cell N18.
</v>
      </c>
      <c r="G1819" s="9" t="str">
        <f t="shared" ca="1" si="587"/>
        <v xml:space="preserve">Enter a value for 'Number of Floors in the Tallest Building' in cell B60.
</v>
      </c>
      <c r="H1819" s="52" t="str">
        <f t="shared" ca="1" si="607"/>
        <v>Cost of Acquiring the Building***</v>
      </c>
      <c r="I1819" s="52">
        <v>14</v>
      </c>
    </row>
    <row r="1820" spans="1:10" ht="15" customHeight="1">
      <c r="A1820" t="str">
        <f ca="1">IF(AND(OFFSET(A1820, -I1820 + 2, 4) &gt;  0, E1820="", Calculations!$B$7), F1820, "")</f>
        <v/>
      </c>
      <c r="B1820">
        <f t="shared" si="603"/>
        <v>18</v>
      </c>
      <c r="C1820">
        <f t="shared" ca="1" si="589"/>
        <v>15</v>
      </c>
      <c r="D1820" t="str">
        <f t="shared" si="604"/>
        <v>O18</v>
      </c>
      <c r="E1820" t="str">
        <f t="shared" ca="1" si="605"/>
        <v/>
      </c>
      <c r="F1820" t="str">
        <f t="shared" ca="1" si="606"/>
        <v xml:space="preserve">Enter a 'Higher of Land Purchase Price or Land Appraised Value****' for  building 15 in cell O18.
</v>
      </c>
      <c r="G1820" s="9" t="str">
        <f t="shared" ca="1" si="587"/>
        <v xml:space="preserve">Enter a value for 'Number of Floors in the Tallest Building' in cell B60.
</v>
      </c>
      <c r="H1820" s="52" t="str">
        <f t="shared" ca="1" si="607"/>
        <v>Higher of Land Purchase Price or Land Appraised Value****</v>
      </c>
      <c r="I1820" s="52">
        <v>15</v>
      </c>
    </row>
    <row r="1821" spans="1:10" ht="15" customHeight="1">
      <c r="A1821" t="str">
        <f ca="1">IF(AND(OFFSET(A1821, -I1821 + 2, 4) &gt;  0, E1821="", Calculations!$B$7), F1821, "")</f>
        <v/>
      </c>
      <c r="B1821">
        <f t="shared" si="603"/>
        <v>18</v>
      </c>
      <c r="C1821">
        <f t="shared" ca="1" si="589"/>
        <v>15</v>
      </c>
      <c r="D1821" t="str">
        <f t="shared" si="604"/>
        <v>P18</v>
      </c>
      <c r="E1821" t="str">
        <f t="shared" ca="1" si="605"/>
        <v/>
      </c>
      <c r="F1821" t="str">
        <f t="shared" ca="1" si="606"/>
        <v xml:space="preserve">Enter a 'Acquisition Placed-in-Service Date' for  building 15 in cell P18.
</v>
      </c>
      <c r="G1821" s="9" t="str">
        <f t="shared" ca="1" si="587"/>
        <v xml:space="preserve">Enter a value for 'Number of Floors in the Tallest Building' in cell B60.
</v>
      </c>
      <c r="H1821" s="52" t="str">
        <f t="shared" ca="1" si="607"/>
        <v>Acquisition Placed-in-Service Date</v>
      </c>
      <c r="I1821" s="52">
        <v>16</v>
      </c>
    </row>
    <row r="1822" spans="1:10" ht="15" customHeight="1">
      <c r="A1822" t="str">
        <f ca="1">IF(AND(OFFSET(A1822, -I1822 + 2, 4) &gt;  0, E1822="", Calculations!$B$7), F1822, "")</f>
        <v/>
      </c>
      <c r="B1822">
        <f t="shared" si="603"/>
        <v>18</v>
      </c>
      <c r="C1822">
        <f t="shared" ca="1" si="589"/>
        <v>15</v>
      </c>
      <c r="D1822" t="str">
        <f t="shared" si="604"/>
        <v>Q18</v>
      </c>
      <c r="E1822" t="str">
        <f t="shared" ca="1" si="605"/>
        <v/>
      </c>
      <c r="F1822" t="str">
        <f t="shared" ca="1" si="606"/>
        <v xml:space="preserve">Enter a 'Acquisition APR' for  building 15 in cell Q18.
</v>
      </c>
      <c r="G1822" s="9" t="str">
        <f t="shared" ca="1" si="587"/>
        <v xml:space="preserve">Enter a value for 'Number of Floors in the Tallest Building' in cell B60.
</v>
      </c>
      <c r="H1822" s="52" t="str">
        <f t="shared" ca="1" si="607"/>
        <v>Acquisition APR</v>
      </c>
      <c r="I1822" s="52">
        <v>17</v>
      </c>
    </row>
    <row r="1823" spans="1:10" ht="15" customHeight="1">
      <c r="A1823" t="str">
        <f ca="1">IF(AND(Calculations!$B$4,Calculations!$B$29&gt;=C1823, E1823 &lt;&gt; 13),F1823,"")</f>
        <v/>
      </c>
      <c r="B1823">
        <f>ROW('Final Building Profile'!C19)</f>
        <v>19</v>
      </c>
      <c r="C1823">
        <f t="shared" ca="1" si="589"/>
        <v>16</v>
      </c>
      <c r="D1823" t="str">
        <f>ADDRESS(B1823, 3,4  )</f>
        <v>C19</v>
      </c>
      <c r="E1823" s="52">
        <f ca="1">H1823+I1823</f>
        <v>0</v>
      </c>
      <c r="F1823" t="str">
        <f ca="1">CONCATENATE("Based upon the number of buildings specified, information for  building ", C1823, " required for a final application in row ", B1823, ".", CHAR(10))</f>
        <v xml:space="preserve">Based upon the number of buildings specified, information for  building 16 required for a final application in row 19.
</v>
      </c>
      <c r="G1823" s="9" t="str">
        <f t="shared" ca="1" si="587"/>
        <v xml:space="preserve">Enter a value for 'Number of Floors in the Tallest Building' in cell B60.
</v>
      </c>
      <c r="H1823" s="52">
        <f ca="1">SUMPRODUCT(--ISTEXT(INDIRECT(J1823)))</f>
        <v>0</v>
      </c>
      <c r="I1823" s="52">
        <f ca="1">SUMPRODUCT(--ISNUMBER(INDIRECT(J1823)))</f>
        <v>0</v>
      </c>
      <c r="J1823" s="52" t="str">
        <f>$F$1565&amp; ADDRESS(B1823,3,4) &amp; ":" &amp; ADDRESS(B1823,15,4)</f>
        <v>'Final Building Profile'!C19:O19</v>
      </c>
    </row>
    <row r="1824" spans="1:10" ht="15" customHeight="1">
      <c r="A1824" t="str">
        <f t="shared" ref="A1824:A1833" ca="1" si="608">IF(AND(OFFSET(A1824, -I1824 + 2, 4) &gt;  0, E1824=""), F1824, "")</f>
        <v/>
      </c>
      <c r="B1824">
        <f t="shared" ref="B1824:B1838" si="609">B1823</f>
        <v>19</v>
      </c>
      <c r="C1824">
        <f t="shared" ca="1" si="589"/>
        <v>16</v>
      </c>
      <c r="D1824" t="str">
        <f t="shared" ref="D1824:D1838" si="610">ADDRESS(B1824, I1824,4  )</f>
        <v>C19</v>
      </c>
      <c r="E1824" t="str">
        <f t="shared" ref="E1824:E1838" ca="1" si="611">IF(ISBLANK( INDIRECT($F$1565 &amp; D1824)),"", INDIRECT($F$1565 &amp; D1824))</f>
        <v/>
      </c>
      <c r="F1824" t="str">
        <f t="shared" ref="F1824:F1838" ca="1" si="612">CONCATENATE("Enter a '"&amp; H1824 &amp;"' for  building ", C1824, " in cell ", D1824, ".", CHAR(10))</f>
        <v xml:space="preserve">Enter a 'Building Street Address Only 
(DO NOT ENTER CITY, STATE, OR ZIP)' for  building 16 in cell C19.
</v>
      </c>
      <c r="G1824" s="9" t="str">
        <f t="shared" ref="G1824:G1887" ca="1" si="613">OFFSET(G1824, -1, 0) &amp; A1824</f>
        <v xml:space="preserve">Enter a value for 'Number of Floors in the Tallest Building' in cell B60.
</v>
      </c>
      <c r="H1824" s="52" t="str">
        <f t="shared" ref="H1824:H1838" ca="1" si="614">OFFSET(INDIRECT($F$1565 &amp; D1824), -B1824 + 3, 0)</f>
        <v>Building Street Address Only 
(DO NOT ENTER CITY, STATE, OR ZIP)</v>
      </c>
      <c r="I1824" s="52">
        <v>3</v>
      </c>
    </row>
    <row r="1825" spans="1:10" ht="15" customHeight="1">
      <c r="A1825" t="str">
        <f t="shared" ca="1" si="608"/>
        <v/>
      </c>
      <c r="B1825">
        <f t="shared" si="609"/>
        <v>19</v>
      </c>
      <c r="C1825">
        <f t="shared" ca="1" si="589"/>
        <v>16</v>
      </c>
      <c r="D1825" t="str">
        <f t="shared" si="610"/>
        <v>D19</v>
      </c>
      <c r="E1825" t="str">
        <f t="shared" ca="1" si="611"/>
        <v/>
      </c>
      <c r="F1825" t="str">
        <f t="shared" ca="1" si="612"/>
        <v xml:space="preserve">Enter a 'Total Units in Building*' for  building 16 in cell D19.
</v>
      </c>
      <c r="G1825" s="9" t="str">
        <f t="shared" ca="1" si="613"/>
        <v xml:space="preserve">Enter a value for 'Number of Floors in the Tallest Building' in cell B60.
</v>
      </c>
      <c r="H1825" s="52" t="str">
        <f t="shared" ca="1" si="614"/>
        <v>Total Units in Building*</v>
      </c>
      <c r="I1825" s="52">
        <v>4</v>
      </c>
    </row>
    <row r="1826" spans="1:10" ht="15" customHeight="1">
      <c r="A1826" t="str">
        <f t="shared" ca="1" si="608"/>
        <v/>
      </c>
      <c r="B1826">
        <f t="shared" si="609"/>
        <v>19</v>
      </c>
      <c r="C1826">
        <f t="shared" ca="1" si="589"/>
        <v>16</v>
      </c>
      <c r="D1826" t="str">
        <f t="shared" si="610"/>
        <v>E19</v>
      </c>
      <c r="E1826" t="str">
        <f t="shared" ca="1" si="611"/>
        <v/>
      </c>
      <c r="F1826" t="str">
        <f t="shared" ca="1" si="612"/>
        <v xml:space="preserve">Enter a 'Employee Units' for  building 16 in cell E19.
</v>
      </c>
      <c r="G1826" s="9" t="str">
        <f t="shared" ca="1" si="613"/>
        <v xml:space="preserve">Enter a value for 'Number of Floors in the Tallest Building' in cell B60.
</v>
      </c>
      <c r="H1826" s="52" t="str">
        <f t="shared" ca="1" si="614"/>
        <v>Employee Units</v>
      </c>
      <c r="I1826" s="52">
        <v>5</v>
      </c>
    </row>
    <row r="1827" spans="1:10" ht="15" customHeight="1">
      <c r="A1827" t="str">
        <f t="shared" ca="1" si="608"/>
        <v/>
      </c>
      <c r="B1827">
        <f t="shared" si="609"/>
        <v>19</v>
      </c>
      <c r="C1827">
        <f t="shared" ca="1" si="589"/>
        <v>16</v>
      </c>
      <c r="D1827" t="str">
        <f t="shared" si="610"/>
        <v>F19</v>
      </c>
      <c r="E1827" t="str">
        <f t="shared" ca="1" si="611"/>
        <v/>
      </c>
      <c r="F1827" t="str">
        <f t="shared" ca="1" si="612"/>
        <v xml:space="preserve">Enter a 'Low-Income Units' for  building 16 in cell F19.
</v>
      </c>
      <c r="G1827" s="9" t="str">
        <f t="shared" ca="1" si="613"/>
        <v xml:space="preserve">Enter a value for 'Number of Floors in the Tallest Building' in cell B60.
</v>
      </c>
      <c r="H1827" s="52" t="str">
        <f t="shared" ca="1" si="614"/>
        <v>Low-Income Units</v>
      </c>
      <c r="I1827" s="52">
        <v>6</v>
      </c>
    </row>
    <row r="1828" spans="1:10" ht="15" customHeight="1">
      <c r="A1828" t="str">
        <f t="shared" ca="1" si="608"/>
        <v/>
      </c>
      <c r="B1828">
        <f t="shared" si="609"/>
        <v>19</v>
      </c>
      <c r="C1828">
        <f t="shared" ca="1" si="589"/>
        <v>16</v>
      </c>
      <c r="D1828" t="str">
        <f t="shared" si="610"/>
        <v>G19</v>
      </c>
      <c r="E1828" t="str">
        <f t="shared" ca="1" si="611"/>
        <v/>
      </c>
      <c r="F1828" t="str">
        <f t="shared" ca="1" si="612"/>
        <v xml:space="preserve">Enter a 'Residential Square Footage**' for  building 16 in cell G19.
</v>
      </c>
      <c r="G1828" s="9" t="str">
        <f t="shared" ca="1" si="613"/>
        <v xml:space="preserve">Enter a value for 'Number of Floors in the Tallest Building' in cell B60.
</v>
      </c>
      <c r="H1828" s="52" t="str">
        <f t="shared" ca="1" si="614"/>
        <v>Residential Square Footage**</v>
      </c>
      <c r="I1828" s="52">
        <v>7</v>
      </c>
    </row>
    <row r="1829" spans="1:10" ht="15" customHeight="1">
      <c r="A1829" t="str">
        <f t="shared" ca="1" si="608"/>
        <v/>
      </c>
      <c r="B1829">
        <f t="shared" si="609"/>
        <v>19</v>
      </c>
      <c r="C1829">
        <f t="shared" ca="1" si="589"/>
        <v>16</v>
      </c>
      <c r="D1829" t="str">
        <f t="shared" si="610"/>
        <v>H19</v>
      </c>
      <c r="E1829" t="str">
        <f t="shared" ca="1" si="611"/>
        <v/>
      </c>
      <c r="F1829" t="str">
        <f t="shared" ca="1" si="612"/>
        <v xml:space="preserve">Enter a 'Square Footage of Employee Units' for  building 16 in cell H19.
</v>
      </c>
      <c r="G1829" s="9" t="str">
        <f t="shared" ca="1" si="613"/>
        <v xml:space="preserve">Enter a value for 'Number of Floors in the Tallest Building' in cell B60.
</v>
      </c>
      <c r="H1829" s="52" t="str">
        <f t="shared" ca="1" si="614"/>
        <v>Square Footage of Employee Units</v>
      </c>
      <c r="I1829" s="52">
        <v>8</v>
      </c>
    </row>
    <row r="1830" spans="1:10" ht="15" customHeight="1">
      <c r="A1830" t="str">
        <f t="shared" ca="1" si="608"/>
        <v/>
      </c>
      <c r="B1830">
        <f t="shared" si="609"/>
        <v>19</v>
      </c>
      <c r="C1830">
        <f t="shared" ca="1" si="589"/>
        <v>16</v>
      </c>
      <c r="D1830" t="str">
        <f t="shared" si="610"/>
        <v>I19</v>
      </c>
      <c r="E1830" t="str">
        <f t="shared" ca="1" si="611"/>
        <v/>
      </c>
      <c r="F1830" t="str">
        <f t="shared" ca="1" si="612"/>
        <v xml:space="preserve">Enter a 'Square Footage of Low-Income Units' for  building 16 in cell I19.
</v>
      </c>
      <c r="G1830" s="9" t="str">
        <f t="shared" ca="1" si="613"/>
        <v xml:space="preserve">Enter a value for 'Number of Floors in the Tallest Building' in cell B60.
</v>
      </c>
      <c r="H1830" s="52" t="str">
        <f t="shared" ca="1" si="614"/>
        <v>Square Footage of Low-Income Units</v>
      </c>
      <c r="I1830" s="52">
        <v>9</v>
      </c>
    </row>
    <row r="1831" spans="1:10" ht="15" customHeight="1">
      <c r="A1831" t="str">
        <f t="shared" ca="1" si="608"/>
        <v/>
      </c>
      <c r="B1831">
        <f t="shared" si="609"/>
        <v>19</v>
      </c>
      <c r="C1831">
        <f t="shared" ca="1" si="589"/>
        <v>16</v>
      </c>
      <c r="D1831" t="str">
        <f t="shared" si="610"/>
        <v>J19</v>
      </c>
      <c r="E1831" t="str">
        <f t="shared" ca="1" si="611"/>
        <v/>
      </c>
      <c r="F1831" t="str">
        <f t="shared" ca="1" si="612"/>
        <v xml:space="preserve">Enter a 'Placed-In-Service Date' for  building 16 in cell J19.
</v>
      </c>
      <c r="G1831" s="9" t="str">
        <f t="shared" ca="1" si="613"/>
        <v xml:space="preserve">Enter a value for 'Number of Floors in the Tallest Building' in cell B60.
</v>
      </c>
      <c r="H1831" s="52" t="str">
        <f t="shared" ca="1" si="614"/>
        <v>Placed-In-Service Date</v>
      </c>
      <c r="I1831" s="52">
        <v>10</v>
      </c>
    </row>
    <row r="1832" spans="1:10" ht="15" customHeight="1">
      <c r="A1832" t="str">
        <f t="shared" ca="1" si="608"/>
        <v/>
      </c>
      <c r="B1832">
        <f t="shared" si="609"/>
        <v>19</v>
      </c>
      <c r="C1832">
        <f t="shared" ca="1" si="589"/>
        <v>16</v>
      </c>
      <c r="D1832" t="str">
        <f t="shared" si="610"/>
        <v>K19</v>
      </c>
      <c r="E1832" t="str">
        <f t="shared" ca="1" si="611"/>
        <v/>
      </c>
      <c r="F1832" t="str">
        <f t="shared" ca="1" si="612"/>
        <v xml:space="preserve">Enter a 'New Construction/ Rehab APR' for  building 16 in cell K19.
</v>
      </c>
      <c r="G1832" s="9" t="str">
        <f t="shared" ca="1" si="613"/>
        <v xml:space="preserve">Enter a value for 'Number of Floors in the Tallest Building' in cell B60.
</v>
      </c>
      <c r="H1832" s="52" t="str">
        <f t="shared" ca="1" si="614"/>
        <v>New Construction/ Rehab APR</v>
      </c>
      <c r="I1832" s="52">
        <v>11</v>
      </c>
    </row>
    <row r="1833" spans="1:10" ht="15" customHeight="1">
      <c r="A1833" t="str">
        <f t="shared" ca="1" si="608"/>
        <v/>
      </c>
      <c r="B1833">
        <f t="shared" si="609"/>
        <v>19</v>
      </c>
      <c r="C1833">
        <f t="shared" ca="1" si="589"/>
        <v>16</v>
      </c>
      <c r="D1833" t="str">
        <f t="shared" si="610"/>
        <v>L19</v>
      </c>
      <c r="E1833" t="str">
        <f t="shared" ca="1" si="611"/>
        <v/>
      </c>
      <c r="F1833" t="str">
        <f t="shared" ca="1" si="612"/>
        <v xml:space="preserve">Enter a 'New Construction Eligible Basis' for  building 16 in cell L19.
</v>
      </c>
      <c r="G1833" s="9" t="str">
        <f t="shared" ca="1" si="613"/>
        <v xml:space="preserve">Enter a value for 'Number of Floors in the Tallest Building' in cell B60.
</v>
      </c>
      <c r="H1833" s="52" t="str">
        <f t="shared" ca="1" si="614"/>
        <v>New Construction Eligible Basis</v>
      </c>
      <c r="I1833" s="52">
        <v>12</v>
      </c>
    </row>
    <row r="1834" spans="1:10" ht="15" customHeight="1">
      <c r="A1834" t="str">
        <f ca="1">IF(AND(OFFSET(A1834, -I1834 + 2, 4) &gt;  0, E1834="", Calculations!$B$7), F1834, "")</f>
        <v/>
      </c>
      <c r="B1834">
        <f t="shared" si="609"/>
        <v>19</v>
      </c>
      <c r="C1834">
        <f t="shared" ca="1" si="589"/>
        <v>16</v>
      </c>
      <c r="D1834" t="str">
        <f t="shared" si="610"/>
        <v>M19</v>
      </c>
      <c r="E1834" t="str">
        <f t="shared" ca="1" si="611"/>
        <v/>
      </c>
      <c r="F1834" t="str">
        <f t="shared" ca="1" si="612"/>
        <v xml:space="preserve">Enter a 'Eligible Basis for Rehab' for  building 16 in cell M19.
</v>
      </c>
      <c r="G1834" s="9" t="str">
        <f t="shared" ca="1" si="613"/>
        <v xml:space="preserve">Enter a value for 'Number of Floors in the Tallest Building' in cell B60.
</v>
      </c>
      <c r="H1834" s="52" t="str">
        <f t="shared" ca="1" si="614"/>
        <v>Eligible Basis for Rehab</v>
      </c>
      <c r="I1834" s="52">
        <v>13</v>
      </c>
    </row>
    <row r="1835" spans="1:10" ht="15" customHeight="1">
      <c r="A1835" t="str">
        <f ca="1">IF(AND(OFFSET(A1835, -I1835 + 2, 4) &gt;  0, E1835="", Calculations!$B$7), F1835, "")</f>
        <v/>
      </c>
      <c r="B1835">
        <f t="shared" si="609"/>
        <v>19</v>
      </c>
      <c r="C1835">
        <f t="shared" ca="1" si="589"/>
        <v>16</v>
      </c>
      <c r="D1835" t="str">
        <f t="shared" si="610"/>
        <v>N19</v>
      </c>
      <c r="E1835" t="str">
        <f t="shared" ca="1" si="611"/>
        <v/>
      </c>
      <c r="F1835" t="str">
        <f t="shared" ca="1" si="612"/>
        <v xml:space="preserve">Enter a 'Cost of Acquiring the Building***' for  building 16 in cell N19.
</v>
      </c>
      <c r="G1835" s="9" t="str">
        <f t="shared" ca="1" si="613"/>
        <v xml:space="preserve">Enter a value for 'Number of Floors in the Tallest Building' in cell B60.
</v>
      </c>
      <c r="H1835" s="52" t="str">
        <f t="shared" ca="1" si="614"/>
        <v>Cost of Acquiring the Building***</v>
      </c>
      <c r="I1835" s="52">
        <v>14</v>
      </c>
    </row>
    <row r="1836" spans="1:10" ht="15" customHeight="1">
      <c r="A1836" t="str">
        <f ca="1">IF(AND(OFFSET(A1836, -I1836 + 2, 4) &gt;  0, E1836="", Calculations!$B$7), F1836, "")</f>
        <v/>
      </c>
      <c r="B1836">
        <f t="shared" si="609"/>
        <v>19</v>
      </c>
      <c r="C1836">
        <f t="shared" ca="1" si="589"/>
        <v>16</v>
      </c>
      <c r="D1836" t="str">
        <f t="shared" si="610"/>
        <v>O19</v>
      </c>
      <c r="E1836" t="str">
        <f t="shared" ca="1" si="611"/>
        <v/>
      </c>
      <c r="F1836" t="str">
        <f t="shared" ca="1" si="612"/>
        <v xml:space="preserve">Enter a 'Higher of Land Purchase Price or Land Appraised Value****' for  building 16 in cell O19.
</v>
      </c>
      <c r="G1836" s="9" t="str">
        <f t="shared" ca="1" si="613"/>
        <v xml:space="preserve">Enter a value for 'Number of Floors in the Tallest Building' in cell B60.
</v>
      </c>
      <c r="H1836" s="52" t="str">
        <f t="shared" ca="1" si="614"/>
        <v>Higher of Land Purchase Price or Land Appraised Value****</v>
      </c>
      <c r="I1836" s="52">
        <v>15</v>
      </c>
    </row>
    <row r="1837" spans="1:10" ht="15" customHeight="1">
      <c r="A1837" t="str">
        <f ca="1">IF(AND(OFFSET(A1837, -I1837 + 2, 4) &gt;  0, E1837="", Calculations!$B$7), F1837, "")</f>
        <v/>
      </c>
      <c r="B1837">
        <f t="shared" si="609"/>
        <v>19</v>
      </c>
      <c r="C1837">
        <f t="shared" ca="1" si="589"/>
        <v>16</v>
      </c>
      <c r="D1837" t="str">
        <f t="shared" si="610"/>
        <v>P19</v>
      </c>
      <c r="E1837" t="str">
        <f t="shared" ca="1" si="611"/>
        <v/>
      </c>
      <c r="F1837" t="str">
        <f t="shared" ca="1" si="612"/>
        <v xml:space="preserve">Enter a 'Acquisition Placed-in-Service Date' for  building 16 in cell P19.
</v>
      </c>
      <c r="G1837" s="9" t="str">
        <f t="shared" ca="1" si="613"/>
        <v xml:space="preserve">Enter a value for 'Number of Floors in the Tallest Building' in cell B60.
</v>
      </c>
      <c r="H1837" s="52" t="str">
        <f t="shared" ca="1" si="614"/>
        <v>Acquisition Placed-in-Service Date</v>
      </c>
      <c r="I1837" s="52">
        <v>16</v>
      </c>
    </row>
    <row r="1838" spans="1:10" ht="15" customHeight="1">
      <c r="A1838" t="str">
        <f ca="1">IF(AND(OFFSET(A1838, -I1838 + 2, 4) &gt;  0, E1838="", Calculations!$B$7), F1838, "")</f>
        <v/>
      </c>
      <c r="B1838">
        <f t="shared" si="609"/>
        <v>19</v>
      </c>
      <c r="C1838">
        <f t="shared" ca="1" si="589"/>
        <v>16</v>
      </c>
      <c r="D1838" t="str">
        <f t="shared" si="610"/>
        <v>Q19</v>
      </c>
      <c r="E1838" t="str">
        <f t="shared" ca="1" si="611"/>
        <v/>
      </c>
      <c r="F1838" t="str">
        <f t="shared" ca="1" si="612"/>
        <v xml:space="preserve">Enter a 'Acquisition APR' for  building 16 in cell Q19.
</v>
      </c>
      <c r="G1838" s="9" t="str">
        <f t="shared" ca="1" si="613"/>
        <v xml:space="preserve">Enter a value for 'Number of Floors in the Tallest Building' in cell B60.
</v>
      </c>
      <c r="H1838" s="52" t="str">
        <f t="shared" ca="1" si="614"/>
        <v>Acquisition APR</v>
      </c>
      <c r="I1838" s="52">
        <v>17</v>
      </c>
    </row>
    <row r="1839" spans="1:10" ht="15" customHeight="1">
      <c r="A1839" t="str">
        <f ca="1">IF(AND(Calculations!$B$4,Calculations!$B$29&gt;=C1839, E1839 &lt;&gt; 13),F1839,"")</f>
        <v/>
      </c>
      <c r="B1839">
        <f>ROW('Final Building Profile'!C20)</f>
        <v>20</v>
      </c>
      <c r="C1839">
        <f t="shared" ref="C1839:C1902" ca="1" si="615">INDIRECT($F$1565 &amp; ADDRESS(B1839, 1,4  ))</f>
        <v>17</v>
      </c>
      <c r="D1839" t="str">
        <f>ADDRESS(B1839, 3,4  )</f>
        <v>C20</v>
      </c>
      <c r="E1839" s="52">
        <f ca="1">H1839+I1839</f>
        <v>0</v>
      </c>
      <c r="F1839" t="str">
        <f ca="1">CONCATENATE("Based upon the number of buildings specified, information for  building ", C1839, " required for a final application in row ", B1839, ".", CHAR(10))</f>
        <v xml:space="preserve">Based upon the number of buildings specified, information for  building 17 required for a final application in row 20.
</v>
      </c>
      <c r="G1839" s="9" t="str">
        <f t="shared" ca="1" si="613"/>
        <v xml:space="preserve">Enter a value for 'Number of Floors in the Tallest Building' in cell B60.
</v>
      </c>
      <c r="H1839" s="52">
        <f ca="1">SUMPRODUCT(--ISTEXT(INDIRECT(J1839)))</f>
        <v>0</v>
      </c>
      <c r="I1839" s="52">
        <f ca="1">SUMPRODUCT(--ISNUMBER(INDIRECT(J1839)))</f>
        <v>0</v>
      </c>
      <c r="J1839" s="52" t="str">
        <f>$F$1565&amp; ADDRESS(B1839,3,4) &amp; ":" &amp; ADDRESS(B1839,15,4)</f>
        <v>'Final Building Profile'!C20:O20</v>
      </c>
    </row>
    <row r="1840" spans="1:10" ht="15" customHeight="1">
      <c r="A1840" t="str">
        <f t="shared" ref="A1840:A1849" ca="1" si="616">IF(AND(OFFSET(A1840, -I1840 + 2, 4) &gt;  0, E1840=""), F1840, "")</f>
        <v/>
      </c>
      <c r="B1840">
        <f t="shared" ref="B1840:B1854" si="617">B1839</f>
        <v>20</v>
      </c>
      <c r="C1840">
        <f t="shared" ca="1" si="615"/>
        <v>17</v>
      </c>
      <c r="D1840" t="str">
        <f t="shared" ref="D1840:D1854" si="618">ADDRESS(B1840, I1840,4  )</f>
        <v>C20</v>
      </c>
      <c r="E1840" t="str">
        <f t="shared" ref="E1840:E1854" ca="1" si="619">IF(ISBLANK( INDIRECT($F$1565 &amp; D1840)),"", INDIRECT($F$1565 &amp; D1840))</f>
        <v/>
      </c>
      <c r="F1840" t="str">
        <f t="shared" ref="F1840:F1854" ca="1" si="620">CONCATENATE("Enter a '"&amp; H1840 &amp;"' for  building ", C1840, " in cell ", D1840, ".", CHAR(10))</f>
        <v xml:space="preserve">Enter a 'Building Street Address Only 
(DO NOT ENTER CITY, STATE, OR ZIP)' for  building 17 in cell C20.
</v>
      </c>
      <c r="G1840" s="9" t="str">
        <f t="shared" ca="1" si="613"/>
        <v xml:space="preserve">Enter a value for 'Number of Floors in the Tallest Building' in cell B60.
</v>
      </c>
      <c r="H1840" s="52" t="str">
        <f t="shared" ref="H1840:H1854" ca="1" si="621">OFFSET(INDIRECT($F$1565 &amp; D1840), -B1840 + 3, 0)</f>
        <v>Building Street Address Only 
(DO NOT ENTER CITY, STATE, OR ZIP)</v>
      </c>
      <c r="I1840" s="52">
        <v>3</v>
      </c>
    </row>
    <row r="1841" spans="1:10" ht="15" customHeight="1">
      <c r="A1841" t="str">
        <f t="shared" ca="1" si="616"/>
        <v/>
      </c>
      <c r="B1841">
        <f t="shared" si="617"/>
        <v>20</v>
      </c>
      <c r="C1841">
        <f t="shared" ca="1" si="615"/>
        <v>17</v>
      </c>
      <c r="D1841" t="str">
        <f t="shared" si="618"/>
        <v>D20</v>
      </c>
      <c r="E1841" t="str">
        <f t="shared" ca="1" si="619"/>
        <v/>
      </c>
      <c r="F1841" t="str">
        <f t="shared" ca="1" si="620"/>
        <v xml:space="preserve">Enter a 'Total Units in Building*' for  building 17 in cell D20.
</v>
      </c>
      <c r="G1841" s="9" t="str">
        <f t="shared" ca="1" si="613"/>
        <v xml:space="preserve">Enter a value for 'Number of Floors in the Tallest Building' in cell B60.
</v>
      </c>
      <c r="H1841" s="52" t="str">
        <f t="shared" ca="1" si="621"/>
        <v>Total Units in Building*</v>
      </c>
      <c r="I1841" s="52">
        <v>4</v>
      </c>
    </row>
    <row r="1842" spans="1:10" ht="15" customHeight="1">
      <c r="A1842" t="str">
        <f t="shared" ca="1" si="616"/>
        <v/>
      </c>
      <c r="B1842">
        <f t="shared" si="617"/>
        <v>20</v>
      </c>
      <c r="C1842">
        <f t="shared" ca="1" si="615"/>
        <v>17</v>
      </c>
      <c r="D1842" t="str">
        <f t="shared" si="618"/>
        <v>E20</v>
      </c>
      <c r="E1842" t="str">
        <f t="shared" ca="1" si="619"/>
        <v/>
      </c>
      <c r="F1842" t="str">
        <f t="shared" ca="1" si="620"/>
        <v xml:space="preserve">Enter a 'Employee Units' for  building 17 in cell E20.
</v>
      </c>
      <c r="G1842" s="9" t="str">
        <f t="shared" ca="1" si="613"/>
        <v xml:space="preserve">Enter a value for 'Number of Floors in the Tallest Building' in cell B60.
</v>
      </c>
      <c r="H1842" s="52" t="str">
        <f t="shared" ca="1" si="621"/>
        <v>Employee Units</v>
      </c>
      <c r="I1842" s="52">
        <v>5</v>
      </c>
    </row>
    <row r="1843" spans="1:10" ht="15" customHeight="1">
      <c r="A1843" t="str">
        <f t="shared" ca="1" si="616"/>
        <v/>
      </c>
      <c r="B1843">
        <f t="shared" si="617"/>
        <v>20</v>
      </c>
      <c r="C1843">
        <f t="shared" ca="1" si="615"/>
        <v>17</v>
      </c>
      <c r="D1843" t="str">
        <f t="shared" si="618"/>
        <v>F20</v>
      </c>
      <c r="E1843" t="str">
        <f t="shared" ca="1" si="619"/>
        <v/>
      </c>
      <c r="F1843" t="str">
        <f t="shared" ca="1" si="620"/>
        <v xml:space="preserve">Enter a 'Low-Income Units' for  building 17 in cell F20.
</v>
      </c>
      <c r="G1843" s="9" t="str">
        <f t="shared" ca="1" si="613"/>
        <v xml:space="preserve">Enter a value for 'Number of Floors in the Tallest Building' in cell B60.
</v>
      </c>
      <c r="H1843" s="52" t="str">
        <f t="shared" ca="1" si="621"/>
        <v>Low-Income Units</v>
      </c>
      <c r="I1843" s="52">
        <v>6</v>
      </c>
    </row>
    <row r="1844" spans="1:10" ht="15" customHeight="1">
      <c r="A1844" t="str">
        <f t="shared" ca="1" si="616"/>
        <v/>
      </c>
      <c r="B1844">
        <f t="shared" si="617"/>
        <v>20</v>
      </c>
      <c r="C1844">
        <f t="shared" ca="1" si="615"/>
        <v>17</v>
      </c>
      <c r="D1844" t="str">
        <f t="shared" si="618"/>
        <v>G20</v>
      </c>
      <c r="E1844" t="str">
        <f t="shared" ca="1" si="619"/>
        <v/>
      </c>
      <c r="F1844" t="str">
        <f t="shared" ca="1" si="620"/>
        <v xml:space="preserve">Enter a 'Residential Square Footage**' for  building 17 in cell G20.
</v>
      </c>
      <c r="G1844" s="9" t="str">
        <f t="shared" ca="1" si="613"/>
        <v xml:space="preserve">Enter a value for 'Number of Floors in the Tallest Building' in cell B60.
</v>
      </c>
      <c r="H1844" s="52" t="str">
        <f t="shared" ca="1" si="621"/>
        <v>Residential Square Footage**</v>
      </c>
      <c r="I1844" s="52">
        <v>7</v>
      </c>
    </row>
    <row r="1845" spans="1:10" ht="15" customHeight="1">
      <c r="A1845" t="str">
        <f t="shared" ca="1" si="616"/>
        <v/>
      </c>
      <c r="B1845">
        <f t="shared" si="617"/>
        <v>20</v>
      </c>
      <c r="C1845">
        <f t="shared" ca="1" si="615"/>
        <v>17</v>
      </c>
      <c r="D1845" t="str">
        <f t="shared" si="618"/>
        <v>H20</v>
      </c>
      <c r="E1845" t="str">
        <f t="shared" ca="1" si="619"/>
        <v/>
      </c>
      <c r="F1845" t="str">
        <f t="shared" ca="1" si="620"/>
        <v xml:space="preserve">Enter a 'Square Footage of Employee Units' for  building 17 in cell H20.
</v>
      </c>
      <c r="G1845" s="9" t="str">
        <f t="shared" ca="1" si="613"/>
        <v xml:space="preserve">Enter a value for 'Number of Floors in the Tallest Building' in cell B60.
</v>
      </c>
      <c r="H1845" s="52" t="str">
        <f t="shared" ca="1" si="621"/>
        <v>Square Footage of Employee Units</v>
      </c>
      <c r="I1845" s="52">
        <v>8</v>
      </c>
    </row>
    <row r="1846" spans="1:10" ht="15" customHeight="1">
      <c r="A1846" t="str">
        <f t="shared" ca="1" si="616"/>
        <v/>
      </c>
      <c r="B1846">
        <f t="shared" si="617"/>
        <v>20</v>
      </c>
      <c r="C1846">
        <f t="shared" ca="1" si="615"/>
        <v>17</v>
      </c>
      <c r="D1846" t="str">
        <f t="shared" si="618"/>
        <v>I20</v>
      </c>
      <c r="E1846" t="str">
        <f t="shared" ca="1" si="619"/>
        <v/>
      </c>
      <c r="F1846" t="str">
        <f t="shared" ca="1" si="620"/>
        <v xml:space="preserve">Enter a 'Square Footage of Low-Income Units' for  building 17 in cell I20.
</v>
      </c>
      <c r="G1846" s="9" t="str">
        <f t="shared" ca="1" si="613"/>
        <v xml:space="preserve">Enter a value for 'Number of Floors in the Tallest Building' in cell B60.
</v>
      </c>
      <c r="H1846" s="52" t="str">
        <f t="shared" ca="1" si="621"/>
        <v>Square Footage of Low-Income Units</v>
      </c>
      <c r="I1846" s="52">
        <v>9</v>
      </c>
    </row>
    <row r="1847" spans="1:10" ht="15" customHeight="1">
      <c r="A1847" t="str">
        <f t="shared" ca="1" si="616"/>
        <v/>
      </c>
      <c r="B1847">
        <f t="shared" si="617"/>
        <v>20</v>
      </c>
      <c r="C1847">
        <f t="shared" ca="1" si="615"/>
        <v>17</v>
      </c>
      <c r="D1847" t="str">
        <f t="shared" si="618"/>
        <v>J20</v>
      </c>
      <c r="E1847" t="str">
        <f t="shared" ca="1" si="619"/>
        <v/>
      </c>
      <c r="F1847" t="str">
        <f t="shared" ca="1" si="620"/>
        <v xml:space="preserve">Enter a 'Placed-In-Service Date' for  building 17 in cell J20.
</v>
      </c>
      <c r="G1847" s="9" t="str">
        <f t="shared" ca="1" si="613"/>
        <v xml:space="preserve">Enter a value for 'Number of Floors in the Tallest Building' in cell B60.
</v>
      </c>
      <c r="H1847" s="52" t="str">
        <f t="shared" ca="1" si="621"/>
        <v>Placed-In-Service Date</v>
      </c>
      <c r="I1847" s="52">
        <v>10</v>
      </c>
    </row>
    <row r="1848" spans="1:10" ht="15" customHeight="1">
      <c r="A1848" t="str">
        <f t="shared" ca="1" si="616"/>
        <v/>
      </c>
      <c r="B1848">
        <f t="shared" si="617"/>
        <v>20</v>
      </c>
      <c r="C1848">
        <f t="shared" ca="1" si="615"/>
        <v>17</v>
      </c>
      <c r="D1848" t="str">
        <f t="shared" si="618"/>
        <v>K20</v>
      </c>
      <c r="E1848" t="str">
        <f t="shared" ca="1" si="619"/>
        <v/>
      </c>
      <c r="F1848" t="str">
        <f t="shared" ca="1" si="620"/>
        <v xml:space="preserve">Enter a 'New Construction/ Rehab APR' for  building 17 in cell K20.
</v>
      </c>
      <c r="G1848" s="9" t="str">
        <f t="shared" ca="1" si="613"/>
        <v xml:space="preserve">Enter a value for 'Number of Floors in the Tallest Building' in cell B60.
</v>
      </c>
      <c r="H1848" s="52" t="str">
        <f t="shared" ca="1" si="621"/>
        <v>New Construction/ Rehab APR</v>
      </c>
      <c r="I1848" s="52">
        <v>11</v>
      </c>
    </row>
    <row r="1849" spans="1:10" ht="15" customHeight="1">
      <c r="A1849" t="str">
        <f t="shared" ca="1" si="616"/>
        <v/>
      </c>
      <c r="B1849">
        <f t="shared" si="617"/>
        <v>20</v>
      </c>
      <c r="C1849">
        <f t="shared" ca="1" si="615"/>
        <v>17</v>
      </c>
      <c r="D1849" t="str">
        <f t="shared" si="618"/>
        <v>L20</v>
      </c>
      <c r="E1849" t="str">
        <f t="shared" ca="1" si="619"/>
        <v/>
      </c>
      <c r="F1849" t="str">
        <f t="shared" ca="1" si="620"/>
        <v xml:space="preserve">Enter a 'New Construction Eligible Basis' for  building 17 in cell L20.
</v>
      </c>
      <c r="G1849" s="9" t="str">
        <f t="shared" ca="1" si="613"/>
        <v xml:space="preserve">Enter a value for 'Number of Floors in the Tallest Building' in cell B60.
</v>
      </c>
      <c r="H1849" s="52" t="str">
        <f t="shared" ca="1" si="621"/>
        <v>New Construction Eligible Basis</v>
      </c>
      <c r="I1849" s="52">
        <v>12</v>
      </c>
    </row>
    <row r="1850" spans="1:10" ht="15" customHeight="1">
      <c r="A1850" t="str">
        <f ca="1">IF(AND(OFFSET(A1850, -I1850 + 2, 4) &gt;  0, E1850="", Calculations!$B$7), F1850, "")</f>
        <v/>
      </c>
      <c r="B1850">
        <f t="shared" si="617"/>
        <v>20</v>
      </c>
      <c r="C1850">
        <f t="shared" ca="1" si="615"/>
        <v>17</v>
      </c>
      <c r="D1850" t="str">
        <f t="shared" si="618"/>
        <v>M20</v>
      </c>
      <c r="E1850" t="str">
        <f t="shared" ca="1" si="619"/>
        <v/>
      </c>
      <c r="F1850" t="str">
        <f t="shared" ca="1" si="620"/>
        <v xml:space="preserve">Enter a 'Eligible Basis for Rehab' for  building 17 in cell M20.
</v>
      </c>
      <c r="G1850" s="9" t="str">
        <f t="shared" ca="1" si="613"/>
        <v xml:space="preserve">Enter a value for 'Number of Floors in the Tallest Building' in cell B60.
</v>
      </c>
      <c r="H1850" s="52" t="str">
        <f t="shared" ca="1" si="621"/>
        <v>Eligible Basis for Rehab</v>
      </c>
      <c r="I1850" s="52">
        <v>13</v>
      </c>
    </row>
    <row r="1851" spans="1:10" ht="15" customHeight="1">
      <c r="A1851" t="str">
        <f ca="1">IF(AND(OFFSET(A1851, -I1851 + 2, 4) &gt;  0, E1851="", Calculations!$B$7), F1851, "")</f>
        <v/>
      </c>
      <c r="B1851">
        <f t="shared" si="617"/>
        <v>20</v>
      </c>
      <c r="C1851">
        <f t="shared" ca="1" si="615"/>
        <v>17</v>
      </c>
      <c r="D1851" t="str">
        <f t="shared" si="618"/>
        <v>N20</v>
      </c>
      <c r="E1851" t="str">
        <f t="shared" ca="1" si="619"/>
        <v/>
      </c>
      <c r="F1851" t="str">
        <f t="shared" ca="1" si="620"/>
        <v xml:space="preserve">Enter a 'Cost of Acquiring the Building***' for  building 17 in cell N20.
</v>
      </c>
      <c r="G1851" s="9" t="str">
        <f t="shared" ca="1" si="613"/>
        <v xml:space="preserve">Enter a value for 'Number of Floors in the Tallest Building' in cell B60.
</v>
      </c>
      <c r="H1851" s="52" t="str">
        <f t="shared" ca="1" si="621"/>
        <v>Cost of Acquiring the Building***</v>
      </c>
      <c r="I1851" s="52">
        <v>14</v>
      </c>
    </row>
    <row r="1852" spans="1:10" ht="15" customHeight="1">
      <c r="A1852" t="str">
        <f ca="1">IF(AND(OFFSET(A1852, -I1852 + 2, 4) &gt;  0, E1852="", Calculations!$B$7), F1852, "")</f>
        <v/>
      </c>
      <c r="B1852">
        <f t="shared" si="617"/>
        <v>20</v>
      </c>
      <c r="C1852">
        <f t="shared" ca="1" si="615"/>
        <v>17</v>
      </c>
      <c r="D1852" t="str">
        <f t="shared" si="618"/>
        <v>O20</v>
      </c>
      <c r="E1852" t="str">
        <f t="shared" ca="1" si="619"/>
        <v/>
      </c>
      <c r="F1852" t="str">
        <f t="shared" ca="1" si="620"/>
        <v xml:space="preserve">Enter a 'Higher of Land Purchase Price or Land Appraised Value****' for  building 17 in cell O20.
</v>
      </c>
      <c r="G1852" s="9" t="str">
        <f t="shared" ca="1" si="613"/>
        <v xml:space="preserve">Enter a value for 'Number of Floors in the Tallest Building' in cell B60.
</v>
      </c>
      <c r="H1852" s="52" t="str">
        <f t="shared" ca="1" si="621"/>
        <v>Higher of Land Purchase Price or Land Appraised Value****</v>
      </c>
      <c r="I1852" s="52">
        <v>15</v>
      </c>
    </row>
    <row r="1853" spans="1:10" ht="15" customHeight="1">
      <c r="A1853" t="str">
        <f ca="1">IF(AND(OFFSET(A1853, -I1853 + 2, 4) &gt;  0, E1853="", Calculations!$B$7), F1853, "")</f>
        <v/>
      </c>
      <c r="B1853">
        <f t="shared" si="617"/>
        <v>20</v>
      </c>
      <c r="C1853">
        <f t="shared" ca="1" si="615"/>
        <v>17</v>
      </c>
      <c r="D1853" t="str">
        <f t="shared" si="618"/>
        <v>P20</v>
      </c>
      <c r="E1853" t="str">
        <f t="shared" ca="1" si="619"/>
        <v/>
      </c>
      <c r="F1853" t="str">
        <f t="shared" ca="1" si="620"/>
        <v xml:space="preserve">Enter a 'Acquisition Placed-in-Service Date' for  building 17 in cell P20.
</v>
      </c>
      <c r="G1853" s="9" t="str">
        <f t="shared" ca="1" si="613"/>
        <v xml:space="preserve">Enter a value for 'Number of Floors in the Tallest Building' in cell B60.
</v>
      </c>
      <c r="H1853" s="52" t="str">
        <f t="shared" ca="1" si="621"/>
        <v>Acquisition Placed-in-Service Date</v>
      </c>
      <c r="I1853" s="52">
        <v>16</v>
      </c>
    </row>
    <row r="1854" spans="1:10" ht="15" customHeight="1">
      <c r="A1854" t="str">
        <f ca="1">IF(AND(OFFSET(A1854, -I1854 + 2, 4) &gt;  0, E1854="", Calculations!$B$7), F1854, "")</f>
        <v/>
      </c>
      <c r="B1854">
        <f t="shared" si="617"/>
        <v>20</v>
      </c>
      <c r="C1854">
        <f t="shared" ca="1" si="615"/>
        <v>17</v>
      </c>
      <c r="D1854" t="str">
        <f t="shared" si="618"/>
        <v>Q20</v>
      </c>
      <c r="E1854" t="str">
        <f t="shared" ca="1" si="619"/>
        <v/>
      </c>
      <c r="F1854" t="str">
        <f t="shared" ca="1" si="620"/>
        <v xml:space="preserve">Enter a 'Acquisition APR' for  building 17 in cell Q20.
</v>
      </c>
      <c r="G1854" s="9" t="str">
        <f t="shared" ca="1" si="613"/>
        <v xml:space="preserve">Enter a value for 'Number of Floors in the Tallest Building' in cell B60.
</v>
      </c>
      <c r="H1854" s="52" t="str">
        <f t="shared" ca="1" si="621"/>
        <v>Acquisition APR</v>
      </c>
      <c r="I1854" s="52">
        <v>17</v>
      </c>
    </row>
    <row r="1855" spans="1:10" ht="15" customHeight="1">
      <c r="A1855" t="str">
        <f ca="1">IF(AND(Calculations!$B$4,Calculations!$B$29&gt;=C1855, E1855 &lt;&gt; 13),F1855,"")</f>
        <v/>
      </c>
      <c r="B1855">
        <f>ROW('Final Building Profile'!C21)</f>
        <v>21</v>
      </c>
      <c r="C1855">
        <f t="shared" ca="1" si="615"/>
        <v>18</v>
      </c>
      <c r="D1855" t="str">
        <f>ADDRESS(B1855, 3,4  )</f>
        <v>C21</v>
      </c>
      <c r="E1855" s="52">
        <f ca="1">H1855+I1855</f>
        <v>0</v>
      </c>
      <c r="F1855" t="str">
        <f ca="1">CONCATENATE("Based upon the number of buildings specified, information for  building ", C1855, " required for a final application in row ", B1855, ".", CHAR(10))</f>
        <v xml:space="preserve">Based upon the number of buildings specified, information for  building 18 required for a final application in row 21.
</v>
      </c>
      <c r="G1855" s="9" t="str">
        <f t="shared" ca="1" si="613"/>
        <v xml:space="preserve">Enter a value for 'Number of Floors in the Tallest Building' in cell B60.
</v>
      </c>
      <c r="H1855" s="52">
        <f ca="1">SUMPRODUCT(--ISTEXT(INDIRECT(J1855)))</f>
        <v>0</v>
      </c>
      <c r="I1855" s="52">
        <f ca="1">SUMPRODUCT(--ISNUMBER(INDIRECT(J1855)))</f>
        <v>0</v>
      </c>
      <c r="J1855" s="52" t="str">
        <f>$F$1565&amp; ADDRESS(B1855,3,4) &amp; ":" &amp; ADDRESS(B1855,15,4)</f>
        <v>'Final Building Profile'!C21:O21</v>
      </c>
    </row>
    <row r="1856" spans="1:10" ht="15" customHeight="1">
      <c r="A1856" t="str">
        <f t="shared" ref="A1856:A1865" ca="1" si="622">IF(AND(OFFSET(A1856, -I1856 + 2, 4) &gt;  0, E1856=""), F1856, "")</f>
        <v/>
      </c>
      <c r="B1856">
        <f t="shared" ref="B1856:B1870" si="623">B1855</f>
        <v>21</v>
      </c>
      <c r="C1856">
        <f t="shared" ca="1" si="615"/>
        <v>18</v>
      </c>
      <c r="D1856" t="str">
        <f t="shared" ref="D1856:D1870" si="624">ADDRESS(B1856, I1856,4  )</f>
        <v>C21</v>
      </c>
      <c r="E1856" t="str">
        <f t="shared" ref="E1856:E1870" ca="1" si="625">IF(ISBLANK( INDIRECT($F$1565 &amp; D1856)),"", INDIRECT($F$1565 &amp; D1856))</f>
        <v/>
      </c>
      <c r="F1856" t="str">
        <f t="shared" ref="F1856:F1870" ca="1" si="626">CONCATENATE("Enter a '"&amp; H1856 &amp;"' for  building ", C1856, " in cell ", D1856, ".", CHAR(10))</f>
        <v xml:space="preserve">Enter a 'Building Street Address Only 
(DO NOT ENTER CITY, STATE, OR ZIP)' for  building 18 in cell C21.
</v>
      </c>
      <c r="G1856" s="9" t="str">
        <f t="shared" ca="1" si="613"/>
        <v xml:space="preserve">Enter a value for 'Number of Floors in the Tallest Building' in cell B60.
</v>
      </c>
      <c r="H1856" s="52" t="str">
        <f t="shared" ref="H1856:H1870" ca="1" si="627">OFFSET(INDIRECT($F$1565 &amp; D1856), -B1856 + 3, 0)</f>
        <v>Building Street Address Only 
(DO NOT ENTER CITY, STATE, OR ZIP)</v>
      </c>
      <c r="I1856" s="52">
        <v>3</v>
      </c>
    </row>
    <row r="1857" spans="1:10" ht="15" customHeight="1">
      <c r="A1857" t="str">
        <f t="shared" ca="1" si="622"/>
        <v/>
      </c>
      <c r="B1857">
        <f t="shared" si="623"/>
        <v>21</v>
      </c>
      <c r="C1857">
        <f t="shared" ca="1" si="615"/>
        <v>18</v>
      </c>
      <c r="D1857" t="str">
        <f t="shared" si="624"/>
        <v>D21</v>
      </c>
      <c r="E1857" t="str">
        <f t="shared" ca="1" si="625"/>
        <v/>
      </c>
      <c r="F1857" t="str">
        <f t="shared" ca="1" si="626"/>
        <v xml:space="preserve">Enter a 'Total Units in Building*' for  building 18 in cell D21.
</v>
      </c>
      <c r="G1857" s="9" t="str">
        <f t="shared" ca="1" si="613"/>
        <v xml:space="preserve">Enter a value for 'Number of Floors in the Tallest Building' in cell B60.
</v>
      </c>
      <c r="H1857" s="52" t="str">
        <f t="shared" ca="1" si="627"/>
        <v>Total Units in Building*</v>
      </c>
      <c r="I1857" s="52">
        <v>4</v>
      </c>
    </row>
    <row r="1858" spans="1:10" ht="15" customHeight="1">
      <c r="A1858" t="str">
        <f t="shared" ca="1" si="622"/>
        <v/>
      </c>
      <c r="B1858">
        <f t="shared" si="623"/>
        <v>21</v>
      </c>
      <c r="C1858">
        <f t="shared" ca="1" si="615"/>
        <v>18</v>
      </c>
      <c r="D1858" t="str">
        <f t="shared" si="624"/>
        <v>E21</v>
      </c>
      <c r="E1858" t="str">
        <f t="shared" ca="1" si="625"/>
        <v/>
      </c>
      <c r="F1858" t="str">
        <f t="shared" ca="1" si="626"/>
        <v xml:space="preserve">Enter a 'Employee Units' for  building 18 in cell E21.
</v>
      </c>
      <c r="G1858" s="9" t="str">
        <f t="shared" ca="1" si="613"/>
        <v xml:space="preserve">Enter a value for 'Number of Floors in the Tallest Building' in cell B60.
</v>
      </c>
      <c r="H1858" s="52" t="str">
        <f t="shared" ca="1" si="627"/>
        <v>Employee Units</v>
      </c>
      <c r="I1858" s="52">
        <v>5</v>
      </c>
    </row>
    <row r="1859" spans="1:10" ht="15" customHeight="1">
      <c r="A1859" t="str">
        <f t="shared" ca="1" si="622"/>
        <v/>
      </c>
      <c r="B1859">
        <f t="shared" si="623"/>
        <v>21</v>
      </c>
      <c r="C1859">
        <f t="shared" ca="1" si="615"/>
        <v>18</v>
      </c>
      <c r="D1859" t="str">
        <f t="shared" si="624"/>
        <v>F21</v>
      </c>
      <c r="E1859" t="str">
        <f t="shared" ca="1" si="625"/>
        <v/>
      </c>
      <c r="F1859" t="str">
        <f t="shared" ca="1" si="626"/>
        <v xml:space="preserve">Enter a 'Low-Income Units' for  building 18 in cell F21.
</v>
      </c>
      <c r="G1859" s="9" t="str">
        <f t="shared" ca="1" si="613"/>
        <v xml:space="preserve">Enter a value for 'Number of Floors in the Tallest Building' in cell B60.
</v>
      </c>
      <c r="H1859" s="52" t="str">
        <f t="shared" ca="1" si="627"/>
        <v>Low-Income Units</v>
      </c>
      <c r="I1859" s="52">
        <v>6</v>
      </c>
    </row>
    <row r="1860" spans="1:10" ht="15" customHeight="1">
      <c r="A1860" t="str">
        <f t="shared" ca="1" si="622"/>
        <v/>
      </c>
      <c r="B1860">
        <f t="shared" si="623"/>
        <v>21</v>
      </c>
      <c r="C1860">
        <f t="shared" ca="1" si="615"/>
        <v>18</v>
      </c>
      <c r="D1860" t="str">
        <f t="shared" si="624"/>
        <v>G21</v>
      </c>
      <c r="E1860" t="str">
        <f t="shared" ca="1" si="625"/>
        <v/>
      </c>
      <c r="F1860" t="str">
        <f t="shared" ca="1" si="626"/>
        <v xml:space="preserve">Enter a 'Residential Square Footage**' for  building 18 in cell G21.
</v>
      </c>
      <c r="G1860" s="9" t="str">
        <f t="shared" ca="1" si="613"/>
        <v xml:space="preserve">Enter a value for 'Number of Floors in the Tallest Building' in cell B60.
</v>
      </c>
      <c r="H1860" s="52" t="str">
        <f t="shared" ca="1" si="627"/>
        <v>Residential Square Footage**</v>
      </c>
      <c r="I1860" s="52">
        <v>7</v>
      </c>
    </row>
    <row r="1861" spans="1:10" ht="15" customHeight="1">
      <c r="A1861" t="str">
        <f t="shared" ca="1" si="622"/>
        <v/>
      </c>
      <c r="B1861">
        <f t="shared" si="623"/>
        <v>21</v>
      </c>
      <c r="C1861">
        <f t="shared" ca="1" si="615"/>
        <v>18</v>
      </c>
      <c r="D1861" t="str">
        <f t="shared" si="624"/>
        <v>H21</v>
      </c>
      <c r="E1861" t="str">
        <f t="shared" ca="1" si="625"/>
        <v/>
      </c>
      <c r="F1861" t="str">
        <f t="shared" ca="1" si="626"/>
        <v xml:space="preserve">Enter a 'Square Footage of Employee Units' for  building 18 in cell H21.
</v>
      </c>
      <c r="G1861" s="9" t="str">
        <f t="shared" ca="1" si="613"/>
        <v xml:space="preserve">Enter a value for 'Number of Floors in the Tallest Building' in cell B60.
</v>
      </c>
      <c r="H1861" s="52" t="str">
        <f t="shared" ca="1" si="627"/>
        <v>Square Footage of Employee Units</v>
      </c>
      <c r="I1861" s="52">
        <v>8</v>
      </c>
    </row>
    <row r="1862" spans="1:10" ht="15" customHeight="1">
      <c r="A1862" t="str">
        <f t="shared" ca="1" si="622"/>
        <v/>
      </c>
      <c r="B1862">
        <f t="shared" si="623"/>
        <v>21</v>
      </c>
      <c r="C1862">
        <f t="shared" ca="1" si="615"/>
        <v>18</v>
      </c>
      <c r="D1862" t="str">
        <f t="shared" si="624"/>
        <v>I21</v>
      </c>
      <c r="E1862" t="str">
        <f t="shared" ca="1" si="625"/>
        <v/>
      </c>
      <c r="F1862" t="str">
        <f t="shared" ca="1" si="626"/>
        <v xml:space="preserve">Enter a 'Square Footage of Low-Income Units' for  building 18 in cell I21.
</v>
      </c>
      <c r="G1862" s="9" t="str">
        <f t="shared" ca="1" si="613"/>
        <v xml:space="preserve">Enter a value for 'Number of Floors in the Tallest Building' in cell B60.
</v>
      </c>
      <c r="H1862" s="52" t="str">
        <f t="shared" ca="1" si="627"/>
        <v>Square Footage of Low-Income Units</v>
      </c>
      <c r="I1862" s="52">
        <v>9</v>
      </c>
    </row>
    <row r="1863" spans="1:10" ht="15" customHeight="1">
      <c r="A1863" t="str">
        <f t="shared" ca="1" si="622"/>
        <v/>
      </c>
      <c r="B1863">
        <f t="shared" si="623"/>
        <v>21</v>
      </c>
      <c r="C1863">
        <f t="shared" ca="1" si="615"/>
        <v>18</v>
      </c>
      <c r="D1863" t="str">
        <f t="shared" si="624"/>
        <v>J21</v>
      </c>
      <c r="E1863" t="str">
        <f t="shared" ca="1" si="625"/>
        <v/>
      </c>
      <c r="F1863" t="str">
        <f t="shared" ca="1" si="626"/>
        <v xml:space="preserve">Enter a 'Placed-In-Service Date' for  building 18 in cell J21.
</v>
      </c>
      <c r="G1863" s="9" t="str">
        <f t="shared" ca="1" si="613"/>
        <v xml:space="preserve">Enter a value for 'Number of Floors in the Tallest Building' in cell B60.
</v>
      </c>
      <c r="H1863" s="52" t="str">
        <f t="shared" ca="1" si="627"/>
        <v>Placed-In-Service Date</v>
      </c>
      <c r="I1863" s="52">
        <v>10</v>
      </c>
    </row>
    <row r="1864" spans="1:10" ht="15" customHeight="1">
      <c r="A1864" t="str">
        <f t="shared" ca="1" si="622"/>
        <v/>
      </c>
      <c r="B1864">
        <f t="shared" si="623"/>
        <v>21</v>
      </c>
      <c r="C1864">
        <f t="shared" ca="1" si="615"/>
        <v>18</v>
      </c>
      <c r="D1864" t="str">
        <f t="shared" si="624"/>
        <v>K21</v>
      </c>
      <c r="E1864" t="str">
        <f t="shared" ca="1" si="625"/>
        <v/>
      </c>
      <c r="F1864" t="str">
        <f t="shared" ca="1" si="626"/>
        <v xml:space="preserve">Enter a 'New Construction/ Rehab APR' for  building 18 in cell K21.
</v>
      </c>
      <c r="G1864" s="9" t="str">
        <f t="shared" ca="1" si="613"/>
        <v xml:space="preserve">Enter a value for 'Number of Floors in the Tallest Building' in cell B60.
</v>
      </c>
      <c r="H1864" s="52" t="str">
        <f t="shared" ca="1" si="627"/>
        <v>New Construction/ Rehab APR</v>
      </c>
      <c r="I1864" s="52">
        <v>11</v>
      </c>
    </row>
    <row r="1865" spans="1:10" ht="15" customHeight="1">
      <c r="A1865" t="str">
        <f t="shared" ca="1" si="622"/>
        <v/>
      </c>
      <c r="B1865">
        <f t="shared" si="623"/>
        <v>21</v>
      </c>
      <c r="C1865">
        <f t="shared" ca="1" si="615"/>
        <v>18</v>
      </c>
      <c r="D1865" t="str">
        <f t="shared" si="624"/>
        <v>L21</v>
      </c>
      <c r="E1865" t="str">
        <f t="shared" ca="1" si="625"/>
        <v/>
      </c>
      <c r="F1865" t="str">
        <f t="shared" ca="1" si="626"/>
        <v xml:space="preserve">Enter a 'New Construction Eligible Basis' for  building 18 in cell L21.
</v>
      </c>
      <c r="G1865" s="9" t="str">
        <f t="shared" ca="1" si="613"/>
        <v xml:space="preserve">Enter a value for 'Number of Floors in the Tallest Building' in cell B60.
</v>
      </c>
      <c r="H1865" s="52" t="str">
        <f t="shared" ca="1" si="627"/>
        <v>New Construction Eligible Basis</v>
      </c>
      <c r="I1865" s="52">
        <v>12</v>
      </c>
    </row>
    <row r="1866" spans="1:10" ht="15" customHeight="1">
      <c r="A1866" t="str">
        <f ca="1">IF(AND(OFFSET(A1866, -I1866 + 2, 4) &gt;  0, E1866="", Calculations!$B$7), F1866, "")</f>
        <v/>
      </c>
      <c r="B1866">
        <f t="shared" si="623"/>
        <v>21</v>
      </c>
      <c r="C1866">
        <f t="shared" ca="1" si="615"/>
        <v>18</v>
      </c>
      <c r="D1866" t="str">
        <f t="shared" si="624"/>
        <v>M21</v>
      </c>
      <c r="E1866" t="str">
        <f t="shared" ca="1" si="625"/>
        <v/>
      </c>
      <c r="F1866" t="str">
        <f t="shared" ca="1" si="626"/>
        <v xml:space="preserve">Enter a 'Eligible Basis for Rehab' for  building 18 in cell M21.
</v>
      </c>
      <c r="G1866" s="9" t="str">
        <f t="shared" ca="1" si="613"/>
        <v xml:space="preserve">Enter a value for 'Number of Floors in the Tallest Building' in cell B60.
</v>
      </c>
      <c r="H1866" s="52" t="str">
        <f t="shared" ca="1" si="627"/>
        <v>Eligible Basis for Rehab</v>
      </c>
      <c r="I1866" s="52">
        <v>13</v>
      </c>
    </row>
    <row r="1867" spans="1:10" ht="15" customHeight="1">
      <c r="A1867" t="str">
        <f ca="1">IF(AND(OFFSET(A1867, -I1867 + 2, 4) &gt;  0, E1867="", Calculations!$B$7), F1867, "")</f>
        <v/>
      </c>
      <c r="B1867">
        <f t="shared" si="623"/>
        <v>21</v>
      </c>
      <c r="C1867">
        <f t="shared" ca="1" si="615"/>
        <v>18</v>
      </c>
      <c r="D1867" t="str">
        <f t="shared" si="624"/>
        <v>N21</v>
      </c>
      <c r="E1867" t="str">
        <f t="shared" ca="1" si="625"/>
        <v/>
      </c>
      <c r="F1867" t="str">
        <f t="shared" ca="1" si="626"/>
        <v xml:space="preserve">Enter a 'Cost of Acquiring the Building***' for  building 18 in cell N21.
</v>
      </c>
      <c r="G1867" s="9" t="str">
        <f t="shared" ca="1" si="613"/>
        <v xml:space="preserve">Enter a value for 'Number of Floors in the Tallest Building' in cell B60.
</v>
      </c>
      <c r="H1867" s="52" t="str">
        <f t="shared" ca="1" si="627"/>
        <v>Cost of Acquiring the Building***</v>
      </c>
      <c r="I1867" s="52">
        <v>14</v>
      </c>
    </row>
    <row r="1868" spans="1:10" ht="15" customHeight="1">
      <c r="A1868" t="str">
        <f ca="1">IF(AND(OFFSET(A1868, -I1868 + 2, 4) &gt;  0, E1868="", Calculations!$B$7), F1868, "")</f>
        <v/>
      </c>
      <c r="B1868">
        <f t="shared" si="623"/>
        <v>21</v>
      </c>
      <c r="C1868">
        <f t="shared" ca="1" si="615"/>
        <v>18</v>
      </c>
      <c r="D1868" t="str">
        <f t="shared" si="624"/>
        <v>O21</v>
      </c>
      <c r="E1868" t="str">
        <f t="shared" ca="1" si="625"/>
        <v/>
      </c>
      <c r="F1868" t="str">
        <f t="shared" ca="1" si="626"/>
        <v xml:space="preserve">Enter a 'Higher of Land Purchase Price or Land Appraised Value****' for  building 18 in cell O21.
</v>
      </c>
      <c r="G1868" s="9" t="str">
        <f t="shared" ca="1" si="613"/>
        <v xml:space="preserve">Enter a value for 'Number of Floors in the Tallest Building' in cell B60.
</v>
      </c>
      <c r="H1868" s="52" t="str">
        <f t="shared" ca="1" si="627"/>
        <v>Higher of Land Purchase Price or Land Appraised Value****</v>
      </c>
      <c r="I1868" s="52">
        <v>15</v>
      </c>
    </row>
    <row r="1869" spans="1:10" ht="15" customHeight="1">
      <c r="A1869" t="str">
        <f ca="1">IF(AND(OFFSET(A1869, -I1869 + 2, 4) &gt;  0, E1869="", Calculations!$B$7), F1869, "")</f>
        <v/>
      </c>
      <c r="B1869">
        <f t="shared" si="623"/>
        <v>21</v>
      </c>
      <c r="C1869">
        <f t="shared" ca="1" si="615"/>
        <v>18</v>
      </c>
      <c r="D1869" t="str">
        <f t="shared" si="624"/>
        <v>P21</v>
      </c>
      <c r="E1869" t="str">
        <f t="shared" ca="1" si="625"/>
        <v/>
      </c>
      <c r="F1869" t="str">
        <f t="shared" ca="1" si="626"/>
        <v xml:space="preserve">Enter a 'Acquisition Placed-in-Service Date' for  building 18 in cell P21.
</v>
      </c>
      <c r="G1869" s="9" t="str">
        <f t="shared" ca="1" si="613"/>
        <v xml:space="preserve">Enter a value for 'Number of Floors in the Tallest Building' in cell B60.
</v>
      </c>
      <c r="H1869" s="52" t="str">
        <f t="shared" ca="1" si="627"/>
        <v>Acquisition Placed-in-Service Date</v>
      </c>
      <c r="I1869" s="52">
        <v>16</v>
      </c>
    </row>
    <row r="1870" spans="1:10" ht="15" customHeight="1">
      <c r="A1870" t="str">
        <f ca="1">IF(AND(OFFSET(A1870, -I1870 + 2, 4) &gt;  0, E1870="", Calculations!$B$7), F1870, "")</f>
        <v/>
      </c>
      <c r="B1870">
        <f t="shared" si="623"/>
        <v>21</v>
      </c>
      <c r="C1870">
        <f t="shared" ca="1" si="615"/>
        <v>18</v>
      </c>
      <c r="D1870" t="str">
        <f t="shared" si="624"/>
        <v>Q21</v>
      </c>
      <c r="E1870" t="str">
        <f t="shared" ca="1" si="625"/>
        <v/>
      </c>
      <c r="F1870" t="str">
        <f t="shared" ca="1" si="626"/>
        <v xml:space="preserve">Enter a 'Acquisition APR' for  building 18 in cell Q21.
</v>
      </c>
      <c r="G1870" s="9" t="str">
        <f t="shared" ca="1" si="613"/>
        <v xml:space="preserve">Enter a value for 'Number of Floors in the Tallest Building' in cell B60.
</v>
      </c>
      <c r="H1870" s="52" t="str">
        <f t="shared" ca="1" si="627"/>
        <v>Acquisition APR</v>
      </c>
      <c r="I1870" s="52">
        <v>17</v>
      </c>
    </row>
    <row r="1871" spans="1:10" ht="15" customHeight="1">
      <c r="A1871" t="str">
        <f ca="1">IF(AND(Calculations!$B$4,Calculations!$B$29&gt;=C1871, E1871 &lt;&gt; 13),F1871,"")</f>
        <v/>
      </c>
      <c r="B1871">
        <f>ROW('Final Building Profile'!C22)</f>
        <v>22</v>
      </c>
      <c r="C1871">
        <f t="shared" ca="1" si="615"/>
        <v>19</v>
      </c>
      <c r="D1871" t="str">
        <f>ADDRESS(B1871, 3,4  )</f>
        <v>C22</v>
      </c>
      <c r="E1871" s="52">
        <f ca="1">H1871+I1871</f>
        <v>0</v>
      </c>
      <c r="F1871" t="str">
        <f ca="1">CONCATENATE("Based upon the number of buildings specified, information for  building ", C1871, " required for a final application in row ", B1871, ".", CHAR(10))</f>
        <v xml:space="preserve">Based upon the number of buildings specified, information for  building 19 required for a final application in row 22.
</v>
      </c>
      <c r="G1871" s="9" t="str">
        <f t="shared" ca="1" si="613"/>
        <v xml:space="preserve">Enter a value for 'Number of Floors in the Tallest Building' in cell B60.
</v>
      </c>
      <c r="H1871" s="52">
        <f ca="1">SUMPRODUCT(--ISTEXT(INDIRECT(J1871)))</f>
        <v>0</v>
      </c>
      <c r="I1871" s="52">
        <f ca="1">SUMPRODUCT(--ISNUMBER(INDIRECT(J1871)))</f>
        <v>0</v>
      </c>
      <c r="J1871" s="52" t="str">
        <f>$F$1565&amp; ADDRESS(B1871,3,4) &amp; ":" &amp; ADDRESS(B1871,15,4)</f>
        <v>'Final Building Profile'!C22:O22</v>
      </c>
    </row>
    <row r="1872" spans="1:10" ht="15" customHeight="1">
      <c r="A1872" t="str">
        <f t="shared" ref="A1872:A1881" ca="1" si="628">IF(AND(OFFSET(A1872, -I1872 + 2, 4) &gt;  0, E1872=""), F1872, "")</f>
        <v/>
      </c>
      <c r="B1872">
        <f t="shared" ref="B1872:B1886" si="629">B1871</f>
        <v>22</v>
      </c>
      <c r="C1872">
        <f t="shared" ca="1" si="615"/>
        <v>19</v>
      </c>
      <c r="D1872" t="str">
        <f t="shared" ref="D1872:D1886" si="630">ADDRESS(B1872, I1872,4  )</f>
        <v>C22</v>
      </c>
      <c r="E1872" t="str">
        <f t="shared" ref="E1872:E1886" ca="1" si="631">IF(ISBLANK( INDIRECT($F$1565 &amp; D1872)),"", INDIRECT($F$1565 &amp; D1872))</f>
        <v/>
      </c>
      <c r="F1872" t="str">
        <f t="shared" ref="F1872:F1886" ca="1" si="632">CONCATENATE("Enter a '"&amp; H1872 &amp;"' for  building ", C1872, " in cell ", D1872, ".", CHAR(10))</f>
        <v xml:space="preserve">Enter a 'Building Street Address Only 
(DO NOT ENTER CITY, STATE, OR ZIP)' for  building 19 in cell C22.
</v>
      </c>
      <c r="G1872" s="9" t="str">
        <f t="shared" ca="1" si="613"/>
        <v xml:space="preserve">Enter a value for 'Number of Floors in the Tallest Building' in cell B60.
</v>
      </c>
      <c r="H1872" s="52" t="str">
        <f t="shared" ref="H1872:H1886" ca="1" si="633">OFFSET(INDIRECT($F$1565 &amp; D1872), -B1872 + 3, 0)</f>
        <v>Building Street Address Only 
(DO NOT ENTER CITY, STATE, OR ZIP)</v>
      </c>
      <c r="I1872" s="52">
        <v>3</v>
      </c>
    </row>
    <row r="1873" spans="1:10" ht="15" customHeight="1">
      <c r="A1873" t="str">
        <f t="shared" ca="1" si="628"/>
        <v/>
      </c>
      <c r="B1873">
        <f t="shared" si="629"/>
        <v>22</v>
      </c>
      <c r="C1873">
        <f t="shared" ca="1" si="615"/>
        <v>19</v>
      </c>
      <c r="D1873" t="str">
        <f t="shared" si="630"/>
        <v>D22</v>
      </c>
      <c r="E1873" t="str">
        <f t="shared" ca="1" si="631"/>
        <v/>
      </c>
      <c r="F1873" t="str">
        <f t="shared" ca="1" si="632"/>
        <v xml:space="preserve">Enter a 'Total Units in Building*' for  building 19 in cell D22.
</v>
      </c>
      <c r="G1873" s="9" t="str">
        <f t="shared" ca="1" si="613"/>
        <v xml:space="preserve">Enter a value for 'Number of Floors in the Tallest Building' in cell B60.
</v>
      </c>
      <c r="H1873" s="52" t="str">
        <f t="shared" ca="1" si="633"/>
        <v>Total Units in Building*</v>
      </c>
      <c r="I1873" s="52">
        <v>4</v>
      </c>
    </row>
    <row r="1874" spans="1:10" ht="15" customHeight="1">
      <c r="A1874" t="str">
        <f t="shared" ca="1" si="628"/>
        <v/>
      </c>
      <c r="B1874">
        <f t="shared" si="629"/>
        <v>22</v>
      </c>
      <c r="C1874">
        <f t="shared" ca="1" si="615"/>
        <v>19</v>
      </c>
      <c r="D1874" t="str">
        <f t="shared" si="630"/>
        <v>E22</v>
      </c>
      <c r="E1874" t="str">
        <f t="shared" ca="1" si="631"/>
        <v/>
      </c>
      <c r="F1874" t="str">
        <f t="shared" ca="1" si="632"/>
        <v xml:space="preserve">Enter a 'Employee Units' for  building 19 in cell E22.
</v>
      </c>
      <c r="G1874" s="9" t="str">
        <f t="shared" ca="1" si="613"/>
        <v xml:space="preserve">Enter a value for 'Number of Floors in the Tallest Building' in cell B60.
</v>
      </c>
      <c r="H1874" s="52" t="str">
        <f t="shared" ca="1" si="633"/>
        <v>Employee Units</v>
      </c>
      <c r="I1874" s="52">
        <v>5</v>
      </c>
    </row>
    <row r="1875" spans="1:10" ht="15" customHeight="1">
      <c r="A1875" t="str">
        <f t="shared" ca="1" si="628"/>
        <v/>
      </c>
      <c r="B1875">
        <f t="shared" si="629"/>
        <v>22</v>
      </c>
      <c r="C1875">
        <f t="shared" ca="1" si="615"/>
        <v>19</v>
      </c>
      <c r="D1875" t="str">
        <f t="shared" si="630"/>
        <v>F22</v>
      </c>
      <c r="E1875" t="str">
        <f t="shared" ca="1" si="631"/>
        <v/>
      </c>
      <c r="F1875" t="str">
        <f t="shared" ca="1" si="632"/>
        <v xml:space="preserve">Enter a 'Low-Income Units' for  building 19 in cell F22.
</v>
      </c>
      <c r="G1875" s="9" t="str">
        <f t="shared" ca="1" si="613"/>
        <v xml:space="preserve">Enter a value for 'Number of Floors in the Tallest Building' in cell B60.
</v>
      </c>
      <c r="H1875" s="52" t="str">
        <f t="shared" ca="1" si="633"/>
        <v>Low-Income Units</v>
      </c>
      <c r="I1875" s="52">
        <v>6</v>
      </c>
    </row>
    <row r="1876" spans="1:10" ht="15" customHeight="1">
      <c r="A1876" t="str">
        <f t="shared" ca="1" si="628"/>
        <v/>
      </c>
      <c r="B1876">
        <f t="shared" si="629"/>
        <v>22</v>
      </c>
      <c r="C1876">
        <f t="shared" ca="1" si="615"/>
        <v>19</v>
      </c>
      <c r="D1876" t="str">
        <f t="shared" si="630"/>
        <v>G22</v>
      </c>
      <c r="E1876" t="str">
        <f t="shared" ca="1" si="631"/>
        <v/>
      </c>
      <c r="F1876" t="str">
        <f t="shared" ca="1" si="632"/>
        <v xml:space="preserve">Enter a 'Residential Square Footage**' for  building 19 in cell G22.
</v>
      </c>
      <c r="G1876" s="9" t="str">
        <f t="shared" ca="1" si="613"/>
        <v xml:space="preserve">Enter a value for 'Number of Floors in the Tallest Building' in cell B60.
</v>
      </c>
      <c r="H1876" s="52" t="str">
        <f t="shared" ca="1" si="633"/>
        <v>Residential Square Footage**</v>
      </c>
      <c r="I1876" s="52">
        <v>7</v>
      </c>
    </row>
    <row r="1877" spans="1:10" ht="15" customHeight="1">
      <c r="A1877" t="str">
        <f t="shared" ca="1" si="628"/>
        <v/>
      </c>
      <c r="B1877">
        <f t="shared" si="629"/>
        <v>22</v>
      </c>
      <c r="C1877">
        <f t="shared" ca="1" si="615"/>
        <v>19</v>
      </c>
      <c r="D1877" t="str">
        <f t="shared" si="630"/>
        <v>H22</v>
      </c>
      <c r="E1877" t="str">
        <f t="shared" ca="1" si="631"/>
        <v/>
      </c>
      <c r="F1877" t="str">
        <f t="shared" ca="1" si="632"/>
        <v xml:space="preserve">Enter a 'Square Footage of Employee Units' for  building 19 in cell H22.
</v>
      </c>
      <c r="G1877" s="9" t="str">
        <f t="shared" ca="1" si="613"/>
        <v xml:space="preserve">Enter a value for 'Number of Floors in the Tallest Building' in cell B60.
</v>
      </c>
      <c r="H1877" s="52" t="str">
        <f t="shared" ca="1" si="633"/>
        <v>Square Footage of Employee Units</v>
      </c>
      <c r="I1877" s="52">
        <v>8</v>
      </c>
    </row>
    <row r="1878" spans="1:10" ht="15" customHeight="1">
      <c r="A1878" t="str">
        <f t="shared" ca="1" si="628"/>
        <v/>
      </c>
      <c r="B1878">
        <f t="shared" si="629"/>
        <v>22</v>
      </c>
      <c r="C1878">
        <f t="shared" ca="1" si="615"/>
        <v>19</v>
      </c>
      <c r="D1878" t="str">
        <f t="shared" si="630"/>
        <v>I22</v>
      </c>
      <c r="E1878" t="str">
        <f t="shared" ca="1" si="631"/>
        <v/>
      </c>
      <c r="F1878" t="str">
        <f t="shared" ca="1" si="632"/>
        <v xml:space="preserve">Enter a 'Square Footage of Low-Income Units' for  building 19 in cell I22.
</v>
      </c>
      <c r="G1878" s="9" t="str">
        <f t="shared" ca="1" si="613"/>
        <v xml:space="preserve">Enter a value for 'Number of Floors in the Tallest Building' in cell B60.
</v>
      </c>
      <c r="H1878" s="52" t="str">
        <f t="shared" ca="1" si="633"/>
        <v>Square Footage of Low-Income Units</v>
      </c>
      <c r="I1878" s="52">
        <v>9</v>
      </c>
    </row>
    <row r="1879" spans="1:10" ht="15" customHeight="1">
      <c r="A1879" t="str">
        <f t="shared" ca="1" si="628"/>
        <v/>
      </c>
      <c r="B1879">
        <f t="shared" si="629"/>
        <v>22</v>
      </c>
      <c r="C1879">
        <f t="shared" ca="1" si="615"/>
        <v>19</v>
      </c>
      <c r="D1879" t="str">
        <f t="shared" si="630"/>
        <v>J22</v>
      </c>
      <c r="E1879" t="str">
        <f t="shared" ca="1" si="631"/>
        <v/>
      </c>
      <c r="F1879" t="str">
        <f t="shared" ca="1" si="632"/>
        <v xml:space="preserve">Enter a 'Placed-In-Service Date' for  building 19 in cell J22.
</v>
      </c>
      <c r="G1879" s="9" t="str">
        <f t="shared" ca="1" si="613"/>
        <v xml:space="preserve">Enter a value for 'Number of Floors in the Tallest Building' in cell B60.
</v>
      </c>
      <c r="H1879" s="52" t="str">
        <f t="shared" ca="1" si="633"/>
        <v>Placed-In-Service Date</v>
      </c>
      <c r="I1879" s="52">
        <v>10</v>
      </c>
    </row>
    <row r="1880" spans="1:10" ht="15" customHeight="1">
      <c r="A1880" t="str">
        <f t="shared" ca="1" si="628"/>
        <v/>
      </c>
      <c r="B1880">
        <f t="shared" si="629"/>
        <v>22</v>
      </c>
      <c r="C1880">
        <f t="shared" ca="1" si="615"/>
        <v>19</v>
      </c>
      <c r="D1880" t="str">
        <f t="shared" si="630"/>
        <v>K22</v>
      </c>
      <c r="E1880" t="str">
        <f t="shared" ca="1" si="631"/>
        <v/>
      </c>
      <c r="F1880" t="str">
        <f t="shared" ca="1" si="632"/>
        <v xml:space="preserve">Enter a 'New Construction/ Rehab APR' for  building 19 in cell K22.
</v>
      </c>
      <c r="G1880" s="9" t="str">
        <f t="shared" ca="1" si="613"/>
        <v xml:space="preserve">Enter a value for 'Number of Floors in the Tallest Building' in cell B60.
</v>
      </c>
      <c r="H1880" s="52" t="str">
        <f t="shared" ca="1" si="633"/>
        <v>New Construction/ Rehab APR</v>
      </c>
      <c r="I1880" s="52">
        <v>11</v>
      </c>
    </row>
    <row r="1881" spans="1:10" ht="15" customHeight="1">
      <c r="A1881" t="str">
        <f t="shared" ca="1" si="628"/>
        <v/>
      </c>
      <c r="B1881">
        <f t="shared" si="629"/>
        <v>22</v>
      </c>
      <c r="C1881">
        <f t="shared" ca="1" si="615"/>
        <v>19</v>
      </c>
      <c r="D1881" t="str">
        <f t="shared" si="630"/>
        <v>L22</v>
      </c>
      <c r="E1881" t="str">
        <f t="shared" ca="1" si="631"/>
        <v/>
      </c>
      <c r="F1881" t="str">
        <f t="shared" ca="1" si="632"/>
        <v xml:space="preserve">Enter a 'New Construction Eligible Basis' for  building 19 in cell L22.
</v>
      </c>
      <c r="G1881" s="9" t="str">
        <f t="shared" ca="1" si="613"/>
        <v xml:space="preserve">Enter a value for 'Number of Floors in the Tallest Building' in cell B60.
</v>
      </c>
      <c r="H1881" s="52" t="str">
        <f t="shared" ca="1" si="633"/>
        <v>New Construction Eligible Basis</v>
      </c>
      <c r="I1881" s="52">
        <v>12</v>
      </c>
    </row>
    <row r="1882" spans="1:10" ht="15" customHeight="1">
      <c r="A1882" t="str">
        <f ca="1">IF(AND(OFFSET(A1882, -I1882 + 2, 4) &gt;  0, E1882="", Calculations!$B$7), F1882, "")</f>
        <v/>
      </c>
      <c r="B1882">
        <f t="shared" si="629"/>
        <v>22</v>
      </c>
      <c r="C1882">
        <f t="shared" ca="1" si="615"/>
        <v>19</v>
      </c>
      <c r="D1882" t="str">
        <f t="shared" si="630"/>
        <v>M22</v>
      </c>
      <c r="E1882" t="str">
        <f t="shared" ca="1" si="631"/>
        <v/>
      </c>
      <c r="F1882" t="str">
        <f t="shared" ca="1" si="632"/>
        <v xml:space="preserve">Enter a 'Eligible Basis for Rehab' for  building 19 in cell M22.
</v>
      </c>
      <c r="G1882" s="9" t="str">
        <f t="shared" ca="1" si="613"/>
        <v xml:space="preserve">Enter a value for 'Number of Floors in the Tallest Building' in cell B60.
</v>
      </c>
      <c r="H1882" s="52" t="str">
        <f t="shared" ca="1" si="633"/>
        <v>Eligible Basis for Rehab</v>
      </c>
      <c r="I1882" s="52">
        <v>13</v>
      </c>
    </row>
    <row r="1883" spans="1:10" ht="15" customHeight="1">
      <c r="A1883" t="str">
        <f ca="1">IF(AND(OFFSET(A1883, -I1883 + 2, 4) &gt;  0, E1883="", Calculations!$B$7), F1883, "")</f>
        <v/>
      </c>
      <c r="B1883">
        <f t="shared" si="629"/>
        <v>22</v>
      </c>
      <c r="C1883">
        <f t="shared" ca="1" si="615"/>
        <v>19</v>
      </c>
      <c r="D1883" t="str">
        <f t="shared" si="630"/>
        <v>N22</v>
      </c>
      <c r="E1883" t="str">
        <f t="shared" ca="1" si="631"/>
        <v/>
      </c>
      <c r="F1883" t="str">
        <f t="shared" ca="1" si="632"/>
        <v xml:space="preserve">Enter a 'Cost of Acquiring the Building***' for  building 19 in cell N22.
</v>
      </c>
      <c r="G1883" s="9" t="str">
        <f t="shared" ca="1" si="613"/>
        <v xml:space="preserve">Enter a value for 'Number of Floors in the Tallest Building' in cell B60.
</v>
      </c>
      <c r="H1883" s="52" t="str">
        <f t="shared" ca="1" si="633"/>
        <v>Cost of Acquiring the Building***</v>
      </c>
      <c r="I1883" s="52">
        <v>14</v>
      </c>
    </row>
    <row r="1884" spans="1:10" ht="15" customHeight="1">
      <c r="A1884" t="str">
        <f ca="1">IF(AND(OFFSET(A1884, -I1884 + 2, 4) &gt;  0, E1884="", Calculations!$B$7), F1884, "")</f>
        <v/>
      </c>
      <c r="B1884">
        <f t="shared" si="629"/>
        <v>22</v>
      </c>
      <c r="C1884">
        <f t="shared" ca="1" si="615"/>
        <v>19</v>
      </c>
      <c r="D1884" t="str">
        <f t="shared" si="630"/>
        <v>O22</v>
      </c>
      <c r="E1884" t="str">
        <f t="shared" ca="1" si="631"/>
        <v/>
      </c>
      <c r="F1884" t="str">
        <f t="shared" ca="1" si="632"/>
        <v xml:space="preserve">Enter a 'Higher of Land Purchase Price or Land Appraised Value****' for  building 19 in cell O22.
</v>
      </c>
      <c r="G1884" s="9" t="str">
        <f t="shared" ca="1" si="613"/>
        <v xml:space="preserve">Enter a value for 'Number of Floors in the Tallest Building' in cell B60.
</v>
      </c>
      <c r="H1884" s="52" t="str">
        <f t="shared" ca="1" si="633"/>
        <v>Higher of Land Purchase Price or Land Appraised Value****</v>
      </c>
      <c r="I1884" s="52">
        <v>15</v>
      </c>
    </row>
    <row r="1885" spans="1:10" ht="15" customHeight="1">
      <c r="A1885" t="str">
        <f ca="1">IF(AND(OFFSET(A1885, -I1885 + 2, 4) &gt;  0, E1885="", Calculations!$B$7), F1885, "")</f>
        <v/>
      </c>
      <c r="B1885">
        <f t="shared" si="629"/>
        <v>22</v>
      </c>
      <c r="C1885">
        <f t="shared" ca="1" si="615"/>
        <v>19</v>
      </c>
      <c r="D1885" t="str">
        <f t="shared" si="630"/>
        <v>P22</v>
      </c>
      <c r="E1885" t="str">
        <f t="shared" ca="1" si="631"/>
        <v/>
      </c>
      <c r="F1885" t="str">
        <f t="shared" ca="1" si="632"/>
        <v xml:space="preserve">Enter a 'Acquisition Placed-in-Service Date' for  building 19 in cell P22.
</v>
      </c>
      <c r="G1885" s="9" t="str">
        <f t="shared" ca="1" si="613"/>
        <v xml:space="preserve">Enter a value for 'Number of Floors in the Tallest Building' in cell B60.
</v>
      </c>
      <c r="H1885" s="52" t="str">
        <f t="shared" ca="1" si="633"/>
        <v>Acquisition Placed-in-Service Date</v>
      </c>
      <c r="I1885" s="52">
        <v>16</v>
      </c>
    </row>
    <row r="1886" spans="1:10" ht="15" customHeight="1">
      <c r="A1886" t="str">
        <f ca="1">IF(AND(OFFSET(A1886, -I1886 + 2, 4) &gt;  0, E1886="", Calculations!$B$7), F1886, "")</f>
        <v/>
      </c>
      <c r="B1886">
        <f t="shared" si="629"/>
        <v>22</v>
      </c>
      <c r="C1886">
        <f t="shared" ca="1" si="615"/>
        <v>19</v>
      </c>
      <c r="D1886" t="str">
        <f t="shared" si="630"/>
        <v>Q22</v>
      </c>
      <c r="E1886" t="str">
        <f t="shared" ca="1" si="631"/>
        <v/>
      </c>
      <c r="F1886" t="str">
        <f t="shared" ca="1" si="632"/>
        <v xml:space="preserve">Enter a 'Acquisition APR' for  building 19 in cell Q22.
</v>
      </c>
      <c r="G1886" s="9" t="str">
        <f t="shared" ca="1" si="613"/>
        <v xml:space="preserve">Enter a value for 'Number of Floors in the Tallest Building' in cell B60.
</v>
      </c>
      <c r="H1886" s="52" t="str">
        <f t="shared" ca="1" si="633"/>
        <v>Acquisition APR</v>
      </c>
      <c r="I1886" s="52">
        <v>17</v>
      </c>
    </row>
    <row r="1887" spans="1:10" ht="15" customHeight="1">
      <c r="A1887" t="str">
        <f ca="1">IF(AND(Calculations!$B$4,Calculations!$B$29&gt;=C1887, E1887 &lt;&gt; 13),F1887,"")</f>
        <v/>
      </c>
      <c r="B1887">
        <f>ROW('Final Building Profile'!C23)</f>
        <v>23</v>
      </c>
      <c r="C1887">
        <f t="shared" ca="1" si="615"/>
        <v>20</v>
      </c>
      <c r="D1887" t="str">
        <f>ADDRESS(B1887, 3,4  )</f>
        <v>C23</v>
      </c>
      <c r="E1887" s="52">
        <f ca="1">H1887+I1887</f>
        <v>0</v>
      </c>
      <c r="F1887" t="str">
        <f ca="1">CONCATENATE("Based upon the number of buildings specified, information for  building ", C1887, " required for a final application in row ", B1887, ".", CHAR(10))</f>
        <v xml:space="preserve">Based upon the number of buildings specified, information for  building 20 required for a final application in row 23.
</v>
      </c>
      <c r="G1887" s="9" t="str">
        <f t="shared" ca="1" si="613"/>
        <v xml:space="preserve">Enter a value for 'Number of Floors in the Tallest Building' in cell B60.
</v>
      </c>
      <c r="H1887" s="52">
        <f ca="1">SUMPRODUCT(--ISTEXT(INDIRECT(J1887)))</f>
        <v>0</v>
      </c>
      <c r="I1887" s="52">
        <f ca="1">SUMPRODUCT(--ISNUMBER(INDIRECT(J1887)))</f>
        <v>0</v>
      </c>
      <c r="J1887" s="52" t="str">
        <f>$F$1565&amp; ADDRESS(B1887,3,4) &amp; ":" &amp; ADDRESS(B1887,15,4)</f>
        <v>'Final Building Profile'!C23:O23</v>
      </c>
    </row>
    <row r="1888" spans="1:10" ht="15" customHeight="1">
      <c r="A1888" t="str">
        <f t="shared" ref="A1888:A1897" ca="1" si="634">IF(AND(OFFSET(A1888, -I1888 + 2, 4) &gt;  0, E1888=""), F1888, "")</f>
        <v/>
      </c>
      <c r="B1888">
        <f t="shared" ref="B1888:B1902" si="635">B1887</f>
        <v>23</v>
      </c>
      <c r="C1888">
        <f t="shared" ca="1" si="615"/>
        <v>20</v>
      </c>
      <c r="D1888" t="str">
        <f t="shared" ref="D1888:D1902" si="636">ADDRESS(B1888, I1888,4  )</f>
        <v>C23</v>
      </c>
      <c r="E1888" t="str">
        <f t="shared" ref="E1888:E1902" ca="1" si="637">IF(ISBLANK( INDIRECT($F$1565 &amp; D1888)),"", INDIRECT($F$1565 &amp; D1888))</f>
        <v/>
      </c>
      <c r="F1888" t="str">
        <f t="shared" ref="F1888:F1902" ca="1" si="638">CONCATENATE("Enter a '"&amp; H1888 &amp;"' for  building ", C1888, " in cell ", D1888, ".", CHAR(10))</f>
        <v xml:space="preserve">Enter a 'Building Street Address Only 
(DO NOT ENTER CITY, STATE, OR ZIP)' for  building 20 in cell C23.
</v>
      </c>
      <c r="G1888" s="9" t="str">
        <f t="shared" ref="G1888:G1951" ca="1" si="639">OFFSET(G1888, -1, 0) &amp; A1888</f>
        <v xml:space="preserve">Enter a value for 'Number of Floors in the Tallest Building' in cell B60.
</v>
      </c>
      <c r="H1888" s="52" t="str">
        <f t="shared" ref="H1888:H1902" ca="1" si="640">OFFSET(INDIRECT($F$1565 &amp; D1888), -B1888 + 3, 0)</f>
        <v>Building Street Address Only 
(DO NOT ENTER CITY, STATE, OR ZIP)</v>
      </c>
      <c r="I1888" s="52">
        <v>3</v>
      </c>
    </row>
    <row r="1889" spans="1:10" ht="15" customHeight="1">
      <c r="A1889" t="str">
        <f t="shared" ca="1" si="634"/>
        <v/>
      </c>
      <c r="B1889">
        <f t="shared" si="635"/>
        <v>23</v>
      </c>
      <c r="C1889">
        <f t="shared" ca="1" si="615"/>
        <v>20</v>
      </c>
      <c r="D1889" t="str">
        <f t="shared" si="636"/>
        <v>D23</v>
      </c>
      <c r="E1889" t="str">
        <f t="shared" ca="1" si="637"/>
        <v/>
      </c>
      <c r="F1889" t="str">
        <f t="shared" ca="1" si="638"/>
        <v xml:space="preserve">Enter a 'Total Units in Building*' for  building 20 in cell D23.
</v>
      </c>
      <c r="G1889" s="9" t="str">
        <f t="shared" ca="1" si="639"/>
        <v xml:space="preserve">Enter a value for 'Number of Floors in the Tallest Building' in cell B60.
</v>
      </c>
      <c r="H1889" s="52" t="str">
        <f t="shared" ca="1" si="640"/>
        <v>Total Units in Building*</v>
      </c>
      <c r="I1889" s="52">
        <v>4</v>
      </c>
    </row>
    <row r="1890" spans="1:10" ht="15" customHeight="1">
      <c r="A1890" t="str">
        <f t="shared" ca="1" si="634"/>
        <v/>
      </c>
      <c r="B1890">
        <f t="shared" si="635"/>
        <v>23</v>
      </c>
      <c r="C1890">
        <f t="shared" ca="1" si="615"/>
        <v>20</v>
      </c>
      <c r="D1890" t="str">
        <f t="shared" si="636"/>
        <v>E23</v>
      </c>
      <c r="E1890" t="str">
        <f t="shared" ca="1" si="637"/>
        <v/>
      </c>
      <c r="F1890" t="str">
        <f t="shared" ca="1" si="638"/>
        <v xml:space="preserve">Enter a 'Employee Units' for  building 20 in cell E23.
</v>
      </c>
      <c r="G1890" s="9" t="str">
        <f t="shared" ca="1" si="639"/>
        <v xml:space="preserve">Enter a value for 'Number of Floors in the Tallest Building' in cell B60.
</v>
      </c>
      <c r="H1890" s="52" t="str">
        <f t="shared" ca="1" si="640"/>
        <v>Employee Units</v>
      </c>
      <c r="I1890" s="52">
        <v>5</v>
      </c>
    </row>
    <row r="1891" spans="1:10" ht="15" customHeight="1">
      <c r="A1891" t="str">
        <f t="shared" ca="1" si="634"/>
        <v/>
      </c>
      <c r="B1891">
        <f t="shared" si="635"/>
        <v>23</v>
      </c>
      <c r="C1891">
        <f t="shared" ca="1" si="615"/>
        <v>20</v>
      </c>
      <c r="D1891" t="str">
        <f t="shared" si="636"/>
        <v>F23</v>
      </c>
      <c r="E1891" t="str">
        <f t="shared" ca="1" si="637"/>
        <v/>
      </c>
      <c r="F1891" t="str">
        <f t="shared" ca="1" si="638"/>
        <v xml:space="preserve">Enter a 'Low-Income Units' for  building 20 in cell F23.
</v>
      </c>
      <c r="G1891" s="9" t="str">
        <f t="shared" ca="1" si="639"/>
        <v xml:space="preserve">Enter a value for 'Number of Floors in the Tallest Building' in cell B60.
</v>
      </c>
      <c r="H1891" s="52" t="str">
        <f t="shared" ca="1" si="640"/>
        <v>Low-Income Units</v>
      </c>
      <c r="I1891" s="52">
        <v>6</v>
      </c>
    </row>
    <row r="1892" spans="1:10" ht="15" customHeight="1">
      <c r="A1892" t="str">
        <f t="shared" ca="1" si="634"/>
        <v/>
      </c>
      <c r="B1892">
        <f t="shared" si="635"/>
        <v>23</v>
      </c>
      <c r="C1892">
        <f t="shared" ca="1" si="615"/>
        <v>20</v>
      </c>
      <c r="D1892" t="str">
        <f t="shared" si="636"/>
        <v>G23</v>
      </c>
      <c r="E1892" t="str">
        <f t="shared" ca="1" si="637"/>
        <v/>
      </c>
      <c r="F1892" t="str">
        <f t="shared" ca="1" si="638"/>
        <v xml:space="preserve">Enter a 'Residential Square Footage**' for  building 20 in cell G23.
</v>
      </c>
      <c r="G1892" s="9" t="str">
        <f t="shared" ca="1" si="639"/>
        <v xml:space="preserve">Enter a value for 'Number of Floors in the Tallest Building' in cell B60.
</v>
      </c>
      <c r="H1892" s="52" t="str">
        <f t="shared" ca="1" si="640"/>
        <v>Residential Square Footage**</v>
      </c>
      <c r="I1892" s="52">
        <v>7</v>
      </c>
    </row>
    <row r="1893" spans="1:10" ht="15" customHeight="1">
      <c r="A1893" t="str">
        <f t="shared" ca="1" si="634"/>
        <v/>
      </c>
      <c r="B1893">
        <f t="shared" si="635"/>
        <v>23</v>
      </c>
      <c r="C1893">
        <f t="shared" ca="1" si="615"/>
        <v>20</v>
      </c>
      <c r="D1893" t="str">
        <f t="shared" si="636"/>
        <v>H23</v>
      </c>
      <c r="E1893" t="str">
        <f t="shared" ca="1" si="637"/>
        <v/>
      </c>
      <c r="F1893" t="str">
        <f t="shared" ca="1" si="638"/>
        <v xml:space="preserve">Enter a 'Square Footage of Employee Units' for  building 20 in cell H23.
</v>
      </c>
      <c r="G1893" s="9" t="str">
        <f t="shared" ca="1" si="639"/>
        <v xml:space="preserve">Enter a value for 'Number of Floors in the Tallest Building' in cell B60.
</v>
      </c>
      <c r="H1893" s="52" t="str">
        <f t="shared" ca="1" si="640"/>
        <v>Square Footage of Employee Units</v>
      </c>
      <c r="I1893" s="52">
        <v>8</v>
      </c>
    </row>
    <row r="1894" spans="1:10" ht="15" customHeight="1">
      <c r="A1894" t="str">
        <f t="shared" ca="1" si="634"/>
        <v/>
      </c>
      <c r="B1894">
        <f t="shared" si="635"/>
        <v>23</v>
      </c>
      <c r="C1894">
        <f t="shared" ca="1" si="615"/>
        <v>20</v>
      </c>
      <c r="D1894" t="str">
        <f t="shared" si="636"/>
        <v>I23</v>
      </c>
      <c r="E1894" t="str">
        <f t="shared" ca="1" si="637"/>
        <v/>
      </c>
      <c r="F1894" t="str">
        <f t="shared" ca="1" si="638"/>
        <v xml:space="preserve">Enter a 'Square Footage of Low-Income Units' for  building 20 in cell I23.
</v>
      </c>
      <c r="G1894" s="9" t="str">
        <f t="shared" ca="1" si="639"/>
        <v xml:space="preserve">Enter a value for 'Number of Floors in the Tallest Building' in cell B60.
</v>
      </c>
      <c r="H1894" s="52" t="str">
        <f t="shared" ca="1" si="640"/>
        <v>Square Footage of Low-Income Units</v>
      </c>
      <c r="I1894" s="52">
        <v>9</v>
      </c>
    </row>
    <row r="1895" spans="1:10" ht="15" customHeight="1">
      <c r="A1895" t="str">
        <f t="shared" ca="1" si="634"/>
        <v/>
      </c>
      <c r="B1895">
        <f t="shared" si="635"/>
        <v>23</v>
      </c>
      <c r="C1895">
        <f t="shared" ca="1" si="615"/>
        <v>20</v>
      </c>
      <c r="D1895" t="str">
        <f t="shared" si="636"/>
        <v>J23</v>
      </c>
      <c r="E1895" t="str">
        <f t="shared" ca="1" si="637"/>
        <v/>
      </c>
      <c r="F1895" t="str">
        <f t="shared" ca="1" si="638"/>
        <v xml:space="preserve">Enter a 'Placed-In-Service Date' for  building 20 in cell J23.
</v>
      </c>
      <c r="G1895" s="9" t="str">
        <f t="shared" ca="1" si="639"/>
        <v xml:space="preserve">Enter a value for 'Number of Floors in the Tallest Building' in cell B60.
</v>
      </c>
      <c r="H1895" s="52" t="str">
        <f t="shared" ca="1" si="640"/>
        <v>Placed-In-Service Date</v>
      </c>
      <c r="I1895" s="52">
        <v>10</v>
      </c>
    </row>
    <row r="1896" spans="1:10" ht="15" customHeight="1">
      <c r="A1896" t="str">
        <f t="shared" ca="1" si="634"/>
        <v/>
      </c>
      <c r="B1896">
        <f t="shared" si="635"/>
        <v>23</v>
      </c>
      <c r="C1896">
        <f t="shared" ca="1" si="615"/>
        <v>20</v>
      </c>
      <c r="D1896" t="str">
        <f t="shared" si="636"/>
        <v>K23</v>
      </c>
      <c r="E1896" t="str">
        <f t="shared" ca="1" si="637"/>
        <v/>
      </c>
      <c r="F1896" t="str">
        <f t="shared" ca="1" si="638"/>
        <v xml:space="preserve">Enter a 'New Construction/ Rehab APR' for  building 20 in cell K23.
</v>
      </c>
      <c r="G1896" s="9" t="str">
        <f t="shared" ca="1" si="639"/>
        <v xml:space="preserve">Enter a value for 'Number of Floors in the Tallest Building' in cell B60.
</v>
      </c>
      <c r="H1896" s="52" t="str">
        <f t="shared" ca="1" si="640"/>
        <v>New Construction/ Rehab APR</v>
      </c>
      <c r="I1896" s="52">
        <v>11</v>
      </c>
    </row>
    <row r="1897" spans="1:10" ht="15" customHeight="1">
      <c r="A1897" t="str">
        <f t="shared" ca="1" si="634"/>
        <v/>
      </c>
      <c r="B1897">
        <f t="shared" si="635"/>
        <v>23</v>
      </c>
      <c r="C1897">
        <f t="shared" ca="1" si="615"/>
        <v>20</v>
      </c>
      <c r="D1897" t="str">
        <f t="shared" si="636"/>
        <v>L23</v>
      </c>
      <c r="E1897" t="str">
        <f t="shared" ca="1" si="637"/>
        <v/>
      </c>
      <c r="F1897" t="str">
        <f t="shared" ca="1" si="638"/>
        <v xml:space="preserve">Enter a 'New Construction Eligible Basis' for  building 20 in cell L23.
</v>
      </c>
      <c r="G1897" s="9" t="str">
        <f t="shared" ca="1" si="639"/>
        <v xml:space="preserve">Enter a value for 'Number of Floors in the Tallest Building' in cell B60.
</v>
      </c>
      <c r="H1897" s="52" t="str">
        <f t="shared" ca="1" si="640"/>
        <v>New Construction Eligible Basis</v>
      </c>
      <c r="I1897" s="52">
        <v>12</v>
      </c>
    </row>
    <row r="1898" spans="1:10" ht="15" customHeight="1">
      <c r="A1898" t="str">
        <f ca="1">IF(AND(OFFSET(A1898, -I1898 + 2, 4) &gt;  0, E1898="", Calculations!$B$7), F1898, "")</f>
        <v/>
      </c>
      <c r="B1898">
        <f t="shared" si="635"/>
        <v>23</v>
      </c>
      <c r="C1898">
        <f t="shared" ca="1" si="615"/>
        <v>20</v>
      </c>
      <c r="D1898" t="str">
        <f t="shared" si="636"/>
        <v>M23</v>
      </c>
      <c r="E1898" t="str">
        <f t="shared" ca="1" si="637"/>
        <v/>
      </c>
      <c r="F1898" t="str">
        <f t="shared" ca="1" si="638"/>
        <v xml:space="preserve">Enter a 'Eligible Basis for Rehab' for  building 20 in cell M23.
</v>
      </c>
      <c r="G1898" s="9" t="str">
        <f t="shared" ca="1" si="639"/>
        <v xml:space="preserve">Enter a value for 'Number of Floors in the Tallest Building' in cell B60.
</v>
      </c>
      <c r="H1898" s="52" t="str">
        <f t="shared" ca="1" si="640"/>
        <v>Eligible Basis for Rehab</v>
      </c>
      <c r="I1898" s="52">
        <v>13</v>
      </c>
    </row>
    <row r="1899" spans="1:10" ht="15" customHeight="1">
      <c r="A1899" t="str">
        <f ca="1">IF(AND(OFFSET(A1899, -I1899 + 2, 4) &gt;  0, E1899="", Calculations!$B$7), F1899, "")</f>
        <v/>
      </c>
      <c r="B1899">
        <f t="shared" si="635"/>
        <v>23</v>
      </c>
      <c r="C1899">
        <f t="shared" ca="1" si="615"/>
        <v>20</v>
      </c>
      <c r="D1899" t="str">
        <f t="shared" si="636"/>
        <v>N23</v>
      </c>
      <c r="E1899" t="str">
        <f t="shared" ca="1" si="637"/>
        <v/>
      </c>
      <c r="F1899" t="str">
        <f t="shared" ca="1" si="638"/>
        <v xml:space="preserve">Enter a 'Cost of Acquiring the Building***' for  building 20 in cell N23.
</v>
      </c>
      <c r="G1899" s="9" t="str">
        <f t="shared" ca="1" si="639"/>
        <v xml:space="preserve">Enter a value for 'Number of Floors in the Tallest Building' in cell B60.
</v>
      </c>
      <c r="H1899" s="52" t="str">
        <f t="shared" ca="1" si="640"/>
        <v>Cost of Acquiring the Building***</v>
      </c>
      <c r="I1899" s="52">
        <v>14</v>
      </c>
    </row>
    <row r="1900" spans="1:10" ht="15" customHeight="1">
      <c r="A1900" t="str">
        <f ca="1">IF(AND(OFFSET(A1900, -I1900 + 2, 4) &gt;  0, E1900="", Calculations!$B$7), F1900, "")</f>
        <v/>
      </c>
      <c r="B1900">
        <f t="shared" si="635"/>
        <v>23</v>
      </c>
      <c r="C1900">
        <f t="shared" ca="1" si="615"/>
        <v>20</v>
      </c>
      <c r="D1900" t="str">
        <f t="shared" si="636"/>
        <v>O23</v>
      </c>
      <c r="E1900" t="str">
        <f t="shared" ca="1" si="637"/>
        <v/>
      </c>
      <c r="F1900" t="str">
        <f t="shared" ca="1" si="638"/>
        <v xml:space="preserve">Enter a 'Higher of Land Purchase Price or Land Appraised Value****' for  building 20 in cell O23.
</v>
      </c>
      <c r="G1900" s="9" t="str">
        <f t="shared" ca="1" si="639"/>
        <v xml:space="preserve">Enter a value for 'Number of Floors in the Tallest Building' in cell B60.
</v>
      </c>
      <c r="H1900" s="52" t="str">
        <f t="shared" ca="1" si="640"/>
        <v>Higher of Land Purchase Price or Land Appraised Value****</v>
      </c>
      <c r="I1900" s="52">
        <v>15</v>
      </c>
    </row>
    <row r="1901" spans="1:10" ht="15" customHeight="1">
      <c r="A1901" t="str">
        <f ca="1">IF(AND(OFFSET(A1901, -I1901 + 2, 4) &gt;  0, E1901="", Calculations!$B$7), F1901, "")</f>
        <v/>
      </c>
      <c r="B1901">
        <f t="shared" si="635"/>
        <v>23</v>
      </c>
      <c r="C1901">
        <f t="shared" ca="1" si="615"/>
        <v>20</v>
      </c>
      <c r="D1901" t="str">
        <f t="shared" si="636"/>
        <v>P23</v>
      </c>
      <c r="E1901" t="str">
        <f t="shared" ca="1" si="637"/>
        <v/>
      </c>
      <c r="F1901" t="str">
        <f t="shared" ca="1" si="638"/>
        <v xml:space="preserve">Enter a 'Acquisition Placed-in-Service Date' for  building 20 in cell P23.
</v>
      </c>
      <c r="G1901" s="9" t="str">
        <f t="shared" ca="1" si="639"/>
        <v xml:space="preserve">Enter a value for 'Number of Floors in the Tallest Building' in cell B60.
</v>
      </c>
      <c r="H1901" s="52" t="str">
        <f t="shared" ca="1" si="640"/>
        <v>Acquisition Placed-in-Service Date</v>
      </c>
      <c r="I1901" s="52">
        <v>16</v>
      </c>
    </row>
    <row r="1902" spans="1:10" ht="15" customHeight="1">
      <c r="A1902" t="str">
        <f ca="1">IF(AND(OFFSET(A1902, -I1902 + 2, 4) &gt;  0, E1902="", Calculations!$B$7), F1902, "")</f>
        <v/>
      </c>
      <c r="B1902">
        <f t="shared" si="635"/>
        <v>23</v>
      </c>
      <c r="C1902">
        <f t="shared" ca="1" si="615"/>
        <v>20</v>
      </c>
      <c r="D1902" t="str">
        <f t="shared" si="636"/>
        <v>Q23</v>
      </c>
      <c r="E1902" t="str">
        <f t="shared" ca="1" si="637"/>
        <v/>
      </c>
      <c r="F1902" t="str">
        <f t="shared" ca="1" si="638"/>
        <v xml:space="preserve">Enter a 'Acquisition APR' for  building 20 in cell Q23.
</v>
      </c>
      <c r="G1902" s="9" t="str">
        <f t="shared" ca="1" si="639"/>
        <v xml:space="preserve">Enter a value for 'Number of Floors in the Tallest Building' in cell B60.
</v>
      </c>
      <c r="H1902" s="52" t="str">
        <f t="shared" ca="1" si="640"/>
        <v>Acquisition APR</v>
      </c>
      <c r="I1902" s="52">
        <v>17</v>
      </c>
    </row>
    <row r="1903" spans="1:10" ht="15" customHeight="1">
      <c r="A1903" t="str">
        <f ca="1">IF(AND(Calculations!$B$4,Calculations!$B$29&gt;=C1903, E1903 &lt;&gt; 13),F1903,"")</f>
        <v/>
      </c>
      <c r="B1903">
        <f>ROW('Final Building Profile'!C24)</f>
        <v>24</v>
      </c>
      <c r="C1903">
        <f t="shared" ref="C1903:C1966" ca="1" si="641">INDIRECT($F$1565 &amp; ADDRESS(B1903, 1,4  ))</f>
        <v>21</v>
      </c>
      <c r="D1903" t="str">
        <f>ADDRESS(B1903, 3,4  )</f>
        <v>C24</v>
      </c>
      <c r="E1903" s="52">
        <f ca="1">H1903+I1903</f>
        <v>0</v>
      </c>
      <c r="F1903" t="str">
        <f ca="1">CONCATENATE("Based upon the number of buildings specified, information for  building ", C1903, " required for a final application in row ", B1903, ".", CHAR(10))</f>
        <v xml:space="preserve">Based upon the number of buildings specified, information for  building 21 required for a final application in row 24.
</v>
      </c>
      <c r="G1903" s="9" t="str">
        <f t="shared" ca="1" si="639"/>
        <v xml:space="preserve">Enter a value for 'Number of Floors in the Tallest Building' in cell B60.
</v>
      </c>
      <c r="H1903" s="52">
        <f ca="1">SUMPRODUCT(--ISTEXT(INDIRECT(J1903)))</f>
        <v>0</v>
      </c>
      <c r="I1903" s="52">
        <f ca="1">SUMPRODUCT(--ISNUMBER(INDIRECT(J1903)))</f>
        <v>0</v>
      </c>
      <c r="J1903" s="52" t="str">
        <f>$F$1565&amp; ADDRESS(B1903,3,4) &amp; ":" &amp; ADDRESS(B1903,15,4)</f>
        <v>'Final Building Profile'!C24:O24</v>
      </c>
    </row>
    <row r="1904" spans="1:10" ht="15" customHeight="1">
      <c r="A1904" t="str">
        <f t="shared" ref="A1904:A1913" ca="1" si="642">IF(AND(OFFSET(A1904, -I1904 + 2, 4) &gt;  0, E1904=""), F1904, "")</f>
        <v/>
      </c>
      <c r="B1904">
        <f t="shared" ref="B1904:B1918" si="643">B1903</f>
        <v>24</v>
      </c>
      <c r="C1904">
        <f t="shared" ca="1" si="641"/>
        <v>21</v>
      </c>
      <c r="D1904" t="str">
        <f t="shared" ref="D1904:D1918" si="644">ADDRESS(B1904, I1904,4  )</f>
        <v>C24</v>
      </c>
      <c r="E1904" t="str">
        <f t="shared" ref="E1904:E1918" ca="1" si="645">IF(ISBLANK( INDIRECT($F$1565 &amp; D1904)),"", INDIRECT($F$1565 &amp; D1904))</f>
        <v/>
      </c>
      <c r="F1904" t="str">
        <f t="shared" ref="F1904:F1918" ca="1" si="646">CONCATENATE("Enter a '"&amp; H1904 &amp;"' for  building ", C1904, " in cell ", D1904, ".", CHAR(10))</f>
        <v xml:space="preserve">Enter a 'Building Street Address Only 
(DO NOT ENTER CITY, STATE, OR ZIP)' for  building 21 in cell C24.
</v>
      </c>
      <c r="G1904" s="9" t="str">
        <f t="shared" ca="1" si="639"/>
        <v xml:space="preserve">Enter a value for 'Number of Floors in the Tallest Building' in cell B60.
</v>
      </c>
      <c r="H1904" s="52" t="str">
        <f t="shared" ref="H1904:H1918" ca="1" si="647">OFFSET(INDIRECT($F$1565 &amp; D1904), -B1904 + 3, 0)</f>
        <v>Building Street Address Only 
(DO NOT ENTER CITY, STATE, OR ZIP)</v>
      </c>
      <c r="I1904" s="52">
        <v>3</v>
      </c>
    </row>
    <row r="1905" spans="1:10" ht="15" customHeight="1">
      <c r="A1905" t="str">
        <f t="shared" ca="1" si="642"/>
        <v/>
      </c>
      <c r="B1905">
        <f t="shared" si="643"/>
        <v>24</v>
      </c>
      <c r="C1905">
        <f t="shared" ca="1" si="641"/>
        <v>21</v>
      </c>
      <c r="D1905" t="str">
        <f t="shared" si="644"/>
        <v>D24</v>
      </c>
      <c r="E1905" t="str">
        <f t="shared" ca="1" si="645"/>
        <v/>
      </c>
      <c r="F1905" t="str">
        <f t="shared" ca="1" si="646"/>
        <v xml:space="preserve">Enter a 'Total Units in Building*' for  building 21 in cell D24.
</v>
      </c>
      <c r="G1905" s="9" t="str">
        <f t="shared" ca="1" si="639"/>
        <v xml:space="preserve">Enter a value for 'Number of Floors in the Tallest Building' in cell B60.
</v>
      </c>
      <c r="H1905" s="52" t="str">
        <f t="shared" ca="1" si="647"/>
        <v>Total Units in Building*</v>
      </c>
      <c r="I1905" s="52">
        <v>4</v>
      </c>
    </row>
    <row r="1906" spans="1:10" ht="15" customHeight="1">
      <c r="A1906" t="str">
        <f t="shared" ca="1" si="642"/>
        <v/>
      </c>
      <c r="B1906">
        <f t="shared" si="643"/>
        <v>24</v>
      </c>
      <c r="C1906">
        <f t="shared" ca="1" si="641"/>
        <v>21</v>
      </c>
      <c r="D1906" t="str">
        <f t="shared" si="644"/>
        <v>E24</v>
      </c>
      <c r="E1906" t="str">
        <f t="shared" ca="1" si="645"/>
        <v/>
      </c>
      <c r="F1906" t="str">
        <f t="shared" ca="1" si="646"/>
        <v xml:space="preserve">Enter a 'Employee Units' for  building 21 in cell E24.
</v>
      </c>
      <c r="G1906" s="9" t="str">
        <f t="shared" ca="1" si="639"/>
        <v xml:space="preserve">Enter a value for 'Number of Floors in the Tallest Building' in cell B60.
</v>
      </c>
      <c r="H1906" s="52" t="str">
        <f t="shared" ca="1" si="647"/>
        <v>Employee Units</v>
      </c>
      <c r="I1906" s="52">
        <v>5</v>
      </c>
    </row>
    <row r="1907" spans="1:10" ht="15" customHeight="1">
      <c r="A1907" t="str">
        <f t="shared" ca="1" si="642"/>
        <v/>
      </c>
      <c r="B1907">
        <f t="shared" si="643"/>
        <v>24</v>
      </c>
      <c r="C1907">
        <f t="shared" ca="1" si="641"/>
        <v>21</v>
      </c>
      <c r="D1907" t="str">
        <f t="shared" si="644"/>
        <v>F24</v>
      </c>
      <c r="E1907" t="str">
        <f t="shared" ca="1" si="645"/>
        <v/>
      </c>
      <c r="F1907" t="str">
        <f t="shared" ca="1" si="646"/>
        <v xml:space="preserve">Enter a 'Low-Income Units' for  building 21 in cell F24.
</v>
      </c>
      <c r="G1907" s="9" t="str">
        <f t="shared" ca="1" si="639"/>
        <v xml:space="preserve">Enter a value for 'Number of Floors in the Tallest Building' in cell B60.
</v>
      </c>
      <c r="H1907" s="52" t="str">
        <f t="shared" ca="1" si="647"/>
        <v>Low-Income Units</v>
      </c>
      <c r="I1907" s="52">
        <v>6</v>
      </c>
    </row>
    <row r="1908" spans="1:10" ht="15" customHeight="1">
      <c r="A1908" t="str">
        <f t="shared" ca="1" si="642"/>
        <v/>
      </c>
      <c r="B1908">
        <f t="shared" si="643"/>
        <v>24</v>
      </c>
      <c r="C1908">
        <f t="shared" ca="1" si="641"/>
        <v>21</v>
      </c>
      <c r="D1908" t="str">
        <f t="shared" si="644"/>
        <v>G24</v>
      </c>
      <c r="E1908" t="str">
        <f t="shared" ca="1" si="645"/>
        <v/>
      </c>
      <c r="F1908" t="str">
        <f t="shared" ca="1" si="646"/>
        <v xml:space="preserve">Enter a 'Residential Square Footage**' for  building 21 in cell G24.
</v>
      </c>
      <c r="G1908" s="9" t="str">
        <f t="shared" ca="1" si="639"/>
        <v xml:space="preserve">Enter a value for 'Number of Floors in the Tallest Building' in cell B60.
</v>
      </c>
      <c r="H1908" s="52" t="str">
        <f t="shared" ca="1" si="647"/>
        <v>Residential Square Footage**</v>
      </c>
      <c r="I1908" s="52">
        <v>7</v>
      </c>
    </row>
    <row r="1909" spans="1:10" ht="15" customHeight="1">
      <c r="A1909" t="str">
        <f t="shared" ca="1" si="642"/>
        <v/>
      </c>
      <c r="B1909">
        <f t="shared" si="643"/>
        <v>24</v>
      </c>
      <c r="C1909">
        <f t="shared" ca="1" si="641"/>
        <v>21</v>
      </c>
      <c r="D1909" t="str">
        <f t="shared" si="644"/>
        <v>H24</v>
      </c>
      <c r="E1909" t="str">
        <f t="shared" ca="1" si="645"/>
        <v/>
      </c>
      <c r="F1909" t="str">
        <f t="shared" ca="1" si="646"/>
        <v xml:space="preserve">Enter a 'Square Footage of Employee Units' for  building 21 in cell H24.
</v>
      </c>
      <c r="G1909" s="9" t="str">
        <f t="shared" ca="1" si="639"/>
        <v xml:space="preserve">Enter a value for 'Number of Floors in the Tallest Building' in cell B60.
</v>
      </c>
      <c r="H1909" s="52" t="str">
        <f t="shared" ca="1" si="647"/>
        <v>Square Footage of Employee Units</v>
      </c>
      <c r="I1909" s="52">
        <v>8</v>
      </c>
    </row>
    <row r="1910" spans="1:10" ht="15" customHeight="1">
      <c r="A1910" t="str">
        <f t="shared" ca="1" si="642"/>
        <v/>
      </c>
      <c r="B1910">
        <f t="shared" si="643"/>
        <v>24</v>
      </c>
      <c r="C1910">
        <f t="shared" ca="1" si="641"/>
        <v>21</v>
      </c>
      <c r="D1910" t="str">
        <f t="shared" si="644"/>
        <v>I24</v>
      </c>
      <c r="E1910" t="str">
        <f t="shared" ca="1" si="645"/>
        <v/>
      </c>
      <c r="F1910" t="str">
        <f t="shared" ca="1" si="646"/>
        <v xml:space="preserve">Enter a 'Square Footage of Low-Income Units' for  building 21 in cell I24.
</v>
      </c>
      <c r="G1910" s="9" t="str">
        <f t="shared" ca="1" si="639"/>
        <v xml:space="preserve">Enter a value for 'Number of Floors in the Tallest Building' in cell B60.
</v>
      </c>
      <c r="H1910" s="52" t="str">
        <f t="shared" ca="1" si="647"/>
        <v>Square Footage of Low-Income Units</v>
      </c>
      <c r="I1910" s="52">
        <v>9</v>
      </c>
    </row>
    <row r="1911" spans="1:10" ht="15" customHeight="1">
      <c r="A1911" t="str">
        <f t="shared" ca="1" si="642"/>
        <v/>
      </c>
      <c r="B1911">
        <f t="shared" si="643"/>
        <v>24</v>
      </c>
      <c r="C1911">
        <f t="shared" ca="1" si="641"/>
        <v>21</v>
      </c>
      <c r="D1911" t="str">
        <f t="shared" si="644"/>
        <v>J24</v>
      </c>
      <c r="E1911" t="str">
        <f t="shared" ca="1" si="645"/>
        <v/>
      </c>
      <c r="F1911" t="str">
        <f t="shared" ca="1" si="646"/>
        <v xml:space="preserve">Enter a 'Placed-In-Service Date' for  building 21 in cell J24.
</v>
      </c>
      <c r="G1911" s="9" t="str">
        <f t="shared" ca="1" si="639"/>
        <v xml:space="preserve">Enter a value for 'Number of Floors in the Tallest Building' in cell B60.
</v>
      </c>
      <c r="H1911" s="52" t="str">
        <f t="shared" ca="1" si="647"/>
        <v>Placed-In-Service Date</v>
      </c>
      <c r="I1911" s="52">
        <v>10</v>
      </c>
    </row>
    <row r="1912" spans="1:10" ht="15" customHeight="1">
      <c r="A1912" t="str">
        <f t="shared" ca="1" si="642"/>
        <v/>
      </c>
      <c r="B1912">
        <f t="shared" si="643"/>
        <v>24</v>
      </c>
      <c r="C1912">
        <f t="shared" ca="1" si="641"/>
        <v>21</v>
      </c>
      <c r="D1912" t="str">
        <f t="shared" si="644"/>
        <v>K24</v>
      </c>
      <c r="E1912" t="str">
        <f t="shared" ca="1" si="645"/>
        <v/>
      </c>
      <c r="F1912" t="str">
        <f t="shared" ca="1" si="646"/>
        <v xml:space="preserve">Enter a 'New Construction/ Rehab APR' for  building 21 in cell K24.
</v>
      </c>
      <c r="G1912" s="9" t="str">
        <f t="shared" ca="1" si="639"/>
        <v xml:space="preserve">Enter a value for 'Number of Floors in the Tallest Building' in cell B60.
</v>
      </c>
      <c r="H1912" s="52" t="str">
        <f t="shared" ca="1" si="647"/>
        <v>New Construction/ Rehab APR</v>
      </c>
      <c r="I1912" s="52">
        <v>11</v>
      </c>
    </row>
    <row r="1913" spans="1:10" ht="15" customHeight="1">
      <c r="A1913" t="str">
        <f t="shared" ca="1" si="642"/>
        <v/>
      </c>
      <c r="B1913">
        <f t="shared" si="643"/>
        <v>24</v>
      </c>
      <c r="C1913">
        <f t="shared" ca="1" si="641"/>
        <v>21</v>
      </c>
      <c r="D1913" t="str">
        <f t="shared" si="644"/>
        <v>L24</v>
      </c>
      <c r="E1913" t="str">
        <f t="shared" ca="1" si="645"/>
        <v/>
      </c>
      <c r="F1913" t="str">
        <f t="shared" ca="1" si="646"/>
        <v xml:space="preserve">Enter a 'New Construction Eligible Basis' for  building 21 in cell L24.
</v>
      </c>
      <c r="G1913" s="9" t="str">
        <f t="shared" ca="1" si="639"/>
        <v xml:space="preserve">Enter a value for 'Number of Floors in the Tallest Building' in cell B60.
</v>
      </c>
      <c r="H1913" s="52" t="str">
        <f t="shared" ca="1" si="647"/>
        <v>New Construction Eligible Basis</v>
      </c>
      <c r="I1913" s="52">
        <v>12</v>
      </c>
    </row>
    <row r="1914" spans="1:10" ht="15" customHeight="1">
      <c r="A1914" t="str">
        <f ca="1">IF(AND(OFFSET(A1914, -I1914 + 2, 4) &gt;  0, E1914="", Calculations!$B$7), F1914, "")</f>
        <v/>
      </c>
      <c r="B1914">
        <f t="shared" si="643"/>
        <v>24</v>
      </c>
      <c r="C1914">
        <f t="shared" ca="1" si="641"/>
        <v>21</v>
      </c>
      <c r="D1914" t="str">
        <f t="shared" si="644"/>
        <v>M24</v>
      </c>
      <c r="E1914" t="str">
        <f t="shared" ca="1" si="645"/>
        <v/>
      </c>
      <c r="F1914" t="str">
        <f t="shared" ca="1" si="646"/>
        <v xml:space="preserve">Enter a 'Eligible Basis for Rehab' for  building 21 in cell M24.
</v>
      </c>
      <c r="G1914" s="9" t="str">
        <f t="shared" ca="1" si="639"/>
        <v xml:space="preserve">Enter a value for 'Number of Floors in the Tallest Building' in cell B60.
</v>
      </c>
      <c r="H1914" s="52" t="str">
        <f t="shared" ca="1" si="647"/>
        <v>Eligible Basis for Rehab</v>
      </c>
      <c r="I1914" s="52">
        <v>13</v>
      </c>
    </row>
    <row r="1915" spans="1:10" ht="15" customHeight="1">
      <c r="A1915" t="str">
        <f ca="1">IF(AND(OFFSET(A1915, -I1915 + 2, 4) &gt;  0, E1915="", Calculations!$B$7), F1915, "")</f>
        <v/>
      </c>
      <c r="B1915">
        <f t="shared" si="643"/>
        <v>24</v>
      </c>
      <c r="C1915">
        <f t="shared" ca="1" si="641"/>
        <v>21</v>
      </c>
      <c r="D1915" t="str">
        <f t="shared" si="644"/>
        <v>N24</v>
      </c>
      <c r="E1915" t="str">
        <f t="shared" ca="1" si="645"/>
        <v/>
      </c>
      <c r="F1915" t="str">
        <f t="shared" ca="1" si="646"/>
        <v xml:space="preserve">Enter a 'Cost of Acquiring the Building***' for  building 21 in cell N24.
</v>
      </c>
      <c r="G1915" s="9" t="str">
        <f t="shared" ca="1" si="639"/>
        <v xml:space="preserve">Enter a value for 'Number of Floors in the Tallest Building' in cell B60.
</v>
      </c>
      <c r="H1915" s="52" t="str">
        <f t="shared" ca="1" si="647"/>
        <v>Cost of Acquiring the Building***</v>
      </c>
      <c r="I1915" s="52">
        <v>14</v>
      </c>
    </row>
    <row r="1916" spans="1:10" ht="15" customHeight="1">
      <c r="A1916" t="str">
        <f ca="1">IF(AND(OFFSET(A1916, -I1916 + 2, 4) &gt;  0, E1916="", Calculations!$B$7), F1916, "")</f>
        <v/>
      </c>
      <c r="B1916">
        <f t="shared" si="643"/>
        <v>24</v>
      </c>
      <c r="C1916">
        <f t="shared" ca="1" si="641"/>
        <v>21</v>
      </c>
      <c r="D1916" t="str">
        <f t="shared" si="644"/>
        <v>O24</v>
      </c>
      <c r="E1916" t="str">
        <f t="shared" ca="1" si="645"/>
        <v/>
      </c>
      <c r="F1916" t="str">
        <f t="shared" ca="1" si="646"/>
        <v xml:space="preserve">Enter a 'Higher of Land Purchase Price or Land Appraised Value****' for  building 21 in cell O24.
</v>
      </c>
      <c r="G1916" s="9" t="str">
        <f t="shared" ca="1" si="639"/>
        <v xml:space="preserve">Enter a value for 'Number of Floors in the Tallest Building' in cell B60.
</v>
      </c>
      <c r="H1916" s="52" t="str">
        <f t="shared" ca="1" si="647"/>
        <v>Higher of Land Purchase Price or Land Appraised Value****</v>
      </c>
      <c r="I1916" s="52">
        <v>15</v>
      </c>
    </row>
    <row r="1917" spans="1:10" ht="15" customHeight="1">
      <c r="A1917" t="str">
        <f ca="1">IF(AND(OFFSET(A1917, -I1917 + 2, 4) &gt;  0, E1917="", Calculations!$B$7), F1917, "")</f>
        <v/>
      </c>
      <c r="B1917">
        <f t="shared" si="643"/>
        <v>24</v>
      </c>
      <c r="C1917">
        <f t="shared" ca="1" si="641"/>
        <v>21</v>
      </c>
      <c r="D1917" t="str">
        <f t="shared" si="644"/>
        <v>P24</v>
      </c>
      <c r="E1917" t="str">
        <f t="shared" ca="1" si="645"/>
        <v/>
      </c>
      <c r="F1917" t="str">
        <f t="shared" ca="1" si="646"/>
        <v xml:space="preserve">Enter a 'Acquisition Placed-in-Service Date' for  building 21 in cell P24.
</v>
      </c>
      <c r="G1917" s="9" t="str">
        <f t="shared" ca="1" si="639"/>
        <v xml:space="preserve">Enter a value for 'Number of Floors in the Tallest Building' in cell B60.
</v>
      </c>
      <c r="H1917" s="52" t="str">
        <f t="shared" ca="1" si="647"/>
        <v>Acquisition Placed-in-Service Date</v>
      </c>
      <c r="I1917" s="52">
        <v>16</v>
      </c>
    </row>
    <row r="1918" spans="1:10" ht="15" customHeight="1">
      <c r="A1918" t="str">
        <f ca="1">IF(AND(OFFSET(A1918, -I1918 + 2, 4) &gt;  0, E1918="", Calculations!$B$7), F1918, "")</f>
        <v/>
      </c>
      <c r="B1918">
        <f t="shared" si="643"/>
        <v>24</v>
      </c>
      <c r="C1918">
        <f t="shared" ca="1" si="641"/>
        <v>21</v>
      </c>
      <c r="D1918" t="str">
        <f t="shared" si="644"/>
        <v>Q24</v>
      </c>
      <c r="E1918" t="str">
        <f t="shared" ca="1" si="645"/>
        <v/>
      </c>
      <c r="F1918" t="str">
        <f t="shared" ca="1" si="646"/>
        <v xml:space="preserve">Enter a 'Acquisition APR' for  building 21 in cell Q24.
</v>
      </c>
      <c r="G1918" s="9" t="str">
        <f t="shared" ca="1" si="639"/>
        <v xml:space="preserve">Enter a value for 'Number of Floors in the Tallest Building' in cell B60.
</v>
      </c>
      <c r="H1918" s="52" t="str">
        <f t="shared" ca="1" si="647"/>
        <v>Acquisition APR</v>
      </c>
      <c r="I1918" s="52">
        <v>17</v>
      </c>
    </row>
    <row r="1919" spans="1:10" ht="15" customHeight="1">
      <c r="A1919" t="str">
        <f ca="1">IF(AND(Calculations!$B$4,Calculations!$B$29&gt;=C1919, E1919 &lt;&gt; 13),F1919,"")</f>
        <v/>
      </c>
      <c r="B1919">
        <f>ROW('Final Building Profile'!C25)</f>
        <v>25</v>
      </c>
      <c r="C1919">
        <f t="shared" ca="1" si="641"/>
        <v>22</v>
      </c>
      <c r="D1919" t="str">
        <f>ADDRESS(B1919, 3,4  )</f>
        <v>C25</v>
      </c>
      <c r="E1919" s="52">
        <f ca="1">H1919+I1919</f>
        <v>0</v>
      </c>
      <c r="F1919" t="str">
        <f ca="1">CONCATENATE("Based upon the number of buildings specified, information for  building ", C1919, " required for a final application in row ", B1919, ".", CHAR(10))</f>
        <v xml:space="preserve">Based upon the number of buildings specified, information for  building 22 required for a final application in row 25.
</v>
      </c>
      <c r="G1919" s="9" t="str">
        <f t="shared" ca="1" si="639"/>
        <v xml:space="preserve">Enter a value for 'Number of Floors in the Tallest Building' in cell B60.
</v>
      </c>
      <c r="H1919" s="52">
        <f ca="1">SUMPRODUCT(--ISTEXT(INDIRECT(J1919)))</f>
        <v>0</v>
      </c>
      <c r="I1919" s="52">
        <f ca="1">SUMPRODUCT(--ISNUMBER(INDIRECT(J1919)))</f>
        <v>0</v>
      </c>
      <c r="J1919" s="52" t="str">
        <f>$F$1565&amp; ADDRESS(B1919,3,4) &amp; ":" &amp; ADDRESS(B1919,15,4)</f>
        <v>'Final Building Profile'!C25:O25</v>
      </c>
    </row>
    <row r="1920" spans="1:10" ht="15" customHeight="1">
      <c r="A1920" t="str">
        <f t="shared" ref="A1920:A1929" ca="1" si="648">IF(AND(OFFSET(A1920, -I1920 + 2, 4) &gt;  0, E1920=""), F1920, "")</f>
        <v/>
      </c>
      <c r="B1920">
        <f t="shared" ref="B1920:B1934" si="649">B1919</f>
        <v>25</v>
      </c>
      <c r="C1920">
        <f t="shared" ca="1" si="641"/>
        <v>22</v>
      </c>
      <c r="D1920" t="str">
        <f t="shared" ref="D1920:D1934" si="650">ADDRESS(B1920, I1920,4  )</f>
        <v>C25</v>
      </c>
      <c r="E1920" t="str">
        <f t="shared" ref="E1920:E1934" ca="1" si="651">IF(ISBLANK( INDIRECT($F$1565 &amp; D1920)),"", INDIRECT($F$1565 &amp; D1920))</f>
        <v/>
      </c>
      <c r="F1920" t="str">
        <f t="shared" ref="F1920:F1934" ca="1" si="652">CONCATENATE("Enter a '"&amp; H1920 &amp;"' for  building ", C1920, " in cell ", D1920, ".", CHAR(10))</f>
        <v xml:space="preserve">Enter a 'Building Street Address Only 
(DO NOT ENTER CITY, STATE, OR ZIP)' for  building 22 in cell C25.
</v>
      </c>
      <c r="G1920" s="9" t="str">
        <f t="shared" ca="1" si="639"/>
        <v xml:space="preserve">Enter a value for 'Number of Floors in the Tallest Building' in cell B60.
</v>
      </c>
      <c r="H1920" s="52" t="str">
        <f t="shared" ref="H1920:H1934" ca="1" si="653">OFFSET(INDIRECT($F$1565 &amp; D1920), -B1920 + 3, 0)</f>
        <v>Building Street Address Only 
(DO NOT ENTER CITY, STATE, OR ZIP)</v>
      </c>
      <c r="I1920" s="52">
        <v>3</v>
      </c>
    </row>
    <row r="1921" spans="1:10" ht="15" customHeight="1">
      <c r="A1921" t="str">
        <f t="shared" ca="1" si="648"/>
        <v/>
      </c>
      <c r="B1921">
        <f t="shared" si="649"/>
        <v>25</v>
      </c>
      <c r="C1921">
        <f t="shared" ca="1" si="641"/>
        <v>22</v>
      </c>
      <c r="D1921" t="str">
        <f t="shared" si="650"/>
        <v>D25</v>
      </c>
      <c r="E1921" t="str">
        <f t="shared" ca="1" si="651"/>
        <v/>
      </c>
      <c r="F1921" t="str">
        <f t="shared" ca="1" si="652"/>
        <v xml:space="preserve">Enter a 'Total Units in Building*' for  building 22 in cell D25.
</v>
      </c>
      <c r="G1921" s="9" t="str">
        <f t="shared" ca="1" si="639"/>
        <v xml:space="preserve">Enter a value for 'Number of Floors in the Tallest Building' in cell B60.
</v>
      </c>
      <c r="H1921" s="52" t="str">
        <f t="shared" ca="1" si="653"/>
        <v>Total Units in Building*</v>
      </c>
      <c r="I1921" s="52">
        <v>4</v>
      </c>
    </row>
    <row r="1922" spans="1:10" ht="15" customHeight="1">
      <c r="A1922" t="str">
        <f t="shared" ca="1" si="648"/>
        <v/>
      </c>
      <c r="B1922">
        <f t="shared" si="649"/>
        <v>25</v>
      </c>
      <c r="C1922">
        <f t="shared" ca="1" si="641"/>
        <v>22</v>
      </c>
      <c r="D1922" t="str">
        <f t="shared" si="650"/>
        <v>E25</v>
      </c>
      <c r="E1922" t="str">
        <f t="shared" ca="1" si="651"/>
        <v/>
      </c>
      <c r="F1922" t="str">
        <f t="shared" ca="1" si="652"/>
        <v xml:space="preserve">Enter a 'Employee Units' for  building 22 in cell E25.
</v>
      </c>
      <c r="G1922" s="9" t="str">
        <f t="shared" ca="1" si="639"/>
        <v xml:space="preserve">Enter a value for 'Number of Floors in the Tallest Building' in cell B60.
</v>
      </c>
      <c r="H1922" s="52" t="str">
        <f t="shared" ca="1" si="653"/>
        <v>Employee Units</v>
      </c>
      <c r="I1922" s="52">
        <v>5</v>
      </c>
    </row>
    <row r="1923" spans="1:10" ht="15" customHeight="1">
      <c r="A1923" t="str">
        <f t="shared" ca="1" si="648"/>
        <v/>
      </c>
      <c r="B1923">
        <f t="shared" si="649"/>
        <v>25</v>
      </c>
      <c r="C1923">
        <f t="shared" ca="1" si="641"/>
        <v>22</v>
      </c>
      <c r="D1923" t="str">
        <f t="shared" si="650"/>
        <v>F25</v>
      </c>
      <c r="E1923" t="str">
        <f t="shared" ca="1" si="651"/>
        <v/>
      </c>
      <c r="F1923" t="str">
        <f t="shared" ca="1" si="652"/>
        <v xml:space="preserve">Enter a 'Low-Income Units' for  building 22 in cell F25.
</v>
      </c>
      <c r="G1923" s="9" t="str">
        <f t="shared" ca="1" si="639"/>
        <v xml:space="preserve">Enter a value for 'Number of Floors in the Tallest Building' in cell B60.
</v>
      </c>
      <c r="H1923" s="52" t="str">
        <f t="shared" ca="1" si="653"/>
        <v>Low-Income Units</v>
      </c>
      <c r="I1923" s="52">
        <v>6</v>
      </c>
    </row>
    <row r="1924" spans="1:10" ht="15" customHeight="1">
      <c r="A1924" t="str">
        <f t="shared" ca="1" si="648"/>
        <v/>
      </c>
      <c r="B1924">
        <f t="shared" si="649"/>
        <v>25</v>
      </c>
      <c r="C1924">
        <f t="shared" ca="1" si="641"/>
        <v>22</v>
      </c>
      <c r="D1924" t="str">
        <f t="shared" si="650"/>
        <v>G25</v>
      </c>
      <c r="E1924" t="str">
        <f t="shared" ca="1" si="651"/>
        <v/>
      </c>
      <c r="F1924" t="str">
        <f t="shared" ca="1" si="652"/>
        <v xml:space="preserve">Enter a 'Residential Square Footage**' for  building 22 in cell G25.
</v>
      </c>
      <c r="G1924" s="9" t="str">
        <f t="shared" ca="1" si="639"/>
        <v xml:space="preserve">Enter a value for 'Number of Floors in the Tallest Building' in cell B60.
</v>
      </c>
      <c r="H1924" s="52" t="str">
        <f t="shared" ca="1" si="653"/>
        <v>Residential Square Footage**</v>
      </c>
      <c r="I1924" s="52">
        <v>7</v>
      </c>
    </row>
    <row r="1925" spans="1:10" ht="15" customHeight="1">
      <c r="A1925" t="str">
        <f t="shared" ca="1" si="648"/>
        <v/>
      </c>
      <c r="B1925">
        <f t="shared" si="649"/>
        <v>25</v>
      </c>
      <c r="C1925">
        <f t="shared" ca="1" si="641"/>
        <v>22</v>
      </c>
      <c r="D1925" t="str">
        <f t="shared" si="650"/>
        <v>H25</v>
      </c>
      <c r="E1925" t="str">
        <f t="shared" ca="1" si="651"/>
        <v/>
      </c>
      <c r="F1925" t="str">
        <f t="shared" ca="1" si="652"/>
        <v xml:space="preserve">Enter a 'Square Footage of Employee Units' for  building 22 in cell H25.
</v>
      </c>
      <c r="G1925" s="9" t="str">
        <f t="shared" ca="1" si="639"/>
        <v xml:space="preserve">Enter a value for 'Number of Floors in the Tallest Building' in cell B60.
</v>
      </c>
      <c r="H1925" s="52" t="str">
        <f t="shared" ca="1" si="653"/>
        <v>Square Footage of Employee Units</v>
      </c>
      <c r="I1925" s="52">
        <v>8</v>
      </c>
    </row>
    <row r="1926" spans="1:10" ht="15" customHeight="1">
      <c r="A1926" t="str">
        <f t="shared" ca="1" si="648"/>
        <v/>
      </c>
      <c r="B1926">
        <f t="shared" si="649"/>
        <v>25</v>
      </c>
      <c r="C1926">
        <f t="shared" ca="1" si="641"/>
        <v>22</v>
      </c>
      <c r="D1926" t="str">
        <f t="shared" si="650"/>
        <v>I25</v>
      </c>
      <c r="E1926" t="str">
        <f t="shared" ca="1" si="651"/>
        <v/>
      </c>
      <c r="F1926" t="str">
        <f t="shared" ca="1" si="652"/>
        <v xml:space="preserve">Enter a 'Square Footage of Low-Income Units' for  building 22 in cell I25.
</v>
      </c>
      <c r="G1926" s="9" t="str">
        <f t="shared" ca="1" si="639"/>
        <v xml:space="preserve">Enter a value for 'Number of Floors in the Tallest Building' in cell B60.
</v>
      </c>
      <c r="H1926" s="52" t="str">
        <f t="shared" ca="1" si="653"/>
        <v>Square Footage of Low-Income Units</v>
      </c>
      <c r="I1926" s="52">
        <v>9</v>
      </c>
    </row>
    <row r="1927" spans="1:10" ht="15" customHeight="1">
      <c r="A1927" t="str">
        <f t="shared" ca="1" si="648"/>
        <v/>
      </c>
      <c r="B1927">
        <f t="shared" si="649"/>
        <v>25</v>
      </c>
      <c r="C1927">
        <f t="shared" ca="1" si="641"/>
        <v>22</v>
      </c>
      <c r="D1927" t="str">
        <f t="shared" si="650"/>
        <v>J25</v>
      </c>
      <c r="E1927" t="str">
        <f t="shared" ca="1" si="651"/>
        <v/>
      </c>
      <c r="F1927" t="str">
        <f t="shared" ca="1" si="652"/>
        <v xml:space="preserve">Enter a 'Placed-In-Service Date' for  building 22 in cell J25.
</v>
      </c>
      <c r="G1927" s="9" t="str">
        <f t="shared" ca="1" si="639"/>
        <v xml:space="preserve">Enter a value for 'Number of Floors in the Tallest Building' in cell B60.
</v>
      </c>
      <c r="H1927" s="52" t="str">
        <f t="shared" ca="1" si="653"/>
        <v>Placed-In-Service Date</v>
      </c>
      <c r="I1927" s="52">
        <v>10</v>
      </c>
    </row>
    <row r="1928" spans="1:10" ht="15" customHeight="1">
      <c r="A1928" t="str">
        <f t="shared" ca="1" si="648"/>
        <v/>
      </c>
      <c r="B1928">
        <f t="shared" si="649"/>
        <v>25</v>
      </c>
      <c r="C1928">
        <f t="shared" ca="1" si="641"/>
        <v>22</v>
      </c>
      <c r="D1928" t="str">
        <f t="shared" si="650"/>
        <v>K25</v>
      </c>
      <c r="E1928" t="str">
        <f t="shared" ca="1" si="651"/>
        <v/>
      </c>
      <c r="F1928" t="str">
        <f t="shared" ca="1" si="652"/>
        <v xml:space="preserve">Enter a 'New Construction/ Rehab APR' for  building 22 in cell K25.
</v>
      </c>
      <c r="G1928" s="9" t="str">
        <f t="shared" ca="1" si="639"/>
        <v xml:space="preserve">Enter a value for 'Number of Floors in the Tallest Building' in cell B60.
</v>
      </c>
      <c r="H1928" s="52" t="str">
        <f t="shared" ca="1" si="653"/>
        <v>New Construction/ Rehab APR</v>
      </c>
      <c r="I1928" s="52">
        <v>11</v>
      </c>
    </row>
    <row r="1929" spans="1:10" ht="15" customHeight="1">
      <c r="A1929" t="str">
        <f t="shared" ca="1" si="648"/>
        <v/>
      </c>
      <c r="B1929">
        <f t="shared" si="649"/>
        <v>25</v>
      </c>
      <c r="C1929">
        <f t="shared" ca="1" si="641"/>
        <v>22</v>
      </c>
      <c r="D1929" t="str">
        <f t="shared" si="650"/>
        <v>L25</v>
      </c>
      <c r="E1929" t="str">
        <f t="shared" ca="1" si="651"/>
        <v/>
      </c>
      <c r="F1929" t="str">
        <f t="shared" ca="1" si="652"/>
        <v xml:space="preserve">Enter a 'New Construction Eligible Basis' for  building 22 in cell L25.
</v>
      </c>
      <c r="G1929" s="9" t="str">
        <f t="shared" ca="1" si="639"/>
        <v xml:space="preserve">Enter a value for 'Number of Floors in the Tallest Building' in cell B60.
</v>
      </c>
      <c r="H1929" s="52" t="str">
        <f t="shared" ca="1" si="653"/>
        <v>New Construction Eligible Basis</v>
      </c>
      <c r="I1929" s="52">
        <v>12</v>
      </c>
    </row>
    <row r="1930" spans="1:10" ht="15" customHeight="1">
      <c r="A1930" t="str">
        <f ca="1">IF(AND(OFFSET(A1930, -I1930 + 2, 4) &gt;  0, E1930="", Calculations!$B$7), F1930, "")</f>
        <v/>
      </c>
      <c r="B1930">
        <f t="shared" si="649"/>
        <v>25</v>
      </c>
      <c r="C1930">
        <f t="shared" ca="1" si="641"/>
        <v>22</v>
      </c>
      <c r="D1930" t="str">
        <f t="shared" si="650"/>
        <v>M25</v>
      </c>
      <c r="E1930" t="str">
        <f t="shared" ca="1" si="651"/>
        <v/>
      </c>
      <c r="F1930" t="str">
        <f t="shared" ca="1" si="652"/>
        <v xml:space="preserve">Enter a 'Eligible Basis for Rehab' for  building 22 in cell M25.
</v>
      </c>
      <c r="G1930" s="9" t="str">
        <f t="shared" ca="1" si="639"/>
        <v xml:space="preserve">Enter a value for 'Number of Floors in the Tallest Building' in cell B60.
</v>
      </c>
      <c r="H1930" s="52" t="str">
        <f t="shared" ca="1" si="653"/>
        <v>Eligible Basis for Rehab</v>
      </c>
      <c r="I1930" s="52">
        <v>13</v>
      </c>
    </row>
    <row r="1931" spans="1:10" ht="15" customHeight="1">
      <c r="A1931" t="str">
        <f ca="1">IF(AND(OFFSET(A1931, -I1931 + 2, 4) &gt;  0, E1931="", Calculations!$B$7), F1931, "")</f>
        <v/>
      </c>
      <c r="B1931">
        <f t="shared" si="649"/>
        <v>25</v>
      </c>
      <c r="C1931">
        <f t="shared" ca="1" si="641"/>
        <v>22</v>
      </c>
      <c r="D1931" t="str">
        <f t="shared" si="650"/>
        <v>N25</v>
      </c>
      <c r="E1931" t="str">
        <f t="shared" ca="1" si="651"/>
        <v/>
      </c>
      <c r="F1931" t="str">
        <f t="shared" ca="1" si="652"/>
        <v xml:space="preserve">Enter a 'Cost of Acquiring the Building***' for  building 22 in cell N25.
</v>
      </c>
      <c r="G1931" s="9" t="str">
        <f t="shared" ca="1" si="639"/>
        <v xml:space="preserve">Enter a value for 'Number of Floors in the Tallest Building' in cell B60.
</v>
      </c>
      <c r="H1931" s="52" t="str">
        <f t="shared" ca="1" si="653"/>
        <v>Cost of Acquiring the Building***</v>
      </c>
      <c r="I1931" s="52">
        <v>14</v>
      </c>
    </row>
    <row r="1932" spans="1:10" ht="15" customHeight="1">
      <c r="A1932" t="str">
        <f ca="1">IF(AND(OFFSET(A1932, -I1932 + 2, 4) &gt;  0, E1932="", Calculations!$B$7), F1932, "")</f>
        <v/>
      </c>
      <c r="B1932">
        <f t="shared" si="649"/>
        <v>25</v>
      </c>
      <c r="C1932">
        <f t="shared" ca="1" si="641"/>
        <v>22</v>
      </c>
      <c r="D1932" t="str">
        <f t="shared" si="650"/>
        <v>O25</v>
      </c>
      <c r="E1932" t="str">
        <f t="shared" ca="1" si="651"/>
        <v/>
      </c>
      <c r="F1932" t="str">
        <f t="shared" ca="1" si="652"/>
        <v xml:space="preserve">Enter a 'Higher of Land Purchase Price or Land Appraised Value****' for  building 22 in cell O25.
</v>
      </c>
      <c r="G1932" s="9" t="str">
        <f t="shared" ca="1" si="639"/>
        <v xml:space="preserve">Enter a value for 'Number of Floors in the Tallest Building' in cell B60.
</v>
      </c>
      <c r="H1932" s="52" t="str">
        <f t="shared" ca="1" si="653"/>
        <v>Higher of Land Purchase Price or Land Appraised Value****</v>
      </c>
      <c r="I1932" s="52">
        <v>15</v>
      </c>
    </row>
    <row r="1933" spans="1:10" ht="15" customHeight="1">
      <c r="A1933" t="str">
        <f ca="1">IF(AND(OFFSET(A1933, -I1933 + 2, 4) &gt;  0, E1933="", Calculations!$B$7), F1933, "")</f>
        <v/>
      </c>
      <c r="B1933">
        <f t="shared" si="649"/>
        <v>25</v>
      </c>
      <c r="C1933">
        <f t="shared" ca="1" si="641"/>
        <v>22</v>
      </c>
      <c r="D1933" t="str">
        <f t="shared" si="650"/>
        <v>P25</v>
      </c>
      <c r="E1933" t="str">
        <f t="shared" ca="1" si="651"/>
        <v/>
      </c>
      <c r="F1933" t="str">
        <f t="shared" ca="1" si="652"/>
        <v xml:space="preserve">Enter a 'Acquisition Placed-in-Service Date' for  building 22 in cell P25.
</v>
      </c>
      <c r="G1933" s="9" t="str">
        <f t="shared" ca="1" si="639"/>
        <v xml:space="preserve">Enter a value for 'Number of Floors in the Tallest Building' in cell B60.
</v>
      </c>
      <c r="H1933" s="52" t="str">
        <f t="shared" ca="1" si="653"/>
        <v>Acquisition Placed-in-Service Date</v>
      </c>
      <c r="I1933" s="52">
        <v>16</v>
      </c>
    </row>
    <row r="1934" spans="1:10" ht="15" customHeight="1">
      <c r="A1934" t="str">
        <f ca="1">IF(AND(OFFSET(A1934, -I1934 + 2, 4) &gt;  0, E1934="", Calculations!$B$7), F1934, "")</f>
        <v/>
      </c>
      <c r="B1934">
        <f t="shared" si="649"/>
        <v>25</v>
      </c>
      <c r="C1934">
        <f t="shared" ca="1" si="641"/>
        <v>22</v>
      </c>
      <c r="D1934" t="str">
        <f t="shared" si="650"/>
        <v>Q25</v>
      </c>
      <c r="E1934" t="str">
        <f t="shared" ca="1" si="651"/>
        <v/>
      </c>
      <c r="F1934" t="str">
        <f t="shared" ca="1" si="652"/>
        <v xml:space="preserve">Enter a 'Acquisition APR' for  building 22 in cell Q25.
</v>
      </c>
      <c r="G1934" s="9" t="str">
        <f t="shared" ca="1" si="639"/>
        <v xml:space="preserve">Enter a value for 'Number of Floors in the Tallest Building' in cell B60.
</v>
      </c>
      <c r="H1934" s="52" t="str">
        <f t="shared" ca="1" si="653"/>
        <v>Acquisition APR</v>
      </c>
      <c r="I1934" s="52">
        <v>17</v>
      </c>
    </row>
    <row r="1935" spans="1:10" ht="15" customHeight="1">
      <c r="A1935" t="str">
        <f ca="1">IF(AND(Calculations!$B$4,Calculations!$B$29&gt;=C1935, E1935 &lt;&gt; 13),F1935,"")</f>
        <v/>
      </c>
      <c r="B1935">
        <f>ROW('Final Building Profile'!C26)</f>
        <v>26</v>
      </c>
      <c r="C1935">
        <f t="shared" ca="1" si="641"/>
        <v>23</v>
      </c>
      <c r="D1935" t="str">
        <f>ADDRESS(B1935, 3,4  )</f>
        <v>C26</v>
      </c>
      <c r="E1935" s="52">
        <f ca="1">H1935+I1935</f>
        <v>0</v>
      </c>
      <c r="F1935" t="str">
        <f ca="1">CONCATENATE("Based upon the number of buildings specified, information for  building ", C1935, " required for a final application in row ", B1935, ".", CHAR(10))</f>
        <v xml:space="preserve">Based upon the number of buildings specified, information for  building 23 required for a final application in row 26.
</v>
      </c>
      <c r="G1935" s="9" t="str">
        <f t="shared" ca="1" si="639"/>
        <v xml:space="preserve">Enter a value for 'Number of Floors in the Tallest Building' in cell B60.
</v>
      </c>
      <c r="H1935" s="52">
        <f ca="1">SUMPRODUCT(--ISTEXT(INDIRECT(J1935)))</f>
        <v>0</v>
      </c>
      <c r="I1935" s="52">
        <f ca="1">SUMPRODUCT(--ISNUMBER(INDIRECT(J1935)))</f>
        <v>0</v>
      </c>
      <c r="J1935" s="52" t="str">
        <f>$F$1565&amp; ADDRESS(B1935,3,4) &amp; ":" &amp; ADDRESS(B1935,15,4)</f>
        <v>'Final Building Profile'!C26:O26</v>
      </c>
    </row>
    <row r="1936" spans="1:10" ht="15" customHeight="1">
      <c r="A1936" t="str">
        <f t="shared" ref="A1936:A1945" ca="1" si="654">IF(AND(OFFSET(A1936, -I1936 + 2, 4) &gt;  0, E1936=""), F1936, "")</f>
        <v/>
      </c>
      <c r="B1936">
        <f t="shared" ref="B1936:B1950" si="655">B1935</f>
        <v>26</v>
      </c>
      <c r="C1936">
        <f t="shared" ca="1" si="641"/>
        <v>23</v>
      </c>
      <c r="D1936" t="str">
        <f t="shared" ref="D1936:D1950" si="656">ADDRESS(B1936, I1936,4  )</f>
        <v>C26</v>
      </c>
      <c r="E1936" t="str">
        <f t="shared" ref="E1936:E1950" ca="1" si="657">IF(ISBLANK( INDIRECT($F$1565 &amp; D1936)),"", INDIRECT($F$1565 &amp; D1936))</f>
        <v/>
      </c>
      <c r="F1936" t="str">
        <f t="shared" ref="F1936:F1950" ca="1" si="658">CONCATENATE("Enter a '"&amp; H1936 &amp;"' for  building ", C1936, " in cell ", D1936, ".", CHAR(10))</f>
        <v xml:space="preserve">Enter a 'Building Street Address Only 
(DO NOT ENTER CITY, STATE, OR ZIP)' for  building 23 in cell C26.
</v>
      </c>
      <c r="G1936" s="9" t="str">
        <f t="shared" ca="1" si="639"/>
        <v xml:space="preserve">Enter a value for 'Number of Floors in the Tallest Building' in cell B60.
</v>
      </c>
      <c r="H1936" s="52" t="str">
        <f t="shared" ref="H1936:H1950" ca="1" si="659">OFFSET(INDIRECT($F$1565 &amp; D1936), -B1936 + 3, 0)</f>
        <v>Building Street Address Only 
(DO NOT ENTER CITY, STATE, OR ZIP)</v>
      </c>
      <c r="I1936" s="52">
        <v>3</v>
      </c>
    </row>
    <row r="1937" spans="1:10" ht="15" customHeight="1">
      <c r="A1937" t="str">
        <f t="shared" ca="1" si="654"/>
        <v/>
      </c>
      <c r="B1937">
        <f t="shared" si="655"/>
        <v>26</v>
      </c>
      <c r="C1937">
        <f t="shared" ca="1" si="641"/>
        <v>23</v>
      </c>
      <c r="D1937" t="str">
        <f t="shared" si="656"/>
        <v>D26</v>
      </c>
      <c r="E1937" t="str">
        <f t="shared" ca="1" si="657"/>
        <v/>
      </c>
      <c r="F1937" t="str">
        <f t="shared" ca="1" si="658"/>
        <v xml:space="preserve">Enter a 'Total Units in Building*' for  building 23 in cell D26.
</v>
      </c>
      <c r="G1937" s="9" t="str">
        <f t="shared" ca="1" si="639"/>
        <v xml:space="preserve">Enter a value for 'Number of Floors in the Tallest Building' in cell B60.
</v>
      </c>
      <c r="H1937" s="52" t="str">
        <f t="shared" ca="1" si="659"/>
        <v>Total Units in Building*</v>
      </c>
      <c r="I1937" s="52">
        <v>4</v>
      </c>
    </row>
    <row r="1938" spans="1:10" ht="15" customHeight="1">
      <c r="A1938" t="str">
        <f t="shared" ca="1" si="654"/>
        <v/>
      </c>
      <c r="B1938">
        <f t="shared" si="655"/>
        <v>26</v>
      </c>
      <c r="C1938">
        <f t="shared" ca="1" si="641"/>
        <v>23</v>
      </c>
      <c r="D1938" t="str">
        <f t="shared" si="656"/>
        <v>E26</v>
      </c>
      <c r="E1938" t="str">
        <f t="shared" ca="1" si="657"/>
        <v/>
      </c>
      <c r="F1938" t="str">
        <f t="shared" ca="1" si="658"/>
        <v xml:space="preserve">Enter a 'Employee Units' for  building 23 in cell E26.
</v>
      </c>
      <c r="G1938" s="9" t="str">
        <f t="shared" ca="1" si="639"/>
        <v xml:space="preserve">Enter a value for 'Number of Floors in the Tallest Building' in cell B60.
</v>
      </c>
      <c r="H1938" s="52" t="str">
        <f t="shared" ca="1" si="659"/>
        <v>Employee Units</v>
      </c>
      <c r="I1938" s="52">
        <v>5</v>
      </c>
    </row>
    <row r="1939" spans="1:10" ht="15" customHeight="1">
      <c r="A1939" t="str">
        <f t="shared" ca="1" si="654"/>
        <v/>
      </c>
      <c r="B1939">
        <f t="shared" si="655"/>
        <v>26</v>
      </c>
      <c r="C1939">
        <f t="shared" ca="1" si="641"/>
        <v>23</v>
      </c>
      <c r="D1939" t="str">
        <f t="shared" si="656"/>
        <v>F26</v>
      </c>
      <c r="E1939" t="str">
        <f t="shared" ca="1" si="657"/>
        <v/>
      </c>
      <c r="F1939" t="str">
        <f t="shared" ca="1" si="658"/>
        <v xml:space="preserve">Enter a 'Low-Income Units' for  building 23 in cell F26.
</v>
      </c>
      <c r="G1939" s="9" t="str">
        <f t="shared" ca="1" si="639"/>
        <v xml:space="preserve">Enter a value for 'Number of Floors in the Tallest Building' in cell B60.
</v>
      </c>
      <c r="H1939" s="52" t="str">
        <f t="shared" ca="1" si="659"/>
        <v>Low-Income Units</v>
      </c>
      <c r="I1939" s="52">
        <v>6</v>
      </c>
    </row>
    <row r="1940" spans="1:10" ht="15" customHeight="1">
      <c r="A1940" t="str">
        <f t="shared" ca="1" si="654"/>
        <v/>
      </c>
      <c r="B1940">
        <f t="shared" si="655"/>
        <v>26</v>
      </c>
      <c r="C1940">
        <f t="shared" ca="1" si="641"/>
        <v>23</v>
      </c>
      <c r="D1940" t="str">
        <f t="shared" si="656"/>
        <v>G26</v>
      </c>
      <c r="E1940" t="str">
        <f t="shared" ca="1" si="657"/>
        <v/>
      </c>
      <c r="F1940" t="str">
        <f t="shared" ca="1" si="658"/>
        <v xml:space="preserve">Enter a 'Residential Square Footage**' for  building 23 in cell G26.
</v>
      </c>
      <c r="G1940" s="9" t="str">
        <f t="shared" ca="1" si="639"/>
        <v xml:space="preserve">Enter a value for 'Number of Floors in the Tallest Building' in cell B60.
</v>
      </c>
      <c r="H1940" s="52" t="str">
        <f t="shared" ca="1" si="659"/>
        <v>Residential Square Footage**</v>
      </c>
      <c r="I1940" s="52">
        <v>7</v>
      </c>
    </row>
    <row r="1941" spans="1:10" ht="15" customHeight="1">
      <c r="A1941" t="str">
        <f t="shared" ca="1" si="654"/>
        <v/>
      </c>
      <c r="B1941">
        <f t="shared" si="655"/>
        <v>26</v>
      </c>
      <c r="C1941">
        <f t="shared" ca="1" si="641"/>
        <v>23</v>
      </c>
      <c r="D1941" t="str">
        <f t="shared" si="656"/>
        <v>H26</v>
      </c>
      <c r="E1941" t="str">
        <f t="shared" ca="1" si="657"/>
        <v/>
      </c>
      <c r="F1941" t="str">
        <f t="shared" ca="1" si="658"/>
        <v xml:space="preserve">Enter a 'Square Footage of Employee Units' for  building 23 in cell H26.
</v>
      </c>
      <c r="G1941" s="9" t="str">
        <f t="shared" ca="1" si="639"/>
        <v xml:space="preserve">Enter a value for 'Number of Floors in the Tallest Building' in cell B60.
</v>
      </c>
      <c r="H1941" s="52" t="str">
        <f t="shared" ca="1" si="659"/>
        <v>Square Footage of Employee Units</v>
      </c>
      <c r="I1941" s="52">
        <v>8</v>
      </c>
    </row>
    <row r="1942" spans="1:10" ht="15" customHeight="1">
      <c r="A1942" t="str">
        <f t="shared" ca="1" si="654"/>
        <v/>
      </c>
      <c r="B1942">
        <f t="shared" si="655"/>
        <v>26</v>
      </c>
      <c r="C1942">
        <f t="shared" ca="1" si="641"/>
        <v>23</v>
      </c>
      <c r="D1942" t="str">
        <f t="shared" si="656"/>
        <v>I26</v>
      </c>
      <c r="E1942" t="str">
        <f t="shared" ca="1" si="657"/>
        <v/>
      </c>
      <c r="F1942" t="str">
        <f t="shared" ca="1" si="658"/>
        <v xml:space="preserve">Enter a 'Square Footage of Low-Income Units' for  building 23 in cell I26.
</v>
      </c>
      <c r="G1942" s="9" t="str">
        <f t="shared" ca="1" si="639"/>
        <v xml:space="preserve">Enter a value for 'Number of Floors in the Tallest Building' in cell B60.
</v>
      </c>
      <c r="H1942" s="52" t="str">
        <f t="shared" ca="1" si="659"/>
        <v>Square Footage of Low-Income Units</v>
      </c>
      <c r="I1942" s="52">
        <v>9</v>
      </c>
    </row>
    <row r="1943" spans="1:10" ht="15" customHeight="1">
      <c r="A1943" t="str">
        <f t="shared" ca="1" si="654"/>
        <v/>
      </c>
      <c r="B1943">
        <f t="shared" si="655"/>
        <v>26</v>
      </c>
      <c r="C1943">
        <f t="shared" ca="1" si="641"/>
        <v>23</v>
      </c>
      <c r="D1943" t="str">
        <f t="shared" si="656"/>
        <v>J26</v>
      </c>
      <c r="E1943" t="str">
        <f t="shared" ca="1" si="657"/>
        <v/>
      </c>
      <c r="F1943" t="str">
        <f t="shared" ca="1" si="658"/>
        <v xml:space="preserve">Enter a 'Placed-In-Service Date' for  building 23 in cell J26.
</v>
      </c>
      <c r="G1943" s="9" t="str">
        <f t="shared" ca="1" si="639"/>
        <v xml:space="preserve">Enter a value for 'Number of Floors in the Tallest Building' in cell B60.
</v>
      </c>
      <c r="H1943" s="52" t="str">
        <f t="shared" ca="1" si="659"/>
        <v>Placed-In-Service Date</v>
      </c>
      <c r="I1943" s="52">
        <v>10</v>
      </c>
    </row>
    <row r="1944" spans="1:10" ht="15" customHeight="1">
      <c r="A1944" t="str">
        <f t="shared" ca="1" si="654"/>
        <v/>
      </c>
      <c r="B1944">
        <f t="shared" si="655"/>
        <v>26</v>
      </c>
      <c r="C1944">
        <f t="shared" ca="1" si="641"/>
        <v>23</v>
      </c>
      <c r="D1944" t="str">
        <f t="shared" si="656"/>
        <v>K26</v>
      </c>
      <c r="E1944" t="str">
        <f t="shared" ca="1" si="657"/>
        <v/>
      </c>
      <c r="F1944" t="str">
        <f t="shared" ca="1" si="658"/>
        <v xml:space="preserve">Enter a 'New Construction/ Rehab APR' for  building 23 in cell K26.
</v>
      </c>
      <c r="G1944" s="9" t="str">
        <f t="shared" ca="1" si="639"/>
        <v xml:space="preserve">Enter a value for 'Number of Floors in the Tallest Building' in cell B60.
</v>
      </c>
      <c r="H1944" s="52" t="str">
        <f t="shared" ca="1" si="659"/>
        <v>New Construction/ Rehab APR</v>
      </c>
      <c r="I1944" s="52">
        <v>11</v>
      </c>
    </row>
    <row r="1945" spans="1:10" ht="15" customHeight="1">
      <c r="A1945" t="str">
        <f t="shared" ca="1" si="654"/>
        <v/>
      </c>
      <c r="B1945">
        <f t="shared" si="655"/>
        <v>26</v>
      </c>
      <c r="C1945">
        <f t="shared" ca="1" si="641"/>
        <v>23</v>
      </c>
      <c r="D1945" t="str">
        <f t="shared" si="656"/>
        <v>L26</v>
      </c>
      <c r="E1945" t="str">
        <f t="shared" ca="1" si="657"/>
        <v/>
      </c>
      <c r="F1945" t="str">
        <f t="shared" ca="1" si="658"/>
        <v xml:space="preserve">Enter a 'New Construction Eligible Basis' for  building 23 in cell L26.
</v>
      </c>
      <c r="G1945" s="9" t="str">
        <f t="shared" ca="1" si="639"/>
        <v xml:space="preserve">Enter a value for 'Number of Floors in the Tallest Building' in cell B60.
</v>
      </c>
      <c r="H1945" s="52" t="str">
        <f t="shared" ca="1" si="659"/>
        <v>New Construction Eligible Basis</v>
      </c>
      <c r="I1945" s="52">
        <v>12</v>
      </c>
    </row>
    <row r="1946" spans="1:10" ht="15" customHeight="1">
      <c r="A1946" t="str">
        <f ca="1">IF(AND(OFFSET(A1946, -I1946 + 2, 4) &gt;  0, E1946="", Calculations!$B$7), F1946, "")</f>
        <v/>
      </c>
      <c r="B1946">
        <f t="shared" si="655"/>
        <v>26</v>
      </c>
      <c r="C1946">
        <f t="shared" ca="1" si="641"/>
        <v>23</v>
      </c>
      <c r="D1946" t="str">
        <f t="shared" si="656"/>
        <v>M26</v>
      </c>
      <c r="E1946" t="str">
        <f t="shared" ca="1" si="657"/>
        <v/>
      </c>
      <c r="F1946" t="str">
        <f t="shared" ca="1" si="658"/>
        <v xml:space="preserve">Enter a 'Eligible Basis for Rehab' for  building 23 in cell M26.
</v>
      </c>
      <c r="G1946" s="9" t="str">
        <f t="shared" ca="1" si="639"/>
        <v xml:space="preserve">Enter a value for 'Number of Floors in the Tallest Building' in cell B60.
</v>
      </c>
      <c r="H1946" s="52" t="str">
        <f t="shared" ca="1" si="659"/>
        <v>Eligible Basis for Rehab</v>
      </c>
      <c r="I1946" s="52">
        <v>13</v>
      </c>
    </row>
    <row r="1947" spans="1:10" ht="15" customHeight="1">
      <c r="A1947" t="str">
        <f ca="1">IF(AND(OFFSET(A1947, -I1947 + 2, 4) &gt;  0, E1947="", Calculations!$B$7), F1947, "")</f>
        <v/>
      </c>
      <c r="B1947">
        <f t="shared" si="655"/>
        <v>26</v>
      </c>
      <c r="C1947">
        <f t="shared" ca="1" si="641"/>
        <v>23</v>
      </c>
      <c r="D1947" t="str">
        <f t="shared" si="656"/>
        <v>N26</v>
      </c>
      <c r="E1947" t="str">
        <f t="shared" ca="1" si="657"/>
        <v/>
      </c>
      <c r="F1947" t="str">
        <f t="shared" ca="1" si="658"/>
        <v xml:space="preserve">Enter a 'Cost of Acquiring the Building***' for  building 23 in cell N26.
</v>
      </c>
      <c r="G1947" s="9" t="str">
        <f t="shared" ca="1" si="639"/>
        <v xml:space="preserve">Enter a value for 'Number of Floors in the Tallest Building' in cell B60.
</v>
      </c>
      <c r="H1947" s="52" t="str">
        <f t="shared" ca="1" si="659"/>
        <v>Cost of Acquiring the Building***</v>
      </c>
      <c r="I1947" s="52">
        <v>14</v>
      </c>
    </row>
    <row r="1948" spans="1:10" ht="15" customHeight="1">
      <c r="A1948" t="str">
        <f ca="1">IF(AND(OFFSET(A1948, -I1948 + 2, 4) &gt;  0, E1948="", Calculations!$B$7), F1948, "")</f>
        <v/>
      </c>
      <c r="B1948">
        <f t="shared" si="655"/>
        <v>26</v>
      </c>
      <c r="C1948">
        <f t="shared" ca="1" si="641"/>
        <v>23</v>
      </c>
      <c r="D1948" t="str">
        <f t="shared" si="656"/>
        <v>O26</v>
      </c>
      <c r="E1948" t="str">
        <f t="shared" ca="1" si="657"/>
        <v/>
      </c>
      <c r="F1948" t="str">
        <f t="shared" ca="1" si="658"/>
        <v xml:space="preserve">Enter a 'Higher of Land Purchase Price or Land Appraised Value****' for  building 23 in cell O26.
</v>
      </c>
      <c r="G1948" s="9" t="str">
        <f t="shared" ca="1" si="639"/>
        <v xml:space="preserve">Enter a value for 'Number of Floors in the Tallest Building' in cell B60.
</v>
      </c>
      <c r="H1948" s="52" t="str">
        <f t="shared" ca="1" si="659"/>
        <v>Higher of Land Purchase Price or Land Appraised Value****</v>
      </c>
      <c r="I1948" s="52">
        <v>15</v>
      </c>
    </row>
    <row r="1949" spans="1:10" ht="15" customHeight="1">
      <c r="A1949" t="str">
        <f ca="1">IF(AND(OFFSET(A1949, -I1949 + 2, 4) &gt;  0, E1949="", Calculations!$B$7), F1949, "")</f>
        <v/>
      </c>
      <c r="B1949">
        <f t="shared" si="655"/>
        <v>26</v>
      </c>
      <c r="C1949">
        <f t="shared" ca="1" si="641"/>
        <v>23</v>
      </c>
      <c r="D1949" t="str">
        <f t="shared" si="656"/>
        <v>P26</v>
      </c>
      <c r="E1949" t="str">
        <f t="shared" ca="1" si="657"/>
        <v/>
      </c>
      <c r="F1949" t="str">
        <f t="shared" ca="1" si="658"/>
        <v xml:space="preserve">Enter a 'Acquisition Placed-in-Service Date' for  building 23 in cell P26.
</v>
      </c>
      <c r="G1949" s="9" t="str">
        <f t="shared" ca="1" si="639"/>
        <v xml:space="preserve">Enter a value for 'Number of Floors in the Tallest Building' in cell B60.
</v>
      </c>
      <c r="H1949" s="52" t="str">
        <f t="shared" ca="1" si="659"/>
        <v>Acquisition Placed-in-Service Date</v>
      </c>
      <c r="I1949" s="52">
        <v>16</v>
      </c>
    </row>
    <row r="1950" spans="1:10" ht="15" customHeight="1">
      <c r="A1950" t="str">
        <f ca="1">IF(AND(OFFSET(A1950, -I1950 + 2, 4) &gt;  0, E1950="", Calculations!$B$7), F1950, "")</f>
        <v/>
      </c>
      <c r="B1950">
        <f t="shared" si="655"/>
        <v>26</v>
      </c>
      <c r="C1950">
        <f t="shared" ca="1" si="641"/>
        <v>23</v>
      </c>
      <c r="D1950" t="str">
        <f t="shared" si="656"/>
        <v>Q26</v>
      </c>
      <c r="E1950" t="str">
        <f t="shared" ca="1" si="657"/>
        <v/>
      </c>
      <c r="F1950" t="str">
        <f t="shared" ca="1" si="658"/>
        <v xml:space="preserve">Enter a 'Acquisition APR' for  building 23 in cell Q26.
</v>
      </c>
      <c r="G1950" s="9" t="str">
        <f t="shared" ca="1" si="639"/>
        <v xml:space="preserve">Enter a value for 'Number of Floors in the Tallest Building' in cell B60.
</v>
      </c>
      <c r="H1950" s="52" t="str">
        <f t="shared" ca="1" si="659"/>
        <v>Acquisition APR</v>
      </c>
      <c r="I1950" s="52">
        <v>17</v>
      </c>
    </row>
    <row r="1951" spans="1:10" ht="15" customHeight="1">
      <c r="A1951" t="str">
        <f ca="1">IF(AND(Calculations!$B$4,Calculations!$B$29&gt;=C1951, E1951 &lt;&gt; 13),F1951,"")</f>
        <v/>
      </c>
      <c r="B1951">
        <f>ROW('Final Building Profile'!C27)</f>
        <v>27</v>
      </c>
      <c r="C1951">
        <f t="shared" ca="1" si="641"/>
        <v>24</v>
      </c>
      <c r="D1951" t="str">
        <f>ADDRESS(B1951, 3,4  )</f>
        <v>C27</v>
      </c>
      <c r="E1951" s="52">
        <f ca="1">H1951+I1951</f>
        <v>0</v>
      </c>
      <c r="F1951" t="str">
        <f ca="1">CONCATENATE("Based upon the number of buildings specified, information for  building ", C1951, " required for a final application in row ", B1951, ".", CHAR(10))</f>
        <v xml:space="preserve">Based upon the number of buildings specified, information for  building 24 required for a final application in row 27.
</v>
      </c>
      <c r="G1951" s="9" t="str">
        <f t="shared" ca="1" si="639"/>
        <v xml:space="preserve">Enter a value for 'Number of Floors in the Tallest Building' in cell B60.
</v>
      </c>
      <c r="H1951" s="52">
        <f ca="1">SUMPRODUCT(--ISTEXT(INDIRECT(J1951)))</f>
        <v>0</v>
      </c>
      <c r="I1951" s="52">
        <f ca="1">SUMPRODUCT(--ISNUMBER(INDIRECT(J1951)))</f>
        <v>0</v>
      </c>
      <c r="J1951" s="52" t="str">
        <f>$F$1565&amp; ADDRESS(B1951,3,4) &amp; ":" &amp; ADDRESS(B1951,15,4)</f>
        <v>'Final Building Profile'!C27:O27</v>
      </c>
    </row>
    <row r="1952" spans="1:10" ht="15" customHeight="1">
      <c r="A1952" t="str">
        <f t="shared" ref="A1952:A1961" ca="1" si="660">IF(AND(OFFSET(A1952, -I1952 + 2, 4) &gt;  0, E1952=""), F1952, "")</f>
        <v/>
      </c>
      <c r="B1952">
        <f t="shared" ref="B1952:B1966" si="661">B1951</f>
        <v>27</v>
      </c>
      <c r="C1952">
        <f t="shared" ca="1" si="641"/>
        <v>24</v>
      </c>
      <c r="D1952" t="str">
        <f t="shared" ref="D1952:D1966" si="662">ADDRESS(B1952, I1952,4  )</f>
        <v>C27</v>
      </c>
      <c r="E1952" t="str">
        <f t="shared" ref="E1952:E1966" ca="1" si="663">IF(ISBLANK( INDIRECT($F$1565 &amp; D1952)),"", INDIRECT($F$1565 &amp; D1952))</f>
        <v/>
      </c>
      <c r="F1952" t="str">
        <f t="shared" ref="F1952:F1966" ca="1" si="664">CONCATENATE("Enter a '"&amp; H1952 &amp;"' for  building ", C1952, " in cell ", D1952, ".", CHAR(10))</f>
        <v xml:space="preserve">Enter a 'Building Street Address Only 
(DO NOT ENTER CITY, STATE, OR ZIP)' for  building 24 in cell C27.
</v>
      </c>
      <c r="G1952" s="9" t="str">
        <f t="shared" ref="G1952:G2015" ca="1" si="665">OFFSET(G1952, -1, 0) &amp; A1952</f>
        <v xml:space="preserve">Enter a value for 'Number of Floors in the Tallest Building' in cell B60.
</v>
      </c>
      <c r="H1952" s="52" t="str">
        <f t="shared" ref="H1952:H1966" ca="1" si="666">OFFSET(INDIRECT($F$1565 &amp; D1952), -B1952 + 3, 0)</f>
        <v>Building Street Address Only 
(DO NOT ENTER CITY, STATE, OR ZIP)</v>
      </c>
      <c r="I1952" s="52">
        <v>3</v>
      </c>
    </row>
    <row r="1953" spans="1:10" ht="15" customHeight="1">
      <c r="A1953" t="str">
        <f t="shared" ca="1" si="660"/>
        <v/>
      </c>
      <c r="B1953">
        <f t="shared" si="661"/>
        <v>27</v>
      </c>
      <c r="C1953">
        <f t="shared" ca="1" si="641"/>
        <v>24</v>
      </c>
      <c r="D1953" t="str">
        <f t="shared" si="662"/>
        <v>D27</v>
      </c>
      <c r="E1953" t="str">
        <f t="shared" ca="1" si="663"/>
        <v/>
      </c>
      <c r="F1953" t="str">
        <f t="shared" ca="1" si="664"/>
        <v xml:space="preserve">Enter a 'Total Units in Building*' for  building 24 in cell D27.
</v>
      </c>
      <c r="G1953" s="9" t="str">
        <f t="shared" ca="1" si="665"/>
        <v xml:space="preserve">Enter a value for 'Number of Floors in the Tallest Building' in cell B60.
</v>
      </c>
      <c r="H1953" s="52" t="str">
        <f t="shared" ca="1" si="666"/>
        <v>Total Units in Building*</v>
      </c>
      <c r="I1953" s="52">
        <v>4</v>
      </c>
    </row>
    <row r="1954" spans="1:10" ht="15" customHeight="1">
      <c r="A1954" t="str">
        <f t="shared" ca="1" si="660"/>
        <v/>
      </c>
      <c r="B1954">
        <f t="shared" si="661"/>
        <v>27</v>
      </c>
      <c r="C1954">
        <f t="shared" ca="1" si="641"/>
        <v>24</v>
      </c>
      <c r="D1954" t="str">
        <f t="shared" si="662"/>
        <v>E27</v>
      </c>
      <c r="E1954" t="str">
        <f t="shared" ca="1" si="663"/>
        <v/>
      </c>
      <c r="F1954" t="str">
        <f t="shared" ca="1" si="664"/>
        <v xml:space="preserve">Enter a 'Employee Units' for  building 24 in cell E27.
</v>
      </c>
      <c r="G1954" s="9" t="str">
        <f t="shared" ca="1" si="665"/>
        <v xml:space="preserve">Enter a value for 'Number of Floors in the Tallest Building' in cell B60.
</v>
      </c>
      <c r="H1954" s="52" t="str">
        <f t="shared" ca="1" si="666"/>
        <v>Employee Units</v>
      </c>
      <c r="I1954" s="52">
        <v>5</v>
      </c>
    </row>
    <row r="1955" spans="1:10" ht="15" customHeight="1">
      <c r="A1955" t="str">
        <f t="shared" ca="1" si="660"/>
        <v/>
      </c>
      <c r="B1955">
        <f t="shared" si="661"/>
        <v>27</v>
      </c>
      <c r="C1955">
        <f t="shared" ca="1" si="641"/>
        <v>24</v>
      </c>
      <c r="D1955" t="str">
        <f t="shared" si="662"/>
        <v>F27</v>
      </c>
      <c r="E1955" t="str">
        <f t="shared" ca="1" si="663"/>
        <v/>
      </c>
      <c r="F1955" t="str">
        <f t="shared" ca="1" si="664"/>
        <v xml:space="preserve">Enter a 'Low-Income Units' for  building 24 in cell F27.
</v>
      </c>
      <c r="G1955" s="9" t="str">
        <f t="shared" ca="1" si="665"/>
        <v xml:space="preserve">Enter a value for 'Number of Floors in the Tallest Building' in cell B60.
</v>
      </c>
      <c r="H1955" s="52" t="str">
        <f t="shared" ca="1" si="666"/>
        <v>Low-Income Units</v>
      </c>
      <c r="I1955" s="52">
        <v>6</v>
      </c>
    </row>
    <row r="1956" spans="1:10" ht="15" customHeight="1">
      <c r="A1956" t="str">
        <f t="shared" ca="1" si="660"/>
        <v/>
      </c>
      <c r="B1956">
        <f t="shared" si="661"/>
        <v>27</v>
      </c>
      <c r="C1956">
        <f t="shared" ca="1" si="641"/>
        <v>24</v>
      </c>
      <c r="D1956" t="str">
        <f t="shared" si="662"/>
        <v>G27</v>
      </c>
      <c r="E1956" t="str">
        <f t="shared" ca="1" si="663"/>
        <v/>
      </c>
      <c r="F1956" t="str">
        <f t="shared" ca="1" si="664"/>
        <v xml:space="preserve">Enter a 'Residential Square Footage**' for  building 24 in cell G27.
</v>
      </c>
      <c r="G1956" s="9" t="str">
        <f t="shared" ca="1" si="665"/>
        <v xml:space="preserve">Enter a value for 'Number of Floors in the Tallest Building' in cell B60.
</v>
      </c>
      <c r="H1956" s="52" t="str">
        <f t="shared" ca="1" si="666"/>
        <v>Residential Square Footage**</v>
      </c>
      <c r="I1956" s="52">
        <v>7</v>
      </c>
    </row>
    <row r="1957" spans="1:10" ht="15" customHeight="1">
      <c r="A1957" t="str">
        <f t="shared" ca="1" si="660"/>
        <v/>
      </c>
      <c r="B1957">
        <f t="shared" si="661"/>
        <v>27</v>
      </c>
      <c r="C1957">
        <f t="shared" ca="1" si="641"/>
        <v>24</v>
      </c>
      <c r="D1957" t="str">
        <f t="shared" si="662"/>
        <v>H27</v>
      </c>
      <c r="E1957" t="str">
        <f t="shared" ca="1" si="663"/>
        <v/>
      </c>
      <c r="F1957" t="str">
        <f t="shared" ca="1" si="664"/>
        <v xml:space="preserve">Enter a 'Square Footage of Employee Units' for  building 24 in cell H27.
</v>
      </c>
      <c r="G1957" s="9" t="str">
        <f t="shared" ca="1" si="665"/>
        <v xml:space="preserve">Enter a value for 'Number of Floors in the Tallest Building' in cell B60.
</v>
      </c>
      <c r="H1957" s="52" t="str">
        <f t="shared" ca="1" si="666"/>
        <v>Square Footage of Employee Units</v>
      </c>
      <c r="I1957" s="52">
        <v>8</v>
      </c>
    </row>
    <row r="1958" spans="1:10" ht="15" customHeight="1">
      <c r="A1958" t="str">
        <f t="shared" ca="1" si="660"/>
        <v/>
      </c>
      <c r="B1958">
        <f t="shared" si="661"/>
        <v>27</v>
      </c>
      <c r="C1958">
        <f t="shared" ca="1" si="641"/>
        <v>24</v>
      </c>
      <c r="D1958" t="str">
        <f t="shared" si="662"/>
        <v>I27</v>
      </c>
      <c r="E1958" t="str">
        <f t="shared" ca="1" si="663"/>
        <v/>
      </c>
      <c r="F1958" t="str">
        <f t="shared" ca="1" si="664"/>
        <v xml:space="preserve">Enter a 'Square Footage of Low-Income Units' for  building 24 in cell I27.
</v>
      </c>
      <c r="G1958" s="9" t="str">
        <f t="shared" ca="1" si="665"/>
        <v xml:space="preserve">Enter a value for 'Number of Floors in the Tallest Building' in cell B60.
</v>
      </c>
      <c r="H1958" s="52" t="str">
        <f t="shared" ca="1" si="666"/>
        <v>Square Footage of Low-Income Units</v>
      </c>
      <c r="I1958" s="52">
        <v>9</v>
      </c>
    </row>
    <row r="1959" spans="1:10" ht="15" customHeight="1">
      <c r="A1959" t="str">
        <f t="shared" ca="1" si="660"/>
        <v/>
      </c>
      <c r="B1959">
        <f t="shared" si="661"/>
        <v>27</v>
      </c>
      <c r="C1959">
        <f t="shared" ca="1" si="641"/>
        <v>24</v>
      </c>
      <c r="D1959" t="str">
        <f t="shared" si="662"/>
        <v>J27</v>
      </c>
      <c r="E1959" t="str">
        <f t="shared" ca="1" si="663"/>
        <v/>
      </c>
      <c r="F1959" t="str">
        <f t="shared" ca="1" si="664"/>
        <v xml:space="preserve">Enter a 'Placed-In-Service Date' for  building 24 in cell J27.
</v>
      </c>
      <c r="G1959" s="9" t="str">
        <f t="shared" ca="1" si="665"/>
        <v xml:space="preserve">Enter a value for 'Number of Floors in the Tallest Building' in cell B60.
</v>
      </c>
      <c r="H1959" s="52" t="str">
        <f t="shared" ca="1" si="666"/>
        <v>Placed-In-Service Date</v>
      </c>
      <c r="I1959" s="52">
        <v>10</v>
      </c>
    </row>
    <row r="1960" spans="1:10" ht="15" customHeight="1">
      <c r="A1960" t="str">
        <f t="shared" ca="1" si="660"/>
        <v/>
      </c>
      <c r="B1960">
        <f t="shared" si="661"/>
        <v>27</v>
      </c>
      <c r="C1960">
        <f t="shared" ca="1" si="641"/>
        <v>24</v>
      </c>
      <c r="D1960" t="str">
        <f t="shared" si="662"/>
        <v>K27</v>
      </c>
      <c r="E1960" t="str">
        <f t="shared" ca="1" si="663"/>
        <v/>
      </c>
      <c r="F1960" t="str">
        <f t="shared" ca="1" si="664"/>
        <v xml:space="preserve">Enter a 'New Construction/ Rehab APR' for  building 24 in cell K27.
</v>
      </c>
      <c r="G1960" s="9" t="str">
        <f t="shared" ca="1" si="665"/>
        <v xml:space="preserve">Enter a value for 'Number of Floors in the Tallest Building' in cell B60.
</v>
      </c>
      <c r="H1960" s="52" t="str">
        <f t="shared" ca="1" si="666"/>
        <v>New Construction/ Rehab APR</v>
      </c>
      <c r="I1960" s="52">
        <v>11</v>
      </c>
    </row>
    <row r="1961" spans="1:10" ht="15" customHeight="1">
      <c r="A1961" t="str">
        <f t="shared" ca="1" si="660"/>
        <v/>
      </c>
      <c r="B1961">
        <f t="shared" si="661"/>
        <v>27</v>
      </c>
      <c r="C1961">
        <f t="shared" ca="1" si="641"/>
        <v>24</v>
      </c>
      <c r="D1961" t="str">
        <f t="shared" si="662"/>
        <v>L27</v>
      </c>
      <c r="E1961" t="str">
        <f t="shared" ca="1" si="663"/>
        <v/>
      </c>
      <c r="F1961" t="str">
        <f t="shared" ca="1" si="664"/>
        <v xml:space="preserve">Enter a 'New Construction Eligible Basis' for  building 24 in cell L27.
</v>
      </c>
      <c r="G1961" s="9" t="str">
        <f t="shared" ca="1" si="665"/>
        <v xml:space="preserve">Enter a value for 'Number of Floors in the Tallest Building' in cell B60.
</v>
      </c>
      <c r="H1961" s="52" t="str">
        <f t="shared" ca="1" si="666"/>
        <v>New Construction Eligible Basis</v>
      </c>
      <c r="I1961" s="52">
        <v>12</v>
      </c>
    </row>
    <row r="1962" spans="1:10" ht="15" customHeight="1">
      <c r="A1962" t="str">
        <f ca="1">IF(AND(OFFSET(A1962, -I1962 + 2, 4) &gt;  0, E1962="", Calculations!$B$7), F1962, "")</f>
        <v/>
      </c>
      <c r="B1962">
        <f t="shared" si="661"/>
        <v>27</v>
      </c>
      <c r="C1962">
        <f t="shared" ca="1" si="641"/>
        <v>24</v>
      </c>
      <c r="D1962" t="str">
        <f t="shared" si="662"/>
        <v>M27</v>
      </c>
      <c r="E1962" t="str">
        <f t="shared" ca="1" si="663"/>
        <v/>
      </c>
      <c r="F1962" t="str">
        <f t="shared" ca="1" si="664"/>
        <v xml:space="preserve">Enter a 'Eligible Basis for Rehab' for  building 24 in cell M27.
</v>
      </c>
      <c r="G1962" s="9" t="str">
        <f t="shared" ca="1" si="665"/>
        <v xml:space="preserve">Enter a value for 'Number of Floors in the Tallest Building' in cell B60.
</v>
      </c>
      <c r="H1962" s="52" t="str">
        <f t="shared" ca="1" si="666"/>
        <v>Eligible Basis for Rehab</v>
      </c>
      <c r="I1962" s="52">
        <v>13</v>
      </c>
    </row>
    <row r="1963" spans="1:10" ht="15" customHeight="1">
      <c r="A1963" t="str">
        <f ca="1">IF(AND(OFFSET(A1963, -I1963 + 2, 4) &gt;  0, E1963="", Calculations!$B$7), F1963, "")</f>
        <v/>
      </c>
      <c r="B1963">
        <f t="shared" si="661"/>
        <v>27</v>
      </c>
      <c r="C1963">
        <f t="shared" ca="1" si="641"/>
        <v>24</v>
      </c>
      <c r="D1963" t="str">
        <f t="shared" si="662"/>
        <v>N27</v>
      </c>
      <c r="E1963" t="str">
        <f t="shared" ca="1" si="663"/>
        <v/>
      </c>
      <c r="F1963" t="str">
        <f t="shared" ca="1" si="664"/>
        <v xml:space="preserve">Enter a 'Cost of Acquiring the Building***' for  building 24 in cell N27.
</v>
      </c>
      <c r="G1963" s="9" t="str">
        <f t="shared" ca="1" si="665"/>
        <v xml:space="preserve">Enter a value for 'Number of Floors in the Tallest Building' in cell B60.
</v>
      </c>
      <c r="H1963" s="52" t="str">
        <f t="shared" ca="1" si="666"/>
        <v>Cost of Acquiring the Building***</v>
      </c>
      <c r="I1963" s="52">
        <v>14</v>
      </c>
    </row>
    <row r="1964" spans="1:10" ht="15" customHeight="1">
      <c r="A1964" t="str">
        <f ca="1">IF(AND(OFFSET(A1964, -I1964 + 2, 4) &gt;  0, E1964="", Calculations!$B$7), F1964, "")</f>
        <v/>
      </c>
      <c r="B1964">
        <f t="shared" si="661"/>
        <v>27</v>
      </c>
      <c r="C1964">
        <f t="shared" ca="1" si="641"/>
        <v>24</v>
      </c>
      <c r="D1964" t="str">
        <f t="shared" si="662"/>
        <v>O27</v>
      </c>
      <c r="E1964" t="str">
        <f t="shared" ca="1" si="663"/>
        <v/>
      </c>
      <c r="F1964" t="str">
        <f t="shared" ca="1" si="664"/>
        <v xml:space="preserve">Enter a 'Higher of Land Purchase Price or Land Appraised Value****' for  building 24 in cell O27.
</v>
      </c>
      <c r="G1964" s="9" t="str">
        <f t="shared" ca="1" si="665"/>
        <v xml:space="preserve">Enter a value for 'Number of Floors in the Tallest Building' in cell B60.
</v>
      </c>
      <c r="H1964" s="52" t="str">
        <f t="shared" ca="1" si="666"/>
        <v>Higher of Land Purchase Price or Land Appraised Value****</v>
      </c>
      <c r="I1964" s="52">
        <v>15</v>
      </c>
    </row>
    <row r="1965" spans="1:10" ht="15" customHeight="1">
      <c r="A1965" t="str">
        <f ca="1">IF(AND(OFFSET(A1965, -I1965 + 2, 4) &gt;  0, E1965="", Calculations!$B$7), F1965, "")</f>
        <v/>
      </c>
      <c r="B1965">
        <f t="shared" si="661"/>
        <v>27</v>
      </c>
      <c r="C1965">
        <f t="shared" ca="1" si="641"/>
        <v>24</v>
      </c>
      <c r="D1965" t="str">
        <f t="shared" si="662"/>
        <v>P27</v>
      </c>
      <c r="E1965" t="str">
        <f t="shared" ca="1" si="663"/>
        <v/>
      </c>
      <c r="F1965" t="str">
        <f t="shared" ca="1" si="664"/>
        <v xml:space="preserve">Enter a 'Acquisition Placed-in-Service Date' for  building 24 in cell P27.
</v>
      </c>
      <c r="G1965" s="9" t="str">
        <f t="shared" ca="1" si="665"/>
        <v xml:space="preserve">Enter a value for 'Number of Floors in the Tallest Building' in cell B60.
</v>
      </c>
      <c r="H1965" s="52" t="str">
        <f t="shared" ca="1" si="666"/>
        <v>Acquisition Placed-in-Service Date</v>
      </c>
      <c r="I1965" s="52">
        <v>16</v>
      </c>
    </row>
    <row r="1966" spans="1:10" ht="15" customHeight="1">
      <c r="A1966" t="str">
        <f ca="1">IF(AND(OFFSET(A1966, -I1966 + 2, 4) &gt;  0, E1966="", Calculations!$B$7), F1966, "")</f>
        <v/>
      </c>
      <c r="B1966">
        <f t="shared" si="661"/>
        <v>27</v>
      </c>
      <c r="C1966">
        <f t="shared" ca="1" si="641"/>
        <v>24</v>
      </c>
      <c r="D1966" t="str">
        <f t="shared" si="662"/>
        <v>Q27</v>
      </c>
      <c r="E1966" t="str">
        <f t="shared" ca="1" si="663"/>
        <v/>
      </c>
      <c r="F1966" t="str">
        <f t="shared" ca="1" si="664"/>
        <v xml:space="preserve">Enter a 'Acquisition APR' for  building 24 in cell Q27.
</v>
      </c>
      <c r="G1966" s="9" t="str">
        <f t="shared" ca="1" si="665"/>
        <v xml:space="preserve">Enter a value for 'Number of Floors in the Tallest Building' in cell B60.
</v>
      </c>
      <c r="H1966" s="52" t="str">
        <f t="shared" ca="1" si="666"/>
        <v>Acquisition APR</v>
      </c>
      <c r="I1966" s="52">
        <v>17</v>
      </c>
    </row>
    <row r="1967" spans="1:10" ht="15" customHeight="1">
      <c r="A1967" t="str">
        <f ca="1">IF(AND(Calculations!$B$4,Calculations!$B$29&gt;=C1967, E1967 &lt;&gt; 13),F1967,"")</f>
        <v/>
      </c>
      <c r="B1967">
        <f>ROW('Final Building Profile'!C28)</f>
        <v>28</v>
      </c>
      <c r="C1967">
        <f t="shared" ref="C1967:C2030" ca="1" si="667">INDIRECT($F$1565 &amp; ADDRESS(B1967, 1,4  ))</f>
        <v>25</v>
      </c>
      <c r="D1967" t="str">
        <f>ADDRESS(B1967, 3,4  )</f>
        <v>C28</v>
      </c>
      <c r="E1967" s="52">
        <f ca="1">H1967+I1967</f>
        <v>0</v>
      </c>
      <c r="F1967" t="str">
        <f ca="1">CONCATENATE("Based upon the number of buildings specified, information for  building ", C1967, " required for a final application in row ", B1967, ".", CHAR(10))</f>
        <v xml:space="preserve">Based upon the number of buildings specified, information for  building 25 required for a final application in row 28.
</v>
      </c>
      <c r="G1967" s="9" t="str">
        <f t="shared" ca="1" si="665"/>
        <v xml:space="preserve">Enter a value for 'Number of Floors in the Tallest Building' in cell B60.
</v>
      </c>
      <c r="H1967" s="52">
        <f ca="1">SUMPRODUCT(--ISTEXT(INDIRECT(J1967)))</f>
        <v>0</v>
      </c>
      <c r="I1967" s="52">
        <f ca="1">SUMPRODUCT(--ISNUMBER(INDIRECT(J1967)))</f>
        <v>0</v>
      </c>
      <c r="J1967" s="52" t="str">
        <f>$F$1565&amp; ADDRESS(B1967,3,4) &amp; ":" &amp; ADDRESS(B1967,15,4)</f>
        <v>'Final Building Profile'!C28:O28</v>
      </c>
    </row>
    <row r="1968" spans="1:10" ht="15" customHeight="1">
      <c r="A1968" t="str">
        <f t="shared" ref="A1968:A1977" ca="1" si="668">IF(AND(OFFSET(A1968, -I1968 + 2, 4) &gt;  0, E1968=""), F1968, "")</f>
        <v/>
      </c>
      <c r="B1968">
        <f t="shared" ref="B1968:B1982" si="669">B1967</f>
        <v>28</v>
      </c>
      <c r="C1968">
        <f t="shared" ca="1" si="667"/>
        <v>25</v>
      </c>
      <c r="D1968" t="str">
        <f t="shared" ref="D1968:D1982" si="670">ADDRESS(B1968, I1968,4  )</f>
        <v>C28</v>
      </c>
      <c r="E1968" t="str">
        <f t="shared" ref="E1968:E1982" ca="1" si="671">IF(ISBLANK( INDIRECT($F$1565 &amp; D1968)),"", INDIRECT($F$1565 &amp; D1968))</f>
        <v/>
      </c>
      <c r="F1968" t="str">
        <f t="shared" ref="F1968:F1982" ca="1" si="672">CONCATENATE("Enter a '"&amp; H1968 &amp;"' for  building ", C1968, " in cell ", D1968, ".", CHAR(10))</f>
        <v xml:space="preserve">Enter a 'Building Street Address Only 
(DO NOT ENTER CITY, STATE, OR ZIP)' for  building 25 in cell C28.
</v>
      </c>
      <c r="G1968" s="9" t="str">
        <f t="shared" ca="1" si="665"/>
        <v xml:space="preserve">Enter a value for 'Number of Floors in the Tallest Building' in cell B60.
</v>
      </c>
      <c r="H1968" s="52" t="str">
        <f t="shared" ref="H1968:H1982" ca="1" si="673">OFFSET(INDIRECT($F$1565 &amp; D1968), -B1968 + 3, 0)</f>
        <v>Building Street Address Only 
(DO NOT ENTER CITY, STATE, OR ZIP)</v>
      </c>
      <c r="I1968" s="52">
        <v>3</v>
      </c>
    </row>
    <row r="1969" spans="1:10" ht="15" customHeight="1">
      <c r="A1969" t="str">
        <f t="shared" ca="1" si="668"/>
        <v/>
      </c>
      <c r="B1969">
        <f t="shared" si="669"/>
        <v>28</v>
      </c>
      <c r="C1969">
        <f t="shared" ca="1" si="667"/>
        <v>25</v>
      </c>
      <c r="D1969" t="str">
        <f t="shared" si="670"/>
        <v>D28</v>
      </c>
      <c r="E1969" t="str">
        <f t="shared" ca="1" si="671"/>
        <v/>
      </c>
      <c r="F1969" t="str">
        <f t="shared" ca="1" si="672"/>
        <v xml:space="preserve">Enter a 'Total Units in Building*' for  building 25 in cell D28.
</v>
      </c>
      <c r="G1969" s="9" t="str">
        <f t="shared" ca="1" si="665"/>
        <v xml:space="preserve">Enter a value for 'Number of Floors in the Tallest Building' in cell B60.
</v>
      </c>
      <c r="H1969" s="52" t="str">
        <f t="shared" ca="1" si="673"/>
        <v>Total Units in Building*</v>
      </c>
      <c r="I1969" s="52">
        <v>4</v>
      </c>
    </row>
    <row r="1970" spans="1:10" ht="15" customHeight="1">
      <c r="A1970" t="str">
        <f t="shared" ca="1" si="668"/>
        <v/>
      </c>
      <c r="B1970">
        <f t="shared" si="669"/>
        <v>28</v>
      </c>
      <c r="C1970">
        <f t="shared" ca="1" si="667"/>
        <v>25</v>
      </c>
      <c r="D1970" t="str">
        <f t="shared" si="670"/>
        <v>E28</v>
      </c>
      <c r="E1970" t="str">
        <f t="shared" ca="1" si="671"/>
        <v/>
      </c>
      <c r="F1970" t="str">
        <f t="shared" ca="1" si="672"/>
        <v xml:space="preserve">Enter a 'Employee Units' for  building 25 in cell E28.
</v>
      </c>
      <c r="G1970" s="9" t="str">
        <f t="shared" ca="1" si="665"/>
        <v xml:space="preserve">Enter a value for 'Number of Floors in the Tallest Building' in cell B60.
</v>
      </c>
      <c r="H1970" s="52" t="str">
        <f t="shared" ca="1" si="673"/>
        <v>Employee Units</v>
      </c>
      <c r="I1970" s="52">
        <v>5</v>
      </c>
    </row>
    <row r="1971" spans="1:10" ht="15" customHeight="1">
      <c r="A1971" t="str">
        <f t="shared" ca="1" si="668"/>
        <v/>
      </c>
      <c r="B1971">
        <f t="shared" si="669"/>
        <v>28</v>
      </c>
      <c r="C1971">
        <f t="shared" ca="1" si="667"/>
        <v>25</v>
      </c>
      <c r="D1971" t="str">
        <f t="shared" si="670"/>
        <v>F28</v>
      </c>
      <c r="E1971" t="str">
        <f t="shared" ca="1" si="671"/>
        <v/>
      </c>
      <c r="F1971" t="str">
        <f t="shared" ca="1" si="672"/>
        <v xml:space="preserve">Enter a 'Low-Income Units' for  building 25 in cell F28.
</v>
      </c>
      <c r="G1971" s="9" t="str">
        <f t="shared" ca="1" si="665"/>
        <v xml:space="preserve">Enter a value for 'Number of Floors in the Tallest Building' in cell B60.
</v>
      </c>
      <c r="H1971" s="52" t="str">
        <f t="shared" ca="1" si="673"/>
        <v>Low-Income Units</v>
      </c>
      <c r="I1971" s="52">
        <v>6</v>
      </c>
    </row>
    <row r="1972" spans="1:10" ht="15" customHeight="1">
      <c r="A1972" t="str">
        <f t="shared" ca="1" si="668"/>
        <v/>
      </c>
      <c r="B1972">
        <f t="shared" si="669"/>
        <v>28</v>
      </c>
      <c r="C1972">
        <f t="shared" ca="1" si="667"/>
        <v>25</v>
      </c>
      <c r="D1972" t="str">
        <f t="shared" si="670"/>
        <v>G28</v>
      </c>
      <c r="E1972" t="str">
        <f t="shared" ca="1" si="671"/>
        <v/>
      </c>
      <c r="F1972" t="str">
        <f t="shared" ca="1" si="672"/>
        <v xml:space="preserve">Enter a 'Residential Square Footage**' for  building 25 in cell G28.
</v>
      </c>
      <c r="G1972" s="9" t="str">
        <f t="shared" ca="1" si="665"/>
        <v xml:space="preserve">Enter a value for 'Number of Floors in the Tallest Building' in cell B60.
</v>
      </c>
      <c r="H1972" s="52" t="str">
        <f t="shared" ca="1" si="673"/>
        <v>Residential Square Footage**</v>
      </c>
      <c r="I1972" s="52">
        <v>7</v>
      </c>
    </row>
    <row r="1973" spans="1:10" ht="15" customHeight="1">
      <c r="A1973" t="str">
        <f t="shared" ca="1" si="668"/>
        <v/>
      </c>
      <c r="B1973">
        <f t="shared" si="669"/>
        <v>28</v>
      </c>
      <c r="C1973">
        <f t="shared" ca="1" si="667"/>
        <v>25</v>
      </c>
      <c r="D1973" t="str">
        <f t="shared" si="670"/>
        <v>H28</v>
      </c>
      <c r="E1973" t="str">
        <f t="shared" ca="1" si="671"/>
        <v/>
      </c>
      <c r="F1973" t="str">
        <f t="shared" ca="1" si="672"/>
        <v xml:space="preserve">Enter a 'Square Footage of Employee Units' for  building 25 in cell H28.
</v>
      </c>
      <c r="G1973" s="9" t="str">
        <f t="shared" ca="1" si="665"/>
        <v xml:space="preserve">Enter a value for 'Number of Floors in the Tallest Building' in cell B60.
</v>
      </c>
      <c r="H1973" s="52" t="str">
        <f t="shared" ca="1" si="673"/>
        <v>Square Footage of Employee Units</v>
      </c>
      <c r="I1973" s="52">
        <v>8</v>
      </c>
    </row>
    <row r="1974" spans="1:10" ht="15" customHeight="1">
      <c r="A1974" t="str">
        <f t="shared" ca="1" si="668"/>
        <v/>
      </c>
      <c r="B1974">
        <f t="shared" si="669"/>
        <v>28</v>
      </c>
      <c r="C1974">
        <f t="shared" ca="1" si="667"/>
        <v>25</v>
      </c>
      <c r="D1974" t="str">
        <f t="shared" si="670"/>
        <v>I28</v>
      </c>
      <c r="E1974" t="str">
        <f t="shared" ca="1" si="671"/>
        <v/>
      </c>
      <c r="F1974" t="str">
        <f t="shared" ca="1" si="672"/>
        <v xml:space="preserve">Enter a 'Square Footage of Low-Income Units' for  building 25 in cell I28.
</v>
      </c>
      <c r="G1974" s="9" t="str">
        <f t="shared" ca="1" si="665"/>
        <v xml:space="preserve">Enter a value for 'Number of Floors in the Tallest Building' in cell B60.
</v>
      </c>
      <c r="H1974" s="52" t="str">
        <f t="shared" ca="1" si="673"/>
        <v>Square Footage of Low-Income Units</v>
      </c>
      <c r="I1974" s="52">
        <v>9</v>
      </c>
    </row>
    <row r="1975" spans="1:10" ht="15" customHeight="1">
      <c r="A1975" t="str">
        <f t="shared" ca="1" si="668"/>
        <v/>
      </c>
      <c r="B1975">
        <f t="shared" si="669"/>
        <v>28</v>
      </c>
      <c r="C1975">
        <f t="shared" ca="1" si="667"/>
        <v>25</v>
      </c>
      <c r="D1975" t="str">
        <f t="shared" si="670"/>
        <v>J28</v>
      </c>
      <c r="E1975" t="str">
        <f t="shared" ca="1" si="671"/>
        <v/>
      </c>
      <c r="F1975" t="str">
        <f t="shared" ca="1" si="672"/>
        <v xml:space="preserve">Enter a 'Placed-In-Service Date' for  building 25 in cell J28.
</v>
      </c>
      <c r="G1975" s="9" t="str">
        <f t="shared" ca="1" si="665"/>
        <v xml:space="preserve">Enter a value for 'Number of Floors in the Tallest Building' in cell B60.
</v>
      </c>
      <c r="H1975" s="52" t="str">
        <f t="shared" ca="1" si="673"/>
        <v>Placed-In-Service Date</v>
      </c>
      <c r="I1975" s="52">
        <v>10</v>
      </c>
    </row>
    <row r="1976" spans="1:10" ht="15" customHeight="1">
      <c r="A1976" t="str">
        <f t="shared" ca="1" si="668"/>
        <v/>
      </c>
      <c r="B1976">
        <f t="shared" si="669"/>
        <v>28</v>
      </c>
      <c r="C1976">
        <f t="shared" ca="1" si="667"/>
        <v>25</v>
      </c>
      <c r="D1976" t="str">
        <f t="shared" si="670"/>
        <v>K28</v>
      </c>
      <c r="E1976" t="str">
        <f t="shared" ca="1" si="671"/>
        <v/>
      </c>
      <c r="F1976" t="str">
        <f t="shared" ca="1" si="672"/>
        <v xml:space="preserve">Enter a 'New Construction/ Rehab APR' for  building 25 in cell K28.
</v>
      </c>
      <c r="G1976" s="9" t="str">
        <f t="shared" ca="1" si="665"/>
        <v xml:space="preserve">Enter a value for 'Number of Floors in the Tallest Building' in cell B60.
</v>
      </c>
      <c r="H1976" s="52" t="str">
        <f t="shared" ca="1" si="673"/>
        <v>New Construction/ Rehab APR</v>
      </c>
      <c r="I1976" s="52">
        <v>11</v>
      </c>
    </row>
    <row r="1977" spans="1:10" ht="15" customHeight="1">
      <c r="A1977" t="str">
        <f t="shared" ca="1" si="668"/>
        <v/>
      </c>
      <c r="B1977">
        <f t="shared" si="669"/>
        <v>28</v>
      </c>
      <c r="C1977">
        <f t="shared" ca="1" si="667"/>
        <v>25</v>
      </c>
      <c r="D1977" t="str">
        <f t="shared" si="670"/>
        <v>L28</v>
      </c>
      <c r="E1977" t="str">
        <f t="shared" ca="1" si="671"/>
        <v/>
      </c>
      <c r="F1977" t="str">
        <f t="shared" ca="1" si="672"/>
        <v xml:space="preserve">Enter a 'New Construction Eligible Basis' for  building 25 in cell L28.
</v>
      </c>
      <c r="G1977" s="9" t="str">
        <f t="shared" ca="1" si="665"/>
        <v xml:space="preserve">Enter a value for 'Number of Floors in the Tallest Building' in cell B60.
</v>
      </c>
      <c r="H1977" s="52" t="str">
        <f t="shared" ca="1" si="673"/>
        <v>New Construction Eligible Basis</v>
      </c>
      <c r="I1977" s="52">
        <v>12</v>
      </c>
    </row>
    <row r="1978" spans="1:10" ht="15" customHeight="1">
      <c r="A1978" t="str">
        <f ca="1">IF(AND(OFFSET(A1978, -I1978 + 2, 4) &gt;  0, E1978="", Calculations!$B$7), F1978, "")</f>
        <v/>
      </c>
      <c r="B1978">
        <f t="shared" si="669"/>
        <v>28</v>
      </c>
      <c r="C1978">
        <f t="shared" ca="1" si="667"/>
        <v>25</v>
      </c>
      <c r="D1978" t="str">
        <f t="shared" si="670"/>
        <v>M28</v>
      </c>
      <c r="E1978" t="str">
        <f t="shared" ca="1" si="671"/>
        <v/>
      </c>
      <c r="F1978" t="str">
        <f t="shared" ca="1" si="672"/>
        <v xml:space="preserve">Enter a 'Eligible Basis for Rehab' for  building 25 in cell M28.
</v>
      </c>
      <c r="G1978" s="9" t="str">
        <f t="shared" ca="1" si="665"/>
        <v xml:space="preserve">Enter a value for 'Number of Floors in the Tallest Building' in cell B60.
</v>
      </c>
      <c r="H1978" s="52" t="str">
        <f t="shared" ca="1" si="673"/>
        <v>Eligible Basis for Rehab</v>
      </c>
      <c r="I1978" s="52">
        <v>13</v>
      </c>
    </row>
    <row r="1979" spans="1:10" ht="15" customHeight="1">
      <c r="A1979" t="str">
        <f ca="1">IF(AND(OFFSET(A1979, -I1979 + 2, 4) &gt;  0, E1979="", Calculations!$B$7), F1979, "")</f>
        <v/>
      </c>
      <c r="B1979">
        <f t="shared" si="669"/>
        <v>28</v>
      </c>
      <c r="C1979">
        <f t="shared" ca="1" si="667"/>
        <v>25</v>
      </c>
      <c r="D1979" t="str">
        <f t="shared" si="670"/>
        <v>N28</v>
      </c>
      <c r="E1979" t="str">
        <f t="shared" ca="1" si="671"/>
        <v/>
      </c>
      <c r="F1979" t="str">
        <f t="shared" ca="1" si="672"/>
        <v xml:space="preserve">Enter a 'Cost of Acquiring the Building***' for  building 25 in cell N28.
</v>
      </c>
      <c r="G1979" s="9" t="str">
        <f t="shared" ca="1" si="665"/>
        <v xml:space="preserve">Enter a value for 'Number of Floors in the Tallest Building' in cell B60.
</v>
      </c>
      <c r="H1979" s="52" t="str">
        <f t="shared" ca="1" si="673"/>
        <v>Cost of Acquiring the Building***</v>
      </c>
      <c r="I1979" s="52">
        <v>14</v>
      </c>
    </row>
    <row r="1980" spans="1:10" ht="15" customHeight="1">
      <c r="A1980" t="str">
        <f ca="1">IF(AND(OFFSET(A1980, -I1980 + 2, 4) &gt;  0, E1980="", Calculations!$B$7), F1980, "")</f>
        <v/>
      </c>
      <c r="B1980">
        <f t="shared" si="669"/>
        <v>28</v>
      </c>
      <c r="C1980">
        <f t="shared" ca="1" si="667"/>
        <v>25</v>
      </c>
      <c r="D1980" t="str">
        <f t="shared" si="670"/>
        <v>O28</v>
      </c>
      <c r="E1980" t="str">
        <f t="shared" ca="1" si="671"/>
        <v/>
      </c>
      <c r="F1980" t="str">
        <f t="shared" ca="1" si="672"/>
        <v xml:space="preserve">Enter a 'Higher of Land Purchase Price or Land Appraised Value****' for  building 25 in cell O28.
</v>
      </c>
      <c r="G1980" s="9" t="str">
        <f t="shared" ca="1" si="665"/>
        <v xml:space="preserve">Enter a value for 'Number of Floors in the Tallest Building' in cell B60.
</v>
      </c>
      <c r="H1980" s="52" t="str">
        <f t="shared" ca="1" si="673"/>
        <v>Higher of Land Purchase Price or Land Appraised Value****</v>
      </c>
      <c r="I1980" s="52">
        <v>15</v>
      </c>
    </row>
    <row r="1981" spans="1:10" ht="15" customHeight="1">
      <c r="A1981" t="str">
        <f ca="1">IF(AND(OFFSET(A1981, -I1981 + 2, 4) &gt;  0, E1981="", Calculations!$B$7), F1981, "")</f>
        <v/>
      </c>
      <c r="B1981">
        <f t="shared" si="669"/>
        <v>28</v>
      </c>
      <c r="C1981">
        <f t="shared" ca="1" si="667"/>
        <v>25</v>
      </c>
      <c r="D1981" t="str">
        <f t="shared" si="670"/>
        <v>P28</v>
      </c>
      <c r="E1981" t="str">
        <f t="shared" ca="1" si="671"/>
        <v/>
      </c>
      <c r="F1981" t="str">
        <f t="shared" ca="1" si="672"/>
        <v xml:space="preserve">Enter a 'Acquisition Placed-in-Service Date' for  building 25 in cell P28.
</v>
      </c>
      <c r="G1981" s="9" t="str">
        <f t="shared" ca="1" si="665"/>
        <v xml:space="preserve">Enter a value for 'Number of Floors in the Tallest Building' in cell B60.
</v>
      </c>
      <c r="H1981" s="52" t="str">
        <f t="shared" ca="1" si="673"/>
        <v>Acquisition Placed-in-Service Date</v>
      </c>
      <c r="I1981" s="52">
        <v>16</v>
      </c>
    </row>
    <row r="1982" spans="1:10" ht="15" customHeight="1">
      <c r="A1982" t="str">
        <f ca="1">IF(AND(OFFSET(A1982, -I1982 + 2, 4) &gt;  0, E1982="", Calculations!$B$7), F1982, "")</f>
        <v/>
      </c>
      <c r="B1982">
        <f t="shared" si="669"/>
        <v>28</v>
      </c>
      <c r="C1982">
        <f t="shared" ca="1" si="667"/>
        <v>25</v>
      </c>
      <c r="D1982" t="str">
        <f t="shared" si="670"/>
        <v>Q28</v>
      </c>
      <c r="E1982" t="str">
        <f t="shared" ca="1" si="671"/>
        <v/>
      </c>
      <c r="F1982" t="str">
        <f t="shared" ca="1" si="672"/>
        <v xml:space="preserve">Enter a 'Acquisition APR' for  building 25 in cell Q28.
</v>
      </c>
      <c r="G1982" s="9" t="str">
        <f t="shared" ca="1" si="665"/>
        <v xml:space="preserve">Enter a value for 'Number of Floors in the Tallest Building' in cell B60.
</v>
      </c>
      <c r="H1982" s="52" t="str">
        <f t="shared" ca="1" si="673"/>
        <v>Acquisition APR</v>
      </c>
      <c r="I1982" s="52">
        <v>17</v>
      </c>
    </row>
    <row r="1983" spans="1:10" ht="15" customHeight="1">
      <c r="A1983" t="str">
        <f ca="1">IF(AND(Calculations!$B$4,Calculations!$B$29&gt;=C1983, E1983 &lt;&gt; 13),F1983,"")</f>
        <v/>
      </c>
      <c r="B1983">
        <f>ROW('Final Building Profile'!C29)</f>
        <v>29</v>
      </c>
      <c r="C1983">
        <f t="shared" ca="1" si="667"/>
        <v>26</v>
      </c>
      <c r="D1983" t="str">
        <f>ADDRESS(B1983, 3,4  )</f>
        <v>C29</v>
      </c>
      <c r="E1983" s="52">
        <f ca="1">H1983+I1983</f>
        <v>0</v>
      </c>
      <c r="F1983" t="str">
        <f ca="1">CONCATENATE("Based upon the number of buildings specified, information for  building ", C1983, " required for a final application in row ", B1983, ".", CHAR(10))</f>
        <v xml:space="preserve">Based upon the number of buildings specified, information for  building 26 required for a final application in row 29.
</v>
      </c>
      <c r="G1983" s="9" t="str">
        <f t="shared" ca="1" si="665"/>
        <v xml:space="preserve">Enter a value for 'Number of Floors in the Tallest Building' in cell B60.
</v>
      </c>
      <c r="H1983" s="52">
        <f ca="1">SUMPRODUCT(--ISTEXT(INDIRECT(J1983)))</f>
        <v>0</v>
      </c>
      <c r="I1983" s="52">
        <f ca="1">SUMPRODUCT(--ISNUMBER(INDIRECT(J1983)))</f>
        <v>0</v>
      </c>
      <c r="J1983" s="52" t="str">
        <f>$F$1565&amp; ADDRESS(B1983,3,4) &amp; ":" &amp; ADDRESS(B1983,15,4)</f>
        <v>'Final Building Profile'!C29:O29</v>
      </c>
    </row>
    <row r="1984" spans="1:10" ht="15" customHeight="1">
      <c r="A1984" t="str">
        <f t="shared" ref="A1984:A1993" ca="1" si="674">IF(AND(OFFSET(A1984, -I1984 + 2, 4) &gt;  0, E1984=""), F1984, "")</f>
        <v/>
      </c>
      <c r="B1984">
        <f t="shared" ref="B1984:B1998" si="675">B1983</f>
        <v>29</v>
      </c>
      <c r="C1984">
        <f t="shared" ca="1" si="667"/>
        <v>26</v>
      </c>
      <c r="D1984" t="str">
        <f t="shared" ref="D1984:D1998" si="676">ADDRESS(B1984, I1984,4  )</f>
        <v>C29</v>
      </c>
      <c r="E1984" t="str">
        <f t="shared" ref="E1984:E1998" ca="1" si="677">IF(ISBLANK( INDIRECT($F$1565 &amp; D1984)),"", INDIRECT($F$1565 &amp; D1984))</f>
        <v/>
      </c>
      <c r="F1984" t="str">
        <f t="shared" ref="F1984:F1998" ca="1" si="678">CONCATENATE("Enter a '"&amp; H1984 &amp;"' for  building ", C1984, " in cell ", D1984, ".", CHAR(10))</f>
        <v xml:space="preserve">Enter a 'Building Street Address Only 
(DO NOT ENTER CITY, STATE, OR ZIP)' for  building 26 in cell C29.
</v>
      </c>
      <c r="G1984" s="9" t="str">
        <f t="shared" ca="1" si="665"/>
        <v xml:space="preserve">Enter a value for 'Number of Floors in the Tallest Building' in cell B60.
</v>
      </c>
      <c r="H1984" s="52" t="str">
        <f t="shared" ref="H1984:H1998" ca="1" si="679">OFFSET(INDIRECT($F$1565 &amp; D1984), -B1984 + 3, 0)</f>
        <v>Building Street Address Only 
(DO NOT ENTER CITY, STATE, OR ZIP)</v>
      </c>
      <c r="I1984" s="52">
        <v>3</v>
      </c>
    </row>
    <row r="1985" spans="1:10" ht="15" customHeight="1">
      <c r="A1985" t="str">
        <f t="shared" ca="1" si="674"/>
        <v/>
      </c>
      <c r="B1985">
        <f t="shared" si="675"/>
        <v>29</v>
      </c>
      <c r="C1985">
        <f t="shared" ca="1" si="667"/>
        <v>26</v>
      </c>
      <c r="D1985" t="str">
        <f t="shared" si="676"/>
        <v>D29</v>
      </c>
      <c r="E1985" t="str">
        <f t="shared" ca="1" si="677"/>
        <v/>
      </c>
      <c r="F1985" t="str">
        <f t="shared" ca="1" si="678"/>
        <v xml:space="preserve">Enter a 'Total Units in Building*' for  building 26 in cell D29.
</v>
      </c>
      <c r="G1985" s="9" t="str">
        <f t="shared" ca="1" si="665"/>
        <v xml:space="preserve">Enter a value for 'Number of Floors in the Tallest Building' in cell B60.
</v>
      </c>
      <c r="H1985" s="52" t="str">
        <f t="shared" ca="1" si="679"/>
        <v>Total Units in Building*</v>
      </c>
      <c r="I1985" s="52">
        <v>4</v>
      </c>
    </row>
    <row r="1986" spans="1:10" ht="15" customHeight="1">
      <c r="A1986" t="str">
        <f t="shared" ca="1" si="674"/>
        <v/>
      </c>
      <c r="B1986">
        <f t="shared" si="675"/>
        <v>29</v>
      </c>
      <c r="C1986">
        <f t="shared" ca="1" si="667"/>
        <v>26</v>
      </c>
      <c r="D1986" t="str">
        <f t="shared" si="676"/>
        <v>E29</v>
      </c>
      <c r="E1986" t="str">
        <f t="shared" ca="1" si="677"/>
        <v/>
      </c>
      <c r="F1986" t="str">
        <f t="shared" ca="1" si="678"/>
        <v xml:space="preserve">Enter a 'Employee Units' for  building 26 in cell E29.
</v>
      </c>
      <c r="G1986" s="9" t="str">
        <f t="shared" ca="1" si="665"/>
        <v xml:space="preserve">Enter a value for 'Number of Floors in the Tallest Building' in cell B60.
</v>
      </c>
      <c r="H1986" s="52" t="str">
        <f t="shared" ca="1" si="679"/>
        <v>Employee Units</v>
      </c>
      <c r="I1986" s="52">
        <v>5</v>
      </c>
    </row>
    <row r="1987" spans="1:10" ht="15" customHeight="1">
      <c r="A1987" t="str">
        <f t="shared" ca="1" si="674"/>
        <v/>
      </c>
      <c r="B1987">
        <f t="shared" si="675"/>
        <v>29</v>
      </c>
      <c r="C1987">
        <f t="shared" ca="1" si="667"/>
        <v>26</v>
      </c>
      <c r="D1987" t="str">
        <f t="shared" si="676"/>
        <v>F29</v>
      </c>
      <c r="E1987" t="str">
        <f t="shared" ca="1" si="677"/>
        <v/>
      </c>
      <c r="F1987" t="str">
        <f t="shared" ca="1" si="678"/>
        <v xml:space="preserve">Enter a 'Low-Income Units' for  building 26 in cell F29.
</v>
      </c>
      <c r="G1987" s="9" t="str">
        <f t="shared" ca="1" si="665"/>
        <v xml:space="preserve">Enter a value for 'Number of Floors in the Tallest Building' in cell B60.
</v>
      </c>
      <c r="H1987" s="52" t="str">
        <f t="shared" ca="1" si="679"/>
        <v>Low-Income Units</v>
      </c>
      <c r="I1987" s="52">
        <v>6</v>
      </c>
    </row>
    <row r="1988" spans="1:10" ht="15" customHeight="1">
      <c r="A1988" t="str">
        <f t="shared" ca="1" si="674"/>
        <v/>
      </c>
      <c r="B1988">
        <f t="shared" si="675"/>
        <v>29</v>
      </c>
      <c r="C1988">
        <f t="shared" ca="1" si="667"/>
        <v>26</v>
      </c>
      <c r="D1988" t="str">
        <f t="shared" si="676"/>
        <v>G29</v>
      </c>
      <c r="E1988" t="str">
        <f t="shared" ca="1" si="677"/>
        <v/>
      </c>
      <c r="F1988" t="str">
        <f t="shared" ca="1" si="678"/>
        <v xml:space="preserve">Enter a 'Residential Square Footage**' for  building 26 in cell G29.
</v>
      </c>
      <c r="G1988" s="9" t="str">
        <f t="shared" ca="1" si="665"/>
        <v xml:space="preserve">Enter a value for 'Number of Floors in the Tallest Building' in cell B60.
</v>
      </c>
      <c r="H1988" s="52" t="str">
        <f t="shared" ca="1" si="679"/>
        <v>Residential Square Footage**</v>
      </c>
      <c r="I1988" s="52">
        <v>7</v>
      </c>
    </row>
    <row r="1989" spans="1:10" ht="15" customHeight="1">
      <c r="A1989" t="str">
        <f t="shared" ca="1" si="674"/>
        <v/>
      </c>
      <c r="B1989">
        <f t="shared" si="675"/>
        <v>29</v>
      </c>
      <c r="C1989">
        <f t="shared" ca="1" si="667"/>
        <v>26</v>
      </c>
      <c r="D1989" t="str">
        <f t="shared" si="676"/>
        <v>H29</v>
      </c>
      <c r="E1989" t="str">
        <f t="shared" ca="1" si="677"/>
        <v/>
      </c>
      <c r="F1989" t="str">
        <f t="shared" ca="1" si="678"/>
        <v xml:space="preserve">Enter a 'Square Footage of Employee Units' for  building 26 in cell H29.
</v>
      </c>
      <c r="G1989" s="9" t="str">
        <f t="shared" ca="1" si="665"/>
        <v xml:space="preserve">Enter a value for 'Number of Floors in the Tallest Building' in cell B60.
</v>
      </c>
      <c r="H1989" s="52" t="str">
        <f t="shared" ca="1" si="679"/>
        <v>Square Footage of Employee Units</v>
      </c>
      <c r="I1989" s="52">
        <v>8</v>
      </c>
    </row>
    <row r="1990" spans="1:10" ht="15" customHeight="1">
      <c r="A1990" t="str">
        <f t="shared" ca="1" si="674"/>
        <v/>
      </c>
      <c r="B1990">
        <f t="shared" si="675"/>
        <v>29</v>
      </c>
      <c r="C1990">
        <f t="shared" ca="1" si="667"/>
        <v>26</v>
      </c>
      <c r="D1990" t="str">
        <f t="shared" si="676"/>
        <v>I29</v>
      </c>
      <c r="E1990" t="str">
        <f t="shared" ca="1" si="677"/>
        <v/>
      </c>
      <c r="F1990" t="str">
        <f t="shared" ca="1" si="678"/>
        <v xml:space="preserve">Enter a 'Square Footage of Low-Income Units' for  building 26 in cell I29.
</v>
      </c>
      <c r="G1990" s="9" t="str">
        <f t="shared" ca="1" si="665"/>
        <v xml:space="preserve">Enter a value for 'Number of Floors in the Tallest Building' in cell B60.
</v>
      </c>
      <c r="H1990" s="52" t="str">
        <f t="shared" ca="1" si="679"/>
        <v>Square Footage of Low-Income Units</v>
      </c>
      <c r="I1990" s="52">
        <v>9</v>
      </c>
    </row>
    <row r="1991" spans="1:10" ht="15" customHeight="1">
      <c r="A1991" t="str">
        <f t="shared" ca="1" si="674"/>
        <v/>
      </c>
      <c r="B1991">
        <f t="shared" si="675"/>
        <v>29</v>
      </c>
      <c r="C1991">
        <f t="shared" ca="1" si="667"/>
        <v>26</v>
      </c>
      <c r="D1991" t="str">
        <f t="shared" si="676"/>
        <v>J29</v>
      </c>
      <c r="E1991" t="str">
        <f t="shared" ca="1" si="677"/>
        <v/>
      </c>
      <c r="F1991" t="str">
        <f t="shared" ca="1" si="678"/>
        <v xml:space="preserve">Enter a 'Placed-In-Service Date' for  building 26 in cell J29.
</v>
      </c>
      <c r="G1991" s="9" t="str">
        <f t="shared" ca="1" si="665"/>
        <v xml:space="preserve">Enter a value for 'Number of Floors in the Tallest Building' in cell B60.
</v>
      </c>
      <c r="H1991" s="52" t="str">
        <f t="shared" ca="1" si="679"/>
        <v>Placed-In-Service Date</v>
      </c>
      <c r="I1991" s="52">
        <v>10</v>
      </c>
    </row>
    <row r="1992" spans="1:10" ht="15" customHeight="1">
      <c r="A1992" t="str">
        <f t="shared" ca="1" si="674"/>
        <v/>
      </c>
      <c r="B1992">
        <f t="shared" si="675"/>
        <v>29</v>
      </c>
      <c r="C1992">
        <f t="shared" ca="1" si="667"/>
        <v>26</v>
      </c>
      <c r="D1992" t="str">
        <f t="shared" si="676"/>
        <v>K29</v>
      </c>
      <c r="E1992" t="str">
        <f t="shared" ca="1" si="677"/>
        <v/>
      </c>
      <c r="F1992" t="str">
        <f t="shared" ca="1" si="678"/>
        <v xml:space="preserve">Enter a 'New Construction/ Rehab APR' for  building 26 in cell K29.
</v>
      </c>
      <c r="G1992" s="9" t="str">
        <f t="shared" ca="1" si="665"/>
        <v xml:space="preserve">Enter a value for 'Number of Floors in the Tallest Building' in cell B60.
</v>
      </c>
      <c r="H1992" s="52" t="str">
        <f t="shared" ca="1" si="679"/>
        <v>New Construction/ Rehab APR</v>
      </c>
      <c r="I1992" s="52">
        <v>11</v>
      </c>
    </row>
    <row r="1993" spans="1:10" ht="15" customHeight="1">
      <c r="A1993" t="str">
        <f t="shared" ca="1" si="674"/>
        <v/>
      </c>
      <c r="B1993">
        <f t="shared" si="675"/>
        <v>29</v>
      </c>
      <c r="C1993">
        <f t="shared" ca="1" si="667"/>
        <v>26</v>
      </c>
      <c r="D1993" t="str">
        <f t="shared" si="676"/>
        <v>L29</v>
      </c>
      <c r="E1993" t="str">
        <f t="shared" ca="1" si="677"/>
        <v/>
      </c>
      <c r="F1993" t="str">
        <f t="shared" ca="1" si="678"/>
        <v xml:space="preserve">Enter a 'New Construction Eligible Basis' for  building 26 in cell L29.
</v>
      </c>
      <c r="G1993" s="9" t="str">
        <f t="shared" ca="1" si="665"/>
        <v xml:space="preserve">Enter a value for 'Number of Floors in the Tallest Building' in cell B60.
</v>
      </c>
      <c r="H1993" s="52" t="str">
        <f t="shared" ca="1" si="679"/>
        <v>New Construction Eligible Basis</v>
      </c>
      <c r="I1993" s="52">
        <v>12</v>
      </c>
    </row>
    <row r="1994" spans="1:10" ht="15" customHeight="1">
      <c r="A1994" t="str">
        <f ca="1">IF(AND(OFFSET(A1994, -I1994 + 2, 4) &gt;  0, E1994="", Calculations!$B$7), F1994, "")</f>
        <v/>
      </c>
      <c r="B1994">
        <f t="shared" si="675"/>
        <v>29</v>
      </c>
      <c r="C1994">
        <f t="shared" ca="1" si="667"/>
        <v>26</v>
      </c>
      <c r="D1994" t="str">
        <f t="shared" si="676"/>
        <v>M29</v>
      </c>
      <c r="E1994" t="str">
        <f t="shared" ca="1" si="677"/>
        <v/>
      </c>
      <c r="F1994" t="str">
        <f t="shared" ca="1" si="678"/>
        <v xml:space="preserve">Enter a 'Eligible Basis for Rehab' for  building 26 in cell M29.
</v>
      </c>
      <c r="G1994" s="9" t="str">
        <f t="shared" ca="1" si="665"/>
        <v xml:space="preserve">Enter a value for 'Number of Floors in the Tallest Building' in cell B60.
</v>
      </c>
      <c r="H1994" s="52" t="str">
        <f t="shared" ca="1" si="679"/>
        <v>Eligible Basis for Rehab</v>
      </c>
      <c r="I1994" s="52">
        <v>13</v>
      </c>
    </row>
    <row r="1995" spans="1:10" ht="15" customHeight="1">
      <c r="A1995" t="str">
        <f ca="1">IF(AND(OFFSET(A1995, -I1995 + 2, 4) &gt;  0, E1995="", Calculations!$B$7), F1995, "")</f>
        <v/>
      </c>
      <c r="B1995">
        <f t="shared" si="675"/>
        <v>29</v>
      </c>
      <c r="C1995">
        <f t="shared" ca="1" si="667"/>
        <v>26</v>
      </c>
      <c r="D1995" t="str">
        <f t="shared" si="676"/>
        <v>N29</v>
      </c>
      <c r="E1995" t="str">
        <f t="shared" ca="1" si="677"/>
        <v/>
      </c>
      <c r="F1995" t="str">
        <f t="shared" ca="1" si="678"/>
        <v xml:space="preserve">Enter a 'Cost of Acquiring the Building***' for  building 26 in cell N29.
</v>
      </c>
      <c r="G1995" s="9" t="str">
        <f t="shared" ca="1" si="665"/>
        <v xml:space="preserve">Enter a value for 'Number of Floors in the Tallest Building' in cell B60.
</v>
      </c>
      <c r="H1995" s="52" t="str">
        <f t="shared" ca="1" si="679"/>
        <v>Cost of Acquiring the Building***</v>
      </c>
      <c r="I1995" s="52">
        <v>14</v>
      </c>
    </row>
    <row r="1996" spans="1:10" ht="15" customHeight="1">
      <c r="A1996" t="str">
        <f ca="1">IF(AND(OFFSET(A1996, -I1996 + 2, 4) &gt;  0, E1996="", Calculations!$B$7), F1996, "")</f>
        <v/>
      </c>
      <c r="B1996">
        <f t="shared" si="675"/>
        <v>29</v>
      </c>
      <c r="C1996">
        <f t="shared" ca="1" si="667"/>
        <v>26</v>
      </c>
      <c r="D1996" t="str">
        <f t="shared" si="676"/>
        <v>O29</v>
      </c>
      <c r="E1996" t="str">
        <f t="shared" ca="1" si="677"/>
        <v/>
      </c>
      <c r="F1996" t="str">
        <f t="shared" ca="1" si="678"/>
        <v xml:space="preserve">Enter a 'Higher of Land Purchase Price or Land Appraised Value****' for  building 26 in cell O29.
</v>
      </c>
      <c r="G1996" s="9" t="str">
        <f t="shared" ca="1" si="665"/>
        <v xml:space="preserve">Enter a value for 'Number of Floors in the Tallest Building' in cell B60.
</v>
      </c>
      <c r="H1996" s="52" t="str">
        <f t="shared" ca="1" si="679"/>
        <v>Higher of Land Purchase Price or Land Appraised Value****</v>
      </c>
      <c r="I1996" s="52">
        <v>15</v>
      </c>
    </row>
    <row r="1997" spans="1:10" ht="15" customHeight="1">
      <c r="A1997" t="str">
        <f ca="1">IF(AND(OFFSET(A1997, -I1997 + 2, 4) &gt;  0, E1997="", Calculations!$B$7), F1997, "")</f>
        <v/>
      </c>
      <c r="B1997">
        <f t="shared" si="675"/>
        <v>29</v>
      </c>
      <c r="C1997">
        <f t="shared" ca="1" si="667"/>
        <v>26</v>
      </c>
      <c r="D1997" t="str">
        <f t="shared" si="676"/>
        <v>P29</v>
      </c>
      <c r="E1997" t="str">
        <f t="shared" ca="1" si="677"/>
        <v/>
      </c>
      <c r="F1997" t="str">
        <f t="shared" ca="1" si="678"/>
        <v xml:space="preserve">Enter a 'Acquisition Placed-in-Service Date' for  building 26 in cell P29.
</v>
      </c>
      <c r="G1997" s="9" t="str">
        <f t="shared" ca="1" si="665"/>
        <v xml:space="preserve">Enter a value for 'Number of Floors in the Tallest Building' in cell B60.
</v>
      </c>
      <c r="H1997" s="52" t="str">
        <f t="shared" ca="1" si="679"/>
        <v>Acquisition Placed-in-Service Date</v>
      </c>
      <c r="I1997" s="52">
        <v>16</v>
      </c>
    </row>
    <row r="1998" spans="1:10" ht="15" customHeight="1">
      <c r="A1998" t="str">
        <f ca="1">IF(AND(OFFSET(A1998, -I1998 + 2, 4) &gt;  0, E1998="", Calculations!$B$7), F1998, "")</f>
        <v/>
      </c>
      <c r="B1998">
        <f t="shared" si="675"/>
        <v>29</v>
      </c>
      <c r="C1998">
        <f t="shared" ca="1" si="667"/>
        <v>26</v>
      </c>
      <c r="D1998" t="str">
        <f t="shared" si="676"/>
        <v>Q29</v>
      </c>
      <c r="E1998" t="str">
        <f t="shared" ca="1" si="677"/>
        <v/>
      </c>
      <c r="F1998" t="str">
        <f t="shared" ca="1" si="678"/>
        <v xml:space="preserve">Enter a 'Acquisition APR' for  building 26 in cell Q29.
</v>
      </c>
      <c r="G1998" s="9" t="str">
        <f t="shared" ca="1" si="665"/>
        <v xml:space="preserve">Enter a value for 'Number of Floors in the Tallest Building' in cell B60.
</v>
      </c>
      <c r="H1998" s="52" t="str">
        <f t="shared" ca="1" si="679"/>
        <v>Acquisition APR</v>
      </c>
      <c r="I1998" s="52">
        <v>17</v>
      </c>
    </row>
    <row r="1999" spans="1:10" ht="15" customHeight="1">
      <c r="A1999" t="str">
        <f ca="1">IF(AND(Calculations!$B$4,Calculations!$B$29&gt;=C1999, E1999 &lt;&gt; 13),F1999,"")</f>
        <v/>
      </c>
      <c r="B1999">
        <f>ROW('Final Building Profile'!C30)</f>
        <v>30</v>
      </c>
      <c r="C1999">
        <f t="shared" ca="1" si="667"/>
        <v>27</v>
      </c>
      <c r="D1999" t="str">
        <f>ADDRESS(B1999, 3,4  )</f>
        <v>C30</v>
      </c>
      <c r="E1999" s="52">
        <f ca="1">H1999+I1999</f>
        <v>0</v>
      </c>
      <c r="F1999" t="str">
        <f ca="1">CONCATENATE("Based upon the number of buildings specified, information for  building ", C1999, " required for a final application in row ", B1999, ".", CHAR(10))</f>
        <v xml:space="preserve">Based upon the number of buildings specified, information for  building 27 required for a final application in row 30.
</v>
      </c>
      <c r="G1999" s="9" t="str">
        <f t="shared" ca="1" si="665"/>
        <v xml:space="preserve">Enter a value for 'Number of Floors in the Tallest Building' in cell B60.
</v>
      </c>
      <c r="H1999" s="52">
        <f ca="1">SUMPRODUCT(--ISTEXT(INDIRECT(J1999)))</f>
        <v>0</v>
      </c>
      <c r="I1999" s="52">
        <f ca="1">SUMPRODUCT(--ISNUMBER(INDIRECT(J1999)))</f>
        <v>0</v>
      </c>
      <c r="J1999" s="52" t="str">
        <f>$F$1565&amp; ADDRESS(B1999,3,4) &amp; ":" &amp; ADDRESS(B1999,15,4)</f>
        <v>'Final Building Profile'!C30:O30</v>
      </c>
    </row>
    <row r="2000" spans="1:10" ht="15" customHeight="1">
      <c r="A2000" t="str">
        <f t="shared" ref="A2000:A2009" ca="1" si="680">IF(AND(OFFSET(A2000, -I2000 + 2, 4) &gt;  0, E2000=""), F2000, "")</f>
        <v/>
      </c>
      <c r="B2000">
        <f t="shared" ref="B2000:B2014" si="681">B1999</f>
        <v>30</v>
      </c>
      <c r="C2000">
        <f t="shared" ca="1" si="667"/>
        <v>27</v>
      </c>
      <c r="D2000" t="str">
        <f t="shared" ref="D2000:D2014" si="682">ADDRESS(B2000, I2000,4  )</f>
        <v>C30</v>
      </c>
      <c r="E2000" t="str">
        <f t="shared" ref="E2000:E2014" ca="1" si="683">IF(ISBLANK( INDIRECT($F$1565 &amp; D2000)),"", INDIRECT($F$1565 &amp; D2000))</f>
        <v/>
      </c>
      <c r="F2000" t="str">
        <f t="shared" ref="F2000:F2014" ca="1" si="684">CONCATENATE("Enter a '"&amp; H2000 &amp;"' for  building ", C2000, " in cell ", D2000, ".", CHAR(10))</f>
        <v xml:space="preserve">Enter a 'Building Street Address Only 
(DO NOT ENTER CITY, STATE, OR ZIP)' for  building 27 in cell C30.
</v>
      </c>
      <c r="G2000" s="9" t="str">
        <f t="shared" ca="1" si="665"/>
        <v xml:space="preserve">Enter a value for 'Number of Floors in the Tallest Building' in cell B60.
</v>
      </c>
      <c r="H2000" s="52" t="str">
        <f t="shared" ref="H2000:H2014" ca="1" si="685">OFFSET(INDIRECT($F$1565 &amp; D2000), -B2000 + 3, 0)</f>
        <v>Building Street Address Only 
(DO NOT ENTER CITY, STATE, OR ZIP)</v>
      </c>
      <c r="I2000" s="52">
        <v>3</v>
      </c>
    </row>
    <row r="2001" spans="1:10" ht="15" customHeight="1">
      <c r="A2001" t="str">
        <f t="shared" ca="1" si="680"/>
        <v/>
      </c>
      <c r="B2001">
        <f t="shared" si="681"/>
        <v>30</v>
      </c>
      <c r="C2001">
        <f t="shared" ca="1" si="667"/>
        <v>27</v>
      </c>
      <c r="D2001" t="str">
        <f t="shared" si="682"/>
        <v>D30</v>
      </c>
      <c r="E2001" t="str">
        <f t="shared" ca="1" si="683"/>
        <v/>
      </c>
      <c r="F2001" t="str">
        <f t="shared" ca="1" si="684"/>
        <v xml:space="preserve">Enter a 'Total Units in Building*' for  building 27 in cell D30.
</v>
      </c>
      <c r="G2001" s="9" t="str">
        <f t="shared" ca="1" si="665"/>
        <v xml:space="preserve">Enter a value for 'Number of Floors in the Tallest Building' in cell B60.
</v>
      </c>
      <c r="H2001" s="52" t="str">
        <f t="shared" ca="1" si="685"/>
        <v>Total Units in Building*</v>
      </c>
      <c r="I2001" s="52">
        <v>4</v>
      </c>
    </row>
    <row r="2002" spans="1:10" ht="15" customHeight="1">
      <c r="A2002" t="str">
        <f t="shared" ca="1" si="680"/>
        <v/>
      </c>
      <c r="B2002">
        <f t="shared" si="681"/>
        <v>30</v>
      </c>
      <c r="C2002">
        <f t="shared" ca="1" si="667"/>
        <v>27</v>
      </c>
      <c r="D2002" t="str">
        <f t="shared" si="682"/>
        <v>E30</v>
      </c>
      <c r="E2002" t="str">
        <f t="shared" ca="1" si="683"/>
        <v/>
      </c>
      <c r="F2002" t="str">
        <f t="shared" ca="1" si="684"/>
        <v xml:space="preserve">Enter a 'Employee Units' for  building 27 in cell E30.
</v>
      </c>
      <c r="G2002" s="9" t="str">
        <f t="shared" ca="1" si="665"/>
        <v xml:space="preserve">Enter a value for 'Number of Floors in the Tallest Building' in cell B60.
</v>
      </c>
      <c r="H2002" s="52" t="str">
        <f t="shared" ca="1" si="685"/>
        <v>Employee Units</v>
      </c>
      <c r="I2002" s="52">
        <v>5</v>
      </c>
    </row>
    <row r="2003" spans="1:10" ht="15" customHeight="1">
      <c r="A2003" t="str">
        <f t="shared" ca="1" si="680"/>
        <v/>
      </c>
      <c r="B2003">
        <f t="shared" si="681"/>
        <v>30</v>
      </c>
      <c r="C2003">
        <f t="shared" ca="1" si="667"/>
        <v>27</v>
      </c>
      <c r="D2003" t="str">
        <f t="shared" si="682"/>
        <v>F30</v>
      </c>
      <c r="E2003" t="str">
        <f t="shared" ca="1" si="683"/>
        <v/>
      </c>
      <c r="F2003" t="str">
        <f t="shared" ca="1" si="684"/>
        <v xml:space="preserve">Enter a 'Low-Income Units' for  building 27 in cell F30.
</v>
      </c>
      <c r="G2003" s="9" t="str">
        <f t="shared" ca="1" si="665"/>
        <v xml:space="preserve">Enter a value for 'Number of Floors in the Tallest Building' in cell B60.
</v>
      </c>
      <c r="H2003" s="52" t="str">
        <f t="shared" ca="1" si="685"/>
        <v>Low-Income Units</v>
      </c>
      <c r="I2003" s="52">
        <v>6</v>
      </c>
    </row>
    <row r="2004" spans="1:10" ht="15" customHeight="1">
      <c r="A2004" t="str">
        <f t="shared" ca="1" si="680"/>
        <v/>
      </c>
      <c r="B2004">
        <f t="shared" si="681"/>
        <v>30</v>
      </c>
      <c r="C2004">
        <f t="shared" ca="1" si="667"/>
        <v>27</v>
      </c>
      <c r="D2004" t="str">
        <f t="shared" si="682"/>
        <v>G30</v>
      </c>
      <c r="E2004" t="str">
        <f t="shared" ca="1" si="683"/>
        <v/>
      </c>
      <c r="F2004" t="str">
        <f t="shared" ca="1" si="684"/>
        <v xml:space="preserve">Enter a 'Residential Square Footage**' for  building 27 in cell G30.
</v>
      </c>
      <c r="G2004" s="9" t="str">
        <f t="shared" ca="1" si="665"/>
        <v xml:space="preserve">Enter a value for 'Number of Floors in the Tallest Building' in cell B60.
</v>
      </c>
      <c r="H2004" s="52" t="str">
        <f t="shared" ca="1" si="685"/>
        <v>Residential Square Footage**</v>
      </c>
      <c r="I2004" s="52">
        <v>7</v>
      </c>
    </row>
    <row r="2005" spans="1:10" ht="15" customHeight="1">
      <c r="A2005" t="str">
        <f t="shared" ca="1" si="680"/>
        <v/>
      </c>
      <c r="B2005">
        <f t="shared" si="681"/>
        <v>30</v>
      </c>
      <c r="C2005">
        <f t="shared" ca="1" si="667"/>
        <v>27</v>
      </c>
      <c r="D2005" t="str">
        <f t="shared" si="682"/>
        <v>H30</v>
      </c>
      <c r="E2005" t="str">
        <f t="shared" ca="1" si="683"/>
        <v/>
      </c>
      <c r="F2005" t="str">
        <f t="shared" ca="1" si="684"/>
        <v xml:space="preserve">Enter a 'Square Footage of Employee Units' for  building 27 in cell H30.
</v>
      </c>
      <c r="G2005" s="9" t="str">
        <f t="shared" ca="1" si="665"/>
        <v xml:space="preserve">Enter a value for 'Number of Floors in the Tallest Building' in cell B60.
</v>
      </c>
      <c r="H2005" s="52" t="str">
        <f t="shared" ca="1" si="685"/>
        <v>Square Footage of Employee Units</v>
      </c>
      <c r="I2005" s="52">
        <v>8</v>
      </c>
    </row>
    <row r="2006" spans="1:10" ht="15" customHeight="1">
      <c r="A2006" t="str">
        <f t="shared" ca="1" si="680"/>
        <v/>
      </c>
      <c r="B2006">
        <f t="shared" si="681"/>
        <v>30</v>
      </c>
      <c r="C2006">
        <f t="shared" ca="1" si="667"/>
        <v>27</v>
      </c>
      <c r="D2006" t="str">
        <f t="shared" si="682"/>
        <v>I30</v>
      </c>
      <c r="E2006" t="str">
        <f t="shared" ca="1" si="683"/>
        <v/>
      </c>
      <c r="F2006" t="str">
        <f t="shared" ca="1" si="684"/>
        <v xml:space="preserve">Enter a 'Square Footage of Low-Income Units' for  building 27 in cell I30.
</v>
      </c>
      <c r="G2006" s="9" t="str">
        <f t="shared" ca="1" si="665"/>
        <v xml:space="preserve">Enter a value for 'Number of Floors in the Tallest Building' in cell B60.
</v>
      </c>
      <c r="H2006" s="52" t="str">
        <f t="shared" ca="1" si="685"/>
        <v>Square Footage of Low-Income Units</v>
      </c>
      <c r="I2006" s="52">
        <v>9</v>
      </c>
    </row>
    <row r="2007" spans="1:10" ht="15" customHeight="1">
      <c r="A2007" t="str">
        <f t="shared" ca="1" si="680"/>
        <v/>
      </c>
      <c r="B2007">
        <f t="shared" si="681"/>
        <v>30</v>
      </c>
      <c r="C2007">
        <f t="shared" ca="1" si="667"/>
        <v>27</v>
      </c>
      <c r="D2007" t="str">
        <f t="shared" si="682"/>
        <v>J30</v>
      </c>
      <c r="E2007" t="str">
        <f t="shared" ca="1" si="683"/>
        <v/>
      </c>
      <c r="F2007" t="str">
        <f t="shared" ca="1" si="684"/>
        <v xml:space="preserve">Enter a 'Placed-In-Service Date' for  building 27 in cell J30.
</v>
      </c>
      <c r="G2007" s="9" t="str">
        <f t="shared" ca="1" si="665"/>
        <v xml:space="preserve">Enter a value for 'Number of Floors in the Tallest Building' in cell B60.
</v>
      </c>
      <c r="H2007" s="52" t="str">
        <f t="shared" ca="1" si="685"/>
        <v>Placed-In-Service Date</v>
      </c>
      <c r="I2007" s="52">
        <v>10</v>
      </c>
    </row>
    <row r="2008" spans="1:10" ht="15" customHeight="1">
      <c r="A2008" t="str">
        <f t="shared" ca="1" si="680"/>
        <v/>
      </c>
      <c r="B2008">
        <f t="shared" si="681"/>
        <v>30</v>
      </c>
      <c r="C2008">
        <f t="shared" ca="1" si="667"/>
        <v>27</v>
      </c>
      <c r="D2008" t="str">
        <f t="shared" si="682"/>
        <v>K30</v>
      </c>
      <c r="E2008" t="str">
        <f t="shared" ca="1" si="683"/>
        <v/>
      </c>
      <c r="F2008" t="str">
        <f t="shared" ca="1" si="684"/>
        <v xml:space="preserve">Enter a 'New Construction/ Rehab APR' for  building 27 in cell K30.
</v>
      </c>
      <c r="G2008" s="9" t="str">
        <f t="shared" ca="1" si="665"/>
        <v xml:space="preserve">Enter a value for 'Number of Floors in the Tallest Building' in cell B60.
</v>
      </c>
      <c r="H2008" s="52" t="str">
        <f t="shared" ca="1" si="685"/>
        <v>New Construction/ Rehab APR</v>
      </c>
      <c r="I2008" s="52">
        <v>11</v>
      </c>
    </row>
    <row r="2009" spans="1:10" ht="15" customHeight="1">
      <c r="A2009" t="str">
        <f t="shared" ca="1" si="680"/>
        <v/>
      </c>
      <c r="B2009">
        <f t="shared" si="681"/>
        <v>30</v>
      </c>
      <c r="C2009">
        <f t="shared" ca="1" si="667"/>
        <v>27</v>
      </c>
      <c r="D2009" t="str">
        <f t="shared" si="682"/>
        <v>L30</v>
      </c>
      <c r="E2009" t="str">
        <f t="shared" ca="1" si="683"/>
        <v/>
      </c>
      <c r="F2009" t="str">
        <f t="shared" ca="1" si="684"/>
        <v xml:space="preserve">Enter a 'New Construction Eligible Basis' for  building 27 in cell L30.
</v>
      </c>
      <c r="G2009" s="9" t="str">
        <f t="shared" ca="1" si="665"/>
        <v xml:space="preserve">Enter a value for 'Number of Floors in the Tallest Building' in cell B60.
</v>
      </c>
      <c r="H2009" s="52" t="str">
        <f t="shared" ca="1" si="685"/>
        <v>New Construction Eligible Basis</v>
      </c>
      <c r="I2009" s="52">
        <v>12</v>
      </c>
    </row>
    <row r="2010" spans="1:10" ht="15" customHeight="1">
      <c r="A2010" t="str">
        <f ca="1">IF(AND(OFFSET(A2010, -I2010 + 2, 4) &gt;  0, E2010="", Calculations!$B$7), F2010, "")</f>
        <v/>
      </c>
      <c r="B2010">
        <f t="shared" si="681"/>
        <v>30</v>
      </c>
      <c r="C2010">
        <f t="shared" ca="1" si="667"/>
        <v>27</v>
      </c>
      <c r="D2010" t="str">
        <f t="shared" si="682"/>
        <v>M30</v>
      </c>
      <c r="E2010" t="str">
        <f t="shared" ca="1" si="683"/>
        <v/>
      </c>
      <c r="F2010" t="str">
        <f t="shared" ca="1" si="684"/>
        <v xml:space="preserve">Enter a 'Eligible Basis for Rehab' for  building 27 in cell M30.
</v>
      </c>
      <c r="G2010" s="9" t="str">
        <f t="shared" ca="1" si="665"/>
        <v xml:space="preserve">Enter a value for 'Number of Floors in the Tallest Building' in cell B60.
</v>
      </c>
      <c r="H2010" s="52" t="str">
        <f t="shared" ca="1" si="685"/>
        <v>Eligible Basis for Rehab</v>
      </c>
      <c r="I2010" s="52">
        <v>13</v>
      </c>
    </row>
    <row r="2011" spans="1:10" ht="15" customHeight="1">
      <c r="A2011" t="str">
        <f ca="1">IF(AND(OFFSET(A2011, -I2011 + 2, 4) &gt;  0, E2011="", Calculations!$B$7), F2011, "")</f>
        <v/>
      </c>
      <c r="B2011">
        <f t="shared" si="681"/>
        <v>30</v>
      </c>
      <c r="C2011">
        <f t="shared" ca="1" si="667"/>
        <v>27</v>
      </c>
      <c r="D2011" t="str">
        <f t="shared" si="682"/>
        <v>N30</v>
      </c>
      <c r="E2011" t="str">
        <f t="shared" ca="1" si="683"/>
        <v/>
      </c>
      <c r="F2011" t="str">
        <f t="shared" ca="1" si="684"/>
        <v xml:space="preserve">Enter a 'Cost of Acquiring the Building***' for  building 27 in cell N30.
</v>
      </c>
      <c r="G2011" s="9" t="str">
        <f t="shared" ca="1" si="665"/>
        <v xml:space="preserve">Enter a value for 'Number of Floors in the Tallest Building' in cell B60.
</v>
      </c>
      <c r="H2011" s="52" t="str">
        <f t="shared" ca="1" si="685"/>
        <v>Cost of Acquiring the Building***</v>
      </c>
      <c r="I2011" s="52">
        <v>14</v>
      </c>
    </row>
    <row r="2012" spans="1:10" ht="15" customHeight="1">
      <c r="A2012" t="str">
        <f ca="1">IF(AND(OFFSET(A2012, -I2012 + 2, 4) &gt;  0, E2012="", Calculations!$B$7), F2012, "")</f>
        <v/>
      </c>
      <c r="B2012">
        <f t="shared" si="681"/>
        <v>30</v>
      </c>
      <c r="C2012">
        <f t="shared" ca="1" si="667"/>
        <v>27</v>
      </c>
      <c r="D2012" t="str">
        <f t="shared" si="682"/>
        <v>O30</v>
      </c>
      <c r="E2012" t="str">
        <f t="shared" ca="1" si="683"/>
        <v/>
      </c>
      <c r="F2012" t="str">
        <f t="shared" ca="1" si="684"/>
        <v xml:space="preserve">Enter a 'Higher of Land Purchase Price or Land Appraised Value****' for  building 27 in cell O30.
</v>
      </c>
      <c r="G2012" s="9" t="str">
        <f t="shared" ca="1" si="665"/>
        <v xml:space="preserve">Enter a value for 'Number of Floors in the Tallest Building' in cell B60.
</v>
      </c>
      <c r="H2012" s="52" t="str">
        <f t="shared" ca="1" si="685"/>
        <v>Higher of Land Purchase Price or Land Appraised Value****</v>
      </c>
      <c r="I2012" s="52">
        <v>15</v>
      </c>
    </row>
    <row r="2013" spans="1:10" ht="15" customHeight="1">
      <c r="A2013" t="str">
        <f ca="1">IF(AND(OFFSET(A2013, -I2013 + 2, 4) &gt;  0, E2013="", Calculations!$B$7), F2013, "")</f>
        <v/>
      </c>
      <c r="B2013">
        <f t="shared" si="681"/>
        <v>30</v>
      </c>
      <c r="C2013">
        <f t="shared" ca="1" si="667"/>
        <v>27</v>
      </c>
      <c r="D2013" t="str">
        <f t="shared" si="682"/>
        <v>P30</v>
      </c>
      <c r="E2013" t="str">
        <f t="shared" ca="1" si="683"/>
        <v/>
      </c>
      <c r="F2013" t="str">
        <f t="shared" ca="1" si="684"/>
        <v xml:space="preserve">Enter a 'Acquisition Placed-in-Service Date' for  building 27 in cell P30.
</v>
      </c>
      <c r="G2013" s="9" t="str">
        <f t="shared" ca="1" si="665"/>
        <v xml:space="preserve">Enter a value for 'Number of Floors in the Tallest Building' in cell B60.
</v>
      </c>
      <c r="H2013" s="52" t="str">
        <f t="shared" ca="1" si="685"/>
        <v>Acquisition Placed-in-Service Date</v>
      </c>
      <c r="I2013" s="52">
        <v>16</v>
      </c>
    </row>
    <row r="2014" spans="1:10" ht="15" customHeight="1">
      <c r="A2014" t="str">
        <f ca="1">IF(AND(OFFSET(A2014, -I2014 + 2, 4) &gt;  0, E2014="", Calculations!$B$7), F2014, "")</f>
        <v/>
      </c>
      <c r="B2014">
        <f t="shared" si="681"/>
        <v>30</v>
      </c>
      <c r="C2014">
        <f t="shared" ca="1" si="667"/>
        <v>27</v>
      </c>
      <c r="D2014" t="str">
        <f t="shared" si="682"/>
        <v>Q30</v>
      </c>
      <c r="E2014" t="str">
        <f t="shared" ca="1" si="683"/>
        <v/>
      </c>
      <c r="F2014" t="str">
        <f t="shared" ca="1" si="684"/>
        <v xml:space="preserve">Enter a 'Acquisition APR' for  building 27 in cell Q30.
</v>
      </c>
      <c r="G2014" s="9" t="str">
        <f t="shared" ca="1" si="665"/>
        <v xml:space="preserve">Enter a value for 'Number of Floors in the Tallest Building' in cell B60.
</v>
      </c>
      <c r="H2014" s="52" t="str">
        <f t="shared" ca="1" si="685"/>
        <v>Acquisition APR</v>
      </c>
      <c r="I2014" s="52">
        <v>17</v>
      </c>
    </row>
    <row r="2015" spans="1:10" ht="15" customHeight="1">
      <c r="A2015" t="str">
        <f ca="1">IF(AND(Calculations!$B$4,Calculations!$B$29&gt;=C2015, E2015 &lt;&gt; 13),F2015,"")</f>
        <v/>
      </c>
      <c r="B2015">
        <f>ROW('Final Building Profile'!C31)</f>
        <v>31</v>
      </c>
      <c r="C2015">
        <f t="shared" ca="1" si="667"/>
        <v>28</v>
      </c>
      <c r="D2015" t="str">
        <f>ADDRESS(B2015, 3,4  )</f>
        <v>C31</v>
      </c>
      <c r="E2015" s="52">
        <f ca="1">H2015+I2015</f>
        <v>0</v>
      </c>
      <c r="F2015" t="str">
        <f ca="1">CONCATENATE("Based upon the number of buildings specified, information for  building ", C2015, " required for a final application in row ", B2015, ".", CHAR(10))</f>
        <v xml:space="preserve">Based upon the number of buildings specified, information for  building 28 required for a final application in row 31.
</v>
      </c>
      <c r="G2015" s="9" t="str">
        <f t="shared" ca="1" si="665"/>
        <v xml:space="preserve">Enter a value for 'Number of Floors in the Tallest Building' in cell B60.
</v>
      </c>
      <c r="H2015" s="52">
        <f ca="1">SUMPRODUCT(--ISTEXT(INDIRECT(J2015)))</f>
        <v>0</v>
      </c>
      <c r="I2015" s="52">
        <f ca="1">SUMPRODUCT(--ISNUMBER(INDIRECT(J2015)))</f>
        <v>0</v>
      </c>
      <c r="J2015" s="52" t="str">
        <f>$F$1565&amp; ADDRESS(B2015,3,4) &amp; ":" &amp; ADDRESS(B2015,15,4)</f>
        <v>'Final Building Profile'!C31:O31</v>
      </c>
    </row>
    <row r="2016" spans="1:10" ht="15" customHeight="1">
      <c r="A2016" t="str">
        <f t="shared" ref="A2016:A2025" ca="1" si="686">IF(AND(OFFSET(A2016, -I2016 + 2, 4) &gt;  0, E2016=""), F2016, "")</f>
        <v/>
      </c>
      <c r="B2016">
        <f t="shared" ref="B2016:B2030" si="687">B2015</f>
        <v>31</v>
      </c>
      <c r="C2016">
        <f t="shared" ca="1" si="667"/>
        <v>28</v>
      </c>
      <c r="D2016" t="str">
        <f t="shared" ref="D2016:D2030" si="688">ADDRESS(B2016, I2016,4  )</f>
        <v>C31</v>
      </c>
      <c r="E2016" t="str">
        <f t="shared" ref="E2016:E2030" ca="1" si="689">IF(ISBLANK( INDIRECT($F$1565 &amp; D2016)),"", INDIRECT($F$1565 &amp; D2016))</f>
        <v/>
      </c>
      <c r="F2016" t="str">
        <f t="shared" ref="F2016:F2030" ca="1" si="690">CONCATENATE("Enter a '"&amp; H2016 &amp;"' for  building ", C2016, " in cell ", D2016, ".", CHAR(10))</f>
        <v xml:space="preserve">Enter a 'Building Street Address Only 
(DO NOT ENTER CITY, STATE, OR ZIP)' for  building 28 in cell C31.
</v>
      </c>
      <c r="G2016" s="9" t="str">
        <f t="shared" ref="G2016:G2079" ca="1" si="691">OFFSET(G2016, -1, 0) &amp; A2016</f>
        <v xml:space="preserve">Enter a value for 'Number of Floors in the Tallest Building' in cell B60.
</v>
      </c>
      <c r="H2016" s="52" t="str">
        <f t="shared" ref="H2016:H2030" ca="1" si="692">OFFSET(INDIRECT($F$1565 &amp; D2016), -B2016 + 3, 0)</f>
        <v>Building Street Address Only 
(DO NOT ENTER CITY, STATE, OR ZIP)</v>
      </c>
      <c r="I2016" s="52">
        <v>3</v>
      </c>
    </row>
    <row r="2017" spans="1:10" ht="15" customHeight="1">
      <c r="A2017" t="str">
        <f t="shared" ca="1" si="686"/>
        <v/>
      </c>
      <c r="B2017">
        <f t="shared" si="687"/>
        <v>31</v>
      </c>
      <c r="C2017">
        <f t="shared" ca="1" si="667"/>
        <v>28</v>
      </c>
      <c r="D2017" t="str">
        <f t="shared" si="688"/>
        <v>D31</v>
      </c>
      <c r="E2017" t="str">
        <f t="shared" ca="1" si="689"/>
        <v/>
      </c>
      <c r="F2017" t="str">
        <f t="shared" ca="1" si="690"/>
        <v xml:space="preserve">Enter a 'Total Units in Building*' for  building 28 in cell D31.
</v>
      </c>
      <c r="G2017" s="9" t="str">
        <f t="shared" ca="1" si="691"/>
        <v xml:space="preserve">Enter a value for 'Number of Floors in the Tallest Building' in cell B60.
</v>
      </c>
      <c r="H2017" s="52" t="str">
        <f t="shared" ca="1" si="692"/>
        <v>Total Units in Building*</v>
      </c>
      <c r="I2017" s="52">
        <v>4</v>
      </c>
    </row>
    <row r="2018" spans="1:10" ht="15" customHeight="1">
      <c r="A2018" t="str">
        <f t="shared" ca="1" si="686"/>
        <v/>
      </c>
      <c r="B2018">
        <f t="shared" si="687"/>
        <v>31</v>
      </c>
      <c r="C2018">
        <f t="shared" ca="1" si="667"/>
        <v>28</v>
      </c>
      <c r="D2018" t="str">
        <f t="shared" si="688"/>
        <v>E31</v>
      </c>
      <c r="E2018" t="str">
        <f t="shared" ca="1" si="689"/>
        <v/>
      </c>
      <c r="F2018" t="str">
        <f t="shared" ca="1" si="690"/>
        <v xml:space="preserve">Enter a 'Employee Units' for  building 28 in cell E31.
</v>
      </c>
      <c r="G2018" s="9" t="str">
        <f t="shared" ca="1" si="691"/>
        <v xml:space="preserve">Enter a value for 'Number of Floors in the Tallest Building' in cell B60.
</v>
      </c>
      <c r="H2018" s="52" t="str">
        <f t="shared" ca="1" si="692"/>
        <v>Employee Units</v>
      </c>
      <c r="I2018" s="52">
        <v>5</v>
      </c>
    </row>
    <row r="2019" spans="1:10" ht="15" customHeight="1">
      <c r="A2019" t="str">
        <f t="shared" ca="1" si="686"/>
        <v/>
      </c>
      <c r="B2019">
        <f t="shared" si="687"/>
        <v>31</v>
      </c>
      <c r="C2019">
        <f t="shared" ca="1" si="667"/>
        <v>28</v>
      </c>
      <c r="D2019" t="str">
        <f t="shared" si="688"/>
        <v>F31</v>
      </c>
      <c r="E2019" t="str">
        <f t="shared" ca="1" si="689"/>
        <v/>
      </c>
      <c r="F2019" t="str">
        <f t="shared" ca="1" si="690"/>
        <v xml:space="preserve">Enter a 'Low-Income Units' for  building 28 in cell F31.
</v>
      </c>
      <c r="G2019" s="9" t="str">
        <f t="shared" ca="1" si="691"/>
        <v xml:space="preserve">Enter a value for 'Number of Floors in the Tallest Building' in cell B60.
</v>
      </c>
      <c r="H2019" s="52" t="str">
        <f t="shared" ca="1" si="692"/>
        <v>Low-Income Units</v>
      </c>
      <c r="I2019" s="52">
        <v>6</v>
      </c>
    </row>
    <row r="2020" spans="1:10" ht="15" customHeight="1">
      <c r="A2020" t="str">
        <f t="shared" ca="1" si="686"/>
        <v/>
      </c>
      <c r="B2020">
        <f t="shared" si="687"/>
        <v>31</v>
      </c>
      <c r="C2020">
        <f t="shared" ca="1" si="667"/>
        <v>28</v>
      </c>
      <c r="D2020" t="str">
        <f t="shared" si="688"/>
        <v>G31</v>
      </c>
      <c r="E2020" t="str">
        <f t="shared" ca="1" si="689"/>
        <v/>
      </c>
      <c r="F2020" t="str">
        <f t="shared" ca="1" si="690"/>
        <v xml:space="preserve">Enter a 'Residential Square Footage**' for  building 28 in cell G31.
</v>
      </c>
      <c r="G2020" s="9" t="str">
        <f t="shared" ca="1" si="691"/>
        <v xml:space="preserve">Enter a value for 'Number of Floors in the Tallest Building' in cell B60.
</v>
      </c>
      <c r="H2020" s="52" t="str">
        <f t="shared" ca="1" si="692"/>
        <v>Residential Square Footage**</v>
      </c>
      <c r="I2020" s="52">
        <v>7</v>
      </c>
    </row>
    <row r="2021" spans="1:10" ht="15" customHeight="1">
      <c r="A2021" t="str">
        <f t="shared" ca="1" si="686"/>
        <v/>
      </c>
      <c r="B2021">
        <f t="shared" si="687"/>
        <v>31</v>
      </c>
      <c r="C2021">
        <f t="shared" ca="1" si="667"/>
        <v>28</v>
      </c>
      <c r="D2021" t="str">
        <f t="shared" si="688"/>
        <v>H31</v>
      </c>
      <c r="E2021" t="str">
        <f t="shared" ca="1" si="689"/>
        <v/>
      </c>
      <c r="F2021" t="str">
        <f t="shared" ca="1" si="690"/>
        <v xml:space="preserve">Enter a 'Square Footage of Employee Units' for  building 28 in cell H31.
</v>
      </c>
      <c r="G2021" s="9" t="str">
        <f t="shared" ca="1" si="691"/>
        <v xml:space="preserve">Enter a value for 'Number of Floors in the Tallest Building' in cell B60.
</v>
      </c>
      <c r="H2021" s="52" t="str">
        <f t="shared" ca="1" si="692"/>
        <v>Square Footage of Employee Units</v>
      </c>
      <c r="I2021" s="52">
        <v>8</v>
      </c>
    </row>
    <row r="2022" spans="1:10" ht="15" customHeight="1">
      <c r="A2022" t="str">
        <f t="shared" ca="1" si="686"/>
        <v/>
      </c>
      <c r="B2022">
        <f t="shared" si="687"/>
        <v>31</v>
      </c>
      <c r="C2022">
        <f t="shared" ca="1" si="667"/>
        <v>28</v>
      </c>
      <c r="D2022" t="str">
        <f t="shared" si="688"/>
        <v>I31</v>
      </c>
      <c r="E2022" t="str">
        <f t="shared" ca="1" si="689"/>
        <v/>
      </c>
      <c r="F2022" t="str">
        <f t="shared" ca="1" si="690"/>
        <v xml:space="preserve">Enter a 'Square Footage of Low-Income Units' for  building 28 in cell I31.
</v>
      </c>
      <c r="G2022" s="9" t="str">
        <f t="shared" ca="1" si="691"/>
        <v xml:space="preserve">Enter a value for 'Number of Floors in the Tallest Building' in cell B60.
</v>
      </c>
      <c r="H2022" s="52" t="str">
        <f t="shared" ca="1" si="692"/>
        <v>Square Footage of Low-Income Units</v>
      </c>
      <c r="I2022" s="52">
        <v>9</v>
      </c>
    </row>
    <row r="2023" spans="1:10" ht="15" customHeight="1">
      <c r="A2023" t="str">
        <f t="shared" ca="1" si="686"/>
        <v/>
      </c>
      <c r="B2023">
        <f t="shared" si="687"/>
        <v>31</v>
      </c>
      <c r="C2023">
        <f t="shared" ca="1" si="667"/>
        <v>28</v>
      </c>
      <c r="D2023" t="str">
        <f t="shared" si="688"/>
        <v>J31</v>
      </c>
      <c r="E2023" t="str">
        <f t="shared" ca="1" si="689"/>
        <v/>
      </c>
      <c r="F2023" t="str">
        <f t="shared" ca="1" si="690"/>
        <v xml:space="preserve">Enter a 'Placed-In-Service Date' for  building 28 in cell J31.
</v>
      </c>
      <c r="G2023" s="9" t="str">
        <f t="shared" ca="1" si="691"/>
        <v xml:space="preserve">Enter a value for 'Number of Floors in the Tallest Building' in cell B60.
</v>
      </c>
      <c r="H2023" s="52" t="str">
        <f t="shared" ca="1" si="692"/>
        <v>Placed-In-Service Date</v>
      </c>
      <c r="I2023" s="52">
        <v>10</v>
      </c>
    </row>
    <row r="2024" spans="1:10" ht="15" customHeight="1">
      <c r="A2024" t="str">
        <f t="shared" ca="1" si="686"/>
        <v/>
      </c>
      <c r="B2024">
        <f t="shared" si="687"/>
        <v>31</v>
      </c>
      <c r="C2024">
        <f t="shared" ca="1" si="667"/>
        <v>28</v>
      </c>
      <c r="D2024" t="str">
        <f t="shared" si="688"/>
        <v>K31</v>
      </c>
      <c r="E2024" t="str">
        <f t="shared" ca="1" si="689"/>
        <v/>
      </c>
      <c r="F2024" t="str">
        <f t="shared" ca="1" si="690"/>
        <v xml:space="preserve">Enter a 'New Construction/ Rehab APR' for  building 28 in cell K31.
</v>
      </c>
      <c r="G2024" s="9" t="str">
        <f t="shared" ca="1" si="691"/>
        <v xml:space="preserve">Enter a value for 'Number of Floors in the Tallest Building' in cell B60.
</v>
      </c>
      <c r="H2024" s="52" t="str">
        <f t="shared" ca="1" si="692"/>
        <v>New Construction/ Rehab APR</v>
      </c>
      <c r="I2024" s="52">
        <v>11</v>
      </c>
    </row>
    <row r="2025" spans="1:10" ht="15" customHeight="1">
      <c r="A2025" t="str">
        <f t="shared" ca="1" si="686"/>
        <v/>
      </c>
      <c r="B2025">
        <f t="shared" si="687"/>
        <v>31</v>
      </c>
      <c r="C2025">
        <f t="shared" ca="1" si="667"/>
        <v>28</v>
      </c>
      <c r="D2025" t="str">
        <f t="shared" si="688"/>
        <v>L31</v>
      </c>
      <c r="E2025" t="str">
        <f t="shared" ca="1" si="689"/>
        <v/>
      </c>
      <c r="F2025" t="str">
        <f t="shared" ca="1" si="690"/>
        <v xml:space="preserve">Enter a 'New Construction Eligible Basis' for  building 28 in cell L31.
</v>
      </c>
      <c r="G2025" s="9" t="str">
        <f t="shared" ca="1" si="691"/>
        <v xml:space="preserve">Enter a value for 'Number of Floors in the Tallest Building' in cell B60.
</v>
      </c>
      <c r="H2025" s="52" t="str">
        <f t="shared" ca="1" si="692"/>
        <v>New Construction Eligible Basis</v>
      </c>
      <c r="I2025" s="52">
        <v>12</v>
      </c>
    </row>
    <row r="2026" spans="1:10" ht="15" customHeight="1">
      <c r="A2026" t="str">
        <f ca="1">IF(AND(OFFSET(A2026, -I2026 + 2, 4) &gt;  0, E2026="", Calculations!$B$7), F2026, "")</f>
        <v/>
      </c>
      <c r="B2026">
        <f t="shared" si="687"/>
        <v>31</v>
      </c>
      <c r="C2026">
        <f t="shared" ca="1" si="667"/>
        <v>28</v>
      </c>
      <c r="D2026" t="str">
        <f t="shared" si="688"/>
        <v>M31</v>
      </c>
      <c r="E2026" t="str">
        <f t="shared" ca="1" si="689"/>
        <v/>
      </c>
      <c r="F2026" t="str">
        <f t="shared" ca="1" si="690"/>
        <v xml:space="preserve">Enter a 'Eligible Basis for Rehab' for  building 28 in cell M31.
</v>
      </c>
      <c r="G2026" s="9" t="str">
        <f t="shared" ca="1" si="691"/>
        <v xml:space="preserve">Enter a value for 'Number of Floors in the Tallest Building' in cell B60.
</v>
      </c>
      <c r="H2026" s="52" t="str">
        <f t="shared" ca="1" si="692"/>
        <v>Eligible Basis for Rehab</v>
      </c>
      <c r="I2026" s="52">
        <v>13</v>
      </c>
    </row>
    <row r="2027" spans="1:10" ht="15" customHeight="1">
      <c r="A2027" t="str">
        <f ca="1">IF(AND(OFFSET(A2027, -I2027 + 2, 4) &gt;  0, E2027="", Calculations!$B$7), F2027, "")</f>
        <v/>
      </c>
      <c r="B2027">
        <f t="shared" si="687"/>
        <v>31</v>
      </c>
      <c r="C2027">
        <f t="shared" ca="1" si="667"/>
        <v>28</v>
      </c>
      <c r="D2027" t="str">
        <f t="shared" si="688"/>
        <v>N31</v>
      </c>
      <c r="E2027" t="str">
        <f t="shared" ca="1" si="689"/>
        <v/>
      </c>
      <c r="F2027" t="str">
        <f t="shared" ca="1" si="690"/>
        <v xml:space="preserve">Enter a 'Cost of Acquiring the Building***' for  building 28 in cell N31.
</v>
      </c>
      <c r="G2027" s="9" t="str">
        <f t="shared" ca="1" si="691"/>
        <v xml:space="preserve">Enter a value for 'Number of Floors in the Tallest Building' in cell B60.
</v>
      </c>
      <c r="H2027" s="52" t="str">
        <f t="shared" ca="1" si="692"/>
        <v>Cost of Acquiring the Building***</v>
      </c>
      <c r="I2027" s="52">
        <v>14</v>
      </c>
    </row>
    <row r="2028" spans="1:10" ht="15" customHeight="1">
      <c r="A2028" t="str">
        <f ca="1">IF(AND(OFFSET(A2028, -I2028 + 2, 4) &gt;  0, E2028="", Calculations!$B$7), F2028, "")</f>
        <v/>
      </c>
      <c r="B2028">
        <f t="shared" si="687"/>
        <v>31</v>
      </c>
      <c r="C2028">
        <f t="shared" ca="1" si="667"/>
        <v>28</v>
      </c>
      <c r="D2028" t="str">
        <f t="shared" si="688"/>
        <v>O31</v>
      </c>
      <c r="E2028" t="str">
        <f t="shared" ca="1" si="689"/>
        <v/>
      </c>
      <c r="F2028" t="str">
        <f t="shared" ca="1" si="690"/>
        <v xml:space="preserve">Enter a 'Higher of Land Purchase Price or Land Appraised Value****' for  building 28 in cell O31.
</v>
      </c>
      <c r="G2028" s="9" t="str">
        <f t="shared" ca="1" si="691"/>
        <v xml:space="preserve">Enter a value for 'Number of Floors in the Tallest Building' in cell B60.
</v>
      </c>
      <c r="H2028" s="52" t="str">
        <f t="shared" ca="1" si="692"/>
        <v>Higher of Land Purchase Price or Land Appraised Value****</v>
      </c>
      <c r="I2028" s="52">
        <v>15</v>
      </c>
    </row>
    <row r="2029" spans="1:10" ht="15" customHeight="1">
      <c r="A2029" t="str">
        <f ca="1">IF(AND(OFFSET(A2029, -I2029 + 2, 4) &gt;  0, E2029="", Calculations!$B$7), F2029, "")</f>
        <v/>
      </c>
      <c r="B2029">
        <f t="shared" si="687"/>
        <v>31</v>
      </c>
      <c r="C2029">
        <f t="shared" ca="1" si="667"/>
        <v>28</v>
      </c>
      <c r="D2029" t="str">
        <f t="shared" si="688"/>
        <v>P31</v>
      </c>
      <c r="E2029" t="str">
        <f t="shared" ca="1" si="689"/>
        <v/>
      </c>
      <c r="F2029" t="str">
        <f t="shared" ca="1" si="690"/>
        <v xml:space="preserve">Enter a 'Acquisition Placed-in-Service Date' for  building 28 in cell P31.
</v>
      </c>
      <c r="G2029" s="9" t="str">
        <f t="shared" ca="1" si="691"/>
        <v xml:space="preserve">Enter a value for 'Number of Floors in the Tallest Building' in cell B60.
</v>
      </c>
      <c r="H2029" s="52" t="str">
        <f t="shared" ca="1" si="692"/>
        <v>Acquisition Placed-in-Service Date</v>
      </c>
      <c r="I2029" s="52">
        <v>16</v>
      </c>
    </row>
    <row r="2030" spans="1:10" ht="15" customHeight="1">
      <c r="A2030" t="str">
        <f ca="1">IF(AND(OFFSET(A2030, -I2030 + 2, 4) &gt;  0, E2030="", Calculations!$B$7), F2030, "")</f>
        <v/>
      </c>
      <c r="B2030">
        <f t="shared" si="687"/>
        <v>31</v>
      </c>
      <c r="C2030">
        <f t="shared" ca="1" si="667"/>
        <v>28</v>
      </c>
      <c r="D2030" t="str">
        <f t="shared" si="688"/>
        <v>Q31</v>
      </c>
      <c r="E2030" t="str">
        <f t="shared" ca="1" si="689"/>
        <v/>
      </c>
      <c r="F2030" t="str">
        <f t="shared" ca="1" si="690"/>
        <v xml:space="preserve">Enter a 'Acquisition APR' for  building 28 in cell Q31.
</v>
      </c>
      <c r="G2030" s="9" t="str">
        <f t="shared" ca="1" si="691"/>
        <v xml:space="preserve">Enter a value for 'Number of Floors in the Tallest Building' in cell B60.
</v>
      </c>
      <c r="H2030" s="52" t="str">
        <f t="shared" ca="1" si="692"/>
        <v>Acquisition APR</v>
      </c>
      <c r="I2030" s="52">
        <v>17</v>
      </c>
    </row>
    <row r="2031" spans="1:10" ht="15" customHeight="1">
      <c r="A2031" t="str">
        <f ca="1">IF(AND(Calculations!$B$4,Calculations!$B$29&gt;=C2031, E2031 &lt;&gt; 13),F2031,"")</f>
        <v/>
      </c>
      <c r="B2031">
        <f>ROW('Final Building Profile'!C32)</f>
        <v>32</v>
      </c>
      <c r="C2031">
        <f t="shared" ref="C2031:C2094" ca="1" si="693">INDIRECT($F$1565 &amp; ADDRESS(B2031, 1,4  ))</f>
        <v>29</v>
      </c>
      <c r="D2031" t="str">
        <f>ADDRESS(B2031, 3,4  )</f>
        <v>C32</v>
      </c>
      <c r="E2031" s="52">
        <f ca="1">H2031+I2031</f>
        <v>0</v>
      </c>
      <c r="F2031" t="str">
        <f ca="1">CONCATENATE("Based upon the number of buildings specified, information for  building ", C2031, " required for a final application in row ", B2031, ".", CHAR(10))</f>
        <v xml:space="preserve">Based upon the number of buildings specified, information for  building 29 required for a final application in row 32.
</v>
      </c>
      <c r="G2031" s="9" t="str">
        <f t="shared" ca="1" si="691"/>
        <v xml:space="preserve">Enter a value for 'Number of Floors in the Tallest Building' in cell B60.
</v>
      </c>
      <c r="H2031" s="52">
        <f ca="1">SUMPRODUCT(--ISTEXT(INDIRECT(J2031)))</f>
        <v>0</v>
      </c>
      <c r="I2031" s="52">
        <f ca="1">SUMPRODUCT(--ISNUMBER(INDIRECT(J2031)))</f>
        <v>0</v>
      </c>
      <c r="J2031" s="52" t="str">
        <f>$F$1565&amp; ADDRESS(B2031,3,4) &amp; ":" &amp; ADDRESS(B2031,15,4)</f>
        <v>'Final Building Profile'!C32:O32</v>
      </c>
    </row>
    <row r="2032" spans="1:10" ht="15" customHeight="1">
      <c r="A2032" t="str">
        <f t="shared" ref="A2032:A2041" ca="1" si="694">IF(AND(OFFSET(A2032, -I2032 + 2, 4) &gt;  0, E2032=""), F2032, "")</f>
        <v/>
      </c>
      <c r="B2032">
        <f t="shared" ref="B2032:B2046" si="695">B2031</f>
        <v>32</v>
      </c>
      <c r="C2032">
        <f t="shared" ca="1" si="693"/>
        <v>29</v>
      </c>
      <c r="D2032" t="str">
        <f t="shared" ref="D2032:D2046" si="696">ADDRESS(B2032, I2032,4  )</f>
        <v>C32</v>
      </c>
      <c r="E2032" t="str">
        <f t="shared" ref="E2032:E2046" ca="1" si="697">IF(ISBLANK( INDIRECT($F$1565 &amp; D2032)),"", INDIRECT($F$1565 &amp; D2032))</f>
        <v/>
      </c>
      <c r="F2032" t="str">
        <f t="shared" ref="F2032:F2046" ca="1" si="698">CONCATENATE("Enter a '"&amp; H2032 &amp;"' for  building ", C2032, " in cell ", D2032, ".", CHAR(10))</f>
        <v xml:space="preserve">Enter a 'Building Street Address Only 
(DO NOT ENTER CITY, STATE, OR ZIP)' for  building 29 in cell C32.
</v>
      </c>
      <c r="G2032" s="9" t="str">
        <f t="shared" ca="1" si="691"/>
        <v xml:space="preserve">Enter a value for 'Number of Floors in the Tallest Building' in cell B60.
</v>
      </c>
      <c r="H2032" s="52" t="str">
        <f t="shared" ref="H2032:H2046" ca="1" si="699">OFFSET(INDIRECT($F$1565 &amp; D2032), -B2032 + 3, 0)</f>
        <v>Building Street Address Only 
(DO NOT ENTER CITY, STATE, OR ZIP)</v>
      </c>
      <c r="I2032" s="52">
        <v>3</v>
      </c>
    </row>
    <row r="2033" spans="1:10" ht="15" customHeight="1">
      <c r="A2033" t="str">
        <f t="shared" ca="1" si="694"/>
        <v/>
      </c>
      <c r="B2033">
        <f t="shared" si="695"/>
        <v>32</v>
      </c>
      <c r="C2033">
        <f t="shared" ca="1" si="693"/>
        <v>29</v>
      </c>
      <c r="D2033" t="str">
        <f t="shared" si="696"/>
        <v>D32</v>
      </c>
      <c r="E2033" t="str">
        <f t="shared" ca="1" si="697"/>
        <v/>
      </c>
      <c r="F2033" t="str">
        <f t="shared" ca="1" si="698"/>
        <v xml:space="preserve">Enter a 'Total Units in Building*' for  building 29 in cell D32.
</v>
      </c>
      <c r="G2033" s="9" t="str">
        <f t="shared" ca="1" si="691"/>
        <v xml:space="preserve">Enter a value for 'Number of Floors in the Tallest Building' in cell B60.
</v>
      </c>
      <c r="H2033" s="52" t="str">
        <f t="shared" ca="1" si="699"/>
        <v>Total Units in Building*</v>
      </c>
      <c r="I2033" s="52">
        <v>4</v>
      </c>
    </row>
    <row r="2034" spans="1:10" ht="15" customHeight="1">
      <c r="A2034" t="str">
        <f t="shared" ca="1" si="694"/>
        <v/>
      </c>
      <c r="B2034">
        <f t="shared" si="695"/>
        <v>32</v>
      </c>
      <c r="C2034">
        <f t="shared" ca="1" si="693"/>
        <v>29</v>
      </c>
      <c r="D2034" t="str">
        <f t="shared" si="696"/>
        <v>E32</v>
      </c>
      <c r="E2034" t="str">
        <f t="shared" ca="1" si="697"/>
        <v/>
      </c>
      <c r="F2034" t="str">
        <f t="shared" ca="1" si="698"/>
        <v xml:space="preserve">Enter a 'Employee Units' for  building 29 in cell E32.
</v>
      </c>
      <c r="G2034" s="9" t="str">
        <f t="shared" ca="1" si="691"/>
        <v xml:space="preserve">Enter a value for 'Number of Floors in the Tallest Building' in cell B60.
</v>
      </c>
      <c r="H2034" s="52" t="str">
        <f t="shared" ca="1" si="699"/>
        <v>Employee Units</v>
      </c>
      <c r="I2034" s="52">
        <v>5</v>
      </c>
    </row>
    <row r="2035" spans="1:10" ht="15" customHeight="1">
      <c r="A2035" t="str">
        <f t="shared" ca="1" si="694"/>
        <v/>
      </c>
      <c r="B2035">
        <f t="shared" si="695"/>
        <v>32</v>
      </c>
      <c r="C2035">
        <f t="shared" ca="1" si="693"/>
        <v>29</v>
      </c>
      <c r="D2035" t="str">
        <f t="shared" si="696"/>
        <v>F32</v>
      </c>
      <c r="E2035" t="str">
        <f t="shared" ca="1" si="697"/>
        <v/>
      </c>
      <c r="F2035" t="str">
        <f t="shared" ca="1" si="698"/>
        <v xml:space="preserve">Enter a 'Low-Income Units' for  building 29 in cell F32.
</v>
      </c>
      <c r="G2035" s="9" t="str">
        <f t="shared" ca="1" si="691"/>
        <v xml:space="preserve">Enter a value for 'Number of Floors in the Tallest Building' in cell B60.
</v>
      </c>
      <c r="H2035" s="52" t="str">
        <f t="shared" ca="1" si="699"/>
        <v>Low-Income Units</v>
      </c>
      <c r="I2035" s="52">
        <v>6</v>
      </c>
    </row>
    <row r="2036" spans="1:10" ht="15" customHeight="1">
      <c r="A2036" t="str">
        <f t="shared" ca="1" si="694"/>
        <v/>
      </c>
      <c r="B2036">
        <f t="shared" si="695"/>
        <v>32</v>
      </c>
      <c r="C2036">
        <f t="shared" ca="1" si="693"/>
        <v>29</v>
      </c>
      <c r="D2036" t="str">
        <f t="shared" si="696"/>
        <v>G32</v>
      </c>
      <c r="E2036" t="str">
        <f t="shared" ca="1" si="697"/>
        <v/>
      </c>
      <c r="F2036" t="str">
        <f t="shared" ca="1" si="698"/>
        <v xml:space="preserve">Enter a 'Residential Square Footage**' for  building 29 in cell G32.
</v>
      </c>
      <c r="G2036" s="9" t="str">
        <f t="shared" ca="1" si="691"/>
        <v xml:space="preserve">Enter a value for 'Number of Floors in the Tallest Building' in cell B60.
</v>
      </c>
      <c r="H2036" s="52" t="str">
        <f t="shared" ca="1" si="699"/>
        <v>Residential Square Footage**</v>
      </c>
      <c r="I2036" s="52">
        <v>7</v>
      </c>
    </row>
    <row r="2037" spans="1:10" ht="15" customHeight="1">
      <c r="A2037" t="str">
        <f t="shared" ca="1" si="694"/>
        <v/>
      </c>
      <c r="B2037">
        <f t="shared" si="695"/>
        <v>32</v>
      </c>
      <c r="C2037">
        <f t="shared" ca="1" si="693"/>
        <v>29</v>
      </c>
      <c r="D2037" t="str">
        <f t="shared" si="696"/>
        <v>H32</v>
      </c>
      <c r="E2037" t="str">
        <f t="shared" ca="1" si="697"/>
        <v/>
      </c>
      <c r="F2037" t="str">
        <f t="shared" ca="1" si="698"/>
        <v xml:space="preserve">Enter a 'Square Footage of Employee Units' for  building 29 in cell H32.
</v>
      </c>
      <c r="G2037" s="9" t="str">
        <f t="shared" ca="1" si="691"/>
        <v xml:space="preserve">Enter a value for 'Number of Floors in the Tallest Building' in cell B60.
</v>
      </c>
      <c r="H2037" s="52" t="str">
        <f t="shared" ca="1" si="699"/>
        <v>Square Footage of Employee Units</v>
      </c>
      <c r="I2037" s="52">
        <v>8</v>
      </c>
    </row>
    <row r="2038" spans="1:10" ht="15" customHeight="1">
      <c r="A2038" t="str">
        <f t="shared" ca="1" si="694"/>
        <v/>
      </c>
      <c r="B2038">
        <f t="shared" si="695"/>
        <v>32</v>
      </c>
      <c r="C2038">
        <f t="shared" ca="1" si="693"/>
        <v>29</v>
      </c>
      <c r="D2038" t="str">
        <f t="shared" si="696"/>
        <v>I32</v>
      </c>
      <c r="E2038" t="str">
        <f t="shared" ca="1" si="697"/>
        <v/>
      </c>
      <c r="F2038" t="str">
        <f t="shared" ca="1" si="698"/>
        <v xml:space="preserve">Enter a 'Square Footage of Low-Income Units' for  building 29 in cell I32.
</v>
      </c>
      <c r="G2038" s="9" t="str">
        <f t="shared" ca="1" si="691"/>
        <v xml:space="preserve">Enter a value for 'Number of Floors in the Tallest Building' in cell B60.
</v>
      </c>
      <c r="H2038" s="52" t="str">
        <f t="shared" ca="1" si="699"/>
        <v>Square Footage of Low-Income Units</v>
      </c>
      <c r="I2038" s="52">
        <v>9</v>
      </c>
    </row>
    <row r="2039" spans="1:10" ht="15" customHeight="1">
      <c r="A2039" t="str">
        <f t="shared" ca="1" si="694"/>
        <v/>
      </c>
      <c r="B2039">
        <f t="shared" si="695"/>
        <v>32</v>
      </c>
      <c r="C2039">
        <f t="shared" ca="1" si="693"/>
        <v>29</v>
      </c>
      <c r="D2039" t="str">
        <f t="shared" si="696"/>
        <v>J32</v>
      </c>
      <c r="E2039" t="str">
        <f t="shared" ca="1" si="697"/>
        <v/>
      </c>
      <c r="F2039" t="str">
        <f t="shared" ca="1" si="698"/>
        <v xml:space="preserve">Enter a 'Placed-In-Service Date' for  building 29 in cell J32.
</v>
      </c>
      <c r="G2039" s="9" t="str">
        <f t="shared" ca="1" si="691"/>
        <v xml:space="preserve">Enter a value for 'Number of Floors in the Tallest Building' in cell B60.
</v>
      </c>
      <c r="H2039" s="52" t="str">
        <f t="shared" ca="1" si="699"/>
        <v>Placed-In-Service Date</v>
      </c>
      <c r="I2039" s="52">
        <v>10</v>
      </c>
    </row>
    <row r="2040" spans="1:10" ht="15" customHeight="1">
      <c r="A2040" t="str">
        <f t="shared" ca="1" si="694"/>
        <v/>
      </c>
      <c r="B2040">
        <f t="shared" si="695"/>
        <v>32</v>
      </c>
      <c r="C2040">
        <f t="shared" ca="1" si="693"/>
        <v>29</v>
      </c>
      <c r="D2040" t="str">
        <f t="shared" si="696"/>
        <v>K32</v>
      </c>
      <c r="E2040" t="str">
        <f t="shared" ca="1" si="697"/>
        <v/>
      </c>
      <c r="F2040" t="str">
        <f t="shared" ca="1" si="698"/>
        <v xml:space="preserve">Enter a 'New Construction/ Rehab APR' for  building 29 in cell K32.
</v>
      </c>
      <c r="G2040" s="9" t="str">
        <f t="shared" ca="1" si="691"/>
        <v xml:space="preserve">Enter a value for 'Number of Floors in the Tallest Building' in cell B60.
</v>
      </c>
      <c r="H2040" s="52" t="str">
        <f t="shared" ca="1" si="699"/>
        <v>New Construction/ Rehab APR</v>
      </c>
      <c r="I2040" s="52">
        <v>11</v>
      </c>
    </row>
    <row r="2041" spans="1:10" ht="15" customHeight="1">
      <c r="A2041" t="str">
        <f t="shared" ca="1" si="694"/>
        <v/>
      </c>
      <c r="B2041">
        <f t="shared" si="695"/>
        <v>32</v>
      </c>
      <c r="C2041">
        <f t="shared" ca="1" si="693"/>
        <v>29</v>
      </c>
      <c r="D2041" t="str">
        <f t="shared" si="696"/>
        <v>L32</v>
      </c>
      <c r="E2041" t="str">
        <f t="shared" ca="1" si="697"/>
        <v/>
      </c>
      <c r="F2041" t="str">
        <f t="shared" ca="1" si="698"/>
        <v xml:space="preserve">Enter a 'New Construction Eligible Basis' for  building 29 in cell L32.
</v>
      </c>
      <c r="G2041" s="9" t="str">
        <f t="shared" ca="1" si="691"/>
        <v xml:space="preserve">Enter a value for 'Number of Floors in the Tallest Building' in cell B60.
</v>
      </c>
      <c r="H2041" s="52" t="str">
        <f t="shared" ca="1" si="699"/>
        <v>New Construction Eligible Basis</v>
      </c>
      <c r="I2041" s="52">
        <v>12</v>
      </c>
    </row>
    <row r="2042" spans="1:10" ht="15" customHeight="1">
      <c r="A2042" t="str">
        <f ca="1">IF(AND(OFFSET(A2042, -I2042 + 2, 4) &gt;  0, E2042="", Calculations!$B$7), F2042, "")</f>
        <v/>
      </c>
      <c r="B2042">
        <f t="shared" si="695"/>
        <v>32</v>
      </c>
      <c r="C2042">
        <f t="shared" ca="1" si="693"/>
        <v>29</v>
      </c>
      <c r="D2042" t="str">
        <f t="shared" si="696"/>
        <v>M32</v>
      </c>
      <c r="E2042" t="str">
        <f t="shared" ca="1" si="697"/>
        <v/>
      </c>
      <c r="F2042" t="str">
        <f t="shared" ca="1" si="698"/>
        <v xml:space="preserve">Enter a 'Eligible Basis for Rehab' for  building 29 in cell M32.
</v>
      </c>
      <c r="G2042" s="9" t="str">
        <f t="shared" ca="1" si="691"/>
        <v xml:space="preserve">Enter a value for 'Number of Floors in the Tallest Building' in cell B60.
</v>
      </c>
      <c r="H2042" s="52" t="str">
        <f t="shared" ca="1" si="699"/>
        <v>Eligible Basis for Rehab</v>
      </c>
      <c r="I2042" s="52">
        <v>13</v>
      </c>
    </row>
    <row r="2043" spans="1:10" ht="15" customHeight="1">
      <c r="A2043" t="str">
        <f ca="1">IF(AND(OFFSET(A2043, -I2043 + 2, 4) &gt;  0, E2043="", Calculations!$B$7), F2043, "")</f>
        <v/>
      </c>
      <c r="B2043">
        <f t="shared" si="695"/>
        <v>32</v>
      </c>
      <c r="C2043">
        <f t="shared" ca="1" si="693"/>
        <v>29</v>
      </c>
      <c r="D2043" t="str">
        <f t="shared" si="696"/>
        <v>N32</v>
      </c>
      <c r="E2043" t="str">
        <f t="shared" ca="1" si="697"/>
        <v/>
      </c>
      <c r="F2043" t="str">
        <f t="shared" ca="1" si="698"/>
        <v xml:space="preserve">Enter a 'Cost of Acquiring the Building***' for  building 29 in cell N32.
</v>
      </c>
      <c r="G2043" s="9" t="str">
        <f t="shared" ca="1" si="691"/>
        <v xml:space="preserve">Enter a value for 'Number of Floors in the Tallest Building' in cell B60.
</v>
      </c>
      <c r="H2043" s="52" t="str">
        <f t="shared" ca="1" si="699"/>
        <v>Cost of Acquiring the Building***</v>
      </c>
      <c r="I2043" s="52">
        <v>14</v>
      </c>
    </row>
    <row r="2044" spans="1:10" ht="15" customHeight="1">
      <c r="A2044" t="str">
        <f ca="1">IF(AND(OFFSET(A2044, -I2044 + 2, 4) &gt;  0, E2044="", Calculations!$B$7), F2044, "")</f>
        <v/>
      </c>
      <c r="B2044">
        <f t="shared" si="695"/>
        <v>32</v>
      </c>
      <c r="C2044">
        <f t="shared" ca="1" si="693"/>
        <v>29</v>
      </c>
      <c r="D2044" t="str">
        <f t="shared" si="696"/>
        <v>O32</v>
      </c>
      <c r="E2044" t="str">
        <f t="shared" ca="1" si="697"/>
        <v/>
      </c>
      <c r="F2044" t="str">
        <f t="shared" ca="1" si="698"/>
        <v xml:space="preserve">Enter a 'Higher of Land Purchase Price or Land Appraised Value****' for  building 29 in cell O32.
</v>
      </c>
      <c r="G2044" s="9" t="str">
        <f t="shared" ca="1" si="691"/>
        <v xml:space="preserve">Enter a value for 'Number of Floors in the Tallest Building' in cell B60.
</v>
      </c>
      <c r="H2044" s="52" t="str">
        <f t="shared" ca="1" si="699"/>
        <v>Higher of Land Purchase Price or Land Appraised Value****</v>
      </c>
      <c r="I2044" s="52">
        <v>15</v>
      </c>
    </row>
    <row r="2045" spans="1:10" ht="15" customHeight="1">
      <c r="A2045" t="str">
        <f ca="1">IF(AND(OFFSET(A2045, -I2045 + 2, 4) &gt;  0, E2045="", Calculations!$B$7), F2045, "")</f>
        <v/>
      </c>
      <c r="B2045">
        <f t="shared" si="695"/>
        <v>32</v>
      </c>
      <c r="C2045">
        <f t="shared" ca="1" si="693"/>
        <v>29</v>
      </c>
      <c r="D2045" t="str">
        <f t="shared" si="696"/>
        <v>P32</v>
      </c>
      <c r="E2045" t="str">
        <f t="shared" ca="1" si="697"/>
        <v/>
      </c>
      <c r="F2045" t="str">
        <f t="shared" ca="1" si="698"/>
        <v xml:space="preserve">Enter a 'Acquisition Placed-in-Service Date' for  building 29 in cell P32.
</v>
      </c>
      <c r="G2045" s="9" t="str">
        <f t="shared" ca="1" si="691"/>
        <v xml:space="preserve">Enter a value for 'Number of Floors in the Tallest Building' in cell B60.
</v>
      </c>
      <c r="H2045" s="52" t="str">
        <f t="shared" ca="1" si="699"/>
        <v>Acquisition Placed-in-Service Date</v>
      </c>
      <c r="I2045" s="52">
        <v>16</v>
      </c>
    </row>
    <row r="2046" spans="1:10" ht="15" customHeight="1">
      <c r="A2046" t="str">
        <f ca="1">IF(AND(OFFSET(A2046, -I2046 + 2, 4) &gt;  0, E2046="", Calculations!$B$7), F2046, "")</f>
        <v/>
      </c>
      <c r="B2046">
        <f t="shared" si="695"/>
        <v>32</v>
      </c>
      <c r="C2046">
        <f t="shared" ca="1" si="693"/>
        <v>29</v>
      </c>
      <c r="D2046" t="str">
        <f t="shared" si="696"/>
        <v>Q32</v>
      </c>
      <c r="E2046" t="str">
        <f t="shared" ca="1" si="697"/>
        <v/>
      </c>
      <c r="F2046" t="str">
        <f t="shared" ca="1" si="698"/>
        <v xml:space="preserve">Enter a 'Acquisition APR' for  building 29 in cell Q32.
</v>
      </c>
      <c r="G2046" s="9" t="str">
        <f t="shared" ca="1" si="691"/>
        <v xml:space="preserve">Enter a value for 'Number of Floors in the Tallest Building' in cell B60.
</v>
      </c>
      <c r="H2046" s="52" t="str">
        <f t="shared" ca="1" si="699"/>
        <v>Acquisition APR</v>
      </c>
      <c r="I2046" s="52">
        <v>17</v>
      </c>
    </row>
    <row r="2047" spans="1:10" ht="15" customHeight="1">
      <c r="A2047" t="str">
        <f ca="1">IF(AND(Calculations!$B$4,Calculations!$B$29&gt;=C2047, E2047 &lt;&gt; 13),F2047,"")</f>
        <v/>
      </c>
      <c r="B2047">
        <f>ROW('Final Building Profile'!C33)</f>
        <v>33</v>
      </c>
      <c r="C2047">
        <f t="shared" ca="1" si="693"/>
        <v>30</v>
      </c>
      <c r="D2047" t="str">
        <f>ADDRESS(B2047, 3,4  )</f>
        <v>C33</v>
      </c>
      <c r="E2047" s="52">
        <f ca="1">H2047+I2047</f>
        <v>0</v>
      </c>
      <c r="F2047" t="str">
        <f ca="1">CONCATENATE("Based upon the number of buildings specified, information for  building ", C2047, " required for a final application in row ", B2047, ".", CHAR(10))</f>
        <v xml:space="preserve">Based upon the number of buildings specified, information for  building 30 required for a final application in row 33.
</v>
      </c>
      <c r="G2047" s="9" t="str">
        <f t="shared" ca="1" si="691"/>
        <v xml:space="preserve">Enter a value for 'Number of Floors in the Tallest Building' in cell B60.
</v>
      </c>
      <c r="H2047" s="52">
        <f ca="1">SUMPRODUCT(--ISTEXT(INDIRECT(J2047)))</f>
        <v>0</v>
      </c>
      <c r="I2047" s="52">
        <f ca="1">SUMPRODUCT(--ISNUMBER(INDIRECT(J2047)))</f>
        <v>0</v>
      </c>
      <c r="J2047" s="52" t="str">
        <f>$F$1565&amp; ADDRESS(B2047,3,4) &amp; ":" &amp; ADDRESS(B2047,15,4)</f>
        <v>'Final Building Profile'!C33:O33</v>
      </c>
    </row>
    <row r="2048" spans="1:10" ht="15" customHeight="1">
      <c r="A2048" t="str">
        <f t="shared" ref="A2048:A2057" ca="1" si="700">IF(AND(OFFSET(A2048, -I2048 + 2, 4) &gt;  0, E2048=""), F2048, "")</f>
        <v/>
      </c>
      <c r="B2048">
        <f t="shared" ref="B2048:B2062" si="701">B2047</f>
        <v>33</v>
      </c>
      <c r="C2048">
        <f t="shared" ca="1" si="693"/>
        <v>30</v>
      </c>
      <c r="D2048" t="str">
        <f t="shared" ref="D2048:D2062" si="702">ADDRESS(B2048, I2048,4  )</f>
        <v>C33</v>
      </c>
      <c r="E2048" t="str">
        <f t="shared" ref="E2048:E2062" ca="1" si="703">IF(ISBLANK( INDIRECT($F$1565 &amp; D2048)),"", INDIRECT($F$1565 &amp; D2048))</f>
        <v/>
      </c>
      <c r="F2048" t="str">
        <f t="shared" ref="F2048:F2062" ca="1" si="704">CONCATENATE("Enter a '"&amp; H2048 &amp;"' for  building ", C2048, " in cell ", D2048, ".", CHAR(10))</f>
        <v xml:space="preserve">Enter a 'Building Street Address Only 
(DO NOT ENTER CITY, STATE, OR ZIP)' for  building 30 in cell C33.
</v>
      </c>
      <c r="G2048" s="9" t="str">
        <f t="shared" ca="1" si="691"/>
        <v xml:space="preserve">Enter a value for 'Number of Floors in the Tallest Building' in cell B60.
</v>
      </c>
      <c r="H2048" s="52" t="str">
        <f t="shared" ref="H2048:H2062" ca="1" si="705">OFFSET(INDIRECT($F$1565 &amp; D2048), -B2048 + 3, 0)</f>
        <v>Building Street Address Only 
(DO NOT ENTER CITY, STATE, OR ZIP)</v>
      </c>
      <c r="I2048" s="52">
        <v>3</v>
      </c>
    </row>
    <row r="2049" spans="1:10" ht="15" customHeight="1">
      <c r="A2049" t="str">
        <f t="shared" ca="1" si="700"/>
        <v/>
      </c>
      <c r="B2049">
        <f t="shared" si="701"/>
        <v>33</v>
      </c>
      <c r="C2049">
        <f t="shared" ca="1" si="693"/>
        <v>30</v>
      </c>
      <c r="D2049" t="str">
        <f t="shared" si="702"/>
        <v>D33</v>
      </c>
      <c r="E2049" t="str">
        <f t="shared" ca="1" si="703"/>
        <v/>
      </c>
      <c r="F2049" t="str">
        <f t="shared" ca="1" si="704"/>
        <v xml:space="preserve">Enter a 'Total Units in Building*' for  building 30 in cell D33.
</v>
      </c>
      <c r="G2049" s="9" t="str">
        <f t="shared" ca="1" si="691"/>
        <v xml:space="preserve">Enter a value for 'Number of Floors in the Tallest Building' in cell B60.
</v>
      </c>
      <c r="H2049" s="52" t="str">
        <f t="shared" ca="1" si="705"/>
        <v>Total Units in Building*</v>
      </c>
      <c r="I2049" s="52">
        <v>4</v>
      </c>
    </row>
    <row r="2050" spans="1:10" ht="15" customHeight="1">
      <c r="A2050" t="str">
        <f t="shared" ca="1" si="700"/>
        <v/>
      </c>
      <c r="B2050">
        <f t="shared" si="701"/>
        <v>33</v>
      </c>
      <c r="C2050">
        <f t="shared" ca="1" si="693"/>
        <v>30</v>
      </c>
      <c r="D2050" t="str">
        <f t="shared" si="702"/>
        <v>E33</v>
      </c>
      <c r="E2050" t="str">
        <f t="shared" ca="1" si="703"/>
        <v/>
      </c>
      <c r="F2050" t="str">
        <f t="shared" ca="1" si="704"/>
        <v xml:space="preserve">Enter a 'Employee Units' for  building 30 in cell E33.
</v>
      </c>
      <c r="G2050" s="9" t="str">
        <f t="shared" ca="1" si="691"/>
        <v xml:space="preserve">Enter a value for 'Number of Floors in the Tallest Building' in cell B60.
</v>
      </c>
      <c r="H2050" s="52" t="str">
        <f t="shared" ca="1" si="705"/>
        <v>Employee Units</v>
      </c>
      <c r="I2050" s="52">
        <v>5</v>
      </c>
    </row>
    <row r="2051" spans="1:10" ht="15" customHeight="1">
      <c r="A2051" t="str">
        <f t="shared" ca="1" si="700"/>
        <v/>
      </c>
      <c r="B2051">
        <f t="shared" si="701"/>
        <v>33</v>
      </c>
      <c r="C2051">
        <f t="shared" ca="1" si="693"/>
        <v>30</v>
      </c>
      <c r="D2051" t="str">
        <f t="shared" si="702"/>
        <v>F33</v>
      </c>
      <c r="E2051" t="str">
        <f t="shared" ca="1" si="703"/>
        <v/>
      </c>
      <c r="F2051" t="str">
        <f t="shared" ca="1" si="704"/>
        <v xml:space="preserve">Enter a 'Low-Income Units' for  building 30 in cell F33.
</v>
      </c>
      <c r="G2051" s="9" t="str">
        <f t="shared" ca="1" si="691"/>
        <v xml:space="preserve">Enter a value for 'Number of Floors in the Tallest Building' in cell B60.
</v>
      </c>
      <c r="H2051" s="52" t="str">
        <f t="shared" ca="1" si="705"/>
        <v>Low-Income Units</v>
      </c>
      <c r="I2051" s="52">
        <v>6</v>
      </c>
    </row>
    <row r="2052" spans="1:10" ht="15" customHeight="1">
      <c r="A2052" t="str">
        <f t="shared" ca="1" si="700"/>
        <v/>
      </c>
      <c r="B2052">
        <f t="shared" si="701"/>
        <v>33</v>
      </c>
      <c r="C2052">
        <f t="shared" ca="1" si="693"/>
        <v>30</v>
      </c>
      <c r="D2052" t="str">
        <f t="shared" si="702"/>
        <v>G33</v>
      </c>
      <c r="E2052" t="str">
        <f t="shared" ca="1" si="703"/>
        <v/>
      </c>
      <c r="F2052" t="str">
        <f t="shared" ca="1" si="704"/>
        <v xml:space="preserve">Enter a 'Residential Square Footage**' for  building 30 in cell G33.
</v>
      </c>
      <c r="G2052" s="9" t="str">
        <f t="shared" ca="1" si="691"/>
        <v xml:space="preserve">Enter a value for 'Number of Floors in the Tallest Building' in cell B60.
</v>
      </c>
      <c r="H2052" s="52" t="str">
        <f t="shared" ca="1" si="705"/>
        <v>Residential Square Footage**</v>
      </c>
      <c r="I2052" s="52">
        <v>7</v>
      </c>
    </row>
    <row r="2053" spans="1:10" ht="15" customHeight="1">
      <c r="A2053" t="str">
        <f t="shared" ca="1" si="700"/>
        <v/>
      </c>
      <c r="B2053">
        <f t="shared" si="701"/>
        <v>33</v>
      </c>
      <c r="C2053">
        <f t="shared" ca="1" si="693"/>
        <v>30</v>
      </c>
      <c r="D2053" t="str">
        <f t="shared" si="702"/>
        <v>H33</v>
      </c>
      <c r="E2053" t="str">
        <f t="shared" ca="1" si="703"/>
        <v/>
      </c>
      <c r="F2053" t="str">
        <f t="shared" ca="1" si="704"/>
        <v xml:space="preserve">Enter a 'Square Footage of Employee Units' for  building 30 in cell H33.
</v>
      </c>
      <c r="G2053" s="9" t="str">
        <f t="shared" ca="1" si="691"/>
        <v xml:space="preserve">Enter a value for 'Number of Floors in the Tallest Building' in cell B60.
</v>
      </c>
      <c r="H2053" s="52" t="str">
        <f t="shared" ca="1" si="705"/>
        <v>Square Footage of Employee Units</v>
      </c>
      <c r="I2053" s="52">
        <v>8</v>
      </c>
    </row>
    <row r="2054" spans="1:10" ht="15" customHeight="1">
      <c r="A2054" t="str">
        <f t="shared" ca="1" si="700"/>
        <v/>
      </c>
      <c r="B2054">
        <f t="shared" si="701"/>
        <v>33</v>
      </c>
      <c r="C2054">
        <f t="shared" ca="1" si="693"/>
        <v>30</v>
      </c>
      <c r="D2054" t="str">
        <f t="shared" si="702"/>
        <v>I33</v>
      </c>
      <c r="E2054" t="str">
        <f t="shared" ca="1" si="703"/>
        <v/>
      </c>
      <c r="F2054" t="str">
        <f t="shared" ca="1" si="704"/>
        <v xml:space="preserve">Enter a 'Square Footage of Low-Income Units' for  building 30 in cell I33.
</v>
      </c>
      <c r="G2054" s="9" t="str">
        <f t="shared" ca="1" si="691"/>
        <v xml:space="preserve">Enter a value for 'Number of Floors in the Tallest Building' in cell B60.
</v>
      </c>
      <c r="H2054" s="52" t="str">
        <f t="shared" ca="1" si="705"/>
        <v>Square Footage of Low-Income Units</v>
      </c>
      <c r="I2054" s="52">
        <v>9</v>
      </c>
    </row>
    <row r="2055" spans="1:10" ht="15" customHeight="1">
      <c r="A2055" t="str">
        <f t="shared" ca="1" si="700"/>
        <v/>
      </c>
      <c r="B2055">
        <f t="shared" si="701"/>
        <v>33</v>
      </c>
      <c r="C2055">
        <f t="shared" ca="1" si="693"/>
        <v>30</v>
      </c>
      <c r="D2055" t="str">
        <f t="shared" si="702"/>
        <v>J33</v>
      </c>
      <c r="E2055" t="str">
        <f t="shared" ca="1" si="703"/>
        <v/>
      </c>
      <c r="F2055" t="str">
        <f t="shared" ca="1" si="704"/>
        <v xml:space="preserve">Enter a 'Placed-In-Service Date' for  building 30 in cell J33.
</v>
      </c>
      <c r="G2055" s="9" t="str">
        <f t="shared" ca="1" si="691"/>
        <v xml:space="preserve">Enter a value for 'Number of Floors in the Tallest Building' in cell B60.
</v>
      </c>
      <c r="H2055" s="52" t="str">
        <f t="shared" ca="1" si="705"/>
        <v>Placed-In-Service Date</v>
      </c>
      <c r="I2055" s="52">
        <v>10</v>
      </c>
    </row>
    <row r="2056" spans="1:10" ht="15" customHeight="1">
      <c r="A2056" t="str">
        <f t="shared" ca="1" si="700"/>
        <v/>
      </c>
      <c r="B2056">
        <f t="shared" si="701"/>
        <v>33</v>
      </c>
      <c r="C2056">
        <f t="shared" ca="1" si="693"/>
        <v>30</v>
      </c>
      <c r="D2056" t="str">
        <f t="shared" si="702"/>
        <v>K33</v>
      </c>
      <c r="E2056" t="str">
        <f t="shared" ca="1" si="703"/>
        <v/>
      </c>
      <c r="F2056" t="str">
        <f t="shared" ca="1" si="704"/>
        <v xml:space="preserve">Enter a 'New Construction/ Rehab APR' for  building 30 in cell K33.
</v>
      </c>
      <c r="G2056" s="9" t="str">
        <f t="shared" ca="1" si="691"/>
        <v xml:space="preserve">Enter a value for 'Number of Floors in the Tallest Building' in cell B60.
</v>
      </c>
      <c r="H2056" s="52" t="str">
        <f t="shared" ca="1" si="705"/>
        <v>New Construction/ Rehab APR</v>
      </c>
      <c r="I2056" s="52">
        <v>11</v>
      </c>
    </row>
    <row r="2057" spans="1:10" ht="15" customHeight="1">
      <c r="A2057" t="str">
        <f t="shared" ca="1" si="700"/>
        <v/>
      </c>
      <c r="B2057">
        <f t="shared" si="701"/>
        <v>33</v>
      </c>
      <c r="C2057">
        <f t="shared" ca="1" si="693"/>
        <v>30</v>
      </c>
      <c r="D2057" t="str">
        <f t="shared" si="702"/>
        <v>L33</v>
      </c>
      <c r="E2057" t="str">
        <f t="shared" ca="1" si="703"/>
        <v/>
      </c>
      <c r="F2057" t="str">
        <f t="shared" ca="1" si="704"/>
        <v xml:space="preserve">Enter a 'New Construction Eligible Basis' for  building 30 in cell L33.
</v>
      </c>
      <c r="G2057" s="9" t="str">
        <f t="shared" ca="1" si="691"/>
        <v xml:space="preserve">Enter a value for 'Number of Floors in the Tallest Building' in cell B60.
</v>
      </c>
      <c r="H2057" s="52" t="str">
        <f t="shared" ca="1" si="705"/>
        <v>New Construction Eligible Basis</v>
      </c>
      <c r="I2057" s="52">
        <v>12</v>
      </c>
    </row>
    <row r="2058" spans="1:10" ht="15" customHeight="1">
      <c r="A2058" t="str">
        <f ca="1">IF(AND(OFFSET(A2058, -I2058 + 2, 4) &gt;  0, E2058="", Calculations!$B$7), F2058, "")</f>
        <v/>
      </c>
      <c r="B2058">
        <f t="shared" si="701"/>
        <v>33</v>
      </c>
      <c r="C2058">
        <f t="shared" ca="1" si="693"/>
        <v>30</v>
      </c>
      <c r="D2058" t="str">
        <f t="shared" si="702"/>
        <v>M33</v>
      </c>
      <c r="E2058" t="str">
        <f t="shared" ca="1" si="703"/>
        <v/>
      </c>
      <c r="F2058" t="str">
        <f t="shared" ca="1" si="704"/>
        <v xml:space="preserve">Enter a 'Eligible Basis for Rehab' for  building 30 in cell M33.
</v>
      </c>
      <c r="G2058" s="9" t="str">
        <f t="shared" ca="1" si="691"/>
        <v xml:space="preserve">Enter a value for 'Number of Floors in the Tallest Building' in cell B60.
</v>
      </c>
      <c r="H2058" s="52" t="str">
        <f t="shared" ca="1" si="705"/>
        <v>Eligible Basis for Rehab</v>
      </c>
      <c r="I2058" s="52">
        <v>13</v>
      </c>
    </row>
    <row r="2059" spans="1:10" ht="15" customHeight="1">
      <c r="A2059" t="str">
        <f ca="1">IF(AND(OFFSET(A2059, -I2059 + 2, 4) &gt;  0, E2059="", Calculations!$B$7), F2059, "")</f>
        <v/>
      </c>
      <c r="B2059">
        <f t="shared" si="701"/>
        <v>33</v>
      </c>
      <c r="C2059">
        <f t="shared" ca="1" si="693"/>
        <v>30</v>
      </c>
      <c r="D2059" t="str">
        <f t="shared" si="702"/>
        <v>N33</v>
      </c>
      <c r="E2059" t="str">
        <f t="shared" ca="1" si="703"/>
        <v/>
      </c>
      <c r="F2059" t="str">
        <f t="shared" ca="1" si="704"/>
        <v xml:space="preserve">Enter a 'Cost of Acquiring the Building***' for  building 30 in cell N33.
</v>
      </c>
      <c r="G2059" s="9" t="str">
        <f t="shared" ca="1" si="691"/>
        <v xml:space="preserve">Enter a value for 'Number of Floors in the Tallest Building' in cell B60.
</v>
      </c>
      <c r="H2059" s="52" t="str">
        <f t="shared" ca="1" si="705"/>
        <v>Cost of Acquiring the Building***</v>
      </c>
      <c r="I2059" s="52">
        <v>14</v>
      </c>
    </row>
    <row r="2060" spans="1:10" ht="15" customHeight="1">
      <c r="A2060" t="str">
        <f ca="1">IF(AND(OFFSET(A2060, -I2060 + 2, 4) &gt;  0, E2060="", Calculations!$B$7), F2060, "")</f>
        <v/>
      </c>
      <c r="B2060">
        <f t="shared" si="701"/>
        <v>33</v>
      </c>
      <c r="C2060">
        <f t="shared" ca="1" si="693"/>
        <v>30</v>
      </c>
      <c r="D2060" t="str">
        <f t="shared" si="702"/>
        <v>O33</v>
      </c>
      <c r="E2060" t="str">
        <f t="shared" ca="1" si="703"/>
        <v/>
      </c>
      <c r="F2060" t="str">
        <f t="shared" ca="1" si="704"/>
        <v xml:space="preserve">Enter a 'Higher of Land Purchase Price or Land Appraised Value****' for  building 30 in cell O33.
</v>
      </c>
      <c r="G2060" s="9" t="str">
        <f t="shared" ca="1" si="691"/>
        <v xml:space="preserve">Enter a value for 'Number of Floors in the Tallest Building' in cell B60.
</v>
      </c>
      <c r="H2060" s="52" t="str">
        <f t="shared" ca="1" si="705"/>
        <v>Higher of Land Purchase Price or Land Appraised Value****</v>
      </c>
      <c r="I2060" s="52">
        <v>15</v>
      </c>
    </row>
    <row r="2061" spans="1:10" ht="15" customHeight="1">
      <c r="A2061" t="str">
        <f ca="1">IF(AND(OFFSET(A2061, -I2061 + 2, 4) &gt;  0, E2061="", Calculations!$B$7), F2061, "")</f>
        <v/>
      </c>
      <c r="B2061">
        <f t="shared" si="701"/>
        <v>33</v>
      </c>
      <c r="C2061">
        <f t="shared" ca="1" si="693"/>
        <v>30</v>
      </c>
      <c r="D2061" t="str">
        <f t="shared" si="702"/>
        <v>P33</v>
      </c>
      <c r="E2061" t="str">
        <f t="shared" ca="1" si="703"/>
        <v/>
      </c>
      <c r="F2061" t="str">
        <f t="shared" ca="1" si="704"/>
        <v xml:space="preserve">Enter a 'Acquisition Placed-in-Service Date' for  building 30 in cell P33.
</v>
      </c>
      <c r="G2061" s="9" t="str">
        <f t="shared" ca="1" si="691"/>
        <v xml:space="preserve">Enter a value for 'Number of Floors in the Tallest Building' in cell B60.
</v>
      </c>
      <c r="H2061" s="52" t="str">
        <f t="shared" ca="1" si="705"/>
        <v>Acquisition Placed-in-Service Date</v>
      </c>
      <c r="I2061" s="52">
        <v>16</v>
      </c>
    </row>
    <row r="2062" spans="1:10" ht="15" customHeight="1">
      <c r="A2062" t="str">
        <f ca="1">IF(AND(OFFSET(A2062, -I2062 + 2, 4) &gt;  0, E2062="", Calculations!$B$7), F2062, "")</f>
        <v/>
      </c>
      <c r="B2062">
        <f t="shared" si="701"/>
        <v>33</v>
      </c>
      <c r="C2062">
        <f t="shared" ca="1" si="693"/>
        <v>30</v>
      </c>
      <c r="D2062" t="str">
        <f t="shared" si="702"/>
        <v>Q33</v>
      </c>
      <c r="E2062" t="str">
        <f t="shared" ca="1" si="703"/>
        <v/>
      </c>
      <c r="F2062" t="str">
        <f t="shared" ca="1" si="704"/>
        <v xml:space="preserve">Enter a 'Acquisition APR' for  building 30 in cell Q33.
</v>
      </c>
      <c r="G2062" s="9" t="str">
        <f t="shared" ca="1" si="691"/>
        <v xml:space="preserve">Enter a value for 'Number of Floors in the Tallest Building' in cell B60.
</v>
      </c>
      <c r="H2062" s="52" t="str">
        <f t="shared" ca="1" si="705"/>
        <v>Acquisition APR</v>
      </c>
      <c r="I2062" s="52">
        <v>17</v>
      </c>
    </row>
    <row r="2063" spans="1:10" ht="15" customHeight="1">
      <c r="A2063" t="str">
        <f ca="1">IF(AND(Calculations!$B$4,Calculations!$B$29&gt;=C2063, E2063 &lt;&gt; 13),F2063,"")</f>
        <v/>
      </c>
      <c r="B2063">
        <f>ROW('Final Building Profile'!C34)</f>
        <v>34</v>
      </c>
      <c r="C2063">
        <f t="shared" ca="1" si="693"/>
        <v>31</v>
      </c>
      <c r="D2063" t="str">
        <f>ADDRESS(B2063, 3,4  )</f>
        <v>C34</v>
      </c>
      <c r="E2063" s="52">
        <f ca="1">H2063+I2063</f>
        <v>0</v>
      </c>
      <c r="F2063" t="str">
        <f ca="1">CONCATENATE("Based upon the number of buildings specified, information for  building ", C2063, " required for a final application in row ", B2063, ".", CHAR(10))</f>
        <v xml:space="preserve">Based upon the number of buildings specified, information for  building 31 required for a final application in row 34.
</v>
      </c>
      <c r="G2063" s="9" t="str">
        <f t="shared" ca="1" si="691"/>
        <v xml:space="preserve">Enter a value for 'Number of Floors in the Tallest Building' in cell B60.
</v>
      </c>
      <c r="H2063" s="52">
        <f ca="1">SUMPRODUCT(--ISTEXT(INDIRECT(J2063)))</f>
        <v>0</v>
      </c>
      <c r="I2063" s="52">
        <f ca="1">SUMPRODUCT(--ISNUMBER(INDIRECT(J2063)))</f>
        <v>0</v>
      </c>
      <c r="J2063" s="52" t="str">
        <f>$F$1565&amp; ADDRESS(B2063,3,4) &amp; ":" &amp; ADDRESS(B2063,15,4)</f>
        <v>'Final Building Profile'!C34:O34</v>
      </c>
    </row>
    <row r="2064" spans="1:10" ht="15" customHeight="1">
      <c r="A2064" t="str">
        <f t="shared" ref="A2064:A2073" ca="1" si="706">IF(AND(OFFSET(A2064, -I2064 + 2, 4) &gt;  0, E2064=""), F2064, "")</f>
        <v/>
      </c>
      <c r="B2064">
        <f t="shared" ref="B2064:B2078" si="707">B2063</f>
        <v>34</v>
      </c>
      <c r="C2064">
        <f t="shared" ca="1" si="693"/>
        <v>31</v>
      </c>
      <c r="D2064" t="str">
        <f t="shared" ref="D2064:D2078" si="708">ADDRESS(B2064, I2064,4  )</f>
        <v>C34</v>
      </c>
      <c r="E2064" t="str">
        <f t="shared" ref="E2064:E2078" ca="1" si="709">IF(ISBLANK( INDIRECT($F$1565 &amp; D2064)),"", INDIRECT($F$1565 &amp; D2064))</f>
        <v/>
      </c>
      <c r="F2064" t="str">
        <f t="shared" ref="F2064:F2078" ca="1" si="710">CONCATENATE("Enter a '"&amp; H2064 &amp;"' for  building ", C2064, " in cell ", D2064, ".", CHAR(10))</f>
        <v xml:space="preserve">Enter a 'Building Street Address Only 
(DO NOT ENTER CITY, STATE, OR ZIP)' for  building 31 in cell C34.
</v>
      </c>
      <c r="G2064" s="9" t="str">
        <f t="shared" ca="1" si="691"/>
        <v xml:space="preserve">Enter a value for 'Number of Floors in the Tallest Building' in cell B60.
</v>
      </c>
      <c r="H2064" s="52" t="str">
        <f t="shared" ref="H2064:H2078" ca="1" si="711">OFFSET(INDIRECT($F$1565 &amp; D2064), -B2064 + 3, 0)</f>
        <v>Building Street Address Only 
(DO NOT ENTER CITY, STATE, OR ZIP)</v>
      </c>
      <c r="I2064" s="52">
        <v>3</v>
      </c>
    </row>
    <row r="2065" spans="1:10" ht="15" customHeight="1">
      <c r="A2065" t="str">
        <f t="shared" ca="1" si="706"/>
        <v/>
      </c>
      <c r="B2065">
        <f t="shared" si="707"/>
        <v>34</v>
      </c>
      <c r="C2065">
        <f t="shared" ca="1" si="693"/>
        <v>31</v>
      </c>
      <c r="D2065" t="str">
        <f t="shared" si="708"/>
        <v>D34</v>
      </c>
      <c r="E2065" t="str">
        <f t="shared" ca="1" si="709"/>
        <v/>
      </c>
      <c r="F2065" t="str">
        <f t="shared" ca="1" si="710"/>
        <v xml:space="preserve">Enter a 'Total Units in Building*' for  building 31 in cell D34.
</v>
      </c>
      <c r="G2065" s="9" t="str">
        <f t="shared" ca="1" si="691"/>
        <v xml:space="preserve">Enter a value for 'Number of Floors in the Tallest Building' in cell B60.
</v>
      </c>
      <c r="H2065" s="52" t="str">
        <f t="shared" ca="1" si="711"/>
        <v>Total Units in Building*</v>
      </c>
      <c r="I2065" s="52">
        <v>4</v>
      </c>
    </row>
    <row r="2066" spans="1:10" ht="15" customHeight="1">
      <c r="A2066" t="str">
        <f t="shared" ca="1" si="706"/>
        <v/>
      </c>
      <c r="B2066">
        <f t="shared" si="707"/>
        <v>34</v>
      </c>
      <c r="C2066">
        <f t="shared" ca="1" si="693"/>
        <v>31</v>
      </c>
      <c r="D2066" t="str">
        <f t="shared" si="708"/>
        <v>E34</v>
      </c>
      <c r="E2066" t="str">
        <f t="shared" ca="1" si="709"/>
        <v/>
      </c>
      <c r="F2066" t="str">
        <f t="shared" ca="1" si="710"/>
        <v xml:space="preserve">Enter a 'Employee Units' for  building 31 in cell E34.
</v>
      </c>
      <c r="G2066" s="9" t="str">
        <f t="shared" ca="1" si="691"/>
        <v xml:space="preserve">Enter a value for 'Number of Floors in the Tallest Building' in cell B60.
</v>
      </c>
      <c r="H2066" s="52" t="str">
        <f t="shared" ca="1" si="711"/>
        <v>Employee Units</v>
      </c>
      <c r="I2066" s="52">
        <v>5</v>
      </c>
    </row>
    <row r="2067" spans="1:10" ht="15" customHeight="1">
      <c r="A2067" t="str">
        <f t="shared" ca="1" si="706"/>
        <v/>
      </c>
      <c r="B2067">
        <f t="shared" si="707"/>
        <v>34</v>
      </c>
      <c r="C2067">
        <f t="shared" ca="1" si="693"/>
        <v>31</v>
      </c>
      <c r="D2067" t="str">
        <f t="shared" si="708"/>
        <v>F34</v>
      </c>
      <c r="E2067" t="str">
        <f t="shared" ca="1" si="709"/>
        <v/>
      </c>
      <c r="F2067" t="str">
        <f t="shared" ca="1" si="710"/>
        <v xml:space="preserve">Enter a 'Low-Income Units' for  building 31 in cell F34.
</v>
      </c>
      <c r="G2067" s="9" t="str">
        <f t="shared" ca="1" si="691"/>
        <v xml:space="preserve">Enter a value for 'Number of Floors in the Tallest Building' in cell B60.
</v>
      </c>
      <c r="H2067" s="52" t="str">
        <f t="shared" ca="1" si="711"/>
        <v>Low-Income Units</v>
      </c>
      <c r="I2067" s="52">
        <v>6</v>
      </c>
    </row>
    <row r="2068" spans="1:10" ht="15" customHeight="1">
      <c r="A2068" t="str">
        <f t="shared" ca="1" si="706"/>
        <v/>
      </c>
      <c r="B2068">
        <f t="shared" si="707"/>
        <v>34</v>
      </c>
      <c r="C2068">
        <f t="shared" ca="1" si="693"/>
        <v>31</v>
      </c>
      <c r="D2068" t="str">
        <f t="shared" si="708"/>
        <v>G34</v>
      </c>
      <c r="E2068" t="str">
        <f t="shared" ca="1" si="709"/>
        <v/>
      </c>
      <c r="F2068" t="str">
        <f t="shared" ca="1" si="710"/>
        <v xml:space="preserve">Enter a 'Residential Square Footage**' for  building 31 in cell G34.
</v>
      </c>
      <c r="G2068" s="9" t="str">
        <f t="shared" ca="1" si="691"/>
        <v xml:space="preserve">Enter a value for 'Number of Floors in the Tallest Building' in cell B60.
</v>
      </c>
      <c r="H2068" s="52" t="str">
        <f t="shared" ca="1" si="711"/>
        <v>Residential Square Footage**</v>
      </c>
      <c r="I2068" s="52">
        <v>7</v>
      </c>
    </row>
    <row r="2069" spans="1:10" ht="15" customHeight="1">
      <c r="A2069" t="str">
        <f t="shared" ca="1" si="706"/>
        <v/>
      </c>
      <c r="B2069">
        <f t="shared" si="707"/>
        <v>34</v>
      </c>
      <c r="C2069">
        <f t="shared" ca="1" si="693"/>
        <v>31</v>
      </c>
      <c r="D2069" t="str">
        <f t="shared" si="708"/>
        <v>H34</v>
      </c>
      <c r="E2069" t="str">
        <f t="shared" ca="1" si="709"/>
        <v/>
      </c>
      <c r="F2069" t="str">
        <f t="shared" ca="1" si="710"/>
        <v xml:space="preserve">Enter a 'Square Footage of Employee Units' for  building 31 in cell H34.
</v>
      </c>
      <c r="G2069" s="9" t="str">
        <f t="shared" ca="1" si="691"/>
        <v xml:space="preserve">Enter a value for 'Number of Floors in the Tallest Building' in cell B60.
</v>
      </c>
      <c r="H2069" s="52" t="str">
        <f t="shared" ca="1" si="711"/>
        <v>Square Footage of Employee Units</v>
      </c>
      <c r="I2069" s="52">
        <v>8</v>
      </c>
    </row>
    <row r="2070" spans="1:10" ht="15" customHeight="1">
      <c r="A2070" t="str">
        <f t="shared" ca="1" si="706"/>
        <v/>
      </c>
      <c r="B2070">
        <f t="shared" si="707"/>
        <v>34</v>
      </c>
      <c r="C2070">
        <f t="shared" ca="1" si="693"/>
        <v>31</v>
      </c>
      <c r="D2070" t="str">
        <f t="shared" si="708"/>
        <v>I34</v>
      </c>
      <c r="E2070" t="str">
        <f t="shared" ca="1" si="709"/>
        <v/>
      </c>
      <c r="F2070" t="str">
        <f t="shared" ca="1" si="710"/>
        <v xml:space="preserve">Enter a 'Square Footage of Low-Income Units' for  building 31 in cell I34.
</v>
      </c>
      <c r="G2070" s="9" t="str">
        <f t="shared" ca="1" si="691"/>
        <v xml:space="preserve">Enter a value for 'Number of Floors in the Tallest Building' in cell B60.
</v>
      </c>
      <c r="H2070" s="52" t="str">
        <f t="shared" ca="1" si="711"/>
        <v>Square Footage of Low-Income Units</v>
      </c>
      <c r="I2070" s="52">
        <v>9</v>
      </c>
    </row>
    <row r="2071" spans="1:10" ht="15" customHeight="1">
      <c r="A2071" t="str">
        <f t="shared" ca="1" si="706"/>
        <v/>
      </c>
      <c r="B2071">
        <f t="shared" si="707"/>
        <v>34</v>
      </c>
      <c r="C2071">
        <f t="shared" ca="1" si="693"/>
        <v>31</v>
      </c>
      <c r="D2071" t="str">
        <f t="shared" si="708"/>
        <v>J34</v>
      </c>
      <c r="E2071" t="str">
        <f t="shared" ca="1" si="709"/>
        <v/>
      </c>
      <c r="F2071" t="str">
        <f t="shared" ca="1" si="710"/>
        <v xml:space="preserve">Enter a 'Placed-In-Service Date' for  building 31 in cell J34.
</v>
      </c>
      <c r="G2071" s="9" t="str">
        <f t="shared" ca="1" si="691"/>
        <v xml:space="preserve">Enter a value for 'Number of Floors in the Tallest Building' in cell B60.
</v>
      </c>
      <c r="H2071" s="52" t="str">
        <f t="shared" ca="1" si="711"/>
        <v>Placed-In-Service Date</v>
      </c>
      <c r="I2071" s="52">
        <v>10</v>
      </c>
    </row>
    <row r="2072" spans="1:10" ht="15" customHeight="1">
      <c r="A2072" t="str">
        <f t="shared" ca="1" si="706"/>
        <v/>
      </c>
      <c r="B2072">
        <f t="shared" si="707"/>
        <v>34</v>
      </c>
      <c r="C2072">
        <f t="shared" ca="1" si="693"/>
        <v>31</v>
      </c>
      <c r="D2072" t="str">
        <f t="shared" si="708"/>
        <v>K34</v>
      </c>
      <c r="E2072" t="str">
        <f t="shared" ca="1" si="709"/>
        <v/>
      </c>
      <c r="F2072" t="str">
        <f t="shared" ca="1" si="710"/>
        <v xml:space="preserve">Enter a 'New Construction/ Rehab APR' for  building 31 in cell K34.
</v>
      </c>
      <c r="G2072" s="9" t="str">
        <f t="shared" ca="1" si="691"/>
        <v xml:space="preserve">Enter a value for 'Number of Floors in the Tallest Building' in cell B60.
</v>
      </c>
      <c r="H2072" s="52" t="str">
        <f t="shared" ca="1" si="711"/>
        <v>New Construction/ Rehab APR</v>
      </c>
      <c r="I2072" s="52">
        <v>11</v>
      </c>
    </row>
    <row r="2073" spans="1:10" ht="15" customHeight="1">
      <c r="A2073" t="str">
        <f t="shared" ca="1" si="706"/>
        <v/>
      </c>
      <c r="B2073">
        <f t="shared" si="707"/>
        <v>34</v>
      </c>
      <c r="C2073">
        <f t="shared" ca="1" si="693"/>
        <v>31</v>
      </c>
      <c r="D2073" t="str">
        <f t="shared" si="708"/>
        <v>L34</v>
      </c>
      <c r="E2073" t="str">
        <f t="shared" ca="1" si="709"/>
        <v/>
      </c>
      <c r="F2073" t="str">
        <f t="shared" ca="1" si="710"/>
        <v xml:space="preserve">Enter a 'New Construction Eligible Basis' for  building 31 in cell L34.
</v>
      </c>
      <c r="G2073" s="9" t="str">
        <f t="shared" ca="1" si="691"/>
        <v xml:space="preserve">Enter a value for 'Number of Floors in the Tallest Building' in cell B60.
</v>
      </c>
      <c r="H2073" s="52" t="str">
        <f t="shared" ca="1" si="711"/>
        <v>New Construction Eligible Basis</v>
      </c>
      <c r="I2073" s="52">
        <v>12</v>
      </c>
    </row>
    <row r="2074" spans="1:10" ht="15" customHeight="1">
      <c r="A2074" t="str">
        <f ca="1">IF(AND(OFFSET(A2074, -I2074 + 2, 4) &gt;  0, E2074="", Calculations!$B$7), F2074, "")</f>
        <v/>
      </c>
      <c r="B2074">
        <f t="shared" si="707"/>
        <v>34</v>
      </c>
      <c r="C2074">
        <f t="shared" ca="1" si="693"/>
        <v>31</v>
      </c>
      <c r="D2074" t="str">
        <f t="shared" si="708"/>
        <v>M34</v>
      </c>
      <c r="E2074" t="str">
        <f t="shared" ca="1" si="709"/>
        <v/>
      </c>
      <c r="F2074" t="str">
        <f t="shared" ca="1" si="710"/>
        <v xml:space="preserve">Enter a 'Eligible Basis for Rehab' for  building 31 in cell M34.
</v>
      </c>
      <c r="G2074" s="9" t="str">
        <f t="shared" ca="1" si="691"/>
        <v xml:space="preserve">Enter a value for 'Number of Floors in the Tallest Building' in cell B60.
</v>
      </c>
      <c r="H2074" s="52" t="str">
        <f t="shared" ca="1" si="711"/>
        <v>Eligible Basis for Rehab</v>
      </c>
      <c r="I2074" s="52">
        <v>13</v>
      </c>
    </row>
    <row r="2075" spans="1:10" ht="15" customHeight="1">
      <c r="A2075" t="str">
        <f ca="1">IF(AND(OFFSET(A2075, -I2075 + 2, 4) &gt;  0, E2075="", Calculations!$B$7), F2075, "")</f>
        <v/>
      </c>
      <c r="B2075">
        <f t="shared" si="707"/>
        <v>34</v>
      </c>
      <c r="C2075">
        <f t="shared" ca="1" si="693"/>
        <v>31</v>
      </c>
      <c r="D2075" t="str">
        <f t="shared" si="708"/>
        <v>N34</v>
      </c>
      <c r="E2075" t="str">
        <f t="shared" ca="1" si="709"/>
        <v/>
      </c>
      <c r="F2075" t="str">
        <f t="shared" ca="1" si="710"/>
        <v xml:space="preserve">Enter a 'Cost of Acquiring the Building***' for  building 31 in cell N34.
</v>
      </c>
      <c r="G2075" s="9" t="str">
        <f t="shared" ca="1" si="691"/>
        <v xml:space="preserve">Enter a value for 'Number of Floors in the Tallest Building' in cell B60.
</v>
      </c>
      <c r="H2075" s="52" t="str">
        <f t="shared" ca="1" si="711"/>
        <v>Cost of Acquiring the Building***</v>
      </c>
      <c r="I2075" s="52">
        <v>14</v>
      </c>
    </row>
    <row r="2076" spans="1:10" ht="15" customHeight="1">
      <c r="A2076" t="str">
        <f ca="1">IF(AND(OFFSET(A2076, -I2076 + 2, 4) &gt;  0, E2076="", Calculations!$B$7), F2076, "")</f>
        <v/>
      </c>
      <c r="B2076">
        <f t="shared" si="707"/>
        <v>34</v>
      </c>
      <c r="C2076">
        <f t="shared" ca="1" si="693"/>
        <v>31</v>
      </c>
      <c r="D2076" t="str">
        <f t="shared" si="708"/>
        <v>O34</v>
      </c>
      <c r="E2076" t="str">
        <f t="shared" ca="1" si="709"/>
        <v/>
      </c>
      <c r="F2076" t="str">
        <f t="shared" ca="1" si="710"/>
        <v xml:space="preserve">Enter a 'Higher of Land Purchase Price or Land Appraised Value****' for  building 31 in cell O34.
</v>
      </c>
      <c r="G2076" s="9" t="str">
        <f t="shared" ca="1" si="691"/>
        <v xml:space="preserve">Enter a value for 'Number of Floors in the Tallest Building' in cell B60.
</v>
      </c>
      <c r="H2076" s="52" t="str">
        <f t="shared" ca="1" si="711"/>
        <v>Higher of Land Purchase Price or Land Appraised Value****</v>
      </c>
      <c r="I2076" s="52">
        <v>15</v>
      </c>
    </row>
    <row r="2077" spans="1:10" ht="15" customHeight="1">
      <c r="A2077" t="str">
        <f ca="1">IF(AND(OFFSET(A2077, -I2077 + 2, 4) &gt;  0, E2077="", Calculations!$B$7), F2077, "")</f>
        <v/>
      </c>
      <c r="B2077">
        <f t="shared" si="707"/>
        <v>34</v>
      </c>
      <c r="C2077">
        <f t="shared" ca="1" si="693"/>
        <v>31</v>
      </c>
      <c r="D2077" t="str">
        <f t="shared" si="708"/>
        <v>P34</v>
      </c>
      <c r="E2077" t="str">
        <f t="shared" ca="1" si="709"/>
        <v/>
      </c>
      <c r="F2077" t="str">
        <f t="shared" ca="1" si="710"/>
        <v xml:space="preserve">Enter a 'Acquisition Placed-in-Service Date' for  building 31 in cell P34.
</v>
      </c>
      <c r="G2077" s="9" t="str">
        <f t="shared" ca="1" si="691"/>
        <v xml:space="preserve">Enter a value for 'Number of Floors in the Tallest Building' in cell B60.
</v>
      </c>
      <c r="H2077" s="52" t="str">
        <f t="shared" ca="1" si="711"/>
        <v>Acquisition Placed-in-Service Date</v>
      </c>
      <c r="I2077" s="52">
        <v>16</v>
      </c>
    </row>
    <row r="2078" spans="1:10" ht="15" customHeight="1">
      <c r="A2078" t="str">
        <f ca="1">IF(AND(OFFSET(A2078, -I2078 + 2, 4) &gt;  0, E2078="", Calculations!$B$7), F2078, "")</f>
        <v/>
      </c>
      <c r="B2078">
        <f t="shared" si="707"/>
        <v>34</v>
      </c>
      <c r="C2078">
        <f t="shared" ca="1" si="693"/>
        <v>31</v>
      </c>
      <c r="D2078" t="str">
        <f t="shared" si="708"/>
        <v>Q34</v>
      </c>
      <c r="E2078" t="str">
        <f t="shared" ca="1" si="709"/>
        <v/>
      </c>
      <c r="F2078" t="str">
        <f t="shared" ca="1" si="710"/>
        <v xml:space="preserve">Enter a 'Acquisition APR' for  building 31 in cell Q34.
</v>
      </c>
      <c r="G2078" s="9" t="str">
        <f t="shared" ca="1" si="691"/>
        <v xml:space="preserve">Enter a value for 'Number of Floors in the Tallest Building' in cell B60.
</v>
      </c>
      <c r="H2078" s="52" t="str">
        <f t="shared" ca="1" si="711"/>
        <v>Acquisition APR</v>
      </c>
      <c r="I2078" s="52">
        <v>17</v>
      </c>
    </row>
    <row r="2079" spans="1:10" ht="15" customHeight="1">
      <c r="A2079" t="str">
        <f ca="1">IF(AND(Calculations!$B$4,Calculations!$B$29&gt;=C2079, E2079 &lt;&gt; 13),F2079,"")</f>
        <v/>
      </c>
      <c r="B2079">
        <f>ROW('Final Building Profile'!C35)</f>
        <v>35</v>
      </c>
      <c r="C2079">
        <f t="shared" ca="1" si="693"/>
        <v>32</v>
      </c>
      <c r="D2079" t="str">
        <f>ADDRESS(B2079, 3,4  )</f>
        <v>C35</v>
      </c>
      <c r="E2079" s="52">
        <f ca="1">H2079+I2079</f>
        <v>0</v>
      </c>
      <c r="F2079" t="str">
        <f ca="1">CONCATENATE("Based upon the number of buildings specified, information for  building ", C2079, " required for a final application in row ", B2079, ".", CHAR(10))</f>
        <v xml:space="preserve">Based upon the number of buildings specified, information for  building 32 required for a final application in row 35.
</v>
      </c>
      <c r="G2079" s="9" t="str">
        <f t="shared" ca="1" si="691"/>
        <v xml:space="preserve">Enter a value for 'Number of Floors in the Tallest Building' in cell B60.
</v>
      </c>
      <c r="H2079" s="52">
        <f ca="1">SUMPRODUCT(--ISTEXT(INDIRECT(J2079)))</f>
        <v>0</v>
      </c>
      <c r="I2079" s="52">
        <f ca="1">SUMPRODUCT(--ISNUMBER(INDIRECT(J2079)))</f>
        <v>0</v>
      </c>
      <c r="J2079" s="52" t="str">
        <f>$F$1565&amp; ADDRESS(B2079,3,4) &amp; ":" &amp; ADDRESS(B2079,15,4)</f>
        <v>'Final Building Profile'!C35:O35</v>
      </c>
    </row>
    <row r="2080" spans="1:10" ht="15" customHeight="1">
      <c r="A2080" t="str">
        <f t="shared" ref="A2080:A2089" ca="1" si="712">IF(AND(OFFSET(A2080, -I2080 + 2, 4) &gt;  0, E2080=""), F2080, "")</f>
        <v/>
      </c>
      <c r="B2080">
        <f t="shared" ref="B2080:B2094" si="713">B2079</f>
        <v>35</v>
      </c>
      <c r="C2080">
        <f t="shared" ca="1" si="693"/>
        <v>32</v>
      </c>
      <c r="D2080" t="str">
        <f t="shared" ref="D2080:D2094" si="714">ADDRESS(B2080, I2080,4  )</f>
        <v>C35</v>
      </c>
      <c r="E2080" t="str">
        <f t="shared" ref="E2080:E2094" ca="1" si="715">IF(ISBLANK( INDIRECT($F$1565 &amp; D2080)),"", INDIRECT($F$1565 &amp; D2080))</f>
        <v/>
      </c>
      <c r="F2080" t="str">
        <f t="shared" ref="F2080:F2094" ca="1" si="716">CONCATENATE("Enter a '"&amp; H2080 &amp;"' for  building ", C2080, " in cell ", D2080, ".", CHAR(10))</f>
        <v xml:space="preserve">Enter a 'Building Street Address Only 
(DO NOT ENTER CITY, STATE, OR ZIP)' for  building 32 in cell C35.
</v>
      </c>
      <c r="G2080" s="9" t="str">
        <f t="shared" ref="G2080:G2143" ca="1" si="717">OFFSET(G2080, -1, 0) &amp; A2080</f>
        <v xml:space="preserve">Enter a value for 'Number of Floors in the Tallest Building' in cell B60.
</v>
      </c>
      <c r="H2080" s="52" t="str">
        <f t="shared" ref="H2080:H2094" ca="1" si="718">OFFSET(INDIRECT($F$1565 &amp; D2080), -B2080 + 3, 0)</f>
        <v>Building Street Address Only 
(DO NOT ENTER CITY, STATE, OR ZIP)</v>
      </c>
      <c r="I2080" s="52">
        <v>3</v>
      </c>
    </row>
    <row r="2081" spans="1:10" ht="15" customHeight="1">
      <c r="A2081" t="str">
        <f t="shared" ca="1" si="712"/>
        <v/>
      </c>
      <c r="B2081">
        <f t="shared" si="713"/>
        <v>35</v>
      </c>
      <c r="C2081">
        <f t="shared" ca="1" si="693"/>
        <v>32</v>
      </c>
      <c r="D2081" t="str">
        <f t="shared" si="714"/>
        <v>D35</v>
      </c>
      <c r="E2081" t="str">
        <f t="shared" ca="1" si="715"/>
        <v/>
      </c>
      <c r="F2081" t="str">
        <f t="shared" ca="1" si="716"/>
        <v xml:space="preserve">Enter a 'Total Units in Building*' for  building 32 in cell D35.
</v>
      </c>
      <c r="G2081" s="9" t="str">
        <f t="shared" ca="1" si="717"/>
        <v xml:space="preserve">Enter a value for 'Number of Floors in the Tallest Building' in cell B60.
</v>
      </c>
      <c r="H2081" s="52" t="str">
        <f t="shared" ca="1" si="718"/>
        <v>Total Units in Building*</v>
      </c>
      <c r="I2081" s="52">
        <v>4</v>
      </c>
    </row>
    <row r="2082" spans="1:10" ht="15" customHeight="1">
      <c r="A2082" t="str">
        <f t="shared" ca="1" si="712"/>
        <v/>
      </c>
      <c r="B2082">
        <f t="shared" si="713"/>
        <v>35</v>
      </c>
      <c r="C2082">
        <f t="shared" ca="1" si="693"/>
        <v>32</v>
      </c>
      <c r="D2082" t="str">
        <f t="shared" si="714"/>
        <v>E35</v>
      </c>
      <c r="E2082" t="str">
        <f t="shared" ca="1" si="715"/>
        <v/>
      </c>
      <c r="F2082" t="str">
        <f t="shared" ca="1" si="716"/>
        <v xml:space="preserve">Enter a 'Employee Units' for  building 32 in cell E35.
</v>
      </c>
      <c r="G2082" s="9" t="str">
        <f t="shared" ca="1" si="717"/>
        <v xml:space="preserve">Enter a value for 'Number of Floors in the Tallest Building' in cell B60.
</v>
      </c>
      <c r="H2082" s="52" t="str">
        <f t="shared" ca="1" si="718"/>
        <v>Employee Units</v>
      </c>
      <c r="I2082" s="52">
        <v>5</v>
      </c>
    </row>
    <row r="2083" spans="1:10" ht="15" customHeight="1">
      <c r="A2083" t="str">
        <f t="shared" ca="1" si="712"/>
        <v/>
      </c>
      <c r="B2083">
        <f t="shared" si="713"/>
        <v>35</v>
      </c>
      <c r="C2083">
        <f t="shared" ca="1" si="693"/>
        <v>32</v>
      </c>
      <c r="D2083" t="str">
        <f t="shared" si="714"/>
        <v>F35</v>
      </c>
      <c r="E2083" t="str">
        <f t="shared" ca="1" si="715"/>
        <v/>
      </c>
      <c r="F2083" t="str">
        <f t="shared" ca="1" si="716"/>
        <v xml:space="preserve">Enter a 'Low-Income Units' for  building 32 in cell F35.
</v>
      </c>
      <c r="G2083" s="9" t="str">
        <f t="shared" ca="1" si="717"/>
        <v xml:space="preserve">Enter a value for 'Number of Floors in the Tallest Building' in cell B60.
</v>
      </c>
      <c r="H2083" s="52" t="str">
        <f t="shared" ca="1" si="718"/>
        <v>Low-Income Units</v>
      </c>
      <c r="I2083" s="52">
        <v>6</v>
      </c>
    </row>
    <row r="2084" spans="1:10" ht="15" customHeight="1">
      <c r="A2084" t="str">
        <f t="shared" ca="1" si="712"/>
        <v/>
      </c>
      <c r="B2084">
        <f t="shared" si="713"/>
        <v>35</v>
      </c>
      <c r="C2084">
        <f t="shared" ca="1" si="693"/>
        <v>32</v>
      </c>
      <c r="D2084" t="str">
        <f t="shared" si="714"/>
        <v>G35</v>
      </c>
      <c r="E2084" t="str">
        <f t="shared" ca="1" si="715"/>
        <v/>
      </c>
      <c r="F2084" t="str">
        <f t="shared" ca="1" si="716"/>
        <v xml:space="preserve">Enter a 'Residential Square Footage**' for  building 32 in cell G35.
</v>
      </c>
      <c r="G2084" s="9" t="str">
        <f t="shared" ca="1" si="717"/>
        <v xml:space="preserve">Enter a value for 'Number of Floors in the Tallest Building' in cell B60.
</v>
      </c>
      <c r="H2084" s="52" t="str">
        <f t="shared" ca="1" si="718"/>
        <v>Residential Square Footage**</v>
      </c>
      <c r="I2084" s="52">
        <v>7</v>
      </c>
    </row>
    <row r="2085" spans="1:10" ht="15" customHeight="1">
      <c r="A2085" t="str">
        <f t="shared" ca="1" si="712"/>
        <v/>
      </c>
      <c r="B2085">
        <f t="shared" si="713"/>
        <v>35</v>
      </c>
      <c r="C2085">
        <f t="shared" ca="1" si="693"/>
        <v>32</v>
      </c>
      <c r="D2085" t="str">
        <f t="shared" si="714"/>
        <v>H35</v>
      </c>
      <c r="E2085" t="str">
        <f t="shared" ca="1" si="715"/>
        <v/>
      </c>
      <c r="F2085" t="str">
        <f t="shared" ca="1" si="716"/>
        <v xml:space="preserve">Enter a 'Square Footage of Employee Units' for  building 32 in cell H35.
</v>
      </c>
      <c r="G2085" s="9" t="str">
        <f t="shared" ca="1" si="717"/>
        <v xml:space="preserve">Enter a value for 'Number of Floors in the Tallest Building' in cell B60.
</v>
      </c>
      <c r="H2085" s="52" t="str">
        <f t="shared" ca="1" si="718"/>
        <v>Square Footage of Employee Units</v>
      </c>
      <c r="I2085" s="52">
        <v>8</v>
      </c>
    </row>
    <row r="2086" spans="1:10" ht="15" customHeight="1">
      <c r="A2086" t="str">
        <f t="shared" ca="1" si="712"/>
        <v/>
      </c>
      <c r="B2086">
        <f t="shared" si="713"/>
        <v>35</v>
      </c>
      <c r="C2086">
        <f t="shared" ca="1" si="693"/>
        <v>32</v>
      </c>
      <c r="D2086" t="str">
        <f t="shared" si="714"/>
        <v>I35</v>
      </c>
      <c r="E2086" t="str">
        <f t="shared" ca="1" si="715"/>
        <v/>
      </c>
      <c r="F2086" t="str">
        <f t="shared" ca="1" si="716"/>
        <v xml:space="preserve">Enter a 'Square Footage of Low-Income Units' for  building 32 in cell I35.
</v>
      </c>
      <c r="G2086" s="9" t="str">
        <f t="shared" ca="1" si="717"/>
        <v xml:space="preserve">Enter a value for 'Number of Floors in the Tallest Building' in cell B60.
</v>
      </c>
      <c r="H2086" s="52" t="str">
        <f t="shared" ca="1" si="718"/>
        <v>Square Footage of Low-Income Units</v>
      </c>
      <c r="I2086" s="52">
        <v>9</v>
      </c>
    </row>
    <row r="2087" spans="1:10" ht="15" customHeight="1">
      <c r="A2087" t="str">
        <f t="shared" ca="1" si="712"/>
        <v/>
      </c>
      <c r="B2087">
        <f t="shared" si="713"/>
        <v>35</v>
      </c>
      <c r="C2087">
        <f t="shared" ca="1" si="693"/>
        <v>32</v>
      </c>
      <c r="D2087" t="str">
        <f t="shared" si="714"/>
        <v>J35</v>
      </c>
      <c r="E2087" t="str">
        <f t="shared" ca="1" si="715"/>
        <v/>
      </c>
      <c r="F2087" t="str">
        <f t="shared" ca="1" si="716"/>
        <v xml:space="preserve">Enter a 'Placed-In-Service Date' for  building 32 in cell J35.
</v>
      </c>
      <c r="G2087" s="9" t="str">
        <f t="shared" ca="1" si="717"/>
        <v xml:space="preserve">Enter a value for 'Number of Floors in the Tallest Building' in cell B60.
</v>
      </c>
      <c r="H2087" s="52" t="str">
        <f t="shared" ca="1" si="718"/>
        <v>Placed-In-Service Date</v>
      </c>
      <c r="I2087" s="52">
        <v>10</v>
      </c>
    </row>
    <row r="2088" spans="1:10" ht="15" customHeight="1">
      <c r="A2088" t="str">
        <f t="shared" ca="1" si="712"/>
        <v/>
      </c>
      <c r="B2088">
        <f t="shared" si="713"/>
        <v>35</v>
      </c>
      <c r="C2088">
        <f t="shared" ca="1" si="693"/>
        <v>32</v>
      </c>
      <c r="D2088" t="str">
        <f t="shared" si="714"/>
        <v>K35</v>
      </c>
      <c r="E2088" t="str">
        <f t="shared" ca="1" si="715"/>
        <v/>
      </c>
      <c r="F2088" t="str">
        <f t="shared" ca="1" si="716"/>
        <v xml:space="preserve">Enter a 'New Construction/ Rehab APR' for  building 32 in cell K35.
</v>
      </c>
      <c r="G2088" s="9" t="str">
        <f t="shared" ca="1" si="717"/>
        <v xml:space="preserve">Enter a value for 'Number of Floors in the Tallest Building' in cell B60.
</v>
      </c>
      <c r="H2088" s="52" t="str">
        <f t="shared" ca="1" si="718"/>
        <v>New Construction/ Rehab APR</v>
      </c>
      <c r="I2088" s="52">
        <v>11</v>
      </c>
    </row>
    <row r="2089" spans="1:10" ht="15" customHeight="1">
      <c r="A2089" t="str">
        <f t="shared" ca="1" si="712"/>
        <v/>
      </c>
      <c r="B2089">
        <f t="shared" si="713"/>
        <v>35</v>
      </c>
      <c r="C2089">
        <f t="shared" ca="1" si="693"/>
        <v>32</v>
      </c>
      <c r="D2089" t="str">
        <f t="shared" si="714"/>
        <v>L35</v>
      </c>
      <c r="E2089" t="str">
        <f t="shared" ca="1" si="715"/>
        <v/>
      </c>
      <c r="F2089" t="str">
        <f t="shared" ca="1" si="716"/>
        <v xml:space="preserve">Enter a 'New Construction Eligible Basis' for  building 32 in cell L35.
</v>
      </c>
      <c r="G2089" s="9" t="str">
        <f t="shared" ca="1" si="717"/>
        <v xml:space="preserve">Enter a value for 'Number of Floors in the Tallest Building' in cell B60.
</v>
      </c>
      <c r="H2089" s="52" t="str">
        <f t="shared" ca="1" si="718"/>
        <v>New Construction Eligible Basis</v>
      </c>
      <c r="I2089" s="52">
        <v>12</v>
      </c>
    </row>
    <row r="2090" spans="1:10" ht="15" customHeight="1">
      <c r="A2090" t="str">
        <f ca="1">IF(AND(OFFSET(A2090, -I2090 + 2, 4) &gt;  0, E2090="", Calculations!$B$7), F2090, "")</f>
        <v/>
      </c>
      <c r="B2090">
        <f t="shared" si="713"/>
        <v>35</v>
      </c>
      <c r="C2090">
        <f t="shared" ca="1" si="693"/>
        <v>32</v>
      </c>
      <c r="D2090" t="str">
        <f t="shared" si="714"/>
        <v>M35</v>
      </c>
      <c r="E2090" t="str">
        <f t="shared" ca="1" si="715"/>
        <v/>
      </c>
      <c r="F2090" t="str">
        <f t="shared" ca="1" si="716"/>
        <v xml:space="preserve">Enter a 'Eligible Basis for Rehab' for  building 32 in cell M35.
</v>
      </c>
      <c r="G2090" s="9" t="str">
        <f t="shared" ca="1" si="717"/>
        <v xml:space="preserve">Enter a value for 'Number of Floors in the Tallest Building' in cell B60.
</v>
      </c>
      <c r="H2090" s="52" t="str">
        <f t="shared" ca="1" si="718"/>
        <v>Eligible Basis for Rehab</v>
      </c>
      <c r="I2090" s="52">
        <v>13</v>
      </c>
    </row>
    <row r="2091" spans="1:10" ht="15" customHeight="1">
      <c r="A2091" t="str">
        <f ca="1">IF(AND(OFFSET(A2091, -I2091 + 2, 4) &gt;  0, E2091="", Calculations!$B$7), F2091, "")</f>
        <v/>
      </c>
      <c r="B2091">
        <f t="shared" si="713"/>
        <v>35</v>
      </c>
      <c r="C2091">
        <f t="shared" ca="1" si="693"/>
        <v>32</v>
      </c>
      <c r="D2091" t="str">
        <f t="shared" si="714"/>
        <v>N35</v>
      </c>
      <c r="E2091" t="str">
        <f t="shared" ca="1" si="715"/>
        <v/>
      </c>
      <c r="F2091" t="str">
        <f t="shared" ca="1" si="716"/>
        <v xml:space="preserve">Enter a 'Cost of Acquiring the Building***' for  building 32 in cell N35.
</v>
      </c>
      <c r="G2091" s="9" t="str">
        <f t="shared" ca="1" si="717"/>
        <v xml:space="preserve">Enter a value for 'Number of Floors in the Tallest Building' in cell B60.
</v>
      </c>
      <c r="H2091" s="52" t="str">
        <f t="shared" ca="1" si="718"/>
        <v>Cost of Acquiring the Building***</v>
      </c>
      <c r="I2091" s="52">
        <v>14</v>
      </c>
    </row>
    <row r="2092" spans="1:10" ht="15" customHeight="1">
      <c r="A2092" t="str">
        <f ca="1">IF(AND(OFFSET(A2092, -I2092 + 2, 4) &gt;  0, E2092="", Calculations!$B$7), F2092, "")</f>
        <v/>
      </c>
      <c r="B2092">
        <f t="shared" si="713"/>
        <v>35</v>
      </c>
      <c r="C2092">
        <f t="shared" ca="1" si="693"/>
        <v>32</v>
      </c>
      <c r="D2092" t="str">
        <f t="shared" si="714"/>
        <v>O35</v>
      </c>
      <c r="E2092" t="str">
        <f t="shared" ca="1" si="715"/>
        <v/>
      </c>
      <c r="F2092" t="str">
        <f t="shared" ca="1" si="716"/>
        <v xml:space="preserve">Enter a 'Higher of Land Purchase Price or Land Appraised Value****' for  building 32 in cell O35.
</v>
      </c>
      <c r="G2092" s="9" t="str">
        <f t="shared" ca="1" si="717"/>
        <v xml:space="preserve">Enter a value for 'Number of Floors in the Tallest Building' in cell B60.
</v>
      </c>
      <c r="H2092" s="52" t="str">
        <f t="shared" ca="1" si="718"/>
        <v>Higher of Land Purchase Price or Land Appraised Value****</v>
      </c>
      <c r="I2092" s="52">
        <v>15</v>
      </c>
    </row>
    <row r="2093" spans="1:10" ht="15" customHeight="1">
      <c r="A2093" t="str">
        <f ca="1">IF(AND(OFFSET(A2093, -I2093 + 2, 4) &gt;  0, E2093="", Calculations!$B$7), F2093, "")</f>
        <v/>
      </c>
      <c r="B2093">
        <f t="shared" si="713"/>
        <v>35</v>
      </c>
      <c r="C2093">
        <f t="shared" ca="1" si="693"/>
        <v>32</v>
      </c>
      <c r="D2093" t="str">
        <f t="shared" si="714"/>
        <v>P35</v>
      </c>
      <c r="E2093" t="str">
        <f t="shared" ca="1" si="715"/>
        <v/>
      </c>
      <c r="F2093" t="str">
        <f t="shared" ca="1" si="716"/>
        <v xml:space="preserve">Enter a 'Acquisition Placed-in-Service Date' for  building 32 in cell P35.
</v>
      </c>
      <c r="G2093" s="9" t="str">
        <f t="shared" ca="1" si="717"/>
        <v xml:space="preserve">Enter a value for 'Number of Floors in the Tallest Building' in cell B60.
</v>
      </c>
      <c r="H2093" s="52" t="str">
        <f t="shared" ca="1" si="718"/>
        <v>Acquisition Placed-in-Service Date</v>
      </c>
      <c r="I2093" s="52">
        <v>16</v>
      </c>
    </row>
    <row r="2094" spans="1:10" ht="15" customHeight="1">
      <c r="A2094" t="str">
        <f ca="1">IF(AND(OFFSET(A2094, -I2094 + 2, 4) &gt;  0, E2094="", Calculations!$B$7), F2094, "")</f>
        <v/>
      </c>
      <c r="B2094">
        <f t="shared" si="713"/>
        <v>35</v>
      </c>
      <c r="C2094">
        <f t="shared" ca="1" si="693"/>
        <v>32</v>
      </c>
      <c r="D2094" t="str">
        <f t="shared" si="714"/>
        <v>Q35</v>
      </c>
      <c r="E2094" t="str">
        <f t="shared" ca="1" si="715"/>
        <v/>
      </c>
      <c r="F2094" t="str">
        <f t="shared" ca="1" si="716"/>
        <v xml:space="preserve">Enter a 'Acquisition APR' for  building 32 in cell Q35.
</v>
      </c>
      <c r="G2094" s="9" t="str">
        <f t="shared" ca="1" si="717"/>
        <v xml:space="preserve">Enter a value for 'Number of Floors in the Tallest Building' in cell B60.
</v>
      </c>
      <c r="H2094" s="52" t="str">
        <f t="shared" ca="1" si="718"/>
        <v>Acquisition APR</v>
      </c>
      <c r="I2094" s="52">
        <v>17</v>
      </c>
    </row>
    <row r="2095" spans="1:10" ht="15" customHeight="1">
      <c r="A2095" t="str">
        <f ca="1">IF(AND(Calculations!$B$4,Calculations!$B$29&gt;=C2095, E2095 &lt;&gt; 13),F2095,"")</f>
        <v/>
      </c>
      <c r="B2095">
        <f>ROW('Final Building Profile'!C36)</f>
        <v>36</v>
      </c>
      <c r="C2095">
        <f t="shared" ref="C2095:C2158" ca="1" si="719">INDIRECT($F$1565 &amp; ADDRESS(B2095, 1,4  ))</f>
        <v>33</v>
      </c>
      <c r="D2095" t="str">
        <f>ADDRESS(B2095, 3,4  )</f>
        <v>C36</v>
      </c>
      <c r="E2095" s="52">
        <f ca="1">H2095+I2095</f>
        <v>0</v>
      </c>
      <c r="F2095" t="str">
        <f ca="1">CONCATENATE("Based upon the number of buildings specified, information for  building ", C2095, " required for a final application in row ", B2095, ".", CHAR(10))</f>
        <v xml:space="preserve">Based upon the number of buildings specified, information for  building 33 required for a final application in row 36.
</v>
      </c>
      <c r="G2095" s="9" t="str">
        <f t="shared" ca="1" si="717"/>
        <v xml:space="preserve">Enter a value for 'Number of Floors in the Tallest Building' in cell B60.
</v>
      </c>
      <c r="H2095" s="52">
        <f ca="1">SUMPRODUCT(--ISTEXT(INDIRECT(J2095)))</f>
        <v>0</v>
      </c>
      <c r="I2095" s="52">
        <f ca="1">SUMPRODUCT(--ISNUMBER(INDIRECT(J2095)))</f>
        <v>0</v>
      </c>
      <c r="J2095" s="52" t="str">
        <f>$F$1565&amp; ADDRESS(B2095,3,4) &amp; ":" &amp; ADDRESS(B2095,15,4)</f>
        <v>'Final Building Profile'!C36:O36</v>
      </c>
    </row>
    <row r="2096" spans="1:10" ht="15" customHeight="1">
      <c r="A2096" t="str">
        <f t="shared" ref="A2096:A2105" ca="1" si="720">IF(AND(OFFSET(A2096, -I2096 + 2, 4) &gt;  0, E2096=""), F2096, "")</f>
        <v/>
      </c>
      <c r="B2096">
        <f t="shared" ref="B2096:B2110" si="721">B2095</f>
        <v>36</v>
      </c>
      <c r="C2096">
        <f t="shared" ca="1" si="719"/>
        <v>33</v>
      </c>
      <c r="D2096" t="str">
        <f t="shared" ref="D2096:D2110" si="722">ADDRESS(B2096, I2096,4  )</f>
        <v>C36</v>
      </c>
      <c r="E2096" t="str">
        <f t="shared" ref="E2096:E2110" ca="1" si="723">IF(ISBLANK( INDIRECT($F$1565 &amp; D2096)),"", INDIRECT($F$1565 &amp; D2096))</f>
        <v/>
      </c>
      <c r="F2096" t="str">
        <f t="shared" ref="F2096:F2110" ca="1" si="724">CONCATENATE("Enter a '"&amp; H2096 &amp;"' for  building ", C2096, " in cell ", D2096, ".", CHAR(10))</f>
        <v xml:space="preserve">Enter a 'Building Street Address Only 
(DO NOT ENTER CITY, STATE, OR ZIP)' for  building 33 in cell C36.
</v>
      </c>
      <c r="G2096" s="9" t="str">
        <f t="shared" ca="1" si="717"/>
        <v xml:space="preserve">Enter a value for 'Number of Floors in the Tallest Building' in cell B60.
</v>
      </c>
      <c r="H2096" s="52" t="str">
        <f t="shared" ref="H2096:H2110" ca="1" si="725">OFFSET(INDIRECT($F$1565 &amp; D2096), -B2096 + 3, 0)</f>
        <v>Building Street Address Only 
(DO NOT ENTER CITY, STATE, OR ZIP)</v>
      </c>
      <c r="I2096" s="52">
        <v>3</v>
      </c>
    </row>
    <row r="2097" spans="1:10" ht="15" customHeight="1">
      <c r="A2097" t="str">
        <f t="shared" ca="1" si="720"/>
        <v/>
      </c>
      <c r="B2097">
        <f t="shared" si="721"/>
        <v>36</v>
      </c>
      <c r="C2097">
        <f t="shared" ca="1" si="719"/>
        <v>33</v>
      </c>
      <c r="D2097" t="str">
        <f t="shared" si="722"/>
        <v>D36</v>
      </c>
      <c r="E2097" t="str">
        <f t="shared" ca="1" si="723"/>
        <v/>
      </c>
      <c r="F2097" t="str">
        <f t="shared" ca="1" si="724"/>
        <v xml:space="preserve">Enter a 'Total Units in Building*' for  building 33 in cell D36.
</v>
      </c>
      <c r="G2097" s="9" t="str">
        <f t="shared" ca="1" si="717"/>
        <v xml:space="preserve">Enter a value for 'Number of Floors in the Tallest Building' in cell B60.
</v>
      </c>
      <c r="H2097" s="52" t="str">
        <f t="shared" ca="1" si="725"/>
        <v>Total Units in Building*</v>
      </c>
      <c r="I2097" s="52">
        <v>4</v>
      </c>
    </row>
    <row r="2098" spans="1:10" ht="15" customHeight="1">
      <c r="A2098" t="str">
        <f t="shared" ca="1" si="720"/>
        <v/>
      </c>
      <c r="B2098">
        <f t="shared" si="721"/>
        <v>36</v>
      </c>
      <c r="C2098">
        <f t="shared" ca="1" si="719"/>
        <v>33</v>
      </c>
      <c r="D2098" t="str">
        <f t="shared" si="722"/>
        <v>E36</v>
      </c>
      <c r="E2098" t="str">
        <f t="shared" ca="1" si="723"/>
        <v/>
      </c>
      <c r="F2098" t="str">
        <f t="shared" ca="1" si="724"/>
        <v xml:space="preserve">Enter a 'Employee Units' for  building 33 in cell E36.
</v>
      </c>
      <c r="G2098" s="9" t="str">
        <f t="shared" ca="1" si="717"/>
        <v xml:space="preserve">Enter a value for 'Number of Floors in the Tallest Building' in cell B60.
</v>
      </c>
      <c r="H2098" s="52" t="str">
        <f t="shared" ca="1" si="725"/>
        <v>Employee Units</v>
      </c>
      <c r="I2098" s="52">
        <v>5</v>
      </c>
    </row>
    <row r="2099" spans="1:10" ht="15" customHeight="1">
      <c r="A2099" t="str">
        <f t="shared" ca="1" si="720"/>
        <v/>
      </c>
      <c r="B2099">
        <f t="shared" si="721"/>
        <v>36</v>
      </c>
      <c r="C2099">
        <f t="shared" ca="1" si="719"/>
        <v>33</v>
      </c>
      <c r="D2099" t="str">
        <f t="shared" si="722"/>
        <v>F36</v>
      </c>
      <c r="E2099" t="str">
        <f t="shared" ca="1" si="723"/>
        <v/>
      </c>
      <c r="F2099" t="str">
        <f t="shared" ca="1" si="724"/>
        <v xml:space="preserve">Enter a 'Low-Income Units' for  building 33 in cell F36.
</v>
      </c>
      <c r="G2099" s="9" t="str">
        <f t="shared" ca="1" si="717"/>
        <v xml:space="preserve">Enter a value for 'Number of Floors in the Tallest Building' in cell B60.
</v>
      </c>
      <c r="H2099" s="52" t="str">
        <f t="shared" ca="1" si="725"/>
        <v>Low-Income Units</v>
      </c>
      <c r="I2099" s="52">
        <v>6</v>
      </c>
    </row>
    <row r="2100" spans="1:10" ht="15" customHeight="1">
      <c r="A2100" t="str">
        <f t="shared" ca="1" si="720"/>
        <v/>
      </c>
      <c r="B2100">
        <f t="shared" si="721"/>
        <v>36</v>
      </c>
      <c r="C2100">
        <f t="shared" ca="1" si="719"/>
        <v>33</v>
      </c>
      <c r="D2100" t="str">
        <f t="shared" si="722"/>
        <v>G36</v>
      </c>
      <c r="E2100" t="str">
        <f t="shared" ca="1" si="723"/>
        <v/>
      </c>
      <c r="F2100" t="str">
        <f t="shared" ca="1" si="724"/>
        <v xml:space="preserve">Enter a 'Residential Square Footage**' for  building 33 in cell G36.
</v>
      </c>
      <c r="G2100" s="9" t="str">
        <f t="shared" ca="1" si="717"/>
        <v xml:space="preserve">Enter a value for 'Number of Floors in the Tallest Building' in cell B60.
</v>
      </c>
      <c r="H2100" s="52" t="str">
        <f t="shared" ca="1" si="725"/>
        <v>Residential Square Footage**</v>
      </c>
      <c r="I2100" s="52">
        <v>7</v>
      </c>
    </row>
    <row r="2101" spans="1:10" ht="15" customHeight="1">
      <c r="A2101" t="str">
        <f t="shared" ca="1" si="720"/>
        <v/>
      </c>
      <c r="B2101">
        <f t="shared" si="721"/>
        <v>36</v>
      </c>
      <c r="C2101">
        <f t="shared" ca="1" si="719"/>
        <v>33</v>
      </c>
      <c r="D2101" t="str">
        <f t="shared" si="722"/>
        <v>H36</v>
      </c>
      <c r="E2101" t="str">
        <f t="shared" ca="1" si="723"/>
        <v/>
      </c>
      <c r="F2101" t="str">
        <f t="shared" ca="1" si="724"/>
        <v xml:space="preserve">Enter a 'Square Footage of Employee Units' for  building 33 in cell H36.
</v>
      </c>
      <c r="G2101" s="9" t="str">
        <f t="shared" ca="1" si="717"/>
        <v xml:space="preserve">Enter a value for 'Number of Floors in the Tallest Building' in cell B60.
</v>
      </c>
      <c r="H2101" s="52" t="str">
        <f t="shared" ca="1" si="725"/>
        <v>Square Footage of Employee Units</v>
      </c>
      <c r="I2101" s="52">
        <v>8</v>
      </c>
    </row>
    <row r="2102" spans="1:10" ht="15" customHeight="1">
      <c r="A2102" t="str">
        <f t="shared" ca="1" si="720"/>
        <v/>
      </c>
      <c r="B2102">
        <f t="shared" si="721"/>
        <v>36</v>
      </c>
      <c r="C2102">
        <f t="shared" ca="1" si="719"/>
        <v>33</v>
      </c>
      <c r="D2102" t="str">
        <f t="shared" si="722"/>
        <v>I36</v>
      </c>
      <c r="E2102" t="str">
        <f t="shared" ca="1" si="723"/>
        <v/>
      </c>
      <c r="F2102" t="str">
        <f t="shared" ca="1" si="724"/>
        <v xml:space="preserve">Enter a 'Square Footage of Low-Income Units' for  building 33 in cell I36.
</v>
      </c>
      <c r="G2102" s="9" t="str">
        <f t="shared" ca="1" si="717"/>
        <v xml:space="preserve">Enter a value for 'Number of Floors in the Tallest Building' in cell B60.
</v>
      </c>
      <c r="H2102" s="52" t="str">
        <f t="shared" ca="1" si="725"/>
        <v>Square Footage of Low-Income Units</v>
      </c>
      <c r="I2102" s="52">
        <v>9</v>
      </c>
    </row>
    <row r="2103" spans="1:10" ht="15" customHeight="1">
      <c r="A2103" t="str">
        <f t="shared" ca="1" si="720"/>
        <v/>
      </c>
      <c r="B2103">
        <f t="shared" si="721"/>
        <v>36</v>
      </c>
      <c r="C2103">
        <f t="shared" ca="1" si="719"/>
        <v>33</v>
      </c>
      <c r="D2103" t="str">
        <f t="shared" si="722"/>
        <v>J36</v>
      </c>
      <c r="E2103" t="str">
        <f t="shared" ca="1" si="723"/>
        <v/>
      </c>
      <c r="F2103" t="str">
        <f t="shared" ca="1" si="724"/>
        <v xml:space="preserve">Enter a 'Placed-In-Service Date' for  building 33 in cell J36.
</v>
      </c>
      <c r="G2103" s="9" t="str">
        <f t="shared" ca="1" si="717"/>
        <v xml:space="preserve">Enter a value for 'Number of Floors in the Tallest Building' in cell B60.
</v>
      </c>
      <c r="H2103" s="52" t="str">
        <f t="shared" ca="1" si="725"/>
        <v>Placed-In-Service Date</v>
      </c>
      <c r="I2103" s="52">
        <v>10</v>
      </c>
    </row>
    <row r="2104" spans="1:10" ht="15" customHeight="1">
      <c r="A2104" t="str">
        <f t="shared" ca="1" si="720"/>
        <v/>
      </c>
      <c r="B2104">
        <f t="shared" si="721"/>
        <v>36</v>
      </c>
      <c r="C2104">
        <f t="shared" ca="1" si="719"/>
        <v>33</v>
      </c>
      <c r="D2104" t="str">
        <f t="shared" si="722"/>
        <v>K36</v>
      </c>
      <c r="E2104" t="str">
        <f t="shared" ca="1" si="723"/>
        <v/>
      </c>
      <c r="F2104" t="str">
        <f t="shared" ca="1" si="724"/>
        <v xml:space="preserve">Enter a 'New Construction/ Rehab APR' for  building 33 in cell K36.
</v>
      </c>
      <c r="G2104" s="9" t="str">
        <f t="shared" ca="1" si="717"/>
        <v xml:space="preserve">Enter a value for 'Number of Floors in the Tallest Building' in cell B60.
</v>
      </c>
      <c r="H2104" s="52" t="str">
        <f t="shared" ca="1" si="725"/>
        <v>New Construction/ Rehab APR</v>
      </c>
      <c r="I2104" s="52">
        <v>11</v>
      </c>
    </row>
    <row r="2105" spans="1:10" ht="15" customHeight="1">
      <c r="A2105" t="str">
        <f t="shared" ca="1" si="720"/>
        <v/>
      </c>
      <c r="B2105">
        <f t="shared" si="721"/>
        <v>36</v>
      </c>
      <c r="C2105">
        <f t="shared" ca="1" si="719"/>
        <v>33</v>
      </c>
      <c r="D2105" t="str">
        <f t="shared" si="722"/>
        <v>L36</v>
      </c>
      <c r="E2105" t="str">
        <f t="shared" ca="1" si="723"/>
        <v/>
      </c>
      <c r="F2105" t="str">
        <f t="shared" ca="1" si="724"/>
        <v xml:space="preserve">Enter a 'New Construction Eligible Basis' for  building 33 in cell L36.
</v>
      </c>
      <c r="G2105" s="9" t="str">
        <f t="shared" ca="1" si="717"/>
        <v xml:space="preserve">Enter a value for 'Number of Floors in the Tallest Building' in cell B60.
</v>
      </c>
      <c r="H2105" s="52" t="str">
        <f t="shared" ca="1" si="725"/>
        <v>New Construction Eligible Basis</v>
      </c>
      <c r="I2105" s="52">
        <v>12</v>
      </c>
    </row>
    <row r="2106" spans="1:10" ht="15" customHeight="1">
      <c r="A2106" t="str">
        <f ca="1">IF(AND(OFFSET(A2106, -I2106 + 2, 4) &gt;  0, E2106="", Calculations!$B$7), F2106, "")</f>
        <v/>
      </c>
      <c r="B2106">
        <f t="shared" si="721"/>
        <v>36</v>
      </c>
      <c r="C2106">
        <f t="shared" ca="1" si="719"/>
        <v>33</v>
      </c>
      <c r="D2106" t="str">
        <f t="shared" si="722"/>
        <v>M36</v>
      </c>
      <c r="E2106" t="str">
        <f t="shared" ca="1" si="723"/>
        <v/>
      </c>
      <c r="F2106" t="str">
        <f t="shared" ca="1" si="724"/>
        <v xml:space="preserve">Enter a 'Eligible Basis for Rehab' for  building 33 in cell M36.
</v>
      </c>
      <c r="G2106" s="9" t="str">
        <f t="shared" ca="1" si="717"/>
        <v xml:space="preserve">Enter a value for 'Number of Floors in the Tallest Building' in cell B60.
</v>
      </c>
      <c r="H2106" s="52" t="str">
        <f t="shared" ca="1" si="725"/>
        <v>Eligible Basis for Rehab</v>
      </c>
      <c r="I2106" s="52">
        <v>13</v>
      </c>
    </row>
    <row r="2107" spans="1:10" ht="15" customHeight="1">
      <c r="A2107" t="str">
        <f ca="1">IF(AND(OFFSET(A2107, -I2107 + 2, 4) &gt;  0, E2107="", Calculations!$B$7), F2107, "")</f>
        <v/>
      </c>
      <c r="B2107">
        <f t="shared" si="721"/>
        <v>36</v>
      </c>
      <c r="C2107">
        <f t="shared" ca="1" si="719"/>
        <v>33</v>
      </c>
      <c r="D2107" t="str">
        <f t="shared" si="722"/>
        <v>N36</v>
      </c>
      <c r="E2107" t="str">
        <f t="shared" ca="1" si="723"/>
        <v/>
      </c>
      <c r="F2107" t="str">
        <f t="shared" ca="1" si="724"/>
        <v xml:space="preserve">Enter a 'Cost of Acquiring the Building***' for  building 33 in cell N36.
</v>
      </c>
      <c r="G2107" s="9" t="str">
        <f t="shared" ca="1" si="717"/>
        <v xml:space="preserve">Enter a value for 'Number of Floors in the Tallest Building' in cell B60.
</v>
      </c>
      <c r="H2107" s="52" t="str">
        <f t="shared" ca="1" si="725"/>
        <v>Cost of Acquiring the Building***</v>
      </c>
      <c r="I2107" s="52">
        <v>14</v>
      </c>
    </row>
    <row r="2108" spans="1:10" ht="15" customHeight="1">
      <c r="A2108" t="str">
        <f ca="1">IF(AND(OFFSET(A2108, -I2108 + 2, 4) &gt;  0, E2108="", Calculations!$B$7), F2108, "")</f>
        <v/>
      </c>
      <c r="B2108">
        <f t="shared" si="721"/>
        <v>36</v>
      </c>
      <c r="C2108">
        <f t="shared" ca="1" si="719"/>
        <v>33</v>
      </c>
      <c r="D2108" t="str">
        <f t="shared" si="722"/>
        <v>O36</v>
      </c>
      <c r="E2108" t="str">
        <f t="shared" ca="1" si="723"/>
        <v/>
      </c>
      <c r="F2108" t="str">
        <f t="shared" ca="1" si="724"/>
        <v xml:space="preserve">Enter a 'Higher of Land Purchase Price or Land Appraised Value****' for  building 33 in cell O36.
</v>
      </c>
      <c r="G2108" s="9" t="str">
        <f t="shared" ca="1" si="717"/>
        <v xml:space="preserve">Enter a value for 'Number of Floors in the Tallest Building' in cell B60.
</v>
      </c>
      <c r="H2108" s="52" t="str">
        <f t="shared" ca="1" si="725"/>
        <v>Higher of Land Purchase Price or Land Appraised Value****</v>
      </c>
      <c r="I2108" s="52">
        <v>15</v>
      </c>
    </row>
    <row r="2109" spans="1:10" ht="15" customHeight="1">
      <c r="A2109" t="str">
        <f ca="1">IF(AND(OFFSET(A2109, -I2109 + 2, 4) &gt;  0, E2109="", Calculations!$B$7), F2109, "")</f>
        <v/>
      </c>
      <c r="B2109">
        <f t="shared" si="721"/>
        <v>36</v>
      </c>
      <c r="C2109">
        <f t="shared" ca="1" si="719"/>
        <v>33</v>
      </c>
      <c r="D2109" t="str">
        <f t="shared" si="722"/>
        <v>P36</v>
      </c>
      <c r="E2109" t="str">
        <f t="shared" ca="1" si="723"/>
        <v/>
      </c>
      <c r="F2109" t="str">
        <f t="shared" ca="1" si="724"/>
        <v xml:space="preserve">Enter a 'Acquisition Placed-in-Service Date' for  building 33 in cell P36.
</v>
      </c>
      <c r="G2109" s="9" t="str">
        <f t="shared" ca="1" si="717"/>
        <v xml:space="preserve">Enter a value for 'Number of Floors in the Tallest Building' in cell B60.
</v>
      </c>
      <c r="H2109" s="52" t="str">
        <f t="shared" ca="1" si="725"/>
        <v>Acquisition Placed-in-Service Date</v>
      </c>
      <c r="I2109" s="52">
        <v>16</v>
      </c>
    </row>
    <row r="2110" spans="1:10" ht="15" customHeight="1">
      <c r="A2110" t="str">
        <f ca="1">IF(AND(OFFSET(A2110, -I2110 + 2, 4) &gt;  0, E2110="", Calculations!$B$7), F2110, "")</f>
        <v/>
      </c>
      <c r="B2110">
        <f t="shared" si="721"/>
        <v>36</v>
      </c>
      <c r="C2110">
        <f t="shared" ca="1" si="719"/>
        <v>33</v>
      </c>
      <c r="D2110" t="str">
        <f t="shared" si="722"/>
        <v>Q36</v>
      </c>
      <c r="E2110" t="str">
        <f t="shared" ca="1" si="723"/>
        <v/>
      </c>
      <c r="F2110" t="str">
        <f t="shared" ca="1" si="724"/>
        <v xml:space="preserve">Enter a 'Acquisition APR' for  building 33 in cell Q36.
</v>
      </c>
      <c r="G2110" s="9" t="str">
        <f t="shared" ca="1" si="717"/>
        <v xml:space="preserve">Enter a value for 'Number of Floors in the Tallest Building' in cell B60.
</v>
      </c>
      <c r="H2110" s="52" t="str">
        <f t="shared" ca="1" si="725"/>
        <v>Acquisition APR</v>
      </c>
      <c r="I2110" s="52">
        <v>17</v>
      </c>
    </row>
    <row r="2111" spans="1:10" ht="15" customHeight="1">
      <c r="A2111" t="str">
        <f ca="1">IF(AND(Calculations!$B$4,Calculations!$B$29&gt;=C2111, E2111 &lt;&gt; 13),F2111,"")</f>
        <v/>
      </c>
      <c r="B2111">
        <f>ROW('Final Building Profile'!C37)</f>
        <v>37</v>
      </c>
      <c r="C2111">
        <f t="shared" ca="1" si="719"/>
        <v>34</v>
      </c>
      <c r="D2111" t="str">
        <f>ADDRESS(B2111, 3,4  )</f>
        <v>C37</v>
      </c>
      <c r="E2111" s="52">
        <f ca="1">H2111+I2111</f>
        <v>0</v>
      </c>
      <c r="F2111" t="str">
        <f ca="1">CONCATENATE("Based upon the number of buildings specified, information for  building ", C2111, " required for a final application in row ", B2111, ".", CHAR(10))</f>
        <v xml:space="preserve">Based upon the number of buildings specified, information for  building 34 required for a final application in row 37.
</v>
      </c>
      <c r="G2111" s="9" t="str">
        <f t="shared" ca="1" si="717"/>
        <v xml:space="preserve">Enter a value for 'Number of Floors in the Tallest Building' in cell B60.
</v>
      </c>
      <c r="H2111" s="52">
        <f ca="1">SUMPRODUCT(--ISTEXT(INDIRECT(J2111)))</f>
        <v>0</v>
      </c>
      <c r="I2111" s="52">
        <f ca="1">SUMPRODUCT(--ISNUMBER(INDIRECT(J2111)))</f>
        <v>0</v>
      </c>
      <c r="J2111" s="52" t="str">
        <f>$F$1565&amp; ADDRESS(B2111,3,4) &amp; ":" &amp; ADDRESS(B2111,15,4)</f>
        <v>'Final Building Profile'!C37:O37</v>
      </c>
    </row>
    <row r="2112" spans="1:10" ht="15" customHeight="1">
      <c r="A2112" t="str">
        <f t="shared" ref="A2112:A2121" ca="1" si="726">IF(AND(OFFSET(A2112, -I2112 + 2, 4) &gt;  0, E2112=""), F2112, "")</f>
        <v/>
      </c>
      <c r="B2112">
        <f t="shared" ref="B2112:B2126" si="727">B2111</f>
        <v>37</v>
      </c>
      <c r="C2112">
        <f t="shared" ca="1" si="719"/>
        <v>34</v>
      </c>
      <c r="D2112" t="str">
        <f t="shared" ref="D2112:D2126" si="728">ADDRESS(B2112, I2112,4  )</f>
        <v>C37</v>
      </c>
      <c r="E2112" t="str">
        <f t="shared" ref="E2112:E2126" ca="1" si="729">IF(ISBLANK( INDIRECT($F$1565 &amp; D2112)),"", INDIRECT($F$1565 &amp; D2112))</f>
        <v/>
      </c>
      <c r="F2112" t="str">
        <f t="shared" ref="F2112:F2126" ca="1" si="730">CONCATENATE("Enter a '"&amp; H2112 &amp;"' for  building ", C2112, " in cell ", D2112, ".", CHAR(10))</f>
        <v xml:space="preserve">Enter a 'Building Street Address Only 
(DO NOT ENTER CITY, STATE, OR ZIP)' for  building 34 in cell C37.
</v>
      </c>
      <c r="G2112" s="9" t="str">
        <f t="shared" ca="1" si="717"/>
        <v xml:space="preserve">Enter a value for 'Number of Floors in the Tallest Building' in cell B60.
</v>
      </c>
      <c r="H2112" s="52" t="str">
        <f t="shared" ref="H2112:H2126" ca="1" si="731">OFFSET(INDIRECT($F$1565 &amp; D2112), -B2112 + 3, 0)</f>
        <v>Building Street Address Only 
(DO NOT ENTER CITY, STATE, OR ZIP)</v>
      </c>
      <c r="I2112" s="52">
        <v>3</v>
      </c>
    </row>
    <row r="2113" spans="1:10" ht="15" customHeight="1">
      <c r="A2113" t="str">
        <f t="shared" ca="1" si="726"/>
        <v/>
      </c>
      <c r="B2113">
        <f t="shared" si="727"/>
        <v>37</v>
      </c>
      <c r="C2113">
        <f t="shared" ca="1" si="719"/>
        <v>34</v>
      </c>
      <c r="D2113" t="str">
        <f t="shared" si="728"/>
        <v>D37</v>
      </c>
      <c r="E2113" t="str">
        <f t="shared" ca="1" si="729"/>
        <v/>
      </c>
      <c r="F2113" t="str">
        <f t="shared" ca="1" si="730"/>
        <v xml:space="preserve">Enter a 'Total Units in Building*' for  building 34 in cell D37.
</v>
      </c>
      <c r="G2113" s="9" t="str">
        <f t="shared" ca="1" si="717"/>
        <v xml:space="preserve">Enter a value for 'Number of Floors in the Tallest Building' in cell B60.
</v>
      </c>
      <c r="H2113" s="52" t="str">
        <f t="shared" ca="1" si="731"/>
        <v>Total Units in Building*</v>
      </c>
      <c r="I2113" s="52">
        <v>4</v>
      </c>
    </row>
    <row r="2114" spans="1:10" ht="15" customHeight="1">
      <c r="A2114" t="str">
        <f t="shared" ca="1" si="726"/>
        <v/>
      </c>
      <c r="B2114">
        <f t="shared" si="727"/>
        <v>37</v>
      </c>
      <c r="C2114">
        <f t="shared" ca="1" si="719"/>
        <v>34</v>
      </c>
      <c r="D2114" t="str">
        <f t="shared" si="728"/>
        <v>E37</v>
      </c>
      <c r="E2114" t="str">
        <f t="shared" ca="1" si="729"/>
        <v/>
      </c>
      <c r="F2114" t="str">
        <f t="shared" ca="1" si="730"/>
        <v xml:space="preserve">Enter a 'Employee Units' for  building 34 in cell E37.
</v>
      </c>
      <c r="G2114" s="9" t="str">
        <f t="shared" ca="1" si="717"/>
        <v xml:space="preserve">Enter a value for 'Number of Floors in the Tallest Building' in cell B60.
</v>
      </c>
      <c r="H2114" s="52" t="str">
        <f t="shared" ca="1" si="731"/>
        <v>Employee Units</v>
      </c>
      <c r="I2114" s="52">
        <v>5</v>
      </c>
    </row>
    <row r="2115" spans="1:10" ht="15" customHeight="1">
      <c r="A2115" t="str">
        <f t="shared" ca="1" si="726"/>
        <v/>
      </c>
      <c r="B2115">
        <f t="shared" si="727"/>
        <v>37</v>
      </c>
      <c r="C2115">
        <f t="shared" ca="1" si="719"/>
        <v>34</v>
      </c>
      <c r="D2115" t="str">
        <f t="shared" si="728"/>
        <v>F37</v>
      </c>
      <c r="E2115" t="str">
        <f t="shared" ca="1" si="729"/>
        <v/>
      </c>
      <c r="F2115" t="str">
        <f t="shared" ca="1" si="730"/>
        <v xml:space="preserve">Enter a 'Low-Income Units' for  building 34 in cell F37.
</v>
      </c>
      <c r="G2115" s="9" t="str">
        <f t="shared" ca="1" si="717"/>
        <v xml:space="preserve">Enter a value for 'Number of Floors in the Tallest Building' in cell B60.
</v>
      </c>
      <c r="H2115" s="52" t="str">
        <f t="shared" ca="1" si="731"/>
        <v>Low-Income Units</v>
      </c>
      <c r="I2115" s="52">
        <v>6</v>
      </c>
    </row>
    <row r="2116" spans="1:10" ht="15" customHeight="1">
      <c r="A2116" t="str">
        <f t="shared" ca="1" si="726"/>
        <v/>
      </c>
      <c r="B2116">
        <f t="shared" si="727"/>
        <v>37</v>
      </c>
      <c r="C2116">
        <f t="shared" ca="1" si="719"/>
        <v>34</v>
      </c>
      <c r="D2116" t="str">
        <f t="shared" si="728"/>
        <v>G37</v>
      </c>
      <c r="E2116" t="str">
        <f t="shared" ca="1" si="729"/>
        <v/>
      </c>
      <c r="F2116" t="str">
        <f t="shared" ca="1" si="730"/>
        <v xml:space="preserve">Enter a 'Residential Square Footage**' for  building 34 in cell G37.
</v>
      </c>
      <c r="G2116" s="9" t="str">
        <f t="shared" ca="1" si="717"/>
        <v xml:space="preserve">Enter a value for 'Number of Floors in the Tallest Building' in cell B60.
</v>
      </c>
      <c r="H2116" s="52" t="str">
        <f t="shared" ca="1" si="731"/>
        <v>Residential Square Footage**</v>
      </c>
      <c r="I2116" s="52">
        <v>7</v>
      </c>
    </row>
    <row r="2117" spans="1:10" ht="15" customHeight="1">
      <c r="A2117" t="str">
        <f t="shared" ca="1" si="726"/>
        <v/>
      </c>
      <c r="B2117">
        <f t="shared" si="727"/>
        <v>37</v>
      </c>
      <c r="C2117">
        <f t="shared" ca="1" si="719"/>
        <v>34</v>
      </c>
      <c r="D2117" t="str">
        <f t="shared" si="728"/>
        <v>H37</v>
      </c>
      <c r="E2117" t="str">
        <f t="shared" ca="1" si="729"/>
        <v/>
      </c>
      <c r="F2117" t="str">
        <f t="shared" ca="1" si="730"/>
        <v xml:space="preserve">Enter a 'Square Footage of Employee Units' for  building 34 in cell H37.
</v>
      </c>
      <c r="G2117" s="9" t="str">
        <f t="shared" ca="1" si="717"/>
        <v xml:space="preserve">Enter a value for 'Number of Floors in the Tallest Building' in cell B60.
</v>
      </c>
      <c r="H2117" s="52" t="str">
        <f t="shared" ca="1" si="731"/>
        <v>Square Footage of Employee Units</v>
      </c>
      <c r="I2117" s="52">
        <v>8</v>
      </c>
    </row>
    <row r="2118" spans="1:10" ht="15" customHeight="1">
      <c r="A2118" t="str">
        <f t="shared" ca="1" si="726"/>
        <v/>
      </c>
      <c r="B2118">
        <f t="shared" si="727"/>
        <v>37</v>
      </c>
      <c r="C2118">
        <f t="shared" ca="1" si="719"/>
        <v>34</v>
      </c>
      <c r="D2118" t="str">
        <f t="shared" si="728"/>
        <v>I37</v>
      </c>
      <c r="E2118" t="str">
        <f t="shared" ca="1" si="729"/>
        <v/>
      </c>
      <c r="F2118" t="str">
        <f t="shared" ca="1" si="730"/>
        <v xml:space="preserve">Enter a 'Square Footage of Low-Income Units' for  building 34 in cell I37.
</v>
      </c>
      <c r="G2118" s="9" t="str">
        <f t="shared" ca="1" si="717"/>
        <v xml:space="preserve">Enter a value for 'Number of Floors in the Tallest Building' in cell B60.
</v>
      </c>
      <c r="H2118" s="52" t="str">
        <f t="shared" ca="1" si="731"/>
        <v>Square Footage of Low-Income Units</v>
      </c>
      <c r="I2118" s="52">
        <v>9</v>
      </c>
    </row>
    <row r="2119" spans="1:10" ht="15" customHeight="1">
      <c r="A2119" t="str">
        <f t="shared" ca="1" si="726"/>
        <v/>
      </c>
      <c r="B2119">
        <f t="shared" si="727"/>
        <v>37</v>
      </c>
      <c r="C2119">
        <f t="shared" ca="1" si="719"/>
        <v>34</v>
      </c>
      <c r="D2119" t="str">
        <f t="shared" si="728"/>
        <v>J37</v>
      </c>
      <c r="E2119" t="str">
        <f t="shared" ca="1" si="729"/>
        <v/>
      </c>
      <c r="F2119" t="str">
        <f t="shared" ca="1" si="730"/>
        <v xml:space="preserve">Enter a 'Placed-In-Service Date' for  building 34 in cell J37.
</v>
      </c>
      <c r="G2119" s="9" t="str">
        <f t="shared" ca="1" si="717"/>
        <v xml:space="preserve">Enter a value for 'Number of Floors in the Tallest Building' in cell B60.
</v>
      </c>
      <c r="H2119" s="52" t="str">
        <f t="shared" ca="1" si="731"/>
        <v>Placed-In-Service Date</v>
      </c>
      <c r="I2119" s="52">
        <v>10</v>
      </c>
    </row>
    <row r="2120" spans="1:10" ht="15" customHeight="1">
      <c r="A2120" t="str">
        <f t="shared" ca="1" si="726"/>
        <v/>
      </c>
      <c r="B2120">
        <f t="shared" si="727"/>
        <v>37</v>
      </c>
      <c r="C2120">
        <f t="shared" ca="1" si="719"/>
        <v>34</v>
      </c>
      <c r="D2120" t="str">
        <f t="shared" si="728"/>
        <v>K37</v>
      </c>
      <c r="E2120" t="str">
        <f t="shared" ca="1" si="729"/>
        <v/>
      </c>
      <c r="F2120" t="str">
        <f t="shared" ca="1" si="730"/>
        <v xml:space="preserve">Enter a 'New Construction/ Rehab APR' for  building 34 in cell K37.
</v>
      </c>
      <c r="G2120" s="9" t="str">
        <f t="shared" ca="1" si="717"/>
        <v xml:space="preserve">Enter a value for 'Number of Floors in the Tallest Building' in cell B60.
</v>
      </c>
      <c r="H2120" s="52" t="str">
        <f t="shared" ca="1" si="731"/>
        <v>New Construction/ Rehab APR</v>
      </c>
      <c r="I2120" s="52">
        <v>11</v>
      </c>
    </row>
    <row r="2121" spans="1:10" ht="15" customHeight="1">
      <c r="A2121" t="str">
        <f t="shared" ca="1" si="726"/>
        <v/>
      </c>
      <c r="B2121">
        <f t="shared" si="727"/>
        <v>37</v>
      </c>
      <c r="C2121">
        <f t="shared" ca="1" si="719"/>
        <v>34</v>
      </c>
      <c r="D2121" t="str">
        <f t="shared" si="728"/>
        <v>L37</v>
      </c>
      <c r="E2121" t="str">
        <f t="shared" ca="1" si="729"/>
        <v/>
      </c>
      <c r="F2121" t="str">
        <f t="shared" ca="1" si="730"/>
        <v xml:space="preserve">Enter a 'New Construction Eligible Basis' for  building 34 in cell L37.
</v>
      </c>
      <c r="G2121" s="9" t="str">
        <f t="shared" ca="1" si="717"/>
        <v xml:space="preserve">Enter a value for 'Number of Floors in the Tallest Building' in cell B60.
</v>
      </c>
      <c r="H2121" s="52" t="str">
        <f t="shared" ca="1" si="731"/>
        <v>New Construction Eligible Basis</v>
      </c>
      <c r="I2121" s="52">
        <v>12</v>
      </c>
    </row>
    <row r="2122" spans="1:10" ht="15" customHeight="1">
      <c r="A2122" t="str">
        <f ca="1">IF(AND(OFFSET(A2122, -I2122 + 2, 4) &gt;  0, E2122="", Calculations!$B$7), F2122, "")</f>
        <v/>
      </c>
      <c r="B2122">
        <f t="shared" si="727"/>
        <v>37</v>
      </c>
      <c r="C2122">
        <f t="shared" ca="1" si="719"/>
        <v>34</v>
      </c>
      <c r="D2122" t="str">
        <f t="shared" si="728"/>
        <v>M37</v>
      </c>
      <c r="E2122" t="str">
        <f t="shared" ca="1" si="729"/>
        <v/>
      </c>
      <c r="F2122" t="str">
        <f t="shared" ca="1" si="730"/>
        <v xml:space="preserve">Enter a 'Eligible Basis for Rehab' for  building 34 in cell M37.
</v>
      </c>
      <c r="G2122" s="9" t="str">
        <f t="shared" ca="1" si="717"/>
        <v xml:space="preserve">Enter a value for 'Number of Floors in the Tallest Building' in cell B60.
</v>
      </c>
      <c r="H2122" s="52" t="str">
        <f t="shared" ca="1" si="731"/>
        <v>Eligible Basis for Rehab</v>
      </c>
      <c r="I2122" s="52">
        <v>13</v>
      </c>
    </row>
    <row r="2123" spans="1:10" ht="15" customHeight="1">
      <c r="A2123" t="str">
        <f ca="1">IF(AND(OFFSET(A2123, -I2123 + 2, 4) &gt;  0, E2123="", Calculations!$B$7), F2123, "")</f>
        <v/>
      </c>
      <c r="B2123">
        <f t="shared" si="727"/>
        <v>37</v>
      </c>
      <c r="C2123">
        <f t="shared" ca="1" si="719"/>
        <v>34</v>
      </c>
      <c r="D2123" t="str">
        <f t="shared" si="728"/>
        <v>N37</v>
      </c>
      <c r="E2123" t="str">
        <f t="shared" ca="1" si="729"/>
        <v/>
      </c>
      <c r="F2123" t="str">
        <f t="shared" ca="1" si="730"/>
        <v xml:space="preserve">Enter a 'Cost of Acquiring the Building***' for  building 34 in cell N37.
</v>
      </c>
      <c r="G2123" s="9" t="str">
        <f t="shared" ca="1" si="717"/>
        <v xml:space="preserve">Enter a value for 'Number of Floors in the Tallest Building' in cell B60.
</v>
      </c>
      <c r="H2123" s="52" t="str">
        <f t="shared" ca="1" si="731"/>
        <v>Cost of Acquiring the Building***</v>
      </c>
      <c r="I2123" s="52">
        <v>14</v>
      </c>
    </row>
    <row r="2124" spans="1:10" ht="15" customHeight="1">
      <c r="A2124" t="str">
        <f ca="1">IF(AND(OFFSET(A2124, -I2124 + 2, 4) &gt;  0, E2124="", Calculations!$B$7), F2124, "")</f>
        <v/>
      </c>
      <c r="B2124">
        <f t="shared" si="727"/>
        <v>37</v>
      </c>
      <c r="C2124">
        <f t="shared" ca="1" si="719"/>
        <v>34</v>
      </c>
      <c r="D2124" t="str">
        <f t="shared" si="728"/>
        <v>O37</v>
      </c>
      <c r="E2124" t="str">
        <f t="shared" ca="1" si="729"/>
        <v/>
      </c>
      <c r="F2124" t="str">
        <f t="shared" ca="1" si="730"/>
        <v xml:space="preserve">Enter a 'Higher of Land Purchase Price or Land Appraised Value****' for  building 34 in cell O37.
</v>
      </c>
      <c r="G2124" s="9" t="str">
        <f t="shared" ca="1" si="717"/>
        <v xml:space="preserve">Enter a value for 'Number of Floors in the Tallest Building' in cell B60.
</v>
      </c>
      <c r="H2124" s="52" t="str">
        <f t="shared" ca="1" si="731"/>
        <v>Higher of Land Purchase Price or Land Appraised Value****</v>
      </c>
      <c r="I2124" s="52">
        <v>15</v>
      </c>
    </row>
    <row r="2125" spans="1:10" ht="15" customHeight="1">
      <c r="A2125" t="str">
        <f ca="1">IF(AND(OFFSET(A2125, -I2125 + 2, 4) &gt;  0, E2125="", Calculations!$B$7), F2125, "")</f>
        <v/>
      </c>
      <c r="B2125">
        <f t="shared" si="727"/>
        <v>37</v>
      </c>
      <c r="C2125">
        <f t="shared" ca="1" si="719"/>
        <v>34</v>
      </c>
      <c r="D2125" t="str">
        <f t="shared" si="728"/>
        <v>P37</v>
      </c>
      <c r="E2125" t="str">
        <f t="shared" ca="1" si="729"/>
        <v/>
      </c>
      <c r="F2125" t="str">
        <f t="shared" ca="1" si="730"/>
        <v xml:space="preserve">Enter a 'Acquisition Placed-in-Service Date' for  building 34 in cell P37.
</v>
      </c>
      <c r="G2125" s="9" t="str">
        <f t="shared" ca="1" si="717"/>
        <v xml:space="preserve">Enter a value for 'Number of Floors in the Tallest Building' in cell B60.
</v>
      </c>
      <c r="H2125" s="52" t="str">
        <f t="shared" ca="1" si="731"/>
        <v>Acquisition Placed-in-Service Date</v>
      </c>
      <c r="I2125" s="52">
        <v>16</v>
      </c>
    </row>
    <row r="2126" spans="1:10" ht="15" customHeight="1">
      <c r="A2126" t="str">
        <f ca="1">IF(AND(OFFSET(A2126, -I2126 + 2, 4) &gt;  0, E2126="", Calculations!$B$7), F2126, "")</f>
        <v/>
      </c>
      <c r="B2126">
        <f t="shared" si="727"/>
        <v>37</v>
      </c>
      <c r="C2126">
        <f t="shared" ca="1" si="719"/>
        <v>34</v>
      </c>
      <c r="D2126" t="str">
        <f t="shared" si="728"/>
        <v>Q37</v>
      </c>
      <c r="E2126" t="str">
        <f t="shared" ca="1" si="729"/>
        <v/>
      </c>
      <c r="F2126" t="str">
        <f t="shared" ca="1" si="730"/>
        <v xml:space="preserve">Enter a 'Acquisition APR' for  building 34 in cell Q37.
</v>
      </c>
      <c r="G2126" s="9" t="str">
        <f t="shared" ca="1" si="717"/>
        <v xml:space="preserve">Enter a value for 'Number of Floors in the Tallest Building' in cell B60.
</v>
      </c>
      <c r="H2126" s="52" t="str">
        <f t="shared" ca="1" si="731"/>
        <v>Acquisition APR</v>
      </c>
      <c r="I2126" s="52">
        <v>17</v>
      </c>
    </row>
    <row r="2127" spans="1:10" ht="15" customHeight="1">
      <c r="A2127" t="str">
        <f ca="1">IF(AND(Calculations!$B$4,Calculations!$B$29&gt;=C2127, E2127 &lt;&gt; 13),F2127,"")</f>
        <v/>
      </c>
      <c r="B2127">
        <f>ROW('Final Building Profile'!C38)</f>
        <v>38</v>
      </c>
      <c r="C2127">
        <f t="shared" ca="1" si="719"/>
        <v>35</v>
      </c>
      <c r="D2127" t="str">
        <f>ADDRESS(B2127, 3,4  )</f>
        <v>C38</v>
      </c>
      <c r="E2127" s="52">
        <f ca="1">H2127+I2127</f>
        <v>0</v>
      </c>
      <c r="F2127" t="str">
        <f ca="1">CONCATENATE("Based upon the number of buildings specified, information for  building ", C2127, " required for a final application in row ", B2127, ".", CHAR(10))</f>
        <v xml:space="preserve">Based upon the number of buildings specified, information for  building 35 required for a final application in row 38.
</v>
      </c>
      <c r="G2127" s="9" t="str">
        <f t="shared" ca="1" si="717"/>
        <v xml:space="preserve">Enter a value for 'Number of Floors in the Tallest Building' in cell B60.
</v>
      </c>
      <c r="H2127" s="52">
        <f ca="1">SUMPRODUCT(--ISTEXT(INDIRECT(J2127)))</f>
        <v>0</v>
      </c>
      <c r="I2127" s="52">
        <f ca="1">SUMPRODUCT(--ISNUMBER(INDIRECT(J2127)))</f>
        <v>0</v>
      </c>
      <c r="J2127" s="52" t="str">
        <f>$F$1565&amp; ADDRESS(B2127,3,4) &amp; ":" &amp; ADDRESS(B2127,15,4)</f>
        <v>'Final Building Profile'!C38:O38</v>
      </c>
    </row>
    <row r="2128" spans="1:10" ht="15" customHeight="1">
      <c r="A2128" t="str">
        <f t="shared" ref="A2128:A2137" ca="1" si="732">IF(AND(OFFSET(A2128, -I2128 + 2, 4) &gt;  0, E2128=""), F2128, "")</f>
        <v/>
      </c>
      <c r="B2128">
        <f t="shared" ref="B2128:B2142" si="733">B2127</f>
        <v>38</v>
      </c>
      <c r="C2128">
        <f t="shared" ca="1" si="719"/>
        <v>35</v>
      </c>
      <c r="D2128" t="str">
        <f t="shared" ref="D2128:D2142" si="734">ADDRESS(B2128, I2128,4  )</f>
        <v>C38</v>
      </c>
      <c r="E2128" t="str">
        <f t="shared" ref="E2128:E2142" ca="1" si="735">IF(ISBLANK( INDIRECT($F$1565 &amp; D2128)),"", INDIRECT($F$1565 &amp; D2128))</f>
        <v/>
      </c>
      <c r="F2128" t="str">
        <f t="shared" ref="F2128:F2142" ca="1" si="736">CONCATENATE("Enter a '"&amp; H2128 &amp;"' for  building ", C2128, " in cell ", D2128, ".", CHAR(10))</f>
        <v xml:space="preserve">Enter a 'Building Street Address Only 
(DO NOT ENTER CITY, STATE, OR ZIP)' for  building 35 in cell C38.
</v>
      </c>
      <c r="G2128" s="9" t="str">
        <f t="shared" ca="1" si="717"/>
        <v xml:space="preserve">Enter a value for 'Number of Floors in the Tallest Building' in cell B60.
</v>
      </c>
      <c r="H2128" s="52" t="str">
        <f t="shared" ref="H2128:H2142" ca="1" si="737">OFFSET(INDIRECT($F$1565 &amp; D2128), -B2128 + 3, 0)</f>
        <v>Building Street Address Only 
(DO NOT ENTER CITY, STATE, OR ZIP)</v>
      </c>
      <c r="I2128" s="52">
        <v>3</v>
      </c>
    </row>
    <row r="2129" spans="1:10" ht="15" customHeight="1">
      <c r="A2129" t="str">
        <f t="shared" ca="1" si="732"/>
        <v/>
      </c>
      <c r="B2129">
        <f t="shared" si="733"/>
        <v>38</v>
      </c>
      <c r="C2129">
        <f t="shared" ca="1" si="719"/>
        <v>35</v>
      </c>
      <c r="D2129" t="str">
        <f t="shared" si="734"/>
        <v>D38</v>
      </c>
      <c r="E2129" t="str">
        <f t="shared" ca="1" si="735"/>
        <v/>
      </c>
      <c r="F2129" t="str">
        <f t="shared" ca="1" si="736"/>
        <v xml:space="preserve">Enter a 'Total Units in Building*' for  building 35 in cell D38.
</v>
      </c>
      <c r="G2129" s="9" t="str">
        <f t="shared" ca="1" si="717"/>
        <v xml:space="preserve">Enter a value for 'Number of Floors in the Tallest Building' in cell B60.
</v>
      </c>
      <c r="H2129" s="52" t="str">
        <f t="shared" ca="1" si="737"/>
        <v>Total Units in Building*</v>
      </c>
      <c r="I2129" s="52">
        <v>4</v>
      </c>
    </row>
    <row r="2130" spans="1:10" ht="15" customHeight="1">
      <c r="A2130" t="str">
        <f t="shared" ca="1" si="732"/>
        <v/>
      </c>
      <c r="B2130">
        <f t="shared" si="733"/>
        <v>38</v>
      </c>
      <c r="C2130">
        <f t="shared" ca="1" si="719"/>
        <v>35</v>
      </c>
      <c r="D2130" t="str">
        <f t="shared" si="734"/>
        <v>E38</v>
      </c>
      <c r="E2130" t="str">
        <f t="shared" ca="1" si="735"/>
        <v/>
      </c>
      <c r="F2130" t="str">
        <f t="shared" ca="1" si="736"/>
        <v xml:space="preserve">Enter a 'Employee Units' for  building 35 in cell E38.
</v>
      </c>
      <c r="G2130" s="9" t="str">
        <f t="shared" ca="1" si="717"/>
        <v xml:space="preserve">Enter a value for 'Number of Floors in the Tallest Building' in cell B60.
</v>
      </c>
      <c r="H2130" s="52" t="str">
        <f t="shared" ca="1" si="737"/>
        <v>Employee Units</v>
      </c>
      <c r="I2130" s="52">
        <v>5</v>
      </c>
    </row>
    <row r="2131" spans="1:10" ht="15" customHeight="1">
      <c r="A2131" t="str">
        <f t="shared" ca="1" si="732"/>
        <v/>
      </c>
      <c r="B2131">
        <f t="shared" si="733"/>
        <v>38</v>
      </c>
      <c r="C2131">
        <f t="shared" ca="1" si="719"/>
        <v>35</v>
      </c>
      <c r="D2131" t="str">
        <f t="shared" si="734"/>
        <v>F38</v>
      </c>
      <c r="E2131" t="str">
        <f t="shared" ca="1" si="735"/>
        <v/>
      </c>
      <c r="F2131" t="str">
        <f t="shared" ca="1" si="736"/>
        <v xml:space="preserve">Enter a 'Low-Income Units' for  building 35 in cell F38.
</v>
      </c>
      <c r="G2131" s="9" t="str">
        <f t="shared" ca="1" si="717"/>
        <v xml:space="preserve">Enter a value for 'Number of Floors in the Tallest Building' in cell B60.
</v>
      </c>
      <c r="H2131" s="52" t="str">
        <f t="shared" ca="1" si="737"/>
        <v>Low-Income Units</v>
      </c>
      <c r="I2131" s="52">
        <v>6</v>
      </c>
    </row>
    <row r="2132" spans="1:10" ht="15" customHeight="1">
      <c r="A2132" t="str">
        <f t="shared" ca="1" si="732"/>
        <v/>
      </c>
      <c r="B2132">
        <f t="shared" si="733"/>
        <v>38</v>
      </c>
      <c r="C2132">
        <f t="shared" ca="1" si="719"/>
        <v>35</v>
      </c>
      <c r="D2132" t="str">
        <f t="shared" si="734"/>
        <v>G38</v>
      </c>
      <c r="E2132" t="str">
        <f t="shared" ca="1" si="735"/>
        <v/>
      </c>
      <c r="F2132" t="str">
        <f t="shared" ca="1" si="736"/>
        <v xml:space="preserve">Enter a 'Residential Square Footage**' for  building 35 in cell G38.
</v>
      </c>
      <c r="G2132" s="9" t="str">
        <f t="shared" ca="1" si="717"/>
        <v xml:space="preserve">Enter a value for 'Number of Floors in the Tallest Building' in cell B60.
</v>
      </c>
      <c r="H2132" s="52" t="str">
        <f t="shared" ca="1" si="737"/>
        <v>Residential Square Footage**</v>
      </c>
      <c r="I2132" s="52">
        <v>7</v>
      </c>
    </row>
    <row r="2133" spans="1:10" ht="15" customHeight="1">
      <c r="A2133" t="str">
        <f t="shared" ca="1" si="732"/>
        <v/>
      </c>
      <c r="B2133">
        <f t="shared" si="733"/>
        <v>38</v>
      </c>
      <c r="C2133">
        <f t="shared" ca="1" si="719"/>
        <v>35</v>
      </c>
      <c r="D2133" t="str">
        <f t="shared" si="734"/>
        <v>H38</v>
      </c>
      <c r="E2133" t="str">
        <f t="shared" ca="1" si="735"/>
        <v/>
      </c>
      <c r="F2133" t="str">
        <f t="shared" ca="1" si="736"/>
        <v xml:space="preserve">Enter a 'Square Footage of Employee Units' for  building 35 in cell H38.
</v>
      </c>
      <c r="G2133" s="9" t="str">
        <f t="shared" ca="1" si="717"/>
        <v xml:space="preserve">Enter a value for 'Number of Floors in the Tallest Building' in cell B60.
</v>
      </c>
      <c r="H2133" s="52" t="str">
        <f t="shared" ca="1" si="737"/>
        <v>Square Footage of Employee Units</v>
      </c>
      <c r="I2133" s="52">
        <v>8</v>
      </c>
    </row>
    <row r="2134" spans="1:10" ht="15" customHeight="1">
      <c r="A2134" t="str">
        <f t="shared" ca="1" si="732"/>
        <v/>
      </c>
      <c r="B2134">
        <f t="shared" si="733"/>
        <v>38</v>
      </c>
      <c r="C2134">
        <f t="shared" ca="1" si="719"/>
        <v>35</v>
      </c>
      <c r="D2134" t="str">
        <f t="shared" si="734"/>
        <v>I38</v>
      </c>
      <c r="E2134" t="str">
        <f t="shared" ca="1" si="735"/>
        <v/>
      </c>
      <c r="F2134" t="str">
        <f t="shared" ca="1" si="736"/>
        <v xml:space="preserve">Enter a 'Square Footage of Low-Income Units' for  building 35 in cell I38.
</v>
      </c>
      <c r="G2134" s="9" t="str">
        <f t="shared" ca="1" si="717"/>
        <v xml:space="preserve">Enter a value for 'Number of Floors in the Tallest Building' in cell B60.
</v>
      </c>
      <c r="H2134" s="52" t="str">
        <f t="shared" ca="1" si="737"/>
        <v>Square Footage of Low-Income Units</v>
      </c>
      <c r="I2134" s="52">
        <v>9</v>
      </c>
    </row>
    <row r="2135" spans="1:10" ht="15" customHeight="1">
      <c r="A2135" t="str">
        <f t="shared" ca="1" si="732"/>
        <v/>
      </c>
      <c r="B2135">
        <f t="shared" si="733"/>
        <v>38</v>
      </c>
      <c r="C2135">
        <f t="shared" ca="1" si="719"/>
        <v>35</v>
      </c>
      <c r="D2135" t="str">
        <f t="shared" si="734"/>
        <v>J38</v>
      </c>
      <c r="E2135" t="str">
        <f t="shared" ca="1" si="735"/>
        <v/>
      </c>
      <c r="F2135" t="str">
        <f t="shared" ca="1" si="736"/>
        <v xml:space="preserve">Enter a 'Placed-In-Service Date' for  building 35 in cell J38.
</v>
      </c>
      <c r="G2135" s="9" t="str">
        <f t="shared" ca="1" si="717"/>
        <v xml:space="preserve">Enter a value for 'Number of Floors in the Tallest Building' in cell B60.
</v>
      </c>
      <c r="H2135" s="52" t="str">
        <f t="shared" ca="1" si="737"/>
        <v>Placed-In-Service Date</v>
      </c>
      <c r="I2135" s="52">
        <v>10</v>
      </c>
    </row>
    <row r="2136" spans="1:10" ht="15" customHeight="1">
      <c r="A2136" t="str">
        <f t="shared" ca="1" si="732"/>
        <v/>
      </c>
      <c r="B2136">
        <f t="shared" si="733"/>
        <v>38</v>
      </c>
      <c r="C2136">
        <f t="shared" ca="1" si="719"/>
        <v>35</v>
      </c>
      <c r="D2136" t="str">
        <f t="shared" si="734"/>
        <v>K38</v>
      </c>
      <c r="E2136" t="str">
        <f t="shared" ca="1" si="735"/>
        <v/>
      </c>
      <c r="F2136" t="str">
        <f t="shared" ca="1" si="736"/>
        <v xml:space="preserve">Enter a 'New Construction/ Rehab APR' for  building 35 in cell K38.
</v>
      </c>
      <c r="G2136" s="9" t="str">
        <f t="shared" ca="1" si="717"/>
        <v xml:space="preserve">Enter a value for 'Number of Floors in the Tallest Building' in cell B60.
</v>
      </c>
      <c r="H2136" s="52" t="str">
        <f t="shared" ca="1" si="737"/>
        <v>New Construction/ Rehab APR</v>
      </c>
      <c r="I2136" s="52">
        <v>11</v>
      </c>
    </row>
    <row r="2137" spans="1:10" ht="15" customHeight="1">
      <c r="A2137" t="str">
        <f t="shared" ca="1" si="732"/>
        <v/>
      </c>
      <c r="B2137">
        <f t="shared" si="733"/>
        <v>38</v>
      </c>
      <c r="C2137">
        <f t="shared" ca="1" si="719"/>
        <v>35</v>
      </c>
      <c r="D2137" t="str">
        <f t="shared" si="734"/>
        <v>L38</v>
      </c>
      <c r="E2137" t="str">
        <f t="shared" ca="1" si="735"/>
        <v/>
      </c>
      <c r="F2137" t="str">
        <f t="shared" ca="1" si="736"/>
        <v xml:space="preserve">Enter a 'New Construction Eligible Basis' for  building 35 in cell L38.
</v>
      </c>
      <c r="G2137" s="9" t="str">
        <f t="shared" ca="1" si="717"/>
        <v xml:space="preserve">Enter a value for 'Number of Floors in the Tallest Building' in cell B60.
</v>
      </c>
      <c r="H2137" s="52" t="str">
        <f t="shared" ca="1" si="737"/>
        <v>New Construction Eligible Basis</v>
      </c>
      <c r="I2137" s="52">
        <v>12</v>
      </c>
    </row>
    <row r="2138" spans="1:10" ht="15" customHeight="1">
      <c r="A2138" t="str">
        <f ca="1">IF(AND(OFFSET(A2138, -I2138 + 2, 4) &gt;  0, E2138="", Calculations!$B$7), F2138, "")</f>
        <v/>
      </c>
      <c r="B2138">
        <f t="shared" si="733"/>
        <v>38</v>
      </c>
      <c r="C2138">
        <f t="shared" ca="1" si="719"/>
        <v>35</v>
      </c>
      <c r="D2138" t="str">
        <f t="shared" si="734"/>
        <v>M38</v>
      </c>
      <c r="E2138" t="str">
        <f t="shared" ca="1" si="735"/>
        <v/>
      </c>
      <c r="F2138" t="str">
        <f t="shared" ca="1" si="736"/>
        <v xml:space="preserve">Enter a 'Eligible Basis for Rehab' for  building 35 in cell M38.
</v>
      </c>
      <c r="G2138" s="9" t="str">
        <f t="shared" ca="1" si="717"/>
        <v xml:space="preserve">Enter a value for 'Number of Floors in the Tallest Building' in cell B60.
</v>
      </c>
      <c r="H2138" s="52" t="str">
        <f t="shared" ca="1" si="737"/>
        <v>Eligible Basis for Rehab</v>
      </c>
      <c r="I2138" s="52">
        <v>13</v>
      </c>
    </row>
    <row r="2139" spans="1:10" ht="15" customHeight="1">
      <c r="A2139" t="str">
        <f ca="1">IF(AND(OFFSET(A2139, -I2139 + 2, 4) &gt;  0, E2139="", Calculations!$B$7), F2139, "")</f>
        <v/>
      </c>
      <c r="B2139">
        <f t="shared" si="733"/>
        <v>38</v>
      </c>
      <c r="C2139">
        <f t="shared" ca="1" si="719"/>
        <v>35</v>
      </c>
      <c r="D2139" t="str">
        <f t="shared" si="734"/>
        <v>N38</v>
      </c>
      <c r="E2139" t="str">
        <f t="shared" ca="1" si="735"/>
        <v/>
      </c>
      <c r="F2139" t="str">
        <f t="shared" ca="1" si="736"/>
        <v xml:space="preserve">Enter a 'Cost of Acquiring the Building***' for  building 35 in cell N38.
</v>
      </c>
      <c r="G2139" s="9" t="str">
        <f t="shared" ca="1" si="717"/>
        <v xml:space="preserve">Enter a value for 'Number of Floors in the Tallest Building' in cell B60.
</v>
      </c>
      <c r="H2139" s="52" t="str">
        <f t="shared" ca="1" si="737"/>
        <v>Cost of Acquiring the Building***</v>
      </c>
      <c r="I2139" s="52">
        <v>14</v>
      </c>
    </row>
    <row r="2140" spans="1:10" ht="15" customHeight="1">
      <c r="A2140" t="str">
        <f ca="1">IF(AND(OFFSET(A2140, -I2140 + 2, 4) &gt;  0, E2140="", Calculations!$B$7), F2140, "")</f>
        <v/>
      </c>
      <c r="B2140">
        <f t="shared" si="733"/>
        <v>38</v>
      </c>
      <c r="C2140">
        <f t="shared" ca="1" si="719"/>
        <v>35</v>
      </c>
      <c r="D2140" t="str">
        <f t="shared" si="734"/>
        <v>O38</v>
      </c>
      <c r="E2140" t="str">
        <f t="shared" ca="1" si="735"/>
        <v/>
      </c>
      <c r="F2140" t="str">
        <f t="shared" ca="1" si="736"/>
        <v xml:space="preserve">Enter a 'Higher of Land Purchase Price or Land Appraised Value****' for  building 35 in cell O38.
</v>
      </c>
      <c r="G2140" s="9" t="str">
        <f t="shared" ca="1" si="717"/>
        <v xml:space="preserve">Enter a value for 'Number of Floors in the Tallest Building' in cell B60.
</v>
      </c>
      <c r="H2140" s="52" t="str">
        <f t="shared" ca="1" si="737"/>
        <v>Higher of Land Purchase Price or Land Appraised Value****</v>
      </c>
      <c r="I2140" s="52">
        <v>15</v>
      </c>
    </row>
    <row r="2141" spans="1:10" ht="15" customHeight="1">
      <c r="A2141" t="str">
        <f ca="1">IF(AND(OFFSET(A2141, -I2141 + 2, 4) &gt;  0, E2141="", Calculations!$B$7), F2141, "")</f>
        <v/>
      </c>
      <c r="B2141">
        <f t="shared" si="733"/>
        <v>38</v>
      </c>
      <c r="C2141">
        <f t="shared" ca="1" si="719"/>
        <v>35</v>
      </c>
      <c r="D2141" t="str">
        <f t="shared" si="734"/>
        <v>P38</v>
      </c>
      <c r="E2141" t="str">
        <f t="shared" ca="1" si="735"/>
        <v/>
      </c>
      <c r="F2141" t="str">
        <f t="shared" ca="1" si="736"/>
        <v xml:space="preserve">Enter a 'Acquisition Placed-in-Service Date' for  building 35 in cell P38.
</v>
      </c>
      <c r="G2141" s="9" t="str">
        <f t="shared" ca="1" si="717"/>
        <v xml:space="preserve">Enter a value for 'Number of Floors in the Tallest Building' in cell B60.
</v>
      </c>
      <c r="H2141" s="52" t="str">
        <f t="shared" ca="1" si="737"/>
        <v>Acquisition Placed-in-Service Date</v>
      </c>
      <c r="I2141" s="52">
        <v>16</v>
      </c>
    </row>
    <row r="2142" spans="1:10" ht="15" customHeight="1">
      <c r="A2142" t="str">
        <f ca="1">IF(AND(OFFSET(A2142, -I2142 + 2, 4) &gt;  0, E2142="", Calculations!$B$7), F2142, "")</f>
        <v/>
      </c>
      <c r="B2142">
        <f t="shared" si="733"/>
        <v>38</v>
      </c>
      <c r="C2142">
        <f t="shared" ca="1" si="719"/>
        <v>35</v>
      </c>
      <c r="D2142" t="str">
        <f t="shared" si="734"/>
        <v>Q38</v>
      </c>
      <c r="E2142" t="str">
        <f t="shared" ca="1" si="735"/>
        <v/>
      </c>
      <c r="F2142" t="str">
        <f t="shared" ca="1" si="736"/>
        <v xml:space="preserve">Enter a 'Acquisition APR' for  building 35 in cell Q38.
</v>
      </c>
      <c r="G2142" s="9" t="str">
        <f t="shared" ca="1" si="717"/>
        <v xml:space="preserve">Enter a value for 'Number of Floors in the Tallest Building' in cell B60.
</v>
      </c>
      <c r="H2142" s="52" t="str">
        <f t="shared" ca="1" si="737"/>
        <v>Acquisition APR</v>
      </c>
      <c r="I2142" s="52">
        <v>17</v>
      </c>
    </row>
    <row r="2143" spans="1:10" ht="15" customHeight="1">
      <c r="A2143" t="str">
        <f ca="1">IF(AND(Calculations!$B$4,Calculations!$B$29&gt;=C2143, E2143 &lt;&gt; 13),F2143,"")</f>
        <v/>
      </c>
      <c r="B2143">
        <f>ROW('Final Building Profile'!C39)</f>
        <v>39</v>
      </c>
      <c r="C2143">
        <f t="shared" ca="1" si="719"/>
        <v>36</v>
      </c>
      <c r="D2143" t="str">
        <f>ADDRESS(B2143, 3,4  )</f>
        <v>C39</v>
      </c>
      <c r="E2143" s="52">
        <f ca="1">H2143+I2143</f>
        <v>0</v>
      </c>
      <c r="F2143" t="str">
        <f ca="1">CONCATENATE("Based upon the number of buildings specified, information for  building ", C2143, " required for a final application in row ", B2143, ".", CHAR(10))</f>
        <v xml:space="preserve">Based upon the number of buildings specified, information for  building 36 required for a final application in row 39.
</v>
      </c>
      <c r="G2143" s="9" t="str">
        <f t="shared" ca="1" si="717"/>
        <v xml:space="preserve">Enter a value for 'Number of Floors in the Tallest Building' in cell B60.
</v>
      </c>
      <c r="H2143" s="52">
        <f ca="1">SUMPRODUCT(--ISTEXT(INDIRECT(J2143)))</f>
        <v>0</v>
      </c>
      <c r="I2143" s="52">
        <f ca="1">SUMPRODUCT(--ISNUMBER(INDIRECT(J2143)))</f>
        <v>0</v>
      </c>
      <c r="J2143" s="52" t="str">
        <f>$F$1565&amp; ADDRESS(B2143,3,4) &amp; ":" &amp; ADDRESS(B2143,15,4)</f>
        <v>'Final Building Profile'!C39:O39</v>
      </c>
    </row>
    <row r="2144" spans="1:10" ht="15" customHeight="1">
      <c r="A2144" t="str">
        <f t="shared" ref="A2144:A2153" ca="1" si="738">IF(AND(OFFSET(A2144, -I2144 + 2, 4) &gt;  0, E2144=""), F2144, "")</f>
        <v/>
      </c>
      <c r="B2144">
        <f t="shared" ref="B2144:B2158" si="739">B2143</f>
        <v>39</v>
      </c>
      <c r="C2144">
        <f t="shared" ca="1" si="719"/>
        <v>36</v>
      </c>
      <c r="D2144" t="str">
        <f t="shared" ref="D2144:D2158" si="740">ADDRESS(B2144, I2144,4  )</f>
        <v>C39</v>
      </c>
      <c r="E2144" t="str">
        <f t="shared" ref="E2144:E2158" ca="1" si="741">IF(ISBLANK( INDIRECT($F$1565 &amp; D2144)),"", INDIRECT($F$1565 &amp; D2144))</f>
        <v/>
      </c>
      <c r="F2144" t="str">
        <f t="shared" ref="F2144:F2158" ca="1" si="742">CONCATENATE("Enter a '"&amp; H2144 &amp;"' for  building ", C2144, " in cell ", D2144, ".", CHAR(10))</f>
        <v xml:space="preserve">Enter a 'Building Street Address Only 
(DO NOT ENTER CITY, STATE, OR ZIP)' for  building 36 in cell C39.
</v>
      </c>
      <c r="G2144" s="9" t="str">
        <f t="shared" ref="G2144:G2207" ca="1" si="743">OFFSET(G2144, -1, 0) &amp; A2144</f>
        <v xml:space="preserve">Enter a value for 'Number of Floors in the Tallest Building' in cell B60.
</v>
      </c>
      <c r="H2144" s="52" t="str">
        <f t="shared" ref="H2144:H2158" ca="1" si="744">OFFSET(INDIRECT($F$1565 &amp; D2144), -B2144 + 3, 0)</f>
        <v>Building Street Address Only 
(DO NOT ENTER CITY, STATE, OR ZIP)</v>
      </c>
      <c r="I2144" s="52">
        <v>3</v>
      </c>
    </row>
    <row r="2145" spans="1:10" ht="15" customHeight="1">
      <c r="A2145" t="str">
        <f t="shared" ca="1" si="738"/>
        <v/>
      </c>
      <c r="B2145">
        <f t="shared" si="739"/>
        <v>39</v>
      </c>
      <c r="C2145">
        <f t="shared" ca="1" si="719"/>
        <v>36</v>
      </c>
      <c r="D2145" t="str">
        <f t="shared" si="740"/>
        <v>D39</v>
      </c>
      <c r="E2145" t="str">
        <f t="shared" ca="1" si="741"/>
        <v/>
      </c>
      <c r="F2145" t="str">
        <f t="shared" ca="1" si="742"/>
        <v xml:space="preserve">Enter a 'Total Units in Building*' for  building 36 in cell D39.
</v>
      </c>
      <c r="G2145" s="9" t="str">
        <f t="shared" ca="1" si="743"/>
        <v xml:space="preserve">Enter a value for 'Number of Floors in the Tallest Building' in cell B60.
</v>
      </c>
      <c r="H2145" s="52" t="str">
        <f t="shared" ca="1" si="744"/>
        <v>Total Units in Building*</v>
      </c>
      <c r="I2145" s="52">
        <v>4</v>
      </c>
    </row>
    <row r="2146" spans="1:10" ht="15" customHeight="1">
      <c r="A2146" t="str">
        <f t="shared" ca="1" si="738"/>
        <v/>
      </c>
      <c r="B2146">
        <f t="shared" si="739"/>
        <v>39</v>
      </c>
      <c r="C2146">
        <f t="shared" ca="1" si="719"/>
        <v>36</v>
      </c>
      <c r="D2146" t="str">
        <f t="shared" si="740"/>
        <v>E39</v>
      </c>
      <c r="E2146" t="str">
        <f t="shared" ca="1" si="741"/>
        <v/>
      </c>
      <c r="F2146" t="str">
        <f t="shared" ca="1" si="742"/>
        <v xml:space="preserve">Enter a 'Employee Units' for  building 36 in cell E39.
</v>
      </c>
      <c r="G2146" s="9" t="str">
        <f t="shared" ca="1" si="743"/>
        <v xml:space="preserve">Enter a value for 'Number of Floors in the Tallest Building' in cell B60.
</v>
      </c>
      <c r="H2146" s="52" t="str">
        <f t="shared" ca="1" si="744"/>
        <v>Employee Units</v>
      </c>
      <c r="I2146" s="52">
        <v>5</v>
      </c>
    </row>
    <row r="2147" spans="1:10" ht="15" customHeight="1">
      <c r="A2147" t="str">
        <f t="shared" ca="1" si="738"/>
        <v/>
      </c>
      <c r="B2147">
        <f t="shared" si="739"/>
        <v>39</v>
      </c>
      <c r="C2147">
        <f t="shared" ca="1" si="719"/>
        <v>36</v>
      </c>
      <c r="D2147" t="str">
        <f t="shared" si="740"/>
        <v>F39</v>
      </c>
      <c r="E2147" t="str">
        <f t="shared" ca="1" si="741"/>
        <v/>
      </c>
      <c r="F2147" t="str">
        <f t="shared" ca="1" si="742"/>
        <v xml:space="preserve">Enter a 'Low-Income Units' for  building 36 in cell F39.
</v>
      </c>
      <c r="G2147" s="9" t="str">
        <f t="shared" ca="1" si="743"/>
        <v xml:space="preserve">Enter a value for 'Number of Floors in the Tallest Building' in cell B60.
</v>
      </c>
      <c r="H2147" s="52" t="str">
        <f t="shared" ca="1" si="744"/>
        <v>Low-Income Units</v>
      </c>
      <c r="I2147" s="52">
        <v>6</v>
      </c>
    </row>
    <row r="2148" spans="1:10" ht="15" customHeight="1">
      <c r="A2148" t="str">
        <f t="shared" ca="1" si="738"/>
        <v/>
      </c>
      <c r="B2148">
        <f t="shared" si="739"/>
        <v>39</v>
      </c>
      <c r="C2148">
        <f t="shared" ca="1" si="719"/>
        <v>36</v>
      </c>
      <c r="D2148" t="str">
        <f t="shared" si="740"/>
        <v>G39</v>
      </c>
      <c r="E2148" t="str">
        <f t="shared" ca="1" si="741"/>
        <v/>
      </c>
      <c r="F2148" t="str">
        <f t="shared" ca="1" si="742"/>
        <v xml:space="preserve">Enter a 'Residential Square Footage**' for  building 36 in cell G39.
</v>
      </c>
      <c r="G2148" s="9" t="str">
        <f t="shared" ca="1" si="743"/>
        <v xml:space="preserve">Enter a value for 'Number of Floors in the Tallest Building' in cell B60.
</v>
      </c>
      <c r="H2148" s="52" t="str">
        <f t="shared" ca="1" si="744"/>
        <v>Residential Square Footage**</v>
      </c>
      <c r="I2148" s="52">
        <v>7</v>
      </c>
    </row>
    <row r="2149" spans="1:10" ht="15" customHeight="1">
      <c r="A2149" t="str">
        <f t="shared" ca="1" si="738"/>
        <v/>
      </c>
      <c r="B2149">
        <f t="shared" si="739"/>
        <v>39</v>
      </c>
      <c r="C2149">
        <f t="shared" ca="1" si="719"/>
        <v>36</v>
      </c>
      <c r="D2149" t="str">
        <f t="shared" si="740"/>
        <v>H39</v>
      </c>
      <c r="E2149" t="str">
        <f t="shared" ca="1" si="741"/>
        <v/>
      </c>
      <c r="F2149" t="str">
        <f t="shared" ca="1" si="742"/>
        <v xml:space="preserve">Enter a 'Square Footage of Employee Units' for  building 36 in cell H39.
</v>
      </c>
      <c r="G2149" s="9" t="str">
        <f t="shared" ca="1" si="743"/>
        <v xml:space="preserve">Enter a value for 'Number of Floors in the Tallest Building' in cell B60.
</v>
      </c>
      <c r="H2149" s="52" t="str">
        <f t="shared" ca="1" si="744"/>
        <v>Square Footage of Employee Units</v>
      </c>
      <c r="I2149" s="52">
        <v>8</v>
      </c>
    </row>
    <row r="2150" spans="1:10" ht="15" customHeight="1">
      <c r="A2150" t="str">
        <f t="shared" ca="1" si="738"/>
        <v/>
      </c>
      <c r="B2150">
        <f t="shared" si="739"/>
        <v>39</v>
      </c>
      <c r="C2150">
        <f t="shared" ca="1" si="719"/>
        <v>36</v>
      </c>
      <c r="D2150" t="str">
        <f t="shared" si="740"/>
        <v>I39</v>
      </c>
      <c r="E2150" t="str">
        <f t="shared" ca="1" si="741"/>
        <v/>
      </c>
      <c r="F2150" t="str">
        <f t="shared" ca="1" si="742"/>
        <v xml:space="preserve">Enter a 'Square Footage of Low-Income Units' for  building 36 in cell I39.
</v>
      </c>
      <c r="G2150" s="9" t="str">
        <f t="shared" ca="1" si="743"/>
        <v xml:space="preserve">Enter a value for 'Number of Floors in the Tallest Building' in cell B60.
</v>
      </c>
      <c r="H2150" s="52" t="str">
        <f t="shared" ca="1" si="744"/>
        <v>Square Footage of Low-Income Units</v>
      </c>
      <c r="I2150" s="52">
        <v>9</v>
      </c>
    </row>
    <row r="2151" spans="1:10" ht="15" customHeight="1">
      <c r="A2151" t="str">
        <f t="shared" ca="1" si="738"/>
        <v/>
      </c>
      <c r="B2151">
        <f t="shared" si="739"/>
        <v>39</v>
      </c>
      <c r="C2151">
        <f t="shared" ca="1" si="719"/>
        <v>36</v>
      </c>
      <c r="D2151" t="str">
        <f t="shared" si="740"/>
        <v>J39</v>
      </c>
      <c r="E2151" t="str">
        <f t="shared" ca="1" si="741"/>
        <v/>
      </c>
      <c r="F2151" t="str">
        <f t="shared" ca="1" si="742"/>
        <v xml:space="preserve">Enter a 'Placed-In-Service Date' for  building 36 in cell J39.
</v>
      </c>
      <c r="G2151" s="9" t="str">
        <f t="shared" ca="1" si="743"/>
        <v xml:space="preserve">Enter a value for 'Number of Floors in the Tallest Building' in cell B60.
</v>
      </c>
      <c r="H2151" s="52" t="str">
        <f t="shared" ca="1" si="744"/>
        <v>Placed-In-Service Date</v>
      </c>
      <c r="I2151" s="52">
        <v>10</v>
      </c>
    </row>
    <row r="2152" spans="1:10" ht="15" customHeight="1">
      <c r="A2152" t="str">
        <f t="shared" ca="1" si="738"/>
        <v/>
      </c>
      <c r="B2152">
        <f t="shared" si="739"/>
        <v>39</v>
      </c>
      <c r="C2152">
        <f t="shared" ca="1" si="719"/>
        <v>36</v>
      </c>
      <c r="D2152" t="str">
        <f t="shared" si="740"/>
        <v>K39</v>
      </c>
      <c r="E2152" t="str">
        <f t="shared" ca="1" si="741"/>
        <v/>
      </c>
      <c r="F2152" t="str">
        <f t="shared" ca="1" si="742"/>
        <v xml:space="preserve">Enter a 'New Construction/ Rehab APR' for  building 36 in cell K39.
</v>
      </c>
      <c r="G2152" s="9" t="str">
        <f t="shared" ca="1" si="743"/>
        <v xml:space="preserve">Enter a value for 'Number of Floors in the Tallest Building' in cell B60.
</v>
      </c>
      <c r="H2152" s="52" t="str">
        <f t="shared" ca="1" si="744"/>
        <v>New Construction/ Rehab APR</v>
      </c>
      <c r="I2152" s="52">
        <v>11</v>
      </c>
    </row>
    <row r="2153" spans="1:10" ht="15" customHeight="1">
      <c r="A2153" t="str">
        <f t="shared" ca="1" si="738"/>
        <v/>
      </c>
      <c r="B2153">
        <f t="shared" si="739"/>
        <v>39</v>
      </c>
      <c r="C2153">
        <f t="shared" ca="1" si="719"/>
        <v>36</v>
      </c>
      <c r="D2153" t="str">
        <f t="shared" si="740"/>
        <v>L39</v>
      </c>
      <c r="E2153" t="str">
        <f t="shared" ca="1" si="741"/>
        <v/>
      </c>
      <c r="F2153" t="str">
        <f t="shared" ca="1" si="742"/>
        <v xml:space="preserve">Enter a 'New Construction Eligible Basis' for  building 36 in cell L39.
</v>
      </c>
      <c r="G2153" s="9" t="str">
        <f t="shared" ca="1" si="743"/>
        <v xml:space="preserve">Enter a value for 'Number of Floors in the Tallest Building' in cell B60.
</v>
      </c>
      <c r="H2153" s="52" t="str">
        <f t="shared" ca="1" si="744"/>
        <v>New Construction Eligible Basis</v>
      </c>
      <c r="I2153" s="52">
        <v>12</v>
      </c>
    </row>
    <row r="2154" spans="1:10" ht="15" customHeight="1">
      <c r="A2154" t="str">
        <f ca="1">IF(AND(OFFSET(A2154, -I2154 + 2, 4) &gt;  0, E2154="", Calculations!$B$7), F2154, "")</f>
        <v/>
      </c>
      <c r="B2154">
        <f t="shared" si="739"/>
        <v>39</v>
      </c>
      <c r="C2154">
        <f t="shared" ca="1" si="719"/>
        <v>36</v>
      </c>
      <c r="D2154" t="str">
        <f t="shared" si="740"/>
        <v>M39</v>
      </c>
      <c r="E2154" t="str">
        <f t="shared" ca="1" si="741"/>
        <v/>
      </c>
      <c r="F2154" t="str">
        <f t="shared" ca="1" si="742"/>
        <v xml:space="preserve">Enter a 'Eligible Basis for Rehab' for  building 36 in cell M39.
</v>
      </c>
      <c r="G2154" s="9" t="str">
        <f t="shared" ca="1" si="743"/>
        <v xml:space="preserve">Enter a value for 'Number of Floors in the Tallest Building' in cell B60.
</v>
      </c>
      <c r="H2154" s="52" t="str">
        <f t="shared" ca="1" si="744"/>
        <v>Eligible Basis for Rehab</v>
      </c>
      <c r="I2154" s="52">
        <v>13</v>
      </c>
    </row>
    <row r="2155" spans="1:10" ht="15" customHeight="1">
      <c r="A2155" t="str">
        <f ca="1">IF(AND(OFFSET(A2155, -I2155 + 2, 4) &gt;  0, E2155="", Calculations!$B$7), F2155, "")</f>
        <v/>
      </c>
      <c r="B2155">
        <f t="shared" si="739"/>
        <v>39</v>
      </c>
      <c r="C2155">
        <f t="shared" ca="1" si="719"/>
        <v>36</v>
      </c>
      <c r="D2155" t="str">
        <f t="shared" si="740"/>
        <v>N39</v>
      </c>
      <c r="E2155" t="str">
        <f t="shared" ca="1" si="741"/>
        <v/>
      </c>
      <c r="F2155" t="str">
        <f t="shared" ca="1" si="742"/>
        <v xml:space="preserve">Enter a 'Cost of Acquiring the Building***' for  building 36 in cell N39.
</v>
      </c>
      <c r="G2155" s="9" t="str">
        <f t="shared" ca="1" si="743"/>
        <v xml:space="preserve">Enter a value for 'Number of Floors in the Tallest Building' in cell B60.
</v>
      </c>
      <c r="H2155" s="52" t="str">
        <f t="shared" ca="1" si="744"/>
        <v>Cost of Acquiring the Building***</v>
      </c>
      <c r="I2155" s="52">
        <v>14</v>
      </c>
    </row>
    <row r="2156" spans="1:10" ht="15" customHeight="1">
      <c r="A2156" t="str">
        <f ca="1">IF(AND(OFFSET(A2156, -I2156 + 2, 4) &gt;  0, E2156="", Calculations!$B$7), F2156, "")</f>
        <v/>
      </c>
      <c r="B2156">
        <f t="shared" si="739"/>
        <v>39</v>
      </c>
      <c r="C2156">
        <f t="shared" ca="1" si="719"/>
        <v>36</v>
      </c>
      <c r="D2156" t="str">
        <f t="shared" si="740"/>
        <v>O39</v>
      </c>
      <c r="E2156" t="str">
        <f t="shared" ca="1" si="741"/>
        <v/>
      </c>
      <c r="F2156" t="str">
        <f t="shared" ca="1" si="742"/>
        <v xml:space="preserve">Enter a 'Higher of Land Purchase Price or Land Appraised Value****' for  building 36 in cell O39.
</v>
      </c>
      <c r="G2156" s="9" t="str">
        <f t="shared" ca="1" si="743"/>
        <v xml:space="preserve">Enter a value for 'Number of Floors in the Tallest Building' in cell B60.
</v>
      </c>
      <c r="H2156" s="52" t="str">
        <f t="shared" ca="1" si="744"/>
        <v>Higher of Land Purchase Price or Land Appraised Value****</v>
      </c>
      <c r="I2156" s="52">
        <v>15</v>
      </c>
    </row>
    <row r="2157" spans="1:10" ht="15" customHeight="1">
      <c r="A2157" t="str">
        <f ca="1">IF(AND(OFFSET(A2157, -I2157 + 2, 4) &gt;  0, E2157="", Calculations!$B$7), F2157, "")</f>
        <v/>
      </c>
      <c r="B2157">
        <f t="shared" si="739"/>
        <v>39</v>
      </c>
      <c r="C2157">
        <f t="shared" ca="1" si="719"/>
        <v>36</v>
      </c>
      <c r="D2157" t="str">
        <f t="shared" si="740"/>
        <v>P39</v>
      </c>
      <c r="E2157" t="str">
        <f t="shared" ca="1" si="741"/>
        <v/>
      </c>
      <c r="F2157" t="str">
        <f t="shared" ca="1" si="742"/>
        <v xml:space="preserve">Enter a 'Acquisition Placed-in-Service Date' for  building 36 in cell P39.
</v>
      </c>
      <c r="G2157" s="9" t="str">
        <f t="shared" ca="1" si="743"/>
        <v xml:space="preserve">Enter a value for 'Number of Floors in the Tallest Building' in cell B60.
</v>
      </c>
      <c r="H2157" s="52" t="str">
        <f t="shared" ca="1" si="744"/>
        <v>Acquisition Placed-in-Service Date</v>
      </c>
      <c r="I2157" s="52">
        <v>16</v>
      </c>
    </row>
    <row r="2158" spans="1:10" ht="15" customHeight="1">
      <c r="A2158" t="str">
        <f ca="1">IF(AND(OFFSET(A2158, -I2158 + 2, 4) &gt;  0, E2158="", Calculations!$B$7), F2158, "")</f>
        <v/>
      </c>
      <c r="B2158">
        <f t="shared" si="739"/>
        <v>39</v>
      </c>
      <c r="C2158">
        <f t="shared" ca="1" si="719"/>
        <v>36</v>
      </c>
      <c r="D2158" t="str">
        <f t="shared" si="740"/>
        <v>Q39</v>
      </c>
      <c r="E2158" t="str">
        <f t="shared" ca="1" si="741"/>
        <v/>
      </c>
      <c r="F2158" t="str">
        <f t="shared" ca="1" si="742"/>
        <v xml:space="preserve">Enter a 'Acquisition APR' for  building 36 in cell Q39.
</v>
      </c>
      <c r="G2158" s="9" t="str">
        <f t="shared" ca="1" si="743"/>
        <v xml:space="preserve">Enter a value for 'Number of Floors in the Tallest Building' in cell B60.
</v>
      </c>
      <c r="H2158" s="52" t="str">
        <f t="shared" ca="1" si="744"/>
        <v>Acquisition APR</v>
      </c>
      <c r="I2158" s="52">
        <v>17</v>
      </c>
    </row>
    <row r="2159" spans="1:10" ht="15" customHeight="1">
      <c r="A2159" t="str">
        <f ca="1">IF(AND(Calculations!$B$4,Calculations!$B$29&gt;=C2159, E2159&lt;&gt; 13),F2159,"")</f>
        <v/>
      </c>
      <c r="B2159">
        <f>ROW('Final Building Profile'!C40)</f>
        <v>40</v>
      </c>
      <c r="C2159">
        <f t="shared" ref="C2159:C2222" ca="1" si="745">INDIRECT($F$1565 &amp; ADDRESS(B2159, 1,4  ))</f>
        <v>37</v>
      </c>
      <c r="D2159" t="str">
        <f>ADDRESS(B2159, 3,4  )</f>
        <v>C40</v>
      </c>
      <c r="E2159" s="52">
        <f ca="1">H2159+I2159</f>
        <v>0</v>
      </c>
      <c r="F2159" t="str">
        <f ca="1">CONCATENATE("Based upon the number of buildings specified, information for  building ", C2159, " required for a final application in row ", B2159, ".", CHAR(10))</f>
        <v xml:space="preserve">Based upon the number of buildings specified, information for  building 37 required for a final application in row 40.
</v>
      </c>
      <c r="G2159" s="9" t="str">
        <f t="shared" ca="1" si="743"/>
        <v xml:space="preserve">Enter a value for 'Number of Floors in the Tallest Building' in cell B60.
</v>
      </c>
      <c r="H2159" s="52">
        <f ca="1">SUMPRODUCT(--ISTEXT(INDIRECT(J2159)))</f>
        <v>0</v>
      </c>
      <c r="I2159" s="52">
        <f ca="1">SUMPRODUCT(--ISNUMBER(INDIRECT(J2159)))</f>
        <v>0</v>
      </c>
      <c r="J2159" s="52" t="str">
        <f>$F$1565&amp; ADDRESS(B2159,3,4) &amp; ":" &amp; ADDRESS(B2159,15,4)</f>
        <v>'Final Building Profile'!C40:O40</v>
      </c>
    </row>
    <row r="2160" spans="1:10" ht="15" customHeight="1">
      <c r="A2160" t="str">
        <f t="shared" ref="A2160:A2169" ca="1" si="746">IF(AND(OFFSET(A2160, -I2160 + 2, 4) &gt;  0, E2160=""), F2160, "")</f>
        <v/>
      </c>
      <c r="B2160">
        <f t="shared" ref="B2160:B2174" si="747">B2159</f>
        <v>40</v>
      </c>
      <c r="C2160">
        <f t="shared" ca="1" si="745"/>
        <v>37</v>
      </c>
      <c r="D2160" t="str">
        <f t="shared" ref="D2160:D2174" si="748">ADDRESS(B2160, I2160,4  )</f>
        <v>C40</v>
      </c>
      <c r="E2160" t="str">
        <f t="shared" ref="E2160:E2174" ca="1" si="749">IF(ISBLANK( INDIRECT($F$1565 &amp; D2160)),"", INDIRECT($F$1565 &amp; D2160))</f>
        <v/>
      </c>
      <c r="F2160" t="str">
        <f t="shared" ref="F2160:F2174" ca="1" si="750">CONCATENATE("Enter a '"&amp; H2160 &amp;"' for  building ", C2160, " in cell ", D2160, ".", CHAR(10))</f>
        <v xml:space="preserve">Enter a 'Building Street Address Only 
(DO NOT ENTER CITY, STATE, OR ZIP)' for  building 37 in cell C40.
</v>
      </c>
      <c r="G2160" s="9" t="str">
        <f t="shared" ca="1" si="743"/>
        <v xml:space="preserve">Enter a value for 'Number of Floors in the Tallest Building' in cell B60.
</v>
      </c>
      <c r="H2160" s="52" t="str">
        <f t="shared" ref="H2160:H2174" ca="1" si="751">OFFSET(INDIRECT($F$1565 &amp; D2160), -B2160 + 3, 0)</f>
        <v>Building Street Address Only 
(DO NOT ENTER CITY, STATE, OR ZIP)</v>
      </c>
      <c r="I2160" s="52">
        <v>3</v>
      </c>
    </row>
    <row r="2161" spans="1:10" ht="15" customHeight="1">
      <c r="A2161" t="str">
        <f t="shared" ca="1" si="746"/>
        <v/>
      </c>
      <c r="B2161">
        <f t="shared" si="747"/>
        <v>40</v>
      </c>
      <c r="C2161">
        <f t="shared" ca="1" si="745"/>
        <v>37</v>
      </c>
      <c r="D2161" t="str">
        <f t="shared" si="748"/>
        <v>D40</v>
      </c>
      <c r="E2161" t="str">
        <f t="shared" ca="1" si="749"/>
        <v/>
      </c>
      <c r="F2161" t="str">
        <f t="shared" ca="1" si="750"/>
        <v xml:space="preserve">Enter a 'Total Units in Building*' for  building 37 in cell D40.
</v>
      </c>
      <c r="G2161" s="9" t="str">
        <f t="shared" ca="1" si="743"/>
        <v xml:space="preserve">Enter a value for 'Number of Floors in the Tallest Building' in cell B60.
</v>
      </c>
      <c r="H2161" s="52" t="str">
        <f t="shared" ca="1" si="751"/>
        <v>Total Units in Building*</v>
      </c>
      <c r="I2161" s="52">
        <v>4</v>
      </c>
    </row>
    <row r="2162" spans="1:10" ht="15" customHeight="1">
      <c r="A2162" t="str">
        <f t="shared" ca="1" si="746"/>
        <v/>
      </c>
      <c r="B2162">
        <f t="shared" si="747"/>
        <v>40</v>
      </c>
      <c r="C2162">
        <f t="shared" ca="1" si="745"/>
        <v>37</v>
      </c>
      <c r="D2162" t="str">
        <f t="shared" si="748"/>
        <v>E40</v>
      </c>
      <c r="E2162" t="str">
        <f t="shared" ca="1" si="749"/>
        <v/>
      </c>
      <c r="F2162" t="str">
        <f t="shared" ca="1" si="750"/>
        <v xml:space="preserve">Enter a 'Employee Units' for  building 37 in cell E40.
</v>
      </c>
      <c r="G2162" s="9" t="str">
        <f t="shared" ca="1" si="743"/>
        <v xml:space="preserve">Enter a value for 'Number of Floors in the Tallest Building' in cell B60.
</v>
      </c>
      <c r="H2162" s="52" t="str">
        <f t="shared" ca="1" si="751"/>
        <v>Employee Units</v>
      </c>
      <c r="I2162" s="52">
        <v>5</v>
      </c>
    </row>
    <row r="2163" spans="1:10" ht="15" customHeight="1">
      <c r="A2163" t="str">
        <f t="shared" ca="1" si="746"/>
        <v/>
      </c>
      <c r="B2163">
        <f t="shared" si="747"/>
        <v>40</v>
      </c>
      <c r="C2163">
        <f t="shared" ca="1" si="745"/>
        <v>37</v>
      </c>
      <c r="D2163" t="str">
        <f t="shared" si="748"/>
        <v>F40</v>
      </c>
      <c r="E2163" t="str">
        <f t="shared" ca="1" si="749"/>
        <v/>
      </c>
      <c r="F2163" t="str">
        <f t="shared" ca="1" si="750"/>
        <v xml:space="preserve">Enter a 'Low-Income Units' for  building 37 in cell F40.
</v>
      </c>
      <c r="G2163" s="9" t="str">
        <f t="shared" ca="1" si="743"/>
        <v xml:space="preserve">Enter a value for 'Number of Floors in the Tallest Building' in cell B60.
</v>
      </c>
      <c r="H2163" s="52" t="str">
        <f t="shared" ca="1" si="751"/>
        <v>Low-Income Units</v>
      </c>
      <c r="I2163" s="52">
        <v>6</v>
      </c>
    </row>
    <row r="2164" spans="1:10" ht="15" customHeight="1">
      <c r="A2164" t="str">
        <f t="shared" ca="1" si="746"/>
        <v/>
      </c>
      <c r="B2164">
        <f t="shared" si="747"/>
        <v>40</v>
      </c>
      <c r="C2164">
        <f t="shared" ca="1" si="745"/>
        <v>37</v>
      </c>
      <c r="D2164" t="str">
        <f t="shared" si="748"/>
        <v>G40</v>
      </c>
      <c r="E2164" t="str">
        <f t="shared" ca="1" si="749"/>
        <v/>
      </c>
      <c r="F2164" t="str">
        <f t="shared" ca="1" si="750"/>
        <v xml:space="preserve">Enter a 'Residential Square Footage**' for  building 37 in cell G40.
</v>
      </c>
      <c r="G2164" s="9" t="str">
        <f t="shared" ca="1" si="743"/>
        <v xml:space="preserve">Enter a value for 'Number of Floors in the Tallest Building' in cell B60.
</v>
      </c>
      <c r="H2164" s="52" t="str">
        <f t="shared" ca="1" si="751"/>
        <v>Residential Square Footage**</v>
      </c>
      <c r="I2164" s="52">
        <v>7</v>
      </c>
    </row>
    <row r="2165" spans="1:10" ht="15" customHeight="1">
      <c r="A2165" t="str">
        <f t="shared" ca="1" si="746"/>
        <v/>
      </c>
      <c r="B2165">
        <f t="shared" si="747"/>
        <v>40</v>
      </c>
      <c r="C2165">
        <f t="shared" ca="1" si="745"/>
        <v>37</v>
      </c>
      <c r="D2165" t="str">
        <f t="shared" si="748"/>
        <v>H40</v>
      </c>
      <c r="E2165" t="str">
        <f t="shared" ca="1" si="749"/>
        <v/>
      </c>
      <c r="F2165" t="str">
        <f t="shared" ca="1" si="750"/>
        <v xml:space="preserve">Enter a 'Square Footage of Employee Units' for  building 37 in cell H40.
</v>
      </c>
      <c r="G2165" s="9" t="str">
        <f t="shared" ca="1" si="743"/>
        <v xml:space="preserve">Enter a value for 'Number of Floors in the Tallest Building' in cell B60.
</v>
      </c>
      <c r="H2165" s="52" t="str">
        <f t="shared" ca="1" si="751"/>
        <v>Square Footage of Employee Units</v>
      </c>
      <c r="I2165" s="52">
        <v>8</v>
      </c>
    </row>
    <row r="2166" spans="1:10" ht="15" customHeight="1">
      <c r="A2166" t="str">
        <f t="shared" ca="1" si="746"/>
        <v/>
      </c>
      <c r="B2166">
        <f t="shared" si="747"/>
        <v>40</v>
      </c>
      <c r="C2166">
        <f t="shared" ca="1" si="745"/>
        <v>37</v>
      </c>
      <c r="D2166" t="str">
        <f t="shared" si="748"/>
        <v>I40</v>
      </c>
      <c r="E2166" t="str">
        <f t="shared" ca="1" si="749"/>
        <v/>
      </c>
      <c r="F2166" t="str">
        <f t="shared" ca="1" si="750"/>
        <v xml:space="preserve">Enter a 'Square Footage of Low-Income Units' for  building 37 in cell I40.
</v>
      </c>
      <c r="G2166" s="9" t="str">
        <f t="shared" ca="1" si="743"/>
        <v xml:space="preserve">Enter a value for 'Number of Floors in the Tallest Building' in cell B60.
</v>
      </c>
      <c r="H2166" s="52" t="str">
        <f t="shared" ca="1" si="751"/>
        <v>Square Footage of Low-Income Units</v>
      </c>
      <c r="I2166" s="52">
        <v>9</v>
      </c>
    </row>
    <row r="2167" spans="1:10" ht="15" customHeight="1">
      <c r="A2167" t="str">
        <f t="shared" ca="1" si="746"/>
        <v/>
      </c>
      <c r="B2167">
        <f t="shared" si="747"/>
        <v>40</v>
      </c>
      <c r="C2167">
        <f t="shared" ca="1" si="745"/>
        <v>37</v>
      </c>
      <c r="D2167" t="str">
        <f t="shared" si="748"/>
        <v>J40</v>
      </c>
      <c r="E2167" t="str">
        <f t="shared" ca="1" si="749"/>
        <v/>
      </c>
      <c r="F2167" t="str">
        <f t="shared" ca="1" si="750"/>
        <v xml:space="preserve">Enter a 'Placed-In-Service Date' for  building 37 in cell J40.
</v>
      </c>
      <c r="G2167" s="9" t="str">
        <f t="shared" ca="1" si="743"/>
        <v xml:space="preserve">Enter a value for 'Number of Floors in the Tallest Building' in cell B60.
</v>
      </c>
      <c r="H2167" s="52" t="str">
        <f t="shared" ca="1" si="751"/>
        <v>Placed-In-Service Date</v>
      </c>
      <c r="I2167" s="52">
        <v>10</v>
      </c>
    </row>
    <row r="2168" spans="1:10" ht="15" customHeight="1">
      <c r="A2168" t="str">
        <f t="shared" ca="1" si="746"/>
        <v/>
      </c>
      <c r="B2168">
        <f t="shared" si="747"/>
        <v>40</v>
      </c>
      <c r="C2168">
        <f t="shared" ca="1" si="745"/>
        <v>37</v>
      </c>
      <c r="D2168" t="str">
        <f t="shared" si="748"/>
        <v>K40</v>
      </c>
      <c r="E2168" t="str">
        <f t="shared" ca="1" si="749"/>
        <v/>
      </c>
      <c r="F2168" t="str">
        <f t="shared" ca="1" si="750"/>
        <v xml:space="preserve">Enter a 'New Construction/ Rehab APR' for  building 37 in cell K40.
</v>
      </c>
      <c r="G2168" s="9" t="str">
        <f t="shared" ca="1" si="743"/>
        <v xml:space="preserve">Enter a value for 'Number of Floors in the Tallest Building' in cell B60.
</v>
      </c>
      <c r="H2168" s="52" t="str">
        <f t="shared" ca="1" si="751"/>
        <v>New Construction/ Rehab APR</v>
      </c>
      <c r="I2168" s="52">
        <v>11</v>
      </c>
    </row>
    <row r="2169" spans="1:10" ht="15" customHeight="1">
      <c r="A2169" t="str">
        <f t="shared" ca="1" si="746"/>
        <v/>
      </c>
      <c r="B2169">
        <f t="shared" si="747"/>
        <v>40</v>
      </c>
      <c r="C2169">
        <f t="shared" ca="1" si="745"/>
        <v>37</v>
      </c>
      <c r="D2169" t="str">
        <f t="shared" si="748"/>
        <v>L40</v>
      </c>
      <c r="E2169" t="str">
        <f t="shared" ca="1" si="749"/>
        <v/>
      </c>
      <c r="F2169" t="str">
        <f t="shared" ca="1" si="750"/>
        <v xml:space="preserve">Enter a 'New Construction Eligible Basis' for  building 37 in cell L40.
</v>
      </c>
      <c r="G2169" s="9" t="str">
        <f t="shared" ca="1" si="743"/>
        <v xml:space="preserve">Enter a value for 'Number of Floors in the Tallest Building' in cell B60.
</v>
      </c>
      <c r="H2169" s="52" t="str">
        <f t="shared" ca="1" si="751"/>
        <v>New Construction Eligible Basis</v>
      </c>
      <c r="I2169" s="52">
        <v>12</v>
      </c>
    </row>
    <row r="2170" spans="1:10" ht="15" customHeight="1">
      <c r="A2170" t="str">
        <f ca="1">IF(AND(OFFSET(A2170, -I2170 + 2, 4) &gt;  0, E2170="", Calculations!$B$7), F2170, "")</f>
        <v/>
      </c>
      <c r="B2170">
        <f t="shared" si="747"/>
        <v>40</v>
      </c>
      <c r="C2170">
        <f t="shared" ca="1" si="745"/>
        <v>37</v>
      </c>
      <c r="D2170" t="str">
        <f t="shared" si="748"/>
        <v>M40</v>
      </c>
      <c r="E2170" t="str">
        <f t="shared" ca="1" si="749"/>
        <v/>
      </c>
      <c r="F2170" t="str">
        <f t="shared" ca="1" si="750"/>
        <v xml:space="preserve">Enter a 'Eligible Basis for Rehab' for  building 37 in cell M40.
</v>
      </c>
      <c r="G2170" s="9" t="str">
        <f t="shared" ca="1" si="743"/>
        <v xml:space="preserve">Enter a value for 'Number of Floors in the Tallest Building' in cell B60.
</v>
      </c>
      <c r="H2170" s="52" t="str">
        <f t="shared" ca="1" si="751"/>
        <v>Eligible Basis for Rehab</v>
      </c>
      <c r="I2170" s="52">
        <v>13</v>
      </c>
    </row>
    <row r="2171" spans="1:10" ht="15" customHeight="1">
      <c r="A2171" t="str">
        <f ca="1">IF(AND(OFFSET(A2171, -I2171 + 2, 4) &gt;  0, E2171="", Calculations!$B$7), F2171, "")</f>
        <v/>
      </c>
      <c r="B2171">
        <f t="shared" si="747"/>
        <v>40</v>
      </c>
      <c r="C2171">
        <f t="shared" ca="1" si="745"/>
        <v>37</v>
      </c>
      <c r="D2171" t="str">
        <f t="shared" si="748"/>
        <v>N40</v>
      </c>
      <c r="E2171" t="str">
        <f t="shared" ca="1" si="749"/>
        <v/>
      </c>
      <c r="F2171" t="str">
        <f t="shared" ca="1" si="750"/>
        <v xml:space="preserve">Enter a 'Cost of Acquiring the Building***' for  building 37 in cell N40.
</v>
      </c>
      <c r="G2171" s="9" t="str">
        <f t="shared" ca="1" si="743"/>
        <v xml:space="preserve">Enter a value for 'Number of Floors in the Tallest Building' in cell B60.
</v>
      </c>
      <c r="H2171" s="52" t="str">
        <f t="shared" ca="1" si="751"/>
        <v>Cost of Acquiring the Building***</v>
      </c>
      <c r="I2171" s="52">
        <v>14</v>
      </c>
    </row>
    <row r="2172" spans="1:10" ht="15" customHeight="1">
      <c r="A2172" t="str">
        <f ca="1">IF(AND(OFFSET(A2172, -I2172 + 2, 4) &gt;  0, E2172="", Calculations!$B$7), F2172, "")</f>
        <v/>
      </c>
      <c r="B2172">
        <f t="shared" si="747"/>
        <v>40</v>
      </c>
      <c r="C2172">
        <f t="shared" ca="1" si="745"/>
        <v>37</v>
      </c>
      <c r="D2172" t="str">
        <f t="shared" si="748"/>
        <v>O40</v>
      </c>
      <c r="E2172" t="str">
        <f t="shared" ca="1" si="749"/>
        <v/>
      </c>
      <c r="F2172" t="str">
        <f t="shared" ca="1" si="750"/>
        <v xml:space="preserve">Enter a 'Higher of Land Purchase Price or Land Appraised Value****' for  building 37 in cell O40.
</v>
      </c>
      <c r="G2172" s="9" t="str">
        <f t="shared" ca="1" si="743"/>
        <v xml:space="preserve">Enter a value for 'Number of Floors in the Tallest Building' in cell B60.
</v>
      </c>
      <c r="H2172" s="52" t="str">
        <f t="shared" ca="1" si="751"/>
        <v>Higher of Land Purchase Price or Land Appraised Value****</v>
      </c>
      <c r="I2172" s="52">
        <v>15</v>
      </c>
    </row>
    <row r="2173" spans="1:10" ht="15" customHeight="1">
      <c r="A2173" t="str">
        <f ca="1">IF(AND(OFFSET(A2173, -I2173 + 2, 4) &gt;  0, E2173="", Calculations!$B$7), F2173, "")</f>
        <v/>
      </c>
      <c r="B2173">
        <f t="shared" si="747"/>
        <v>40</v>
      </c>
      <c r="C2173">
        <f t="shared" ca="1" si="745"/>
        <v>37</v>
      </c>
      <c r="D2173" t="str">
        <f t="shared" si="748"/>
        <v>P40</v>
      </c>
      <c r="E2173" t="str">
        <f t="shared" ca="1" si="749"/>
        <v/>
      </c>
      <c r="F2173" t="str">
        <f t="shared" ca="1" si="750"/>
        <v xml:space="preserve">Enter a 'Acquisition Placed-in-Service Date' for  building 37 in cell P40.
</v>
      </c>
      <c r="G2173" s="9" t="str">
        <f t="shared" ca="1" si="743"/>
        <v xml:space="preserve">Enter a value for 'Number of Floors in the Tallest Building' in cell B60.
</v>
      </c>
      <c r="H2173" s="52" t="str">
        <f t="shared" ca="1" si="751"/>
        <v>Acquisition Placed-in-Service Date</v>
      </c>
      <c r="I2173" s="52">
        <v>16</v>
      </c>
    </row>
    <row r="2174" spans="1:10" ht="15" customHeight="1">
      <c r="A2174" t="str">
        <f ca="1">IF(AND(OFFSET(A2174, -I2174 + 2, 4) &gt;  0, E2174="", Calculations!$B$7), F2174, "")</f>
        <v/>
      </c>
      <c r="B2174">
        <f t="shared" si="747"/>
        <v>40</v>
      </c>
      <c r="C2174">
        <f t="shared" ca="1" si="745"/>
        <v>37</v>
      </c>
      <c r="D2174" t="str">
        <f t="shared" si="748"/>
        <v>Q40</v>
      </c>
      <c r="E2174" t="str">
        <f t="shared" ca="1" si="749"/>
        <v/>
      </c>
      <c r="F2174" t="str">
        <f t="shared" ca="1" si="750"/>
        <v xml:space="preserve">Enter a 'Acquisition APR' for  building 37 in cell Q40.
</v>
      </c>
      <c r="G2174" s="9" t="str">
        <f t="shared" ca="1" si="743"/>
        <v xml:space="preserve">Enter a value for 'Number of Floors in the Tallest Building' in cell B60.
</v>
      </c>
      <c r="H2174" s="52" t="str">
        <f t="shared" ca="1" si="751"/>
        <v>Acquisition APR</v>
      </c>
      <c r="I2174" s="52">
        <v>17</v>
      </c>
    </row>
    <row r="2175" spans="1:10" ht="15" customHeight="1">
      <c r="A2175" t="str">
        <f ca="1">IF(AND(Calculations!$B$4,Calculations!$B$29&gt;=C2175, E2175 &lt;&gt; 13),F2175,"")</f>
        <v/>
      </c>
      <c r="B2175">
        <f>ROW('Final Building Profile'!C41)</f>
        <v>41</v>
      </c>
      <c r="C2175">
        <f t="shared" ca="1" si="745"/>
        <v>38</v>
      </c>
      <c r="D2175" t="str">
        <f>ADDRESS(B2175, 3,4  )</f>
        <v>C41</v>
      </c>
      <c r="E2175" s="52">
        <f ca="1">H2175+I2175</f>
        <v>0</v>
      </c>
      <c r="F2175" t="str">
        <f ca="1">CONCATENATE("Based upon the number of buildings specified, information for  building ", C2175, " required for a final application in row ", B2175, ".", CHAR(10))</f>
        <v xml:space="preserve">Based upon the number of buildings specified, information for  building 38 required for a final application in row 41.
</v>
      </c>
      <c r="G2175" s="9" t="str">
        <f t="shared" ca="1" si="743"/>
        <v xml:space="preserve">Enter a value for 'Number of Floors in the Tallest Building' in cell B60.
</v>
      </c>
      <c r="H2175" s="52">
        <f ca="1">SUMPRODUCT(--ISTEXT(INDIRECT(J2175)))</f>
        <v>0</v>
      </c>
      <c r="I2175" s="52">
        <f ca="1">SUMPRODUCT(--ISNUMBER(INDIRECT(J2175)))</f>
        <v>0</v>
      </c>
      <c r="J2175" s="52" t="str">
        <f>$F$1565&amp; ADDRESS(B2175,3,4) &amp; ":" &amp; ADDRESS(B2175,15,4)</f>
        <v>'Final Building Profile'!C41:O41</v>
      </c>
    </row>
    <row r="2176" spans="1:10" ht="15" customHeight="1">
      <c r="A2176" t="str">
        <f t="shared" ref="A2176:A2185" ca="1" si="752">IF(AND(OFFSET(A2176, -I2176 + 2, 4) &gt;  0, E2176=""), F2176, "")</f>
        <v/>
      </c>
      <c r="B2176">
        <f t="shared" ref="B2176:B2190" si="753">B2175</f>
        <v>41</v>
      </c>
      <c r="C2176">
        <f t="shared" ca="1" si="745"/>
        <v>38</v>
      </c>
      <c r="D2176" t="str">
        <f t="shared" ref="D2176:D2190" si="754">ADDRESS(B2176, I2176,4  )</f>
        <v>C41</v>
      </c>
      <c r="E2176" t="str">
        <f t="shared" ref="E2176:E2190" ca="1" si="755">IF(ISBLANK( INDIRECT($F$1565 &amp; D2176)),"", INDIRECT($F$1565 &amp; D2176))</f>
        <v/>
      </c>
      <c r="F2176" t="str">
        <f t="shared" ref="F2176:F2190" ca="1" si="756">CONCATENATE("Enter a '"&amp; H2176 &amp;"' for  building ", C2176, " in cell ", D2176, ".", CHAR(10))</f>
        <v xml:space="preserve">Enter a 'Building Street Address Only 
(DO NOT ENTER CITY, STATE, OR ZIP)' for  building 38 in cell C41.
</v>
      </c>
      <c r="G2176" s="9" t="str">
        <f t="shared" ca="1" si="743"/>
        <v xml:space="preserve">Enter a value for 'Number of Floors in the Tallest Building' in cell B60.
</v>
      </c>
      <c r="H2176" s="52" t="str">
        <f t="shared" ref="H2176:H2190" ca="1" si="757">OFFSET(INDIRECT($F$1565 &amp; D2176), -B2176 + 3, 0)</f>
        <v>Building Street Address Only 
(DO NOT ENTER CITY, STATE, OR ZIP)</v>
      </c>
      <c r="I2176" s="52">
        <v>3</v>
      </c>
    </row>
    <row r="2177" spans="1:10" ht="15" customHeight="1">
      <c r="A2177" t="str">
        <f t="shared" ca="1" si="752"/>
        <v/>
      </c>
      <c r="B2177">
        <f t="shared" si="753"/>
        <v>41</v>
      </c>
      <c r="C2177">
        <f t="shared" ca="1" si="745"/>
        <v>38</v>
      </c>
      <c r="D2177" t="str">
        <f t="shared" si="754"/>
        <v>D41</v>
      </c>
      <c r="E2177" t="str">
        <f t="shared" ca="1" si="755"/>
        <v/>
      </c>
      <c r="F2177" t="str">
        <f t="shared" ca="1" si="756"/>
        <v xml:space="preserve">Enter a 'Total Units in Building*' for  building 38 in cell D41.
</v>
      </c>
      <c r="G2177" s="9" t="str">
        <f t="shared" ca="1" si="743"/>
        <v xml:space="preserve">Enter a value for 'Number of Floors in the Tallest Building' in cell B60.
</v>
      </c>
      <c r="H2177" s="52" t="str">
        <f t="shared" ca="1" si="757"/>
        <v>Total Units in Building*</v>
      </c>
      <c r="I2177" s="52">
        <v>4</v>
      </c>
    </row>
    <row r="2178" spans="1:10" ht="15" customHeight="1">
      <c r="A2178" t="str">
        <f t="shared" ca="1" si="752"/>
        <v/>
      </c>
      <c r="B2178">
        <f t="shared" si="753"/>
        <v>41</v>
      </c>
      <c r="C2178">
        <f t="shared" ca="1" si="745"/>
        <v>38</v>
      </c>
      <c r="D2178" t="str">
        <f t="shared" si="754"/>
        <v>E41</v>
      </c>
      <c r="E2178" t="str">
        <f t="shared" ca="1" si="755"/>
        <v/>
      </c>
      <c r="F2178" t="str">
        <f t="shared" ca="1" si="756"/>
        <v xml:space="preserve">Enter a 'Employee Units' for  building 38 in cell E41.
</v>
      </c>
      <c r="G2178" s="9" t="str">
        <f t="shared" ca="1" si="743"/>
        <v xml:space="preserve">Enter a value for 'Number of Floors in the Tallest Building' in cell B60.
</v>
      </c>
      <c r="H2178" s="52" t="str">
        <f t="shared" ca="1" si="757"/>
        <v>Employee Units</v>
      </c>
      <c r="I2178" s="52">
        <v>5</v>
      </c>
    </row>
    <row r="2179" spans="1:10" ht="15" customHeight="1">
      <c r="A2179" t="str">
        <f t="shared" ca="1" si="752"/>
        <v/>
      </c>
      <c r="B2179">
        <f t="shared" si="753"/>
        <v>41</v>
      </c>
      <c r="C2179">
        <f t="shared" ca="1" si="745"/>
        <v>38</v>
      </c>
      <c r="D2179" t="str">
        <f t="shared" si="754"/>
        <v>F41</v>
      </c>
      <c r="E2179" t="str">
        <f t="shared" ca="1" si="755"/>
        <v/>
      </c>
      <c r="F2179" t="str">
        <f t="shared" ca="1" si="756"/>
        <v xml:space="preserve">Enter a 'Low-Income Units' for  building 38 in cell F41.
</v>
      </c>
      <c r="G2179" s="9" t="str">
        <f t="shared" ca="1" si="743"/>
        <v xml:space="preserve">Enter a value for 'Number of Floors in the Tallest Building' in cell B60.
</v>
      </c>
      <c r="H2179" s="52" t="str">
        <f t="shared" ca="1" si="757"/>
        <v>Low-Income Units</v>
      </c>
      <c r="I2179" s="52">
        <v>6</v>
      </c>
    </row>
    <row r="2180" spans="1:10" ht="15" customHeight="1">
      <c r="A2180" t="str">
        <f t="shared" ca="1" si="752"/>
        <v/>
      </c>
      <c r="B2180">
        <f t="shared" si="753"/>
        <v>41</v>
      </c>
      <c r="C2180">
        <f t="shared" ca="1" si="745"/>
        <v>38</v>
      </c>
      <c r="D2180" t="str">
        <f t="shared" si="754"/>
        <v>G41</v>
      </c>
      <c r="E2180" t="str">
        <f t="shared" ca="1" si="755"/>
        <v/>
      </c>
      <c r="F2180" t="str">
        <f t="shared" ca="1" si="756"/>
        <v xml:space="preserve">Enter a 'Residential Square Footage**' for  building 38 in cell G41.
</v>
      </c>
      <c r="G2180" s="9" t="str">
        <f t="shared" ca="1" si="743"/>
        <v xml:space="preserve">Enter a value for 'Number of Floors in the Tallest Building' in cell B60.
</v>
      </c>
      <c r="H2180" s="52" t="str">
        <f t="shared" ca="1" si="757"/>
        <v>Residential Square Footage**</v>
      </c>
      <c r="I2180" s="52">
        <v>7</v>
      </c>
    </row>
    <row r="2181" spans="1:10" ht="15" customHeight="1">
      <c r="A2181" t="str">
        <f t="shared" ca="1" si="752"/>
        <v/>
      </c>
      <c r="B2181">
        <f t="shared" si="753"/>
        <v>41</v>
      </c>
      <c r="C2181">
        <f t="shared" ca="1" si="745"/>
        <v>38</v>
      </c>
      <c r="D2181" t="str">
        <f t="shared" si="754"/>
        <v>H41</v>
      </c>
      <c r="E2181" t="str">
        <f t="shared" ca="1" si="755"/>
        <v/>
      </c>
      <c r="F2181" t="str">
        <f t="shared" ca="1" si="756"/>
        <v xml:space="preserve">Enter a 'Square Footage of Employee Units' for  building 38 in cell H41.
</v>
      </c>
      <c r="G2181" s="9" t="str">
        <f t="shared" ca="1" si="743"/>
        <v xml:space="preserve">Enter a value for 'Number of Floors in the Tallest Building' in cell B60.
</v>
      </c>
      <c r="H2181" s="52" t="str">
        <f t="shared" ca="1" si="757"/>
        <v>Square Footage of Employee Units</v>
      </c>
      <c r="I2181" s="52">
        <v>8</v>
      </c>
    </row>
    <row r="2182" spans="1:10" ht="15" customHeight="1">
      <c r="A2182" t="str">
        <f t="shared" ca="1" si="752"/>
        <v/>
      </c>
      <c r="B2182">
        <f t="shared" si="753"/>
        <v>41</v>
      </c>
      <c r="C2182">
        <f t="shared" ca="1" si="745"/>
        <v>38</v>
      </c>
      <c r="D2182" t="str">
        <f t="shared" si="754"/>
        <v>I41</v>
      </c>
      <c r="E2182" t="str">
        <f t="shared" ca="1" si="755"/>
        <v/>
      </c>
      <c r="F2182" t="str">
        <f t="shared" ca="1" si="756"/>
        <v xml:space="preserve">Enter a 'Square Footage of Low-Income Units' for  building 38 in cell I41.
</v>
      </c>
      <c r="G2182" s="9" t="str">
        <f t="shared" ca="1" si="743"/>
        <v xml:space="preserve">Enter a value for 'Number of Floors in the Tallest Building' in cell B60.
</v>
      </c>
      <c r="H2182" s="52" t="str">
        <f t="shared" ca="1" si="757"/>
        <v>Square Footage of Low-Income Units</v>
      </c>
      <c r="I2182" s="52">
        <v>9</v>
      </c>
    </row>
    <row r="2183" spans="1:10" ht="15" customHeight="1">
      <c r="A2183" t="str">
        <f t="shared" ca="1" si="752"/>
        <v/>
      </c>
      <c r="B2183">
        <f t="shared" si="753"/>
        <v>41</v>
      </c>
      <c r="C2183">
        <f t="shared" ca="1" si="745"/>
        <v>38</v>
      </c>
      <c r="D2183" t="str">
        <f t="shared" si="754"/>
        <v>J41</v>
      </c>
      <c r="E2183" t="str">
        <f t="shared" ca="1" si="755"/>
        <v/>
      </c>
      <c r="F2183" t="str">
        <f t="shared" ca="1" si="756"/>
        <v xml:space="preserve">Enter a 'Placed-In-Service Date' for  building 38 in cell J41.
</v>
      </c>
      <c r="G2183" s="9" t="str">
        <f t="shared" ca="1" si="743"/>
        <v xml:space="preserve">Enter a value for 'Number of Floors in the Tallest Building' in cell B60.
</v>
      </c>
      <c r="H2183" s="52" t="str">
        <f t="shared" ca="1" si="757"/>
        <v>Placed-In-Service Date</v>
      </c>
      <c r="I2183" s="52">
        <v>10</v>
      </c>
    </row>
    <row r="2184" spans="1:10" ht="15" customHeight="1">
      <c r="A2184" t="str">
        <f t="shared" ca="1" si="752"/>
        <v/>
      </c>
      <c r="B2184">
        <f t="shared" si="753"/>
        <v>41</v>
      </c>
      <c r="C2184">
        <f t="shared" ca="1" si="745"/>
        <v>38</v>
      </c>
      <c r="D2184" t="str">
        <f t="shared" si="754"/>
        <v>K41</v>
      </c>
      <c r="E2184" t="str">
        <f t="shared" ca="1" si="755"/>
        <v/>
      </c>
      <c r="F2184" t="str">
        <f t="shared" ca="1" si="756"/>
        <v xml:space="preserve">Enter a 'New Construction/ Rehab APR' for  building 38 in cell K41.
</v>
      </c>
      <c r="G2184" s="9" t="str">
        <f t="shared" ca="1" si="743"/>
        <v xml:space="preserve">Enter a value for 'Number of Floors in the Tallest Building' in cell B60.
</v>
      </c>
      <c r="H2184" s="52" t="str">
        <f t="shared" ca="1" si="757"/>
        <v>New Construction/ Rehab APR</v>
      </c>
      <c r="I2184" s="52">
        <v>11</v>
      </c>
    </row>
    <row r="2185" spans="1:10" ht="15" customHeight="1">
      <c r="A2185" t="str">
        <f t="shared" ca="1" si="752"/>
        <v/>
      </c>
      <c r="B2185">
        <f t="shared" si="753"/>
        <v>41</v>
      </c>
      <c r="C2185">
        <f t="shared" ca="1" si="745"/>
        <v>38</v>
      </c>
      <c r="D2185" t="str">
        <f t="shared" si="754"/>
        <v>L41</v>
      </c>
      <c r="E2185" t="str">
        <f t="shared" ca="1" si="755"/>
        <v/>
      </c>
      <c r="F2185" t="str">
        <f t="shared" ca="1" si="756"/>
        <v xml:space="preserve">Enter a 'New Construction Eligible Basis' for  building 38 in cell L41.
</v>
      </c>
      <c r="G2185" s="9" t="str">
        <f t="shared" ca="1" si="743"/>
        <v xml:space="preserve">Enter a value for 'Number of Floors in the Tallest Building' in cell B60.
</v>
      </c>
      <c r="H2185" s="52" t="str">
        <f t="shared" ca="1" si="757"/>
        <v>New Construction Eligible Basis</v>
      </c>
      <c r="I2185" s="52">
        <v>12</v>
      </c>
    </row>
    <row r="2186" spans="1:10" ht="15" customHeight="1">
      <c r="A2186" t="str">
        <f ca="1">IF(AND(OFFSET(A2186, -I2186 + 2, 4) &gt;  0, E2186="", Calculations!$B$7), F2186, "")</f>
        <v/>
      </c>
      <c r="B2186">
        <f t="shared" si="753"/>
        <v>41</v>
      </c>
      <c r="C2186">
        <f t="shared" ca="1" si="745"/>
        <v>38</v>
      </c>
      <c r="D2186" t="str">
        <f t="shared" si="754"/>
        <v>M41</v>
      </c>
      <c r="E2186" t="str">
        <f t="shared" ca="1" si="755"/>
        <v/>
      </c>
      <c r="F2186" t="str">
        <f t="shared" ca="1" si="756"/>
        <v xml:space="preserve">Enter a 'Eligible Basis for Rehab' for  building 38 in cell M41.
</v>
      </c>
      <c r="G2186" s="9" t="str">
        <f t="shared" ca="1" si="743"/>
        <v xml:space="preserve">Enter a value for 'Number of Floors in the Tallest Building' in cell B60.
</v>
      </c>
      <c r="H2186" s="52" t="str">
        <f t="shared" ca="1" si="757"/>
        <v>Eligible Basis for Rehab</v>
      </c>
      <c r="I2186" s="52">
        <v>13</v>
      </c>
    </row>
    <row r="2187" spans="1:10" ht="15" customHeight="1">
      <c r="A2187" t="str">
        <f ca="1">IF(AND(OFFSET(A2187, -I2187 + 2, 4) &gt;  0, E2187="", Calculations!$B$7), F2187, "")</f>
        <v/>
      </c>
      <c r="B2187">
        <f t="shared" si="753"/>
        <v>41</v>
      </c>
      <c r="C2187">
        <f t="shared" ca="1" si="745"/>
        <v>38</v>
      </c>
      <c r="D2187" t="str">
        <f t="shared" si="754"/>
        <v>N41</v>
      </c>
      <c r="E2187" t="str">
        <f t="shared" ca="1" si="755"/>
        <v/>
      </c>
      <c r="F2187" t="str">
        <f t="shared" ca="1" si="756"/>
        <v xml:space="preserve">Enter a 'Cost of Acquiring the Building***' for  building 38 in cell N41.
</v>
      </c>
      <c r="G2187" s="9" t="str">
        <f t="shared" ca="1" si="743"/>
        <v xml:space="preserve">Enter a value for 'Number of Floors in the Tallest Building' in cell B60.
</v>
      </c>
      <c r="H2187" s="52" t="str">
        <f t="shared" ca="1" si="757"/>
        <v>Cost of Acquiring the Building***</v>
      </c>
      <c r="I2187" s="52">
        <v>14</v>
      </c>
    </row>
    <row r="2188" spans="1:10" ht="15" customHeight="1">
      <c r="A2188" t="str">
        <f ca="1">IF(AND(OFFSET(A2188, -I2188 + 2, 4) &gt;  0, E2188="", Calculations!$B$7), F2188, "")</f>
        <v/>
      </c>
      <c r="B2188">
        <f t="shared" si="753"/>
        <v>41</v>
      </c>
      <c r="C2188">
        <f t="shared" ca="1" si="745"/>
        <v>38</v>
      </c>
      <c r="D2188" t="str">
        <f t="shared" si="754"/>
        <v>O41</v>
      </c>
      <c r="E2188" t="str">
        <f t="shared" ca="1" si="755"/>
        <v/>
      </c>
      <c r="F2188" t="str">
        <f t="shared" ca="1" si="756"/>
        <v xml:space="preserve">Enter a 'Higher of Land Purchase Price or Land Appraised Value****' for  building 38 in cell O41.
</v>
      </c>
      <c r="G2188" s="9" t="str">
        <f t="shared" ca="1" si="743"/>
        <v xml:space="preserve">Enter a value for 'Number of Floors in the Tallest Building' in cell B60.
</v>
      </c>
      <c r="H2188" s="52" t="str">
        <f t="shared" ca="1" si="757"/>
        <v>Higher of Land Purchase Price or Land Appraised Value****</v>
      </c>
      <c r="I2188" s="52">
        <v>15</v>
      </c>
    </row>
    <row r="2189" spans="1:10" ht="15" customHeight="1">
      <c r="A2189" t="str">
        <f ca="1">IF(AND(OFFSET(A2189, -I2189 + 2, 4) &gt;  0, E2189="", Calculations!$B$7), F2189, "")</f>
        <v/>
      </c>
      <c r="B2189">
        <f t="shared" si="753"/>
        <v>41</v>
      </c>
      <c r="C2189">
        <f t="shared" ca="1" si="745"/>
        <v>38</v>
      </c>
      <c r="D2189" t="str">
        <f t="shared" si="754"/>
        <v>P41</v>
      </c>
      <c r="E2189" t="str">
        <f t="shared" ca="1" si="755"/>
        <v/>
      </c>
      <c r="F2189" t="str">
        <f t="shared" ca="1" si="756"/>
        <v xml:space="preserve">Enter a 'Acquisition Placed-in-Service Date' for  building 38 in cell P41.
</v>
      </c>
      <c r="G2189" s="9" t="str">
        <f t="shared" ca="1" si="743"/>
        <v xml:space="preserve">Enter a value for 'Number of Floors in the Tallest Building' in cell B60.
</v>
      </c>
      <c r="H2189" s="52" t="str">
        <f t="shared" ca="1" si="757"/>
        <v>Acquisition Placed-in-Service Date</v>
      </c>
      <c r="I2189" s="52">
        <v>16</v>
      </c>
    </row>
    <row r="2190" spans="1:10" ht="15" customHeight="1">
      <c r="A2190" t="str">
        <f ca="1">IF(AND(OFFSET(A2190, -I2190 + 2, 4) &gt;  0, E2190="", Calculations!$B$7), F2190, "")</f>
        <v/>
      </c>
      <c r="B2190">
        <f t="shared" si="753"/>
        <v>41</v>
      </c>
      <c r="C2190">
        <f t="shared" ca="1" si="745"/>
        <v>38</v>
      </c>
      <c r="D2190" t="str">
        <f t="shared" si="754"/>
        <v>Q41</v>
      </c>
      <c r="E2190" t="str">
        <f t="shared" ca="1" si="755"/>
        <v/>
      </c>
      <c r="F2190" t="str">
        <f t="shared" ca="1" si="756"/>
        <v xml:space="preserve">Enter a 'Acquisition APR' for  building 38 in cell Q41.
</v>
      </c>
      <c r="G2190" s="9" t="str">
        <f t="shared" ca="1" si="743"/>
        <v xml:space="preserve">Enter a value for 'Number of Floors in the Tallest Building' in cell B60.
</v>
      </c>
      <c r="H2190" s="52" t="str">
        <f t="shared" ca="1" si="757"/>
        <v>Acquisition APR</v>
      </c>
      <c r="I2190" s="52">
        <v>17</v>
      </c>
    </row>
    <row r="2191" spans="1:10" ht="15" customHeight="1">
      <c r="A2191" t="str">
        <f ca="1">IF(AND(Calculations!$B$4,Calculations!$B$29&gt;=C2191, E2191 &lt;&gt; 13),F2191,"")</f>
        <v/>
      </c>
      <c r="B2191">
        <f>ROW('Final Building Profile'!C42)</f>
        <v>42</v>
      </c>
      <c r="C2191">
        <f t="shared" ca="1" si="745"/>
        <v>39</v>
      </c>
      <c r="D2191" t="str">
        <f>ADDRESS(B2191, 3,4  )</f>
        <v>C42</v>
      </c>
      <c r="E2191" s="52">
        <f ca="1">H2191+I2191</f>
        <v>0</v>
      </c>
      <c r="F2191" t="str">
        <f ca="1">CONCATENATE("Based upon the number of buildings specified, information for  building ", C2191, " required for a final application in row ", B2191, ".", CHAR(10))</f>
        <v xml:space="preserve">Based upon the number of buildings specified, information for  building 39 required for a final application in row 42.
</v>
      </c>
      <c r="G2191" s="9" t="str">
        <f t="shared" ca="1" si="743"/>
        <v xml:space="preserve">Enter a value for 'Number of Floors in the Tallest Building' in cell B60.
</v>
      </c>
      <c r="H2191" s="52">
        <f ca="1">SUMPRODUCT(--ISTEXT(INDIRECT(J2191)))</f>
        <v>0</v>
      </c>
      <c r="I2191" s="52">
        <f ca="1">SUMPRODUCT(--ISNUMBER(INDIRECT(J2191)))</f>
        <v>0</v>
      </c>
      <c r="J2191" s="52" t="str">
        <f>$F$1565&amp; ADDRESS(B2191,3,4) &amp; ":" &amp; ADDRESS(B2191,15,4)</f>
        <v>'Final Building Profile'!C42:O42</v>
      </c>
    </row>
    <row r="2192" spans="1:10" ht="15" customHeight="1">
      <c r="A2192" t="str">
        <f t="shared" ref="A2192:A2201" ca="1" si="758">IF(AND(OFFSET(A2192, -I2192 + 2, 4) &gt;  0, E2192=""), F2192, "")</f>
        <v/>
      </c>
      <c r="B2192">
        <f t="shared" ref="B2192:B2206" si="759">B2191</f>
        <v>42</v>
      </c>
      <c r="C2192">
        <f t="shared" ca="1" si="745"/>
        <v>39</v>
      </c>
      <c r="D2192" t="str">
        <f t="shared" ref="D2192:D2206" si="760">ADDRESS(B2192, I2192,4  )</f>
        <v>C42</v>
      </c>
      <c r="E2192" t="str">
        <f t="shared" ref="E2192:E2206" ca="1" si="761">IF(ISBLANK( INDIRECT($F$1565 &amp; D2192)),"", INDIRECT($F$1565 &amp; D2192))</f>
        <v/>
      </c>
      <c r="F2192" t="str">
        <f t="shared" ref="F2192:F2206" ca="1" si="762">CONCATENATE("Enter a '"&amp; H2192 &amp;"' for  building ", C2192, " in cell ", D2192, ".", CHAR(10))</f>
        <v xml:space="preserve">Enter a 'Building Street Address Only 
(DO NOT ENTER CITY, STATE, OR ZIP)' for  building 39 in cell C42.
</v>
      </c>
      <c r="G2192" s="9" t="str">
        <f t="shared" ca="1" si="743"/>
        <v xml:space="preserve">Enter a value for 'Number of Floors in the Tallest Building' in cell B60.
</v>
      </c>
      <c r="H2192" s="52" t="str">
        <f t="shared" ref="H2192:H2206" ca="1" si="763">OFFSET(INDIRECT($F$1565 &amp; D2192), -B2192 + 3, 0)</f>
        <v>Building Street Address Only 
(DO NOT ENTER CITY, STATE, OR ZIP)</v>
      </c>
      <c r="I2192" s="52">
        <v>3</v>
      </c>
    </row>
    <row r="2193" spans="1:10" ht="15" customHeight="1">
      <c r="A2193" t="str">
        <f t="shared" ca="1" si="758"/>
        <v/>
      </c>
      <c r="B2193">
        <f t="shared" si="759"/>
        <v>42</v>
      </c>
      <c r="C2193">
        <f t="shared" ca="1" si="745"/>
        <v>39</v>
      </c>
      <c r="D2193" t="str">
        <f t="shared" si="760"/>
        <v>D42</v>
      </c>
      <c r="E2193" t="str">
        <f t="shared" ca="1" si="761"/>
        <v/>
      </c>
      <c r="F2193" t="str">
        <f t="shared" ca="1" si="762"/>
        <v xml:space="preserve">Enter a 'Total Units in Building*' for  building 39 in cell D42.
</v>
      </c>
      <c r="G2193" s="9" t="str">
        <f t="shared" ca="1" si="743"/>
        <v xml:space="preserve">Enter a value for 'Number of Floors in the Tallest Building' in cell B60.
</v>
      </c>
      <c r="H2193" s="52" t="str">
        <f t="shared" ca="1" si="763"/>
        <v>Total Units in Building*</v>
      </c>
      <c r="I2193" s="52">
        <v>4</v>
      </c>
    </row>
    <row r="2194" spans="1:10" ht="15" customHeight="1">
      <c r="A2194" t="str">
        <f t="shared" ca="1" si="758"/>
        <v/>
      </c>
      <c r="B2194">
        <f t="shared" si="759"/>
        <v>42</v>
      </c>
      <c r="C2194">
        <f t="shared" ca="1" si="745"/>
        <v>39</v>
      </c>
      <c r="D2194" t="str">
        <f t="shared" si="760"/>
        <v>E42</v>
      </c>
      <c r="E2194" t="str">
        <f t="shared" ca="1" si="761"/>
        <v/>
      </c>
      <c r="F2194" t="str">
        <f t="shared" ca="1" si="762"/>
        <v xml:space="preserve">Enter a 'Employee Units' for  building 39 in cell E42.
</v>
      </c>
      <c r="G2194" s="9" t="str">
        <f t="shared" ca="1" si="743"/>
        <v xml:space="preserve">Enter a value for 'Number of Floors in the Tallest Building' in cell B60.
</v>
      </c>
      <c r="H2194" s="52" t="str">
        <f t="shared" ca="1" si="763"/>
        <v>Employee Units</v>
      </c>
      <c r="I2194" s="52">
        <v>5</v>
      </c>
    </row>
    <row r="2195" spans="1:10" ht="15" customHeight="1">
      <c r="A2195" t="str">
        <f t="shared" ca="1" si="758"/>
        <v/>
      </c>
      <c r="B2195">
        <f t="shared" si="759"/>
        <v>42</v>
      </c>
      <c r="C2195">
        <f t="shared" ca="1" si="745"/>
        <v>39</v>
      </c>
      <c r="D2195" t="str">
        <f t="shared" si="760"/>
        <v>F42</v>
      </c>
      <c r="E2195" t="str">
        <f t="shared" ca="1" si="761"/>
        <v/>
      </c>
      <c r="F2195" t="str">
        <f t="shared" ca="1" si="762"/>
        <v xml:space="preserve">Enter a 'Low-Income Units' for  building 39 in cell F42.
</v>
      </c>
      <c r="G2195" s="9" t="str">
        <f t="shared" ca="1" si="743"/>
        <v xml:space="preserve">Enter a value for 'Number of Floors in the Tallest Building' in cell B60.
</v>
      </c>
      <c r="H2195" s="52" t="str">
        <f t="shared" ca="1" si="763"/>
        <v>Low-Income Units</v>
      </c>
      <c r="I2195" s="52">
        <v>6</v>
      </c>
    </row>
    <row r="2196" spans="1:10" ht="15" customHeight="1">
      <c r="A2196" t="str">
        <f t="shared" ca="1" si="758"/>
        <v/>
      </c>
      <c r="B2196">
        <f t="shared" si="759"/>
        <v>42</v>
      </c>
      <c r="C2196">
        <f t="shared" ca="1" si="745"/>
        <v>39</v>
      </c>
      <c r="D2196" t="str">
        <f t="shared" si="760"/>
        <v>G42</v>
      </c>
      <c r="E2196" t="str">
        <f t="shared" ca="1" si="761"/>
        <v/>
      </c>
      <c r="F2196" t="str">
        <f t="shared" ca="1" si="762"/>
        <v xml:space="preserve">Enter a 'Residential Square Footage**' for  building 39 in cell G42.
</v>
      </c>
      <c r="G2196" s="9" t="str">
        <f t="shared" ca="1" si="743"/>
        <v xml:space="preserve">Enter a value for 'Number of Floors in the Tallest Building' in cell B60.
</v>
      </c>
      <c r="H2196" s="52" t="str">
        <f t="shared" ca="1" si="763"/>
        <v>Residential Square Footage**</v>
      </c>
      <c r="I2196" s="52">
        <v>7</v>
      </c>
    </row>
    <row r="2197" spans="1:10" ht="15" customHeight="1">
      <c r="A2197" t="str">
        <f t="shared" ca="1" si="758"/>
        <v/>
      </c>
      <c r="B2197">
        <f t="shared" si="759"/>
        <v>42</v>
      </c>
      <c r="C2197">
        <f t="shared" ca="1" si="745"/>
        <v>39</v>
      </c>
      <c r="D2197" t="str">
        <f t="shared" si="760"/>
        <v>H42</v>
      </c>
      <c r="E2197" t="str">
        <f t="shared" ca="1" si="761"/>
        <v/>
      </c>
      <c r="F2197" t="str">
        <f t="shared" ca="1" si="762"/>
        <v xml:space="preserve">Enter a 'Square Footage of Employee Units' for  building 39 in cell H42.
</v>
      </c>
      <c r="G2197" s="9" t="str">
        <f t="shared" ca="1" si="743"/>
        <v xml:space="preserve">Enter a value for 'Number of Floors in the Tallest Building' in cell B60.
</v>
      </c>
      <c r="H2197" s="52" t="str">
        <f t="shared" ca="1" si="763"/>
        <v>Square Footage of Employee Units</v>
      </c>
      <c r="I2197" s="52">
        <v>8</v>
      </c>
    </row>
    <row r="2198" spans="1:10" ht="15" customHeight="1">
      <c r="A2198" t="str">
        <f t="shared" ca="1" si="758"/>
        <v/>
      </c>
      <c r="B2198">
        <f t="shared" si="759"/>
        <v>42</v>
      </c>
      <c r="C2198">
        <f t="shared" ca="1" si="745"/>
        <v>39</v>
      </c>
      <c r="D2198" t="str">
        <f t="shared" si="760"/>
        <v>I42</v>
      </c>
      <c r="E2198" t="str">
        <f t="shared" ca="1" si="761"/>
        <v/>
      </c>
      <c r="F2198" t="str">
        <f t="shared" ca="1" si="762"/>
        <v xml:space="preserve">Enter a 'Square Footage of Low-Income Units' for  building 39 in cell I42.
</v>
      </c>
      <c r="G2198" s="9" t="str">
        <f t="shared" ca="1" si="743"/>
        <v xml:space="preserve">Enter a value for 'Number of Floors in the Tallest Building' in cell B60.
</v>
      </c>
      <c r="H2198" s="52" t="str">
        <f t="shared" ca="1" si="763"/>
        <v>Square Footage of Low-Income Units</v>
      </c>
      <c r="I2198" s="52">
        <v>9</v>
      </c>
    </row>
    <row r="2199" spans="1:10" ht="15" customHeight="1">
      <c r="A2199" t="str">
        <f t="shared" ca="1" si="758"/>
        <v/>
      </c>
      <c r="B2199">
        <f t="shared" si="759"/>
        <v>42</v>
      </c>
      <c r="C2199">
        <f t="shared" ca="1" si="745"/>
        <v>39</v>
      </c>
      <c r="D2199" t="str">
        <f t="shared" si="760"/>
        <v>J42</v>
      </c>
      <c r="E2199" t="str">
        <f t="shared" ca="1" si="761"/>
        <v/>
      </c>
      <c r="F2199" t="str">
        <f t="shared" ca="1" si="762"/>
        <v xml:space="preserve">Enter a 'Placed-In-Service Date' for  building 39 in cell J42.
</v>
      </c>
      <c r="G2199" s="9" t="str">
        <f t="shared" ca="1" si="743"/>
        <v xml:space="preserve">Enter a value for 'Number of Floors in the Tallest Building' in cell B60.
</v>
      </c>
      <c r="H2199" s="52" t="str">
        <f t="shared" ca="1" si="763"/>
        <v>Placed-In-Service Date</v>
      </c>
      <c r="I2199" s="52">
        <v>10</v>
      </c>
    </row>
    <row r="2200" spans="1:10" ht="15" customHeight="1">
      <c r="A2200" t="str">
        <f t="shared" ca="1" si="758"/>
        <v/>
      </c>
      <c r="B2200">
        <f t="shared" si="759"/>
        <v>42</v>
      </c>
      <c r="C2200">
        <f t="shared" ca="1" si="745"/>
        <v>39</v>
      </c>
      <c r="D2200" t="str">
        <f t="shared" si="760"/>
        <v>K42</v>
      </c>
      <c r="E2200" t="str">
        <f t="shared" ca="1" si="761"/>
        <v/>
      </c>
      <c r="F2200" t="str">
        <f t="shared" ca="1" si="762"/>
        <v xml:space="preserve">Enter a 'New Construction/ Rehab APR' for  building 39 in cell K42.
</v>
      </c>
      <c r="G2200" s="9" t="str">
        <f t="shared" ca="1" si="743"/>
        <v xml:space="preserve">Enter a value for 'Number of Floors in the Tallest Building' in cell B60.
</v>
      </c>
      <c r="H2200" s="52" t="str">
        <f t="shared" ca="1" si="763"/>
        <v>New Construction/ Rehab APR</v>
      </c>
      <c r="I2200" s="52">
        <v>11</v>
      </c>
    </row>
    <row r="2201" spans="1:10" ht="15" customHeight="1">
      <c r="A2201" t="str">
        <f t="shared" ca="1" si="758"/>
        <v/>
      </c>
      <c r="B2201">
        <f t="shared" si="759"/>
        <v>42</v>
      </c>
      <c r="C2201">
        <f t="shared" ca="1" si="745"/>
        <v>39</v>
      </c>
      <c r="D2201" t="str">
        <f t="shared" si="760"/>
        <v>L42</v>
      </c>
      <c r="E2201" t="str">
        <f t="shared" ca="1" si="761"/>
        <v/>
      </c>
      <c r="F2201" t="str">
        <f t="shared" ca="1" si="762"/>
        <v xml:space="preserve">Enter a 'New Construction Eligible Basis' for  building 39 in cell L42.
</v>
      </c>
      <c r="G2201" s="9" t="str">
        <f t="shared" ca="1" si="743"/>
        <v xml:space="preserve">Enter a value for 'Number of Floors in the Tallest Building' in cell B60.
</v>
      </c>
      <c r="H2201" s="52" t="str">
        <f t="shared" ca="1" si="763"/>
        <v>New Construction Eligible Basis</v>
      </c>
      <c r="I2201" s="52">
        <v>12</v>
      </c>
    </row>
    <row r="2202" spans="1:10" ht="15" customHeight="1">
      <c r="A2202" t="str">
        <f ca="1">IF(AND(OFFSET(A2202, -I2202 + 2, 4) &gt;  0, E2202="", Calculations!$B$7), F2202, "")</f>
        <v/>
      </c>
      <c r="B2202">
        <f t="shared" si="759"/>
        <v>42</v>
      </c>
      <c r="C2202">
        <f t="shared" ca="1" si="745"/>
        <v>39</v>
      </c>
      <c r="D2202" t="str">
        <f t="shared" si="760"/>
        <v>M42</v>
      </c>
      <c r="E2202" t="str">
        <f t="shared" ca="1" si="761"/>
        <v/>
      </c>
      <c r="F2202" t="str">
        <f t="shared" ca="1" si="762"/>
        <v xml:space="preserve">Enter a 'Eligible Basis for Rehab' for  building 39 in cell M42.
</v>
      </c>
      <c r="G2202" s="9" t="str">
        <f t="shared" ca="1" si="743"/>
        <v xml:space="preserve">Enter a value for 'Number of Floors in the Tallest Building' in cell B60.
</v>
      </c>
      <c r="H2202" s="52" t="str">
        <f t="shared" ca="1" si="763"/>
        <v>Eligible Basis for Rehab</v>
      </c>
      <c r="I2202" s="52">
        <v>13</v>
      </c>
    </row>
    <row r="2203" spans="1:10" ht="15" customHeight="1">
      <c r="A2203" t="str">
        <f ca="1">IF(AND(OFFSET(A2203, -I2203 + 2, 4) &gt;  0, E2203="", Calculations!$B$7), F2203, "")</f>
        <v/>
      </c>
      <c r="B2203">
        <f t="shared" si="759"/>
        <v>42</v>
      </c>
      <c r="C2203">
        <f t="shared" ca="1" si="745"/>
        <v>39</v>
      </c>
      <c r="D2203" t="str">
        <f t="shared" si="760"/>
        <v>N42</v>
      </c>
      <c r="E2203" t="str">
        <f t="shared" ca="1" si="761"/>
        <v/>
      </c>
      <c r="F2203" t="str">
        <f t="shared" ca="1" si="762"/>
        <v xml:space="preserve">Enter a 'Cost of Acquiring the Building***' for  building 39 in cell N42.
</v>
      </c>
      <c r="G2203" s="9" t="str">
        <f t="shared" ca="1" si="743"/>
        <v xml:space="preserve">Enter a value for 'Number of Floors in the Tallest Building' in cell B60.
</v>
      </c>
      <c r="H2203" s="52" t="str">
        <f t="shared" ca="1" si="763"/>
        <v>Cost of Acquiring the Building***</v>
      </c>
      <c r="I2203" s="52">
        <v>14</v>
      </c>
    </row>
    <row r="2204" spans="1:10" ht="15" customHeight="1">
      <c r="A2204" t="str">
        <f ca="1">IF(AND(OFFSET(A2204, -I2204 + 2, 4) &gt;  0, E2204="", Calculations!$B$7), F2204, "")</f>
        <v/>
      </c>
      <c r="B2204">
        <f t="shared" si="759"/>
        <v>42</v>
      </c>
      <c r="C2204">
        <f t="shared" ca="1" si="745"/>
        <v>39</v>
      </c>
      <c r="D2204" t="str">
        <f t="shared" si="760"/>
        <v>O42</v>
      </c>
      <c r="E2204" t="str">
        <f t="shared" ca="1" si="761"/>
        <v/>
      </c>
      <c r="F2204" t="str">
        <f t="shared" ca="1" si="762"/>
        <v xml:space="preserve">Enter a 'Higher of Land Purchase Price or Land Appraised Value****' for  building 39 in cell O42.
</v>
      </c>
      <c r="G2204" s="9" t="str">
        <f t="shared" ca="1" si="743"/>
        <v xml:space="preserve">Enter a value for 'Number of Floors in the Tallest Building' in cell B60.
</v>
      </c>
      <c r="H2204" s="52" t="str">
        <f t="shared" ca="1" si="763"/>
        <v>Higher of Land Purchase Price or Land Appraised Value****</v>
      </c>
      <c r="I2204" s="52">
        <v>15</v>
      </c>
    </row>
    <row r="2205" spans="1:10" ht="15" customHeight="1">
      <c r="A2205" t="str">
        <f ca="1">IF(AND(OFFSET(A2205, -I2205 + 2, 4) &gt;  0, E2205="", Calculations!$B$7), F2205, "")</f>
        <v/>
      </c>
      <c r="B2205">
        <f t="shared" si="759"/>
        <v>42</v>
      </c>
      <c r="C2205">
        <f t="shared" ca="1" si="745"/>
        <v>39</v>
      </c>
      <c r="D2205" t="str">
        <f t="shared" si="760"/>
        <v>P42</v>
      </c>
      <c r="E2205" t="str">
        <f t="shared" ca="1" si="761"/>
        <v/>
      </c>
      <c r="F2205" t="str">
        <f t="shared" ca="1" si="762"/>
        <v xml:space="preserve">Enter a 'Acquisition Placed-in-Service Date' for  building 39 in cell P42.
</v>
      </c>
      <c r="G2205" s="9" t="str">
        <f t="shared" ca="1" si="743"/>
        <v xml:space="preserve">Enter a value for 'Number of Floors in the Tallest Building' in cell B60.
</v>
      </c>
      <c r="H2205" s="52" t="str">
        <f t="shared" ca="1" si="763"/>
        <v>Acquisition Placed-in-Service Date</v>
      </c>
      <c r="I2205" s="52">
        <v>16</v>
      </c>
    </row>
    <row r="2206" spans="1:10" ht="15" customHeight="1">
      <c r="A2206" t="str">
        <f ca="1">IF(AND(OFFSET(A2206, -I2206 + 2, 4) &gt;  0, E2206="", Calculations!$B$7), F2206, "")</f>
        <v/>
      </c>
      <c r="B2206">
        <f t="shared" si="759"/>
        <v>42</v>
      </c>
      <c r="C2206">
        <f t="shared" ca="1" si="745"/>
        <v>39</v>
      </c>
      <c r="D2206" t="str">
        <f t="shared" si="760"/>
        <v>Q42</v>
      </c>
      <c r="E2206" t="str">
        <f t="shared" ca="1" si="761"/>
        <v/>
      </c>
      <c r="F2206" t="str">
        <f t="shared" ca="1" si="762"/>
        <v xml:space="preserve">Enter a 'Acquisition APR' for  building 39 in cell Q42.
</v>
      </c>
      <c r="G2206" s="9" t="str">
        <f t="shared" ca="1" si="743"/>
        <v xml:space="preserve">Enter a value for 'Number of Floors in the Tallest Building' in cell B60.
</v>
      </c>
      <c r="H2206" s="52" t="str">
        <f t="shared" ca="1" si="763"/>
        <v>Acquisition APR</v>
      </c>
      <c r="I2206" s="52">
        <v>17</v>
      </c>
    </row>
    <row r="2207" spans="1:10" ht="15" customHeight="1">
      <c r="A2207" t="str">
        <f ca="1">IF(AND(Calculations!$B$4,Calculations!$B$29&gt;=C2207, E2207 &lt;&gt; 13),F2207,"")</f>
        <v/>
      </c>
      <c r="B2207">
        <f>ROW('Final Building Profile'!C43)</f>
        <v>43</v>
      </c>
      <c r="C2207">
        <f t="shared" ca="1" si="745"/>
        <v>40</v>
      </c>
      <c r="D2207" t="str">
        <f>ADDRESS(B2207, 3,4  )</f>
        <v>C43</v>
      </c>
      <c r="E2207" s="52">
        <f ca="1">H2207+I2207</f>
        <v>0</v>
      </c>
      <c r="F2207" t="str">
        <f ca="1">CONCATENATE("Based upon the number of buildings specified, information for  building ", C2207, " required for a final application in row ", B2207, ".", CHAR(10))</f>
        <v xml:space="preserve">Based upon the number of buildings specified, information for  building 40 required for a final application in row 43.
</v>
      </c>
      <c r="G2207" s="9" t="str">
        <f t="shared" ca="1" si="743"/>
        <v xml:space="preserve">Enter a value for 'Number of Floors in the Tallest Building' in cell B60.
</v>
      </c>
      <c r="H2207" s="52">
        <f ca="1">SUMPRODUCT(--ISTEXT(INDIRECT(J2207)))</f>
        <v>0</v>
      </c>
      <c r="I2207" s="52">
        <f ca="1">SUMPRODUCT(--ISNUMBER(INDIRECT(J2207)))</f>
        <v>0</v>
      </c>
      <c r="J2207" s="52" t="str">
        <f>$F$1565&amp; ADDRESS(B2207,3,4) &amp; ":" &amp; ADDRESS(B2207,15,4)</f>
        <v>'Final Building Profile'!C43:O43</v>
      </c>
    </row>
    <row r="2208" spans="1:10" ht="15" customHeight="1">
      <c r="A2208" t="str">
        <f t="shared" ref="A2208:A2217" ca="1" si="764">IF(AND(OFFSET(A2208, -I2208 + 2, 4) &gt;  0, E2208=""), F2208, "")</f>
        <v/>
      </c>
      <c r="B2208">
        <f t="shared" ref="B2208:B2222" si="765">B2207</f>
        <v>43</v>
      </c>
      <c r="C2208">
        <f t="shared" ca="1" si="745"/>
        <v>40</v>
      </c>
      <c r="D2208" t="str">
        <f t="shared" ref="D2208:D2222" si="766">ADDRESS(B2208, I2208,4  )</f>
        <v>C43</v>
      </c>
      <c r="E2208" t="str">
        <f t="shared" ref="E2208:E2222" ca="1" si="767">IF(ISBLANK( INDIRECT($F$1565 &amp; D2208)),"", INDIRECT($F$1565 &amp; D2208))</f>
        <v/>
      </c>
      <c r="F2208" t="str">
        <f t="shared" ref="F2208:F2222" ca="1" si="768">CONCATENATE("Enter a '"&amp; H2208 &amp;"' for  building ", C2208, " in cell ", D2208, ".", CHAR(10))</f>
        <v xml:space="preserve">Enter a 'Building Street Address Only 
(DO NOT ENTER CITY, STATE, OR ZIP)' for  building 40 in cell C43.
</v>
      </c>
      <c r="G2208" s="9" t="str">
        <f t="shared" ref="G2208:G2271" ca="1" si="769">OFFSET(G2208, -1, 0) &amp; A2208</f>
        <v xml:space="preserve">Enter a value for 'Number of Floors in the Tallest Building' in cell B60.
</v>
      </c>
      <c r="H2208" s="52" t="str">
        <f t="shared" ref="H2208:H2222" ca="1" si="770">OFFSET(INDIRECT($F$1565 &amp; D2208), -B2208 + 3, 0)</f>
        <v>Building Street Address Only 
(DO NOT ENTER CITY, STATE, OR ZIP)</v>
      </c>
      <c r="I2208" s="52">
        <v>3</v>
      </c>
    </row>
    <row r="2209" spans="1:10" ht="15" customHeight="1">
      <c r="A2209" t="str">
        <f t="shared" ca="1" si="764"/>
        <v/>
      </c>
      <c r="B2209">
        <f t="shared" si="765"/>
        <v>43</v>
      </c>
      <c r="C2209">
        <f t="shared" ca="1" si="745"/>
        <v>40</v>
      </c>
      <c r="D2209" t="str">
        <f t="shared" si="766"/>
        <v>D43</v>
      </c>
      <c r="E2209" t="str">
        <f t="shared" ca="1" si="767"/>
        <v/>
      </c>
      <c r="F2209" t="str">
        <f t="shared" ca="1" si="768"/>
        <v xml:space="preserve">Enter a 'Total Units in Building*' for  building 40 in cell D43.
</v>
      </c>
      <c r="G2209" s="9" t="str">
        <f t="shared" ca="1" si="769"/>
        <v xml:space="preserve">Enter a value for 'Number of Floors in the Tallest Building' in cell B60.
</v>
      </c>
      <c r="H2209" s="52" t="str">
        <f t="shared" ca="1" si="770"/>
        <v>Total Units in Building*</v>
      </c>
      <c r="I2209" s="52">
        <v>4</v>
      </c>
    </row>
    <row r="2210" spans="1:10" ht="15" customHeight="1">
      <c r="A2210" t="str">
        <f t="shared" ca="1" si="764"/>
        <v/>
      </c>
      <c r="B2210">
        <f t="shared" si="765"/>
        <v>43</v>
      </c>
      <c r="C2210">
        <f t="shared" ca="1" si="745"/>
        <v>40</v>
      </c>
      <c r="D2210" t="str">
        <f t="shared" si="766"/>
        <v>E43</v>
      </c>
      <c r="E2210" t="str">
        <f t="shared" ca="1" si="767"/>
        <v/>
      </c>
      <c r="F2210" t="str">
        <f t="shared" ca="1" si="768"/>
        <v xml:space="preserve">Enter a 'Employee Units' for  building 40 in cell E43.
</v>
      </c>
      <c r="G2210" s="9" t="str">
        <f t="shared" ca="1" si="769"/>
        <v xml:space="preserve">Enter a value for 'Number of Floors in the Tallest Building' in cell B60.
</v>
      </c>
      <c r="H2210" s="52" t="str">
        <f t="shared" ca="1" si="770"/>
        <v>Employee Units</v>
      </c>
      <c r="I2210" s="52">
        <v>5</v>
      </c>
    </row>
    <row r="2211" spans="1:10" ht="15" customHeight="1">
      <c r="A2211" t="str">
        <f t="shared" ca="1" si="764"/>
        <v/>
      </c>
      <c r="B2211">
        <f t="shared" si="765"/>
        <v>43</v>
      </c>
      <c r="C2211">
        <f t="shared" ca="1" si="745"/>
        <v>40</v>
      </c>
      <c r="D2211" t="str">
        <f t="shared" si="766"/>
        <v>F43</v>
      </c>
      <c r="E2211" t="str">
        <f t="shared" ca="1" si="767"/>
        <v/>
      </c>
      <c r="F2211" t="str">
        <f t="shared" ca="1" si="768"/>
        <v xml:space="preserve">Enter a 'Low-Income Units' for  building 40 in cell F43.
</v>
      </c>
      <c r="G2211" s="9" t="str">
        <f t="shared" ca="1" si="769"/>
        <v xml:space="preserve">Enter a value for 'Number of Floors in the Tallest Building' in cell B60.
</v>
      </c>
      <c r="H2211" s="52" t="str">
        <f t="shared" ca="1" si="770"/>
        <v>Low-Income Units</v>
      </c>
      <c r="I2211" s="52">
        <v>6</v>
      </c>
    </row>
    <row r="2212" spans="1:10" ht="15" customHeight="1">
      <c r="A2212" t="str">
        <f t="shared" ca="1" si="764"/>
        <v/>
      </c>
      <c r="B2212">
        <f t="shared" si="765"/>
        <v>43</v>
      </c>
      <c r="C2212">
        <f t="shared" ca="1" si="745"/>
        <v>40</v>
      </c>
      <c r="D2212" t="str">
        <f t="shared" si="766"/>
        <v>G43</v>
      </c>
      <c r="E2212" t="str">
        <f t="shared" ca="1" si="767"/>
        <v/>
      </c>
      <c r="F2212" t="str">
        <f t="shared" ca="1" si="768"/>
        <v xml:space="preserve">Enter a 'Residential Square Footage**' for  building 40 in cell G43.
</v>
      </c>
      <c r="G2212" s="9" t="str">
        <f t="shared" ca="1" si="769"/>
        <v xml:space="preserve">Enter a value for 'Number of Floors in the Tallest Building' in cell B60.
</v>
      </c>
      <c r="H2212" s="52" t="str">
        <f t="shared" ca="1" si="770"/>
        <v>Residential Square Footage**</v>
      </c>
      <c r="I2212" s="52">
        <v>7</v>
      </c>
    </row>
    <row r="2213" spans="1:10" ht="15" customHeight="1">
      <c r="A2213" t="str">
        <f t="shared" ca="1" si="764"/>
        <v/>
      </c>
      <c r="B2213">
        <f t="shared" si="765"/>
        <v>43</v>
      </c>
      <c r="C2213">
        <f t="shared" ca="1" si="745"/>
        <v>40</v>
      </c>
      <c r="D2213" t="str">
        <f t="shared" si="766"/>
        <v>H43</v>
      </c>
      <c r="E2213" t="str">
        <f t="shared" ca="1" si="767"/>
        <v/>
      </c>
      <c r="F2213" t="str">
        <f t="shared" ca="1" si="768"/>
        <v xml:space="preserve">Enter a 'Square Footage of Employee Units' for  building 40 in cell H43.
</v>
      </c>
      <c r="G2213" s="9" t="str">
        <f t="shared" ca="1" si="769"/>
        <v xml:space="preserve">Enter a value for 'Number of Floors in the Tallest Building' in cell B60.
</v>
      </c>
      <c r="H2213" s="52" t="str">
        <f t="shared" ca="1" si="770"/>
        <v>Square Footage of Employee Units</v>
      </c>
      <c r="I2213" s="52">
        <v>8</v>
      </c>
    </row>
    <row r="2214" spans="1:10" ht="15" customHeight="1">
      <c r="A2214" t="str">
        <f t="shared" ca="1" si="764"/>
        <v/>
      </c>
      <c r="B2214">
        <f t="shared" si="765"/>
        <v>43</v>
      </c>
      <c r="C2214">
        <f t="shared" ca="1" si="745"/>
        <v>40</v>
      </c>
      <c r="D2214" t="str">
        <f t="shared" si="766"/>
        <v>I43</v>
      </c>
      <c r="E2214" t="str">
        <f t="shared" ca="1" si="767"/>
        <v/>
      </c>
      <c r="F2214" t="str">
        <f t="shared" ca="1" si="768"/>
        <v xml:space="preserve">Enter a 'Square Footage of Low-Income Units' for  building 40 in cell I43.
</v>
      </c>
      <c r="G2214" s="9" t="str">
        <f t="shared" ca="1" si="769"/>
        <v xml:space="preserve">Enter a value for 'Number of Floors in the Tallest Building' in cell B60.
</v>
      </c>
      <c r="H2214" s="52" t="str">
        <f t="shared" ca="1" si="770"/>
        <v>Square Footage of Low-Income Units</v>
      </c>
      <c r="I2214" s="52">
        <v>9</v>
      </c>
    </row>
    <row r="2215" spans="1:10" ht="15" customHeight="1">
      <c r="A2215" t="str">
        <f t="shared" ca="1" si="764"/>
        <v/>
      </c>
      <c r="B2215">
        <f t="shared" si="765"/>
        <v>43</v>
      </c>
      <c r="C2215">
        <f t="shared" ca="1" si="745"/>
        <v>40</v>
      </c>
      <c r="D2215" t="str">
        <f t="shared" si="766"/>
        <v>J43</v>
      </c>
      <c r="E2215" t="str">
        <f t="shared" ca="1" si="767"/>
        <v/>
      </c>
      <c r="F2215" t="str">
        <f t="shared" ca="1" si="768"/>
        <v xml:space="preserve">Enter a 'Placed-In-Service Date' for  building 40 in cell J43.
</v>
      </c>
      <c r="G2215" s="9" t="str">
        <f t="shared" ca="1" si="769"/>
        <v xml:space="preserve">Enter a value for 'Number of Floors in the Tallest Building' in cell B60.
</v>
      </c>
      <c r="H2215" s="52" t="str">
        <f t="shared" ca="1" si="770"/>
        <v>Placed-In-Service Date</v>
      </c>
      <c r="I2215" s="52">
        <v>10</v>
      </c>
    </row>
    <row r="2216" spans="1:10" ht="15" customHeight="1">
      <c r="A2216" t="str">
        <f t="shared" ca="1" si="764"/>
        <v/>
      </c>
      <c r="B2216">
        <f t="shared" si="765"/>
        <v>43</v>
      </c>
      <c r="C2216">
        <f t="shared" ca="1" si="745"/>
        <v>40</v>
      </c>
      <c r="D2216" t="str">
        <f t="shared" si="766"/>
        <v>K43</v>
      </c>
      <c r="E2216" t="str">
        <f t="shared" ca="1" si="767"/>
        <v/>
      </c>
      <c r="F2216" t="str">
        <f t="shared" ca="1" si="768"/>
        <v xml:space="preserve">Enter a 'New Construction/ Rehab APR' for  building 40 in cell K43.
</v>
      </c>
      <c r="G2216" s="9" t="str">
        <f t="shared" ca="1" si="769"/>
        <v xml:space="preserve">Enter a value for 'Number of Floors in the Tallest Building' in cell B60.
</v>
      </c>
      <c r="H2216" s="52" t="str">
        <f t="shared" ca="1" si="770"/>
        <v>New Construction/ Rehab APR</v>
      </c>
      <c r="I2216" s="52">
        <v>11</v>
      </c>
    </row>
    <row r="2217" spans="1:10" ht="15" customHeight="1">
      <c r="A2217" t="str">
        <f t="shared" ca="1" si="764"/>
        <v/>
      </c>
      <c r="B2217">
        <f t="shared" si="765"/>
        <v>43</v>
      </c>
      <c r="C2217">
        <f t="shared" ca="1" si="745"/>
        <v>40</v>
      </c>
      <c r="D2217" t="str">
        <f t="shared" si="766"/>
        <v>L43</v>
      </c>
      <c r="E2217" t="str">
        <f t="shared" ca="1" si="767"/>
        <v/>
      </c>
      <c r="F2217" t="str">
        <f t="shared" ca="1" si="768"/>
        <v xml:space="preserve">Enter a 'New Construction Eligible Basis' for  building 40 in cell L43.
</v>
      </c>
      <c r="G2217" s="9" t="str">
        <f t="shared" ca="1" si="769"/>
        <v xml:space="preserve">Enter a value for 'Number of Floors in the Tallest Building' in cell B60.
</v>
      </c>
      <c r="H2217" s="52" t="str">
        <f t="shared" ca="1" si="770"/>
        <v>New Construction Eligible Basis</v>
      </c>
      <c r="I2217" s="52">
        <v>12</v>
      </c>
    </row>
    <row r="2218" spans="1:10" ht="15" customHeight="1">
      <c r="A2218" t="str">
        <f ca="1">IF(AND(OFFSET(A2218, -I2218 + 2, 4) &gt;  0, E2218="", Calculations!$B$7), F2218, "")</f>
        <v/>
      </c>
      <c r="B2218">
        <f t="shared" si="765"/>
        <v>43</v>
      </c>
      <c r="C2218">
        <f t="shared" ca="1" si="745"/>
        <v>40</v>
      </c>
      <c r="D2218" t="str">
        <f t="shared" si="766"/>
        <v>M43</v>
      </c>
      <c r="E2218" t="str">
        <f t="shared" ca="1" si="767"/>
        <v/>
      </c>
      <c r="F2218" t="str">
        <f t="shared" ca="1" si="768"/>
        <v xml:space="preserve">Enter a 'Eligible Basis for Rehab' for  building 40 in cell M43.
</v>
      </c>
      <c r="G2218" s="9" t="str">
        <f t="shared" ca="1" si="769"/>
        <v xml:space="preserve">Enter a value for 'Number of Floors in the Tallest Building' in cell B60.
</v>
      </c>
      <c r="H2218" s="52" t="str">
        <f t="shared" ca="1" si="770"/>
        <v>Eligible Basis for Rehab</v>
      </c>
      <c r="I2218" s="52">
        <v>13</v>
      </c>
    </row>
    <row r="2219" spans="1:10" ht="15" customHeight="1">
      <c r="A2219" t="str">
        <f ca="1">IF(AND(OFFSET(A2219, -I2219 + 2, 4) &gt;  0, E2219="", Calculations!$B$7), F2219, "")</f>
        <v/>
      </c>
      <c r="B2219">
        <f t="shared" si="765"/>
        <v>43</v>
      </c>
      <c r="C2219">
        <f t="shared" ca="1" si="745"/>
        <v>40</v>
      </c>
      <c r="D2219" t="str">
        <f t="shared" si="766"/>
        <v>N43</v>
      </c>
      <c r="E2219" t="str">
        <f t="shared" ca="1" si="767"/>
        <v/>
      </c>
      <c r="F2219" t="str">
        <f t="shared" ca="1" si="768"/>
        <v xml:space="preserve">Enter a 'Cost of Acquiring the Building***' for  building 40 in cell N43.
</v>
      </c>
      <c r="G2219" s="9" t="str">
        <f t="shared" ca="1" si="769"/>
        <v xml:space="preserve">Enter a value for 'Number of Floors in the Tallest Building' in cell B60.
</v>
      </c>
      <c r="H2219" s="52" t="str">
        <f t="shared" ca="1" si="770"/>
        <v>Cost of Acquiring the Building***</v>
      </c>
      <c r="I2219" s="52">
        <v>14</v>
      </c>
    </row>
    <row r="2220" spans="1:10" ht="15" customHeight="1">
      <c r="A2220" t="str">
        <f ca="1">IF(AND(OFFSET(A2220, -I2220 + 2, 4) &gt;  0, E2220="", Calculations!$B$7), F2220, "")</f>
        <v/>
      </c>
      <c r="B2220">
        <f t="shared" si="765"/>
        <v>43</v>
      </c>
      <c r="C2220">
        <f t="shared" ca="1" si="745"/>
        <v>40</v>
      </c>
      <c r="D2220" t="str">
        <f t="shared" si="766"/>
        <v>O43</v>
      </c>
      <c r="E2220" t="str">
        <f t="shared" ca="1" si="767"/>
        <v/>
      </c>
      <c r="F2220" t="str">
        <f t="shared" ca="1" si="768"/>
        <v xml:space="preserve">Enter a 'Higher of Land Purchase Price or Land Appraised Value****' for  building 40 in cell O43.
</v>
      </c>
      <c r="G2220" s="9" t="str">
        <f t="shared" ca="1" si="769"/>
        <v xml:space="preserve">Enter a value for 'Number of Floors in the Tallest Building' in cell B60.
</v>
      </c>
      <c r="H2220" s="52" t="str">
        <f t="shared" ca="1" si="770"/>
        <v>Higher of Land Purchase Price or Land Appraised Value****</v>
      </c>
      <c r="I2220" s="52">
        <v>15</v>
      </c>
    </row>
    <row r="2221" spans="1:10" ht="15" customHeight="1">
      <c r="A2221" t="str">
        <f ca="1">IF(AND(OFFSET(A2221, -I2221 + 2, 4) &gt;  0, E2221="", Calculations!$B$7), F2221, "")</f>
        <v/>
      </c>
      <c r="B2221">
        <f t="shared" si="765"/>
        <v>43</v>
      </c>
      <c r="C2221">
        <f t="shared" ca="1" si="745"/>
        <v>40</v>
      </c>
      <c r="D2221" t="str">
        <f t="shared" si="766"/>
        <v>P43</v>
      </c>
      <c r="E2221" t="str">
        <f t="shared" ca="1" si="767"/>
        <v/>
      </c>
      <c r="F2221" t="str">
        <f t="shared" ca="1" si="768"/>
        <v xml:space="preserve">Enter a 'Acquisition Placed-in-Service Date' for  building 40 in cell P43.
</v>
      </c>
      <c r="G2221" s="9" t="str">
        <f t="shared" ca="1" si="769"/>
        <v xml:space="preserve">Enter a value for 'Number of Floors in the Tallest Building' in cell B60.
</v>
      </c>
      <c r="H2221" s="52" t="str">
        <f t="shared" ca="1" si="770"/>
        <v>Acquisition Placed-in-Service Date</v>
      </c>
      <c r="I2221" s="52">
        <v>16</v>
      </c>
    </row>
    <row r="2222" spans="1:10" ht="15" customHeight="1">
      <c r="A2222" t="str">
        <f ca="1">IF(AND(OFFSET(A2222, -I2222 + 2, 4) &gt;  0, E2222="", Calculations!$B$7), F2222, "")</f>
        <v/>
      </c>
      <c r="B2222">
        <f t="shared" si="765"/>
        <v>43</v>
      </c>
      <c r="C2222">
        <f t="shared" ca="1" si="745"/>
        <v>40</v>
      </c>
      <c r="D2222" t="str">
        <f t="shared" si="766"/>
        <v>Q43</v>
      </c>
      <c r="E2222" t="str">
        <f t="shared" ca="1" si="767"/>
        <v/>
      </c>
      <c r="F2222" t="str">
        <f t="shared" ca="1" si="768"/>
        <v xml:space="preserve">Enter a 'Acquisition APR' for  building 40 in cell Q43.
</v>
      </c>
      <c r="G2222" s="9" t="str">
        <f t="shared" ca="1" si="769"/>
        <v xml:space="preserve">Enter a value for 'Number of Floors in the Tallest Building' in cell B60.
</v>
      </c>
      <c r="H2222" s="52" t="str">
        <f t="shared" ca="1" si="770"/>
        <v>Acquisition APR</v>
      </c>
      <c r="I2222" s="52">
        <v>17</v>
      </c>
    </row>
    <row r="2223" spans="1:10" ht="15" customHeight="1">
      <c r="A2223" t="str">
        <f ca="1">IF(AND(Calculations!$B$4,Calculations!$B$29&gt;=C2223, E2223 &lt;&gt; 13),F2223,"")</f>
        <v/>
      </c>
      <c r="B2223">
        <f>ROW('Final Building Profile'!C44)</f>
        <v>44</v>
      </c>
      <c r="C2223">
        <f t="shared" ref="C2223:C2286" ca="1" si="771">INDIRECT($F$1565 &amp; ADDRESS(B2223, 1,4  ))</f>
        <v>41</v>
      </c>
      <c r="D2223" t="str">
        <f>ADDRESS(B2223, 3,4  )</f>
        <v>C44</v>
      </c>
      <c r="E2223" s="52">
        <f ca="1">H2223+I2223</f>
        <v>0</v>
      </c>
      <c r="F2223" t="str">
        <f ca="1">CONCATENATE("Based upon the number of buildings specified, information for  building ", C2223, " required for a final application in row ", B2223, ".", CHAR(10))</f>
        <v xml:space="preserve">Based upon the number of buildings specified, information for  building 41 required for a final application in row 44.
</v>
      </c>
      <c r="G2223" s="9" t="str">
        <f t="shared" ca="1" si="769"/>
        <v xml:space="preserve">Enter a value for 'Number of Floors in the Tallest Building' in cell B60.
</v>
      </c>
      <c r="H2223" s="52">
        <f ca="1">SUMPRODUCT(--ISTEXT(INDIRECT(J2223)))</f>
        <v>0</v>
      </c>
      <c r="I2223" s="52">
        <f ca="1">SUMPRODUCT(--ISNUMBER(INDIRECT(J2223)))</f>
        <v>0</v>
      </c>
      <c r="J2223" s="52" t="str">
        <f>$F$1565&amp; ADDRESS(B2223,3,4) &amp; ":" &amp; ADDRESS(B2223,15,4)</f>
        <v>'Final Building Profile'!C44:O44</v>
      </c>
    </row>
    <row r="2224" spans="1:10" ht="15" customHeight="1">
      <c r="A2224" t="str">
        <f t="shared" ref="A2224:A2233" ca="1" si="772">IF(AND(OFFSET(A2224, -I2224 + 2, 4) &gt;  0, E2224=""), F2224, "")</f>
        <v/>
      </c>
      <c r="B2224">
        <f t="shared" ref="B2224:B2238" si="773">B2223</f>
        <v>44</v>
      </c>
      <c r="C2224">
        <f t="shared" ca="1" si="771"/>
        <v>41</v>
      </c>
      <c r="D2224" t="str">
        <f t="shared" ref="D2224:D2238" si="774">ADDRESS(B2224, I2224,4  )</f>
        <v>C44</v>
      </c>
      <c r="E2224" t="str">
        <f t="shared" ref="E2224:E2238" ca="1" si="775">IF(ISBLANK( INDIRECT($F$1565 &amp; D2224)),"", INDIRECT($F$1565 &amp; D2224))</f>
        <v/>
      </c>
      <c r="F2224" t="str">
        <f t="shared" ref="F2224:F2238" ca="1" si="776">CONCATENATE("Enter a '"&amp; H2224 &amp;"' for  building ", C2224, " in cell ", D2224, ".", CHAR(10))</f>
        <v xml:space="preserve">Enter a 'Building Street Address Only 
(DO NOT ENTER CITY, STATE, OR ZIP)' for  building 41 in cell C44.
</v>
      </c>
      <c r="G2224" s="9" t="str">
        <f t="shared" ca="1" si="769"/>
        <v xml:space="preserve">Enter a value for 'Number of Floors in the Tallest Building' in cell B60.
</v>
      </c>
      <c r="H2224" s="52" t="str">
        <f t="shared" ref="H2224:H2238" ca="1" si="777">OFFSET(INDIRECT($F$1565 &amp; D2224), -B2224 + 3, 0)</f>
        <v>Building Street Address Only 
(DO NOT ENTER CITY, STATE, OR ZIP)</v>
      </c>
      <c r="I2224" s="52">
        <v>3</v>
      </c>
    </row>
    <row r="2225" spans="1:10" ht="15" customHeight="1">
      <c r="A2225" t="str">
        <f t="shared" ca="1" si="772"/>
        <v/>
      </c>
      <c r="B2225">
        <f t="shared" si="773"/>
        <v>44</v>
      </c>
      <c r="C2225">
        <f t="shared" ca="1" si="771"/>
        <v>41</v>
      </c>
      <c r="D2225" t="str">
        <f t="shared" si="774"/>
        <v>D44</v>
      </c>
      <c r="E2225" t="str">
        <f t="shared" ca="1" si="775"/>
        <v/>
      </c>
      <c r="F2225" t="str">
        <f t="shared" ca="1" si="776"/>
        <v xml:space="preserve">Enter a 'Total Units in Building*' for  building 41 in cell D44.
</v>
      </c>
      <c r="G2225" s="9" t="str">
        <f t="shared" ca="1" si="769"/>
        <v xml:space="preserve">Enter a value for 'Number of Floors in the Tallest Building' in cell B60.
</v>
      </c>
      <c r="H2225" s="52" t="str">
        <f t="shared" ca="1" si="777"/>
        <v>Total Units in Building*</v>
      </c>
      <c r="I2225" s="52">
        <v>4</v>
      </c>
    </row>
    <row r="2226" spans="1:10" ht="15" customHeight="1">
      <c r="A2226" t="str">
        <f t="shared" ca="1" si="772"/>
        <v/>
      </c>
      <c r="B2226">
        <f t="shared" si="773"/>
        <v>44</v>
      </c>
      <c r="C2226">
        <f t="shared" ca="1" si="771"/>
        <v>41</v>
      </c>
      <c r="D2226" t="str">
        <f t="shared" si="774"/>
        <v>E44</v>
      </c>
      <c r="E2226" t="str">
        <f t="shared" ca="1" si="775"/>
        <v/>
      </c>
      <c r="F2226" t="str">
        <f t="shared" ca="1" si="776"/>
        <v xml:space="preserve">Enter a 'Employee Units' for  building 41 in cell E44.
</v>
      </c>
      <c r="G2226" s="9" t="str">
        <f t="shared" ca="1" si="769"/>
        <v xml:space="preserve">Enter a value for 'Number of Floors in the Tallest Building' in cell B60.
</v>
      </c>
      <c r="H2226" s="52" t="str">
        <f t="shared" ca="1" si="777"/>
        <v>Employee Units</v>
      </c>
      <c r="I2226" s="52">
        <v>5</v>
      </c>
    </row>
    <row r="2227" spans="1:10" ht="15" customHeight="1">
      <c r="A2227" t="str">
        <f t="shared" ca="1" si="772"/>
        <v/>
      </c>
      <c r="B2227">
        <f t="shared" si="773"/>
        <v>44</v>
      </c>
      <c r="C2227">
        <f t="shared" ca="1" si="771"/>
        <v>41</v>
      </c>
      <c r="D2227" t="str">
        <f t="shared" si="774"/>
        <v>F44</v>
      </c>
      <c r="E2227" t="str">
        <f t="shared" ca="1" si="775"/>
        <v/>
      </c>
      <c r="F2227" t="str">
        <f t="shared" ca="1" si="776"/>
        <v xml:space="preserve">Enter a 'Low-Income Units' for  building 41 in cell F44.
</v>
      </c>
      <c r="G2227" s="9" t="str">
        <f t="shared" ca="1" si="769"/>
        <v xml:space="preserve">Enter a value for 'Number of Floors in the Tallest Building' in cell B60.
</v>
      </c>
      <c r="H2227" s="52" t="str">
        <f t="shared" ca="1" si="777"/>
        <v>Low-Income Units</v>
      </c>
      <c r="I2227" s="52">
        <v>6</v>
      </c>
    </row>
    <row r="2228" spans="1:10" ht="15" customHeight="1">
      <c r="A2228" t="str">
        <f t="shared" ca="1" si="772"/>
        <v/>
      </c>
      <c r="B2228">
        <f t="shared" si="773"/>
        <v>44</v>
      </c>
      <c r="C2228">
        <f t="shared" ca="1" si="771"/>
        <v>41</v>
      </c>
      <c r="D2228" t="str">
        <f t="shared" si="774"/>
        <v>G44</v>
      </c>
      <c r="E2228" t="str">
        <f t="shared" ca="1" si="775"/>
        <v/>
      </c>
      <c r="F2228" t="str">
        <f t="shared" ca="1" si="776"/>
        <v xml:space="preserve">Enter a 'Residential Square Footage**' for  building 41 in cell G44.
</v>
      </c>
      <c r="G2228" s="9" t="str">
        <f t="shared" ca="1" si="769"/>
        <v xml:space="preserve">Enter a value for 'Number of Floors in the Tallest Building' in cell B60.
</v>
      </c>
      <c r="H2228" s="52" t="str">
        <f t="shared" ca="1" si="777"/>
        <v>Residential Square Footage**</v>
      </c>
      <c r="I2228" s="52">
        <v>7</v>
      </c>
    </row>
    <row r="2229" spans="1:10" ht="15" customHeight="1">
      <c r="A2229" t="str">
        <f t="shared" ca="1" si="772"/>
        <v/>
      </c>
      <c r="B2229">
        <f t="shared" si="773"/>
        <v>44</v>
      </c>
      <c r="C2229">
        <f t="shared" ca="1" si="771"/>
        <v>41</v>
      </c>
      <c r="D2229" t="str">
        <f t="shared" si="774"/>
        <v>H44</v>
      </c>
      <c r="E2229" t="str">
        <f t="shared" ca="1" si="775"/>
        <v/>
      </c>
      <c r="F2229" t="str">
        <f t="shared" ca="1" si="776"/>
        <v xml:space="preserve">Enter a 'Square Footage of Employee Units' for  building 41 in cell H44.
</v>
      </c>
      <c r="G2229" s="9" t="str">
        <f t="shared" ca="1" si="769"/>
        <v xml:space="preserve">Enter a value for 'Number of Floors in the Tallest Building' in cell B60.
</v>
      </c>
      <c r="H2229" s="52" t="str">
        <f t="shared" ca="1" si="777"/>
        <v>Square Footage of Employee Units</v>
      </c>
      <c r="I2229" s="52">
        <v>8</v>
      </c>
    </row>
    <row r="2230" spans="1:10" ht="15" customHeight="1">
      <c r="A2230" t="str">
        <f t="shared" ca="1" si="772"/>
        <v/>
      </c>
      <c r="B2230">
        <f t="shared" si="773"/>
        <v>44</v>
      </c>
      <c r="C2230">
        <f t="shared" ca="1" si="771"/>
        <v>41</v>
      </c>
      <c r="D2230" t="str">
        <f t="shared" si="774"/>
        <v>I44</v>
      </c>
      <c r="E2230" t="str">
        <f t="shared" ca="1" si="775"/>
        <v/>
      </c>
      <c r="F2230" t="str">
        <f t="shared" ca="1" si="776"/>
        <v xml:space="preserve">Enter a 'Square Footage of Low-Income Units' for  building 41 in cell I44.
</v>
      </c>
      <c r="G2230" s="9" t="str">
        <f t="shared" ca="1" si="769"/>
        <v xml:space="preserve">Enter a value for 'Number of Floors in the Tallest Building' in cell B60.
</v>
      </c>
      <c r="H2230" s="52" t="str">
        <f t="shared" ca="1" si="777"/>
        <v>Square Footage of Low-Income Units</v>
      </c>
      <c r="I2230" s="52">
        <v>9</v>
      </c>
    </row>
    <row r="2231" spans="1:10" ht="15" customHeight="1">
      <c r="A2231" t="str">
        <f t="shared" ca="1" si="772"/>
        <v/>
      </c>
      <c r="B2231">
        <f t="shared" si="773"/>
        <v>44</v>
      </c>
      <c r="C2231">
        <f t="shared" ca="1" si="771"/>
        <v>41</v>
      </c>
      <c r="D2231" t="str">
        <f t="shared" si="774"/>
        <v>J44</v>
      </c>
      <c r="E2231" t="str">
        <f t="shared" ca="1" si="775"/>
        <v/>
      </c>
      <c r="F2231" t="str">
        <f t="shared" ca="1" si="776"/>
        <v xml:space="preserve">Enter a 'Placed-In-Service Date' for  building 41 in cell J44.
</v>
      </c>
      <c r="G2231" s="9" t="str">
        <f t="shared" ca="1" si="769"/>
        <v xml:space="preserve">Enter a value for 'Number of Floors in the Tallest Building' in cell B60.
</v>
      </c>
      <c r="H2231" s="52" t="str">
        <f t="shared" ca="1" si="777"/>
        <v>Placed-In-Service Date</v>
      </c>
      <c r="I2231" s="52">
        <v>10</v>
      </c>
    </row>
    <row r="2232" spans="1:10" ht="15" customHeight="1">
      <c r="A2232" t="str">
        <f t="shared" ca="1" si="772"/>
        <v/>
      </c>
      <c r="B2232">
        <f t="shared" si="773"/>
        <v>44</v>
      </c>
      <c r="C2232">
        <f t="shared" ca="1" si="771"/>
        <v>41</v>
      </c>
      <c r="D2232" t="str">
        <f t="shared" si="774"/>
        <v>K44</v>
      </c>
      <c r="E2232" t="str">
        <f t="shared" ca="1" si="775"/>
        <v/>
      </c>
      <c r="F2232" t="str">
        <f t="shared" ca="1" si="776"/>
        <v xml:space="preserve">Enter a 'New Construction/ Rehab APR' for  building 41 in cell K44.
</v>
      </c>
      <c r="G2232" s="9" t="str">
        <f t="shared" ca="1" si="769"/>
        <v xml:space="preserve">Enter a value for 'Number of Floors in the Tallest Building' in cell B60.
</v>
      </c>
      <c r="H2232" s="52" t="str">
        <f t="shared" ca="1" si="777"/>
        <v>New Construction/ Rehab APR</v>
      </c>
      <c r="I2232" s="52">
        <v>11</v>
      </c>
    </row>
    <row r="2233" spans="1:10" ht="15" customHeight="1">
      <c r="A2233" t="str">
        <f t="shared" ca="1" si="772"/>
        <v/>
      </c>
      <c r="B2233">
        <f t="shared" si="773"/>
        <v>44</v>
      </c>
      <c r="C2233">
        <f t="shared" ca="1" si="771"/>
        <v>41</v>
      </c>
      <c r="D2233" t="str">
        <f t="shared" si="774"/>
        <v>L44</v>
      </c>
      <c r="E2233" t="str">
        <f t="shared" ca="1" si="775"/>
        <v/>
      </c>
      <c r="F2233" t="str">
        <f t="shared" ca="1" si="776"/>
        <v xml:space="preserve">Enter a 'New Construction Eligible Basis' for  building 41 in cell L44.
</v>
      </c>
      <c r="G2233" s="9" t="str">
        <f t="shared" ca="1" si="769"/>
        <v xml:space="preserve">Enter a value for 'Number of Floors in the Tallest Building' in cell B60.
</v>
      </c>
      <c r="H2233" s="52" t="str">
        <f t="shared" ca="1" si="777"/>
        <v>New Construction Eligible Basis</v>
      </c>
      <c r="I2233" s="52">
        <v>12</v>
      </c>
    </row>
    <row r="2234" spans="1:10" ht="15" customHeight="1">
      <c r="A2234" t="str">
        <f ca="1">IF(AND(OFFSET(A2234, -I2234 + 2, 4) &gt;  0, E2234="", Calculations!$B$7), F2234, "")</f>
        <v/>
      </c>
      <c r="B2234">
        <f t="shared" si="773"/>
        <v>44</v>
      </c>
      <c r="C2234">
        <f t="shared" ca="1" si="771"/>
        <v>41</v>
      </c>
      <c r="D2234" t="str">
        <f t="shared" si="774"/>
        <v>M44</v>
      </c>
      <c r="E2234" t="str">
        <f t="shared" ca="1" si="775"/>
        <v/>
      </c>
      <c r="F2234" t="str">
        <f t="shared" ca="1" si="776"/>
        <v xml:space="preserve">Enter a 'Eligible Basis for Rehab' for  building 41 in cell M44.
</v>
      </c>
      <c r="G2234" s="9" t="str">
        <f t="shared" ca="1" si="769"/>
        <v xml:space="preserve">Enter a value for 'Number of Floors in the Tallest Building' in cell B60.
</v>
      </c>
      <c r="H2234" s="52" t="str">
        <f t="shared" ca="1" si="777"/>
        <v>Eligible Basis for Rehab</v>
      </c>
      <c r="I2234" s="52">
        <v>13</v>
      </c>
    </row>
    <row r="2235" spans="1:10" ht="15" customHeight="1">
      <c r="A2235" t="str">
        <f ca="1">IF(AND(OFFSET(A2235, -I2235 + 2, 4) &gt;  0, E2235="", Calculations!$B$7), F2235, "")</f>
        <v/>
      </c>
      <c r="B2235">
        <f t="shared" si="773"/>
        <v>44</v>
      </c>
      <c r="C2235">
        <f t="shared" ca="1" si="771"/>
        <v>41</v>
      </c>
      <c r="D2235" t="str">
        <f t="shared" si="774"/>
        <v>N44</v>
      </c>
      <c r="E2235" t="str">
        <f t="shared" ca="1" si="775"/>
        <v/>
      </c>
      <c r="F2235" t="str">
        <f t="shared" ca="1" si="776"/>
        <v xml:space="preserve">Enter a 'Cost of Acquiring the Building***' for  building 41 in cell N44.
</v>
      </c>
      <c r="G2235" s="9" t="str">
        <f t="shared" ca="1" si="769"/>
        <v xml:space="preserve">Enter a value for 'Number of Floors in the Tallest Building' in cell B60.
</v>
      </c>
      <c r="H2235" s="52" t="str">
        <f t="shared" ca="1" si="777"/>
        <v>Cost of Acquiring the Building***</v>
      </c>
      <c r="I2235" s="52">
        <v>14</v>
      </c>
    </row>
    <row r="2236" spans="1:10" ht="15" customHeight="1">
      <c r="A2236" t="str">
        <f ca="1">IF(AND(OFFSET(A2236, -I2236 + 2, 4) &gt;  0, E2236="", Calculations!$B$7), F2236, "")</f>
        <v/>
      </c>
      <c r="B2236">
        <f t="shared" si="773"/>
        <v>44</v>
      </c>
      <c r="C2236">
        <f t="shared" ca="1" si="771"/>
        <v>41</v>
      </c>
      <c r="D2236" t="str">
        <f t="shared" si="774"/>
        <v>O44</v>
      </c>
      <c r="E2236" t="str">
        <f t="shared" ca="1" si="775"/>
        <v/>
      </c>
      <c r="F2236" t="str">
        <f t="shared" ca="1" si="776"/>
        <v xml:space="preserve">Enter a 'Higher of Land Purchase Price or Land Appraised Value****' for  building 41 in cell O44.
</v>
      </c>
      <c r="G2236" s="9" t="str">
        <f t="shared" ca="1" si="769"/>
        <v xml:space="preserve">Enter a value for 'Number of Floors in the Tallest Building' in cell B60.
</v>
      </c>
      <c r="H2236" s="52" t="str">
        <f t="shared" ca="1" si="777"/>
        <v>Higher of Land Purchase Price or Land Appraised Value****</v>
      </c>
      <c r="I2236" s="52">
        <v>15</v>
      </c>
    </row>
    <row r="2237" spans="1:10" ht="15" customHeight="1">
      <c r="A2237" t="str">
        <f ca="1">IF(AND(OFFSET(A2237, -I2237 + 2, 4) &gt;  0, E2237="", Calculations!$B$7), F2237, "")</f>
        <v/>
      </c>
      <c r="B2237">
        <f t="shared" si="773"/>
        <v>44</v>
      </c>
      <c r="C2237">
        <f t="shared" ca="1" si="771"/>
        <v>41</v>
      </c>
      <c r="D2237" t="str">
        <f t="shared" si="774"/>
        <v>P44</v>
      </c>
      <c r="E2237" t="str">
        <f t="shared" ca="1" si="775"/>
        <v/>
      </c>
      <c r="F2237" t="str">
        <f t="shared" ca="1" si="776"/>
        <v xml:space="preserve">Enter a 'Acquisition Placed-in-Service Date' for  building 41 in cell P44.
</v>
      </c>
      <c r="G2237" s="9" t="str">
        <f t="shared" ca="1" si="769"/>
        <v xml:space="preserve">Enter a value for 'Number of Floors in the Tallest Building' in cell B60.
</v>
      </c>
      <c r="H2237" s="52" t="str">
        <f t="shared" ca="1" si="777"/>
        <v>Acquisition Placed-in-Service Date</v>
      </c>
      <c r="I2237" s="52">
        <v>16</v>
      </c>
    </row>
    <row r="2238" spans="1:10" ht="15" customHeight="1">
      <c r="A2238" t="str">
        <f ca="1">IF(AND(OFFSET(A2238, -I2238 + 2, 4) &gt;  0, E2238="", Calculations!$B$7), F2238, "")</f>
        <v/>
      </c>
      <c r="B2238">
        <f t="shared" si="773"/>
        <v>44</v>
      </c>
      <c r="C2238">
        <f t="shared" ca="1" si="771"/>
        <v>41</v>
      </c>
      <c r="D2238" t="str">
        <f t="shared" si="774"/>
        <v>Q44</v>
      </c>
      <c r="E2238" t="str">
        <f t="shared" ca="1" si="775"/>
        <v/>
      </c>
      <c r="F2238" t="str">
        <f t="shared" ca="1" si="776"/>
        <v xml:space="preserve">Enter a 'Acquisition APR' for  building 41 in cell Q44.
</v>
      </c>
      <c r="G2238" s="9" t="str">
        <f t="shared" ca="1" si="769"/>
        <v xml:space="preserve">Enter a value for 'Number of Floors in the Tallest Building' in cell B60.
</v>
      </c>
      <c r="H2238" s="52" t="str">
        <f t="shared" ca="1" si="777"/>
        <v>Acquisition APR</v>
      </c>
      <c r="I2238" s="52">
        <v>17</v>
      </c>
    </row>
    <row r="2239" spans="1:10" ht="15" customHeight="1">
      <c r="A2239" t="str">
        <f ca="1">IF(AND(Calculations!$B$4,Calculations!$B$29&gt;=C2239, E2239 &lt;&gt; 13),F2239,"")</f>
        <v/>
      </c>
      <c r="B2239">
        <f>ROW('Final Building Profile'!C45)</f>
        <v>45</v>
      </c>
      <c r="C2239">
        <f t="shared" ca="1" si="771"/>
        <v>42</v>
      </c>
      <c r="D2239" t="str">
        <f>ADDRESS(B2239, 3,4  )</f>
        <v>C45</v>
      </c>
      <c r="E2239" s="52">
        <f ca="1">H2239+I2239</f>
        <v>0</v>
      </c>
      <c r="F2239" t="str">
        <f ca="1">CONCATENATE("Based upon the number of buildings specified, information for  building ", C2239, " required for a final application in row ", B2239, ".", CHAR(10))</f>
        <v xml:space="preserve">Based upon the number of buildings specified, information for  building 42 required for a final application in row 45.
</v>
      </c>
      <c r="G2239" s="9" t="str">
        <f t="shared" ca="1" si="769"/>
        <v xml:space="preserve">Enter a value for 'Number of Floors in the Tallest Building' in cell B60.
</v>
      </c>
      <c r="H2239" s="52">
        <f ca="1">SUMPRODUCT(--ISTEXT(INDIRECT(J2239)))</f>
        <v>0</v>
      </c>
      <c r="I2239" s="52">
        <f ca="1">SUMPRODUCT(--ISNUMBER(INDIRECT(J2239)))</f>
        <v>0</v>
      </c>
      <c r="J2239" s="52" t="str">
        <f>$F$1565&amp; ADDRESS(B2239,3,4) &amp; ":" &amp; ADDRESS(B2239,15,4)</f>
        <v>'Final Building Profile'!C45:O45</v>
      </c>
    </row>
    <row r="2240" spans="1:10" ht="15" customHeight="1">
      <c r="A2240" t="str">
        <f t="shared" ref="A2240:A2249" ca="1" si="778">IF(AND(OFFSET(A2240, -I2240 + 2, 4) &gt;  0, E2240=""), F2240, "")</f>
        <v/>
      </c>
      <c r="B2240">
        <f t="shared" ref="B2240:B2254" si="779">B2239</f>
        <v>45</v>
      </c>
      <c r="C2240">
        <f t="shared" ca="1" si="771"/>
        <v>42</v>
      </c>
      <c r="D2240" t="str">
        <f t="shared" ref="D2240:D2254" si="780">ADDRESS(B2240, I2240,4  )</f>
        <v>C45</v>
      </c>
      <c r="E2240" t="str">
        <f t="shared" ref="E2240:E2254" ca="1" si="781">IF(ISBLANK( INDIRECT($F$1565 &amp; D2240)),"", INDIRECT($F$1565 &amp; D2240))</f>
        <v/>
      </c>
      <c r="F2240" t="str">
        <f t="shared" ref="F2240:F2254" ca="1" si="782">CONCATENATE("Enter a '"&amp; H2240 &amp;"' for  building ", C2240, " in cell ", D2240, ".", CHAR(10))</f>
        <v xml:space="preserve">Enter a 'Building Street Address Only 
(DO NOT ENTER CITY, STATE, OR ZIP)' for  building 42 in cell C45.
</v>
      </c>
      <c r="G2240" s="9" t="str">
        <f t="shared" ca="1" si="769"/>
        <v xml:space="preserve">Enter a value for 'Number of Floors in the Tallest Building' in cell B60.
</v>
      </c>
      <c r="H2240" s="52" t="str">
        <f t="shared" ref="H2240:H2254" ca="1" si="783">OFFSET(INDIRECT($F$1565 &amp; D2240), -B2240 + 3, 0)</f>
        <v>Building Street Address Only 
(DO NOT ENTER CITY, STATE, OR ZIP)</v>
      </c>
      <c r="I2240" s="52">
        <v>3</v>
      </c>
    </row>
    <row r="2241" spans="1:10" ht="15" customHeight="1">
      <c r="A2241" t="str">
        <f t="shared" ca="1" si="778"/>
        <v/>
      </c>
      <c r="B2241">
        <f t="shared" si="779"/>
        <v>45</v>
      </c>
      <c r="C2241">
        <f t="shared" ca="1" si="771"/>
        <v>42</v>
      </c>
      <c r="D2241" t="str">
        <f t="shared" si="780"/>
        <v>D45</v>
      </c>
      <c r="E2241" t="str">
        <f t="shared" ca="1" si="781"/>
        <v/>
      </c>
      <c r="F2241" t="str">
        <f t="shared" ca="1" si="782"/>
        <v xml:space="preserve">Enter a 'Total Units in Building*' for  building 42 in cell D45.
</v>
      </c>
      <c r="G2241" s="9" t="str">
        <f t="shared" ca="1" si="769"/>
        <v xml:space="preserve">Enter a value for 'Number of Floors in the Tallest Building' in cell B60.
</v>
      </c>
      <c r="H2241" s="52" t="str">
        <f t="shared" ca="1" si="783"/>
        <v>Total Units in Building*</v>
      </c>
      <c r="I2241" s="52">
        <v>4</v>
      </c>
    </row>
    <row r="2242" spans="1:10" ht="15" customHeight="1">
      <c r="A2242" t="str">
        <f t="shared" ca="1" si="778"/>
        <v/>
      </c>
      <c r="B2242">
        <f t="shared" si="779"/>
        <v>45</v>
      </c>
      <c r="C2242">
        <f t="shared" ca="1" si="771"/>
        <v>42</v>
      </c>
      <c r="D2242" t="str">
        <f t="shared" si="780"/>
        <v>E45</v>
      </c>
      <c r="E2242" t="str">
        <f t="shared" ca="1" si="781"/>
        <v/>
      </c>
      <c r="F2242" t="str">
        <f t="shared" ca="1" si="782"/>
        <v xml:space="preserve">Enter a 'Employee Units' for  building 42 in cell E45.
</v>
      </c>
      <c r="G2242" s="9" t="str">
        <f t="shared" ca="1" si="769"/>
        <v xml:space="preserve">Enter a value for 'Number of Floors in the Tallest Building' in cell B60.
</v>
      </c>
      <c r="H2242" s="52" t="str">
        <f t="shared" ca="1" si="783"/>
        <v>Employee Units</v>
      </c>
      <c r="I2242" s="52">
        <v>5</v>
      </c>
    </row>
    <row r="2243" spans="1:10" ht="15" customHeight="1">
      <c r="A2243" t="str">
        <f t="shared" ca="1" si="778"/>
        <v/>
      </c>
      <c r="B2243">
        <f t="shared" si="779"/>
        <v>45</v>
      </c>
      <c r="C2243">
        <f t="shared" ca="1" si="771"/>
        <v>42</v>
      </c>
      <c r="D2243" t="str">
        <f t="shared" si="780"/>
        <v>F45</v>
      </c>
      <c r="E2243" t="str">
        <f t="shared" ca="1" si="781"/>
        <v/>
      </c>
      <c r="F2243" t="str">
        <f t="shared" ca="1" si="782"/>
        <v xml:space="preserve">Enter a 'Low-Income Units' for  building 42 in cell F45.
</v>
      </c>
      <c r="G2243" s="9" t="str">
        <f t="shared" ca="1" si="769"/>
        <v xml:space="preserve">Enter a value for 'Number of Floors in the Tallest Building' in cell B60.
</v>
      </c>
      <c r="H2243" s="52" t="str">
        <f t="shared" ca="1" si="783"/>
        <v>Low-Income Units</v>
      </c>
      <c r="I2243" s="52">
        <v>6</v>
      </c>
    </row>
    <row r="2244" spans="1:10" ht="15" customHeight="1">
      <c r="A2244" t="str">
        <f t="shared" ca="1" si="778"/>
        <v/>
      </c>
      <c r="B2244">
        <f t="shared" si="779"/>
        <v>45</v>
      </c>
      <c r="C2244">
        <f t="shared" ca="1" si="771"/>
        <v>42</v>
      </c>
      <c r="D2244" t="str">
        <f t="shared" si="780"/>
        <v>G45</v>
      </c>
      <c r="E2244" t="str">
        <f t="shared" ca="1" si="781"/>
        <v/>
      </c>
      <c r="F2244" t="str">
        <f t="shared" ca="1" si="782"/>
        <v xml:space="preserve">Enter a 'Residential Square Footage**' for  building 42 in cell G45.
</v>
      </c>
      <c r="G2244" s="9" t="str">
        <f t="shared" ca="1" si="769"/>
        <v xml:space="preserve">Enter a value for 'Number of Floors in the Tallest Building' in cell B60.
</v>
      </c>
      <c r="H2244" s="52" t="str">
        <f t="shared" ca="1" si="783"/>
        <v>Residential Square Footage**</v>
      </c>
      <c r="I2244" s="52">
        <v>7</v>
      </c>
    </row>
    <row r="2245" spans="1:10" ht="15" customHeight="1">
      <c r="A2245" t="str">
        <f t="shared" ca="1" si="778"/>
        <v/>
      </c>
      <c r="B2245">
        <f t="shared" si="779"/>
        <v>45</v>
      </c>
      <c r="C2245">
        <f t="shared" ca="1" si="771"/>
        <v>42</v>
      </c>
      <c r="D2245" t="str">
        <f t="shared" si="780"/>
        <v>H45</v>
      </c>
      <c r="E2245" t="str">
        <f t="shared" ca="1" si="781"/>
        <v/>
      </c>
      <c r="F2245" t="str">
        <f t="shared" ca="1" si="782"/>
        <v xml:space="preserve">Enter a 'Square Footage of Employee Units' for  building 42 in cell H45.
</v>
      </c>
      <c r="G2245" s="9" t="str">
        <f t="shared" ca="1" si="769"/>
        <v xml:space="preserve">Enter a value for 'Number of Floors in the Tallest Building' in cell B60.
</v>
      </c>
      <c r="H2245" s="52" t="str">
        <f t="shared" ca="1" si="783"/>
        <v>Square Footage of Employee Units</v>
      </c>
      <c r="I2245" s="52">
        <v>8</v>
      </c>
    </row>
    <row r="2246" spans="1:10" ht="15" customHeight="1">
      <c r="A2246" t="str">
        <f t="shared" ca="1" si="778"/>
        <v/>
      </c>
      <c r="B2246">
        <f t="shared" si="779"/>
        <v>45</v>
      </c>
      <c r="C2246">
        <f t="shared" ca="1" si="771"/>
        <v>42</v>
      </c>
      <c r="D2246" t="str">
        <f t="shared" si="780"/>
        <v>I45</v>
      </c>
      <c r="E2246" t="str">
        <f t="shared" ca="1" si="781"/>
        <v/>
      </c>
      <c r="F2246" t="str">
        <f t="shared" ca="1" si="782"/>
        <v xml:space="preserve">Enter a 'Square Footage of Low-Income Units' for  building 42 in cell I45.
</v>
      </c>
      <c r="G2246" s="9" t="str">
        <f t="shared" ca="1" si="769"/>
        <v xml:space="preserve">Enter a value for 'Number of Floors in the Tallest Building' in cell B60.
</v>
      </c>
      <c r="H2246" s="52" t="str">
        <f t="shared" ca="1" si="783"/>
        <v>Square Footage of Low-Income Units</v>
      </c>
      <c r="I2246" s="52">
        <v>9</v>
      </c>
    </row>
    <row r="2247" spans="1:10" ht="15" customHeight="1">
      <c r="A2247" t="str">
        <f t="shared" ca="1" si="778"/>
        <v/>
      </c>
      <c r="B2247">
        <f t="shared" si="779"/>
        <v>45</v>
      </c>
      <c r="C2247">
        <f t="shared" ca="1" si="771"/>
        <v>42</v>
      </c>
      <c r="D2247" t="str">
        <f t="shared" si="780"/>
        <v>J45</v>
      </c>
      <c r="E2247" t="str">
        <f t="shared" ca="1" si="781"/>
        <v/>
      </c>
      <c r="F2247" t="str">
        <f t="shared" ca="1" si="782"/>
        <v xml:space="preserve">Enter a 'Placed-In-Service Date' for  building 42 in cell J45.
</v>
      </c>
      <c r="G2247" s="9" t="str">
        <f t="shared" ca="1" si="769"/>
        <v xml:space="preserve">Enter a value for 'Number of Floors in the Tallest Building' in cell B60.
</v>
      </c>
      <c r="H2247" s="52" t="str">
        <f t="shared" ca="1" si="783"/>
        <v>Placed-In-Service Date</v>
      </c>
      <c r="I2247" s="52">
        <v>10</v>
      </c>
    </row>
    <row r="2248" spans="1:10" ht="15" customHeight="1">
      <c r="A2248" t="str">
        <f t="shared" ca="1" si="778"/>
        <v/>
      </c>
      <c r="B2248">
        <f t="shared" si="779"/>
        <v>45</v>
      </c>
      <c r="C2248">
        <f t="shared" ca="1" si="771"/>
        <v>42</v>
      </c>
      <c r="D2248" t="str">
        <f t="shared" si="780"/>
        <v>K45</v>
      </c>
      <c r="E2248" t="str">
        <f t="shared" ca="1" si="781"/>
        <v/>
      </c>
      <c r="F2248" t="str">
        <f t="shared" ca="1" si="782"/>
        <v xml:space="preserve">Enter a 'New Construction/ Rehab APR' for  building 42 in cell K45.
</v>
      </c>
      <c r="G2248" s="9" t="str">
        <f t="shared" ca="1" si="769"/>
        <v xml:space="preserve">Enter a value for 'Number of Floors in the Tallest Building' in cell B60.
</v>
      </c>
      <c r="H2248" s="52" t="str">
        <f t="shared" ca="1" si="783"/>
        <v>New Construction/ Rehab APR</v>
      </c>
      <c r="I2248" s="52">
        <v>11</v>
      </c>
    </row>
    <row r="2249" spans="1:10" ht="15" customHeight="1">
      <c r="A2249" t="str">
        <f t="shared" ca="1" si="778"/>
        <v/>
      </c>
      <c r="B2249">
        <f t="shared" si="779"/>
        <v>45</v>
      </c>
      <c r="C2249">
        <f t="shared" ca="1" si="771"/>
        <v>42</v>
      </c>
      <c r="D2249" t="str">
        <f t="shared" si="780"/>
        <v>L45</v>
      </c>
      <c r="E2249" t="str">
        <f t="shared" ca="1" si="781"/>
        <v/>
      </c>
      <c r="F2249" t="str">
        <f t="shared" ca="1" si="782"/>
        <v xml:space="preserve">Enter a 'New Construction Eligible Basis' for  building 42 in cell L45.
</v>
      </c>
      <c r="G2249" s="9" t="str">
        <f t="shared" ca="1" si="769"/>
        <v xml:space="preserve">Enter a value for 'Number of Floors in the Tallest Building' in cell B60.
</v>
      </c>
      <c r="H2249" s="52" t="str">
        <f t="shared" ca="1" si="783"/>
        <v>New Construction Eligible Basis</v>
      </c>
      <c r="I2249" s="52">
        <v>12</v>
      </c>
    </row>
    <row r="2250" spans="1:10" ht="15" customHeight="1">
      <c r="A2250" t="str">
        <f ca="1">IF(AND(OFFSET(A2250, -I2250 + 2, 4) &gt;  0, E2250="", Calculations!$B$7), F2250, "")</f>
        <v/>
      </c>
      <c r="B2250">
        <f t="shared" si="779"/>
        <v>45</v>
      </c>
      <c r="C2250">
        <f t="shared" ca="1" si="771"/>
        <v>42</v>
      </c>
      <c r="D2250" t="str">
        <f t="shared" si="780"/>
        <v>M45</v>
      </c>
      <c r="E2250" t="str">
        <f t="shared" ca="1" si="781"/>
        <v/>
      </c>
      <c r="F2250" t="str">
        <f t="shared" ca="1" si="782"/>
        <v xml:space="preserve">Enter a 'Eligible Basis for Rehab' for  building 42 in cell M45.
</v>
      </c>
      <c r="G2250" s="9" t="str">
        <f t="shared" ca="1" si="769"/>
        <v xml:space="preserve">Enter a value for 'Number of Floors in the Tallest Building' in cell B60.
</v>
      </c>
      <c r="H2250" s="52" t="str">
        <f t="shared" ca="1" si="783"/>
        <v>Eligible Basis for Rehab</v>
      </c>
      <c r="I2250" s="52">
        <v>13</v>
      </c>
    </row>
    <row r="2251" spans="1:10" ht="15" customHeight="1">
      <c r="A2251" t="str">
        <f ca="1">IF(AND(OFFSET(A2251, -I2251 + 2, 4) &gt;  0, E2251="", Calculations!$B$7), F2251, "")</f>
        <v/>
      </c>
      <c r="B2251">
        <f t="shared" si="779"/>
        <v>45</v>
      </c>
      <c r="C2251">
        <f t="shared" ca="1" si="771"/>
        <v>42</v>
      </c>
      <c r="D2251" t="str">
        <f t="shared" si="780"/>
        <v>N45</v>
      </c>
      <c r="E2251" t="str">
        <f t="shared" ca="1" si="781"/>
        <v/>
      </c>
      <c r="F2251" t="str">
        <f t="shared" ca="1" si="782"/>
        <v xml:space="preserve">Enter a 'Cost of Acquiring the Building***' for  building 42 in cell N45.
</v>
      </c>
      <c r="G2251" s="9" t="str">
        <f t="shared" ca="1" si="769"/>
        <v xml:space="preserve">Enter a value for 'Number of Floors in the Tallest Building' in cell B60.
</v>
      </c>
      <c r="H2251" s="52" t="str">
        <f t="shared" ca="1" si="783"/>
        <v>Cost of Acquiring the Building***</v>
      </c>
      <c r="I2251" s="52">
        <v>14</v>
      </c>
    </row>
    <row r="2252" spans="1:10" ht="15" customHeight="1">
      <c r="A2252" t="str">
        <f ca="1">IF(AND(OFFSET(A2252, -I2252 + 2, 4) &gt;  0, E2252="", Calculations!$B$7), F2252, "")</f>
        <v/>
      </c>
      <c r="B2252">
        <f t="shared" si="779"/>
        <v>45</v>
      </c>
      <c r="C2252">
        <f t="shared" ca="1" si="771"/>
        <v>42</v>
      </c>
      <c r="D2252" t="str">
        <f t="shared" si="780"/>
        <v>O45</v>
      </c>
      <c r="E2252" t="str">
        <f t="shared" ca="1" si="781"/>
        <v/>
      </c>
      <c r="F2252" t="str">
        <f t="shared" ca="1" si="782"/>
        <v xml:space="preserve">Enter a 'Higher of Land Purchase Price or Land Appraised Value****' for  building 42 in cell O45.
</v>
      </c>
      <c r="G2252" s="9" t="str">
        <f t="shared" ca="1" si="769"/>
        <v xml:space="preserve">Enter a value for 'Number of Floors in the Tallest Building' in cell B60.
</v>
      </c>
      <c r="H2252" s="52" t="str">
        <f t="shared" ca="1" si="783"/>
        <v>Higher of Land Purchase Price or Land Appraised Value****</v>
      </c>
      <c r="I2252" s="52">
        <v>15</v>
      </c>
    </row>
    <row r="2253" spans="1:10" ht="15" customHeight="1">
      <c r="A2253" t="str">
        <f ca="1">IF(AND(OFFSET(A2253, -I2253 + 2, 4) &gt;  0, E2253="", Calculations!$B$7), F2253, "")</f>
        <v/>
      </c>
      <c r="B2253">
        <f t="shared" si="779"/>
        <v>45</v>
      </c>
      <c r="C2253">
        <f t="shared" ca="1" si="771"/>
        <v>42</v>
      </c>
      <c r="D2253" t="str">
        <f t="shared" si="780"/>
        <v>P45</v>
      </c>
      <c r="E2253" t="str">
        <f t="shared" ca="1" si="781"/>
        <v/>
      </c>
      <c r="F2253" t="str">
        <f t="shared" ca="1" si="782"/>
        <v xml:space="preserve">Enter a 'Acquisition Placed-in-Service Date' for  building 42 in cell P45.
</v>
      </c>
      <c r="G2253" s="9" t="str">
        <f t="shared" ca="1" si="769"/>
        <v xml:space="preserve">Enter a value for 'Number of Floors in the Tallest Building' in cell B60.
</v>
      </c>
      <c r="H2253" s="52" t="str">
        <f t="shared" ca="1" si="783"/>
        <v>Acquisition Placed-in-Service Date</v>
      </c>
      <c r="I2253" s="52">
        <v>16</v>
      </c>
    </row>
    <row r="2254" spans="1:10" ht="15" customHeight="1">
      <c r="A2254" t="str">
        <f ca="1">IF(AND(OFFSET(A2254, -I2254 + 2, 4) &gt;  0, E2254="", Calculations!$B$7), F2254, "")</f>
        <v/>
      </c>
      <c r="B2254">
        <f t="shared" si="779"/>
        <v>45</v>
      </c>
      <c r="C2254">
        <f t="shared" ca="1" si="771"/>
        <v>42</v>
      </c>
      <c r="D2254" t="str">
        <f t="shared" si="780"/>
        <v>Q45</v>
      </c>
      <c r="E2254" t="str">
        <f t="shared" ca="1" si="781"/>
        <v/>
      </c>
      <c r="F2254" t="str">
        <f t="shared" ca="1" si="782"/>
        <v xml:space="preserve">Enter a 'Acquisition APR' for  building 42 in cell Q45.
</v>
      </c>
      <c r="G2254" s="9" t="str">
        <f t="shared" ca="1" si="769"/>
        <v xml:space="preserve">Enter a value for 'Number of Floors in the Tallest Building' in cell B60.
</v>
      </c>
      <c r="H2254" s="52" t="str">
        <f t="shared" ca="1" si="783"/>
        <v>Acquisition APR</v>
      </c>
      <c r="I2254" s="52">
        <v>17</v>
      </c>
    </row>
    <row r="2255" spans="1:10" ht="15" customHeight="1">
      <c r="A2255" t="str">
        <f ca="1">IF(AND(Calculations!$B$4,Calculations!$B$29&gt;=C2255, E2255 &lt;&gt; 13),F2255,"")</f>
        <v/>
      </c>
      <c r="B2255">
        <f>ROW('Final Building Profile'!C46)</f>
        <v>46</v>
      </c>
      <c r="C2255">
        <f t="shared" ca="1" si="771"/>
        <v>43</v>
      </c>
      <c r="D2255" t="str">
        <f>ADDRESS(B2255, 3,4  )</f>
        <v>C46</v>
      </c>
      <c r="E2255" s="52">
        <f ca="1">H2255+I2255</f>
        <v>0</v>
      </c>
      <c r="F2255" t="str">
        <f ca="1">CONCATENATE("Based upon the number of buildings specified, information for  building ", C2255, " required for a final application in row ", B2255, ".", CHAR(10))</f>
        <v xml:space="preserve">Based upon the number of buildings specified, information for  building 43 required for a final application in row 46.
</v>
      </c>
      <c r="G2255" s="9" t="str">
        <f t="shared" ca="1" si="769"/>
        <v xml:space="preserve">Enter a value for 'Number of Floors in the Tallest Building' in cell B60.
</v>
      </c>
      <c r="H2255" s="52">
        <f ca="1">SUMPRODUCT(--ISTEXT(INDIRECT(J2255)))</f>
        <v>0</v>
      </c>
      <c r="I2255" s="52">
        <f ca="1">SUMPRODUCT(--ISNUMBER(INDIRECT(J2255)))</f>
        <v>0</v>
      </c>
      <c r="J2255" s="52" t="str">
        <f>$F$1565&amp; ADDRESS(B2255,3,4) &amp; ":" &amp; ADDRESS(B2255,15,4)</f>
        <v>'Final Building Profile'!C46:O46</v>
      </c>
    </row>
    <row r="2256" spans="1:10" ht="15" customHeight="1">
      <c r="A2256" t="str">
        <f t="shared" ref="A2256:A2265" ca="1" si="784">IF(AND(OFFSET(A2256, -I2256 + 2, 4) &gt;  0, E2256=""), F2256, "")</f>
        <v/>
      </c>
      <c r="B2256">
        <f t="shared" ref="B2256:B2270" si="785">B2255</f>
        <v>46</v>
      </c>
      <c r="C2256">
        <f t="shared" ca="1" si="771"/>
        <v>43</v>
      </c>
      <c r="D2256" t="str">
        <f t="shared" ref="D2256:D2270" si="786">ADDRESS(B2256, I2256,4  )</f>
        <v>C46</v>
      </c>
      <c r="E2256" t="str">
        <f t="shared" ref="E2256:E2270" ca="1" si="787">IF(ISBLANK( INDIRECT($F$1565 &amp; D2256)),"", INDIRECT($F$1565 &amp; D2256))</f>
        <v/>
      </c>
      <c r="F2256" t="str">
        <f t="shared" ref="F2256:F2270" ca="1" si="788">CONCATENATE("Enter a '"&amp; H2256 &amp;"' for  building ", C2256, " in cell ", D2256, ".", CHAR(10))</f>
        <v xml:space="preserve">Enter a 'Building Street Address Only 
(DO NOT ENTER CITY, STATE, OR ZIP)' for  building 43 in cell C46.
</v>
      </c>
      <c r="G2256" s="9" t="str">
        <f t="shared" ca="1" si="769"/>
        <v xml:space="preserve">Enter a value for 'Number of Floors in the Tallest Building' in cell B60.
</v>
      </c>
      <c r="H2256" s="52" t="str">
        <f t="shared" ref="H2256:H2270" ca="1" si="789">OFFSET(INDIRECT($F$1565 &amp; D2256), -B2256 + 3, 0)</f>
        <v>Building Street Address Only 
(DO NOT ENTER CITY, STATE, OR ZIP)</v>
      </c>
      <c r="I2256" s="52">
        <v>3</v>
      </c>
    </row>
    <row r="2257" spans="1:10" ht="15" customHeight="1">
      <c r="A2257" t="str">
        <f t="shared" ca="1" si="784"/>
        <v/>
      </c>
      <c r="B2257">
        <f t="shared" si="785"/>
        <v>46</v>
      </c>
      <c r="C2257">
        <f t="shared" ca="1" si="771"/>
        <v>43</v>
      </c>
      <c r="D2257" t="str">
        <f t="shared" si="786"/>
        <v>D46</v>
      </c>
      <c r="E2257" t="str">
        <f t="shared" ca="1" si="787"/>
        <v/>
      </c>
      <c r="F2257" t="str">
        <f t="shared" ca="1" si="788"/>
        <v xml:space="preserve">Enter a 'Total Units in Building*' for  building 43 in cell D46.
</v>
      </c>
      <c r="G2257" s="9" t="str">
        <f t="shared" ca="1" si="769"/>
        <v xml:space="preserve">Enter a value for 'Number of Floors in the Tallest Building' in cell B60.
</v>
      </c>
      <c r="H2257" s="52" t="str">
        <f t="shared" ca="1" si="789"/>
        <v>Total Units in Building*</v>
      </c>
      <c r="I2257" s="52">
        <v>4</v>
      </c>
    </row>
    <row r="2258" spans="1:10" ht="15" customHeight="1">
      <c r="A2258" t="str">
        <f t="shared" ca="1" si="784"/>
        <v/>
      </c>
      <c r="B2258">
        <f t="shared" si="785"/>
        <v>46</v>
      </c>
      <c r="C2258">
        <f t="shared" ca="1" si="771"/>
        <v>43</v>
      </c>
      <c r="D2258" t="str">
        <f t="shared" si="786"/>
        <v>E46</v>
      </c>
      <c r="E2258" t="str">
        <f t="shared" ca="1" si="787"/>
        <v/>
      </c>
      <c r="F2258" t="str">
        <f t="shared" ca="1" si="788"/>
        <v xml:space="preserve">Enter a 'Employee Units' for  building 43 in cell E46.
</v>
      </c>
      <c r="G2258" s="9" t="str">
        <f t="shared" ca="1" si="769"/>
        <v xml:space="preserve">Enter a value for 'Number of Floors in the Tallest Building' in cell B60.
</v>
      </c>
      <c r="H2258" s="52" t="str">
        <f t="shared" ca="1" si="789"/>
        <v>Employee Units</v>
      </c>
      <c r="I2258" s="52">
        <v>5</v>
      </c>
    </row>
    <row r="2259" spans="1:10" ht="15" customHeight="1">
      <c r="A2259" t="str">
        <f t="shared" ca="1" si="784"/>
        <v/>
      </c>
      <c r="B2259">
        <f t="shared" si="785"/>
        <v>46</v>
      </c>
      <c r="C2259">
        <f t="shared" ca="1" si="771"/>
        <v>43</v>
      </c>
      <c r="D2259" t="str">
        <f t="shared" si="786"/>
        <v>F46</v>
      </c>
      <c r="E2259" t="str">
        <f t="shared" ca="1" si="787"/>
        <v/>
      </c>
      <c r="F2259" t="str">
        <f t="shared" ca="1" si="788"/>
        <v xml:space="preserve">Enter a 'Low-Income Units' for  building 43 in cell F46.
</v>
      </c>
      <c r="G2259" s="9" t="str">
        <f t="shared" ca="1" si="769"/>
        <v xml:space="preserve">Enter a value for 'Number of Floors in the Tallest Building' in cell B60.
</v>
      </c>
      <c r="H2259" s="52" t="str">
        <f t="shared" ca="1" si="789"/>
        <v>Low-Income Units</v>
      </c>
      <c r="I2259" s="52">
        <v>6</v>
      </c>
    </row>
    <row r="2260" spans="1:10" ht="15" customHeight="1">
      <c r="A2260" t="str">
        <f t="shared" ca="1" si="784"/>
        <v/>
      </c>
      <c r="B2260">
        <f t="shared" si="785"/>
        <v>46</v>
      </c>
      <c r="C2260">
        <f t="shared" ca="1" si="771"/>
        <v>43</v>
      </c>
      <c r="D2260" t="str">
        <f t="shared" si="786"/>
        <v>G46</v>
      </c>
      <c r="E2260" t="str">
        <f t="shared" ca="1" si="787"/>
        <v/>
      </c>
      <c r="F2260" t="str">
        <f t="shared" ca="1" si="788"/>
        <v xml:space="preserve">Enter a 'Residential Square Footage**' for  building 43 in cell G46.
</v>
      </c>
      <c r="G2260" s="9" t="str">
        <f t="shared" ca="1" si="769"/>
        <v xml:space="preserve">Enter a value for 'Number of Floors in the Tallest Building' in cell B60.
</v>
      </c>
      <c r="H2260" s="52" t="str">
        <f t="shared" ca="1" si="789"/>
        <v>Residential Square Footage**</v>
      </c>
      <c r="I2260" s="52">
        <v>7</v>
      </c>
    </row>
    <row r="2261" spans="1:10" ht="15" customHeight="1">
      <c r="A2261" t="str">
        <f t="shared" ca="1" si="784"/>
        <v/>
      </c>
      <c r="B2261">
        <f t="shared" si="785"/>
        <v>46</v>
      </c>
      <c r="C2261">
        <f t="shared" ca="1" si="771"/>
        <v>43</v>
      </c>
      <c r="D2261" t="str">
        <f t="shared" si="786"/>
        <v>H46</v>
      </c>
      <c r="E2261" t="str">
        <f t="shared" ca="1" si="787"/>
        <v/>
      </c>
      <c r="F2261" t="str">
        <f t="shared" ca="1" si="788"/>
        <v xml:space="preserve">Enter a 'Square Footage of Employee Units' for  building 43 in cell H46.
</v>
      </c>
      <c r="G2261" s="9" t="str">
        <f t="shared" ca="1" si="769"/>
        <v xml:space="preserve">Enter a value for 'Number of Floors in the Tallest Building' in cell B60.
</v>
      </c>
      <c r="H2261" s="52" t="str">
        <f t="shared" ca="1" si="789"/>
        <v>Square Footage of Employee Units</v>
      </c>
      <c r="I2261" s="52">
        <v>8</v>
      </c>
    </row>
    <row r="2262" spans="1:10" ht="15" customHeight="1">
      <c r="A2262" t="str">
        <f t="shared" ca="1" si="784"/>
        <v/>
      </c>
      <c r="B2262">
        <f t="shared" si="785"/>
        <v>46</v>
      </c>
      <c r="C2262">
        <f t="shared" ca="1" si="771"/>
        <v>43</v>
      </c>
      <c r="D2262" t="str">
        <f t="shared" si="786"/>
        <v>I46</v>
      </c>
      <c r="E2262" t="str">
        <f t="shared" ca="1" si="787"/>
        <v/>
      </c>
      <c r="F2262" t="str">
        <f t="shared" ca="1" si="788"/>
        <v xml:space="preserve">Enter a 'Square Footage of Low-Income Units' for  building 43 in cell I46.
</v>
      </c>
      <c r="G2262" s="9" t="str">
        <f t="shared" ca="1" si="769"/>
        <v xml:space="preserve">Enter a value for 'Number of Floors in the Tallest Building' in cell B60.
</v>
      </c>
      <c r="H2262" s="52" t="str">
        <f t="shared" ca="1" si="789"/>
        <v>Square Footage of Low-Income Units</v>
      </c>
      <c r="I2262" s="52">
        <v>9</v>
      </c>
    </row>
    <row r="2263" spans="1:10" ht="15" customHeight="1">
      <c r="A2263" t="str">
        <f t="shared" ca="1" si="784"/>
        <v/>
      </c>
      <c r="B2263">
        <f t="shared" si="785"/>
        <v>46</v>
      </c>
      <c r="C2263">
        <f t="shared" ca="1" si="771"/>
        <v>43</v>
      </c>
      <c r="D2263" t="str">
        <f t="shared" si="786"/>
        <v>J46</v>
      </c>
      <c r="E2263" t="str">
        <f t="shared" ca="1" si="787"/>
        <v/>
      </c>
      <c r="F2263" t="str">
        <f t="shared" ca="1" si="788"/>
        <v xml:space="preserve">Enter a 'Placed-In-Service Date' for  building 43 in cell J46.
</v>
      </c>
      <c r="G2263" s="9" t="str">
        <f t="shared" ca="1" si="769"/>
        <v xml:space="preserve">Enter a value for 'Number of Floors in the Tallest Building' in cell B60.
</v>
      </c>
      <c r="H2263" s="52" t="str">
        <f t="shared" ca="1" si="789"/>
        <v>Placed-In-Service Date</v>
      </c>
      <c r="I2263" s="52">
        <v>10</v>
      </c>
    </row>
    <row r="2264" spans="1:10" ht="15" customHeight="1">
      <c r="A2264" t="str">
        <f t="shared" ca="1" si="784"/>
        <v/>
      </c>
      <c r="B2264">
        <f t="shared" si="785"/>
        <v>46</v>
      </c>
      <c r="C2264">
        <f t="shared" ca="1" si="771"/>
        <v>43</v>
      </c>
      <c r="D2264" t="str">
        <f t="shared" si="786"/>
        <v>K46</v>
      </c>
      <c r="E2264" t="str">
        <f t="shared" ca="1" si="787"/>
        <v/>
      </c>
      <c r="F2264" t="str">
        <f t="shared" ca="1" si="788"/>
        <v xml:space="preserve">Enter a 'New Construction/ Rehab APR' for  building 43 in cell K46.
</v>
      </c>
      <c r="G2264" s="9" t="str">
        <f t="shared" ca="1" si="769"/>
        <v xml:space="preserve">Enter a value for 'Number of Floors in the Tallest Building' in cell B60.
</v>
      </c>
      <c r="H2264" s="52" t="str">
        <f t="shared" ca="1" si="789"/>
        <v>New Construction/ Rehab APR</v>
      </c>
      <c r="I2264" s="52">
        <v>11</v>
      </c>
    </row>
    <row r="2265" spans="1:10" ht="15" customHeight="1">
      <c r="A2265" t="str">
        <f t="shared" ca="1" si="784"/>
        <v/>
      </c>
      <c r="B2265">
        <f t="shared" si="785"/>
        <v>46</v>
      </c>
      <c r="C2265">
        <f t="shared" ca="1" si="771"/>
        <v>43</v>
      </c>
      <c r="D2265" t="str">
        <f t="shared" si="786"/>
        <v>L46</v>
      </c>
      <c r="E2265" t="str">
        <f t="shared" ca="1" si="787"/>
        <v/>
      </c>
      <c r="F2265" t="str">
        <f t="shared" ca="1" si="788"/>
        <v xml:space="preserve">Enter a 'New Construction Eligible Basis' for  building 43 in cell L46.
</v>
      </c>
      <c r="G2265" s="9" t="str">
        <f t="shared" ca="1" si="769"/>
        <v xml:space="preserve">Enter a value for 'Number of Floors in the Tallest Building' in cell B60.
</v>
      </c>
      <c r="H2265" s="52" t="str">
        <f t="shared" ca="1" si="789"/>
        <v>New Construction Eligible Basis</v>
      </c>
      <c r="I2265" s="52">
        <v>12</v>
      </c>
    </row>
    <row r="2266" spans="1:10" ht="15" customHeight="1">
      <c r="A2266" t="str">
        <f ca="1">IF(AND(OFFSET(A2266, -I2266 + 2, 4) &gt;  0, E2266="", Calculations!$B$7), F2266, "")</f>
        <v/>
      </c>
      <c r="B2266">
        <f t="shared" si="785"/>
        <v>46</v>
      </c>
      <c r="C2266">
        <f t="shared" ca="1" si="771"/>
        <v>43</v>
      </c>
      <c r="D2266" t="str">
        <f t="shared" si="786"/>
        <v>M46</v>
      </c>
      <c r="E2266" t="str">
        <f t="shared" ca="1" si="787"/>
        <v/>
      </c>
      <c r="F2266" t="str">
        <f t="shared" ca="1" si="788"/>
        <v xml:space="preserve">Enter a 'Eligible Basis for Rehab' for  building 43 in cell M46.
</v>
      </c>
      <c r="G2266" s="9" t="str">
        <f t="shared" ca="1" si="769"/>
        <v xml:space="preserve">Enter a value for 'Number of Floors in the Tallest Building' in cell B60.
</v>
      </c>
      <c r="H2266" s="52" t="str">
        <f t="shared" ca="1" si="789"/>
        <v>Eligible Basis for Rehab</v>
      </c>
      <c r="I2266" s="52">
        <v>13</v>
      </c>
    </row>
    <row r="2267" spans="1:10" ht="15" customHeight="1">
      <c r="A2267" t="str">
        <f ca="1">IF(AND(OFFSET(A2267, -I2267 + 2, 4) &gt;  0, E2267="", Calculations!$B$7), F2267, "")</f>
        <v/>
      </c>
      <c r="B2267">
        <f t="shared" si="785"/>
        <v>46</v>
      </c>
      <c r="C2267">
        <f t="shared" ca="1" si="771"/>
        <v>43</v>
      </c>
      <c r="D2267" t="str">
        <f t="shared" si="786"/>
        <v>N46</v>
      </c>
      <c r="E2267" t="str">
        <f t="shared" ca="1" si="787"/>
        <v/>
      </c>
      <c r="F2267" t="str">
        <f t="shared" ca="1" si="788"/>
        <v xml:space="preserve">Enter a 'Cost of Acquiring the Building***' for  building 43 in cell N46.
</v>
      </c>
      <c r="G2267" s="9" t="str">
        <f t="shared" ca="1" si="769"/>
        <v xml:space="preserve">Enter a value for 'Number of Floors in the Tallest Building' in cell B60.
</v>
      </c>
      <c r="H2267" s="52" t="str">
        <f t="shared" ca="1" si="789"/>
        <v>Cost of Acquiring the Building***</v>
      </c>
      <c r="I2267" s="52">
        <v>14</v>
      </c>
    </row>
    <row r="2268" spans="1:10" ht="15" customHeight="1">
      <c r="A2268" t="str">
        <f ca="1">IF(AND(OFFSET(A2268, -I2268 + 2, 4) &gt;  0, E2268="", Calculations!$B$7), F2268, "")</f>
        <v/>
      </c>
      <c r="B2268">
        <f t="shared" si="785"/>
        <v>46</v>
      </c>
      <c r="C2268">
        <f t="shared" ca="1" si="771"/>
        <v>43</v>
      </c>
      <c r="D2268" t="str">
        <f t="shared" si="786"/>
        <v>O46</v>
      </c>
      <c r="E2268" t="str">
        <f t="shared" ca="1" si="787"/>
        <v/>
      </c>
      <c r="F2268" t="str">
        <f t="shared" ca="1" si="788"/>
        <v xml:space="preserve">Enter a 'Higher of Land Purchase Price or Land Appraised Value****' for  building 43 in cell O46.
</v>
      </c>
      <c r="G2268" s="9" t="str">
        <f t="shared" ca="1" si="769"/>
        <v xml:space="preserve">Enter a value for 'Number of Floors in the Tallest Building' in cell B60.
</v>
      </c>
      <c r="H2268" s="52" t="str">
        <f t="shared" ca="1" si="789"/>
        <v>Higher of Land Purchase Price or Land Appraised Value****</v>
      </c>
      <c r="I2268" s="52">
        <v>15</v>
      </c>
    </row>
    <row r="2269" spans="1:10" ht="15" customHeight="1">
      <c r="A2269" t="str">
        <f ca="1">IF(AND(OFFSET(A2269, -I2269 + 2, 4) &gt;  0, E2269="", Calculations!$B$7), F2269, "")</f>
        <v/>
      </c>
      <c r="B2269">
        <f t="shared" si="785"/>
        <v>46</v>
      </c>
      <c r="C2269">
        <f t="shared" ca="1" si="771"/>
        <v>43</v>
      </c>
      <c r="D2269" t="str">
        <f t="shared" si="786"/>
        <v>P46</v>
      </c>
      <c r="E2269" t="str">
        <f t="shared" ca="1" si="787"/>
        <v/>
      </c>
      <c r="F2269" t="str">
        <f t="shared" ca="1" si="788"/>
        <v xml:space="preserve">Enter a 'Acquisition Placed-in-Service Date' for  building 43 in cell P46.
</v>
      </c>
      <c r="G2269" s="9" t="str">
        <f t="shared" ca="1" si="769"/>
        <v xml:space="preserve">Enter a value for 'Number of Floors in the Tallest Building' in cell B60.
</v>
      </c>
      <c r="H2269" s="52" t="str">
        <f t="shared" ca="1" si="789"/>
        <v>Acquisition Placed-in-Service Date</v>
      </c>
      <c r="I2269" s="52">
        <v>16</v>
      </c>
    </row>
    <row r="2270" spans="1:10" ht="15" customHeight="1">
      <c r="A2270" t="str">
        <f ca="1">IF(AND(OFFSET(A2270, -I2270 + 2, 4) &gt;  0, E2270="", Calculations!$B$7), F2270, "")</f>
        <v/>
      </c>
      <c r="B2270">
        <f t="shared" si="785"/>
        <v>46</v>
      </c>
      <c r="C2270">
        <f t="shared" ca="1" si="771"/>
        <v>43</v>
      </c>
      <c r="D2270" t="str">
        <f t="shared" si="786"/>
        <v>Q46</v>
      </c>
      <c r="E2270" t="str">
        <f t="shared" ca="1" si="787"/>
        <v/>
      </c>
      <c r="F2270" t="str">
        <f t="shared" ca="1" si="788"/>
        <v xml:space="preserve">Enter a 'Acquisition APR' for  building 43 in cell Q46.
</v>
      </c>
      <c r="G2270" s="9" t="str">
        <f t="shared" ca="1" si="769"/>
        <v xml:space="preserve">Enter a value for 'Number of Floors in the Tallest Building' in cell B60.
</v>
      </c>
      <c r="H2270" s="52" t="str">
        <f t="shared" ca="1" si="789"/>
        <v>Acquisition APR</v>
      </c>
      <c r="I2270" s="52">
        <v>17</v>
      </c>
    </row>
    <row r="2271" spans="1:10" ht="15" customHeight="1">
      <c r="A2271" t="str">
        <f ca="1">IF(AND(Calculations!$B$4,Calculations!$B$29&gt;=C2271, E2271 &lt;&gt; 13),F2271,"")</f>
        <v/>
      </c>
      <c r="B2271">
        <f>ROW('Final Building Profile'!C47)</f>
        <v>47</v>
      </c>
      <c r="C2271">
        <f t="shared" ca="1" si="771"/>
        <v>44</v>
      </c>
      <c r="D2271" t="str">
        <f>ADDRESS(B2271, 3,4  )</f>
        <v>C47</v>
      </c>
      <c r="E2271" s="52">
        <f ca="1">H2271+I2271</f>
        <v>0</v>
      </c>
      <c r="F2271" t="str">
        <f ca="1">CONCATENATE("Based upon the number of buildings specified, information for  building ", C2271, " required for a final application in row ", B2271, ".", CHAR(10))</f>
        <v xml:space="preserve">Based upon the number of buildings specified, information for  building 44 required for a final application in row 47.
</v>
      </c>
      <c r="G2271" s="9" t="str">
        <f t="shared" ca="1" si="769"/>
        <v xml:space="preserve">Enter a value for 'Number of Floors in the Tallest Building' in cell B60.
</v>
      </c>
      <c r="H2271" s="52">
        <f ca="1">SUMPRODUCT(--ISTEXT(INDIRECT(J2271)))</f>
        <v>0</v>
      </c>
      <c r="I2271" s="52">
        <f ca="1">SUMPRODUCT(--ISNUMBER(INDIRECT(J2271)))</f>
        <v>0</v>
      </c>
      <c r="J2271" s="52" t="str">
        <f>$F$1565&amp; ADDRESS(B2271,3,4) &amp; ":" &amp; ADDRESS(B2271,15,4)</f>
        <v>'Final Building Profile'!C47:O47</v>
      </c>
    </row>
    <row r="2272" spans="1:10" ht="15" customHeight="1">
      <c r="A2272" t="str">
        <f t="shared" ref="A2272:A2281" ca="1" si="790">IF(AND(OFFSET(A2272, -I2272 + 2, 4) &gt;  0, E2272=""), F2272, "")</f>
        <v/>
      </c>
      <c r="B2272">
        <f t="shared" ref="B2272:B2286" si="791">B2271</f>
        <v>47</v>
      </c>
      <c r="C2272">
        <f t="shared" ca="1" si="771"/>
        <v>44</v>
      </c>
      <c r="D2272" t="str">
        <f t="shared" ref="D2272:D2286" si="792">ADDRESS(B2272, I2272,4  )</f>
        <v>C47</v>
      </c>
      <c r="E2272" t="str">
        <f t="shared" ref="E2272:E2286" ca="1" si="793">IF(ISBLANK( INDIRECT($F$1565 &amp; D2272)),"", INDIRECT($F$1565 &amp; D2272))</f>
        <v/>
      </c>
      <c r="F2272" t="str">
        <f t="shared" ref="F2272:F2286" ca="1" si="794">CONCATENATE("Enter a '"&amp; H2272 &amp;"' for  building ", C2272, " in cell ", D2272, ".", CHAR(10))</f>
        <v xml:space="preserve">Enter a 'Building Street Address Only 
(DO NOT ENTER CITY, STATE, OR ZIP)' for  building 44 in cell C47.
</v>
      </c>
      <c r="G2272" s="9" t="str">
        <f t="shared" ref="G2272:G2335" ca="1" si="795">OFFSET(G2272, -1, 0) &amp; A2272</f>
        <v xml:space="preserve">Enter a value for 'Number of Floors in the Tallest Building' in cell B60.
</v>
      </c>
      <c r="H2272" s="52" t="str">
        <f t="shared" ref="H2272:H2286" ca="1" si="796">OFFSET(INDIRECT($F$1565 &amp; D2272), -B2272 + 3, 0)</f>
        <v>Building Street Address Only 
(DO NOT ENTER CITY, STATE, OR ZIP)</v>
      </c>
      <c r="I2272" s="52">
        <v>3</v>
      </c>
    </row>
    <row r="2273" spans="1:10" ht="15" customHeight="1">
      <c r="A2273" t="str">
        <f t="shared" ca="1" si="790"/>
        <v/>
      </c>
      <c r="B2273">
        <f t="shared" si="791"/>
        <v>47</v>
      </c>
      <c r="C2273">
        <f t="shared" ca="1" si="771"/>
        <v>44</v>
      </c>
      <c r="D2273" t="str">
        <f t="shared" si="792"/>
        <v>D47</v>
      </c>
      <c r="E2273" t="str">
        <f t="shared" ca="1" si="793"/>
        <v/>
      </c>
      <c r="F2273" t="str">
        <f t="shared" ca="1" si="794"/>
        <v xml:space="preserve">Enter a 'Total Units in Building*' for  building 44 in cell D47.
</v>
      </c>
      <c r="G2273" s="9" t="str">
        <f t="shared" ca="1" si="795"/>
        <v xml:space="preserve">Enter a value for 'Number of Floors in the Tallest Building' in cell B60.
</v>
      </c>
      <c r="H2273" s="52" t="str">
        <f t="shared" ca="1" si="796"/>
        <v>Total Units in Building*</v>
      </c>
      <c r="I2273" s="52">
        <v>4</v>
      </c>
    </row>
    <row r="2274" spans="1:10" ht="15" customHeight="1">
      <c r="A2274" t="str">
        <f t="shared" ca="1" si="790"/>
        <v/>
      </c>
      <c r="B2274">
        <f t="shared" si="791"/>
        <v>47</v>
      </c>
      <c r="C2274">
        <f t="shared" ca="1" si="771"/>
        <v>44</v>
      </c>
      <c r="D2274" t="str">
        <f t="shared" si="792"/>
        <v>E47</v>
      </c>
      <c r="E2274" t="str">
        <f t="shared" ca="1" si="793"/>
        <v/>
      </c>
      <c r="F2274" t="str">
        <f t="shared" ca="1" si="794"/>
        <v xml:space="preserve">Enter a 'Employee Units' for  building 44 in cell E47.
</v>
      </c>
      <c r="G2274" s="9" t="str">
        <f t="shared" ca="1" si="795"/>
        <v xml:space="preserve">Enter a value for 'Number of Floors in the Tallest Building' in cell B60.
</v>
      </c>
      <c r="H2274" s="52" t="str">
        <f t="shared" ca="1" si="796"/>
        <v>Employee Units</v>
      </c>
      <c r="I2274" s="52">
        <v>5</v>
      </c>
    </row>
    <row r="2275" spans="1:10" ht="15" customHeight="1">
      <c r="A2275" t="str">
        <f t="shared" ca="1" si="790"/>
        <v/>
      </c>
      <c r="B2275">
        <f t="shared" si="791"/>
        <v>47</v>
      </c>
      <c r="C2275">
        <f t="shared" ca="1" si="771"/>
        <v>44</v>
      </c>
      <c r="D2275" t="str">
        <f t="shared" si="792"/>
        <v>F47</v>
      </c>
      <c r="E2275" t="str">
        <f t="shared" ca="1" si="793"/>
        <v/>
      </c>
      <c r="F2275" t="str">
        <f t="shared" ca="1" si="794"/>
        <v xml:space="preserve">Enter a 'Low-Income Units' for  building 44 in cell F47.
</v>
      </c>
      <c r="G2275" s="9" t="str">
        <f t="shared" ca="1" si="795"/>
        <v xml:space="preserve">Enter a value for 'Number of Floors in the Tallest Building' in cell B60.
</v>
      </c>
      <c r="H2275" s="52" t="str">
        <f t="shared" ca="1" si="796"/>
        <v>Low-Income Units</v>
      </c>
      <c r="I2275" s="52">
        <v>6</v>
      </c>
    </row>
    <row r="2276" spans="1:10" ht="15" customHeight="1">
      <c r="A2276" t="str">
        <f t="shared" ca="1" si="790"/>
        <v/>
      </c>
      <c r="B2276">
        <f t="shared" si="791"/>
        <v>47</v>
      </c>
      <c r="C2276">
        <f t="shared" ca="1" si="771"/>
        <v>44</v>
      </c>
      <c r="D2276" t="str">
        <f t="shared" si="792"/>
        <v>G47</v>
      </c>
      <c r="E2276" t="str">
        <f t="shared" ca="1" si="793"/>
        <v/>
      </c>
      <c r="F2276" t="str">
        <f t="shared" ca="1" si="794"/>
        <v xml:space="preserve">Enter a 'Residential Square Footage**' for  building 44 in cell G47.
</v>
      </c>
      <c r="G2276" s="9" t="str">
        <f t="shared" ca="1" si="795"/>
        <v xml:space="preserve">Enter a value for 'Number of Floors in the Tallest Building' in cell B60.
</v>
      </c>
      <c r="H2276" s="52" t="str">
        <f t="shared" ca="1" si="796"/>
        <v>Residential Square Footage**</v>
      </c>
      <c r="I2276" s="52">
        <v>7</v>
      </c>
    </row>
    <row r="2277" spans="1:10" ht="15" customHeight="1">
      <c r="A2277" t="str">
        <f t="shared" ca="1" si="790"/>
        <v/>
      </c>
      <c r="B2277">
        <f t="shared" si="791"/>
        <v>47</v>
      </c>
      <c r="C2277">
        <f t="shared" ca="1" si="771"/>
        <v>44</v>
      </c>
      <c r="D2277" t="str">
        <f t="shared" si="792"/>
        <v>H47</v>
      </c>
      <c r="E2277" t="str">
        <f t="shared" ca="1" si="793"/>
        <v/>
      </c>
      <c r="F2277" t="str">
        <f t="shared" ca="1" si="794"/>
        <v xml:space="preserve">Enter a 'Square Footage of Employee Units' for  building 44 in cell H47.
</v>
      </c>
      <c r="G2277" s="9" t="str">
        <f t="shared" ca="1" si="795"/>
        <v xml:space="preserve">Enter a value for 'Number of Floors in the Tallest Building' in cell B60.
</v>
      </c>
      <c r="H2277" s="52" t="str">
        <f t="shared" ca="1" si="796"/>
        <v>Square Footage of Employee Units</v>
      </c>
      <c r="I2277" s="52">
        <v>8</v>
      </c>
    </row>
    <row r="2278" spans="1:10" ht="15" customHeight="1">
      <c r="A2278" t="str">
        <f t="shared" ca="1" si="790"/>
        <v/>
      </c>
      <c r="B2278">
        <f t="shared" si="791"/>
        <v>47</v>
      </c>
      <c r="C2278">
        <f t="shared" ca="1" si="771"/>
        <v>44</v>
      </c>
      <c r="D2278" t="str">
        <f t="shared" si="792"/>
        <v>I47</v>
      </c>
      <c r="E2278" t="str">
        <f t="shared" ca="1" si="793"/>
        <v/>
      </c>
      <c r="F2278" t="str">
        <f t="shared" ca="1" si="794"/>
        <v xml:space="preserve">Enter a 'Square Footage of Low-Income Units' for  building 44 in cell I47.
</v>
      </c>
      <c r="G2278" s="9" t="str">
        <f t="shared" ca="1" si="795"/>
        <v xml:space="preserve">Enter a value for 'Number of Floors in the Tallest Building' in cell B60.
</v>
      </c>
      <c r="H2278" s="52" t="str">
        <f t="shared" ca="1" si="796"/>
        <v>Square Footage of Low-Income Units</v>
      </c>
      <c r="I2278" s="52">
        <v>9</v>
      </c>
    </row>
    <row r="2279" spans="1:10" ht="15" customHeight="1">
      <c r="A2279" t="str">
        <f t="shared" ca="1" si="790"/>
        <v/>
      </c>
      <c r="B2279">
        <f t="shared" si="791"/>
        <v>47</v>
      </c>
      <c r="C2279">
        <f t="shared" ca="1" si="771"/>
        <v>44</v>
      </c>
      <c r="D2279" t="str">
        <f t="shared" si="792"/>
        <v>J47</v>
      </c>
      <c r="E2279" t="str">
        <f t="shared" ca="1" si="793"/>
        <v/>
      </c>
      <c r="F2279" t="str">
        <f t="shared" ca="1" si="794"/>
        <v xml:space="preserve">Enter a 'Placed-In-Service Date' for  building 44 in cell J47.
</v>
      </c>
      <c r="G2279" s="9" t="str">
        <f t="shared" ca="1" si="795"/>
        <v xml:space="preserve">Enter a value for 'Number of Floors in the Tallest Building' in cell B60.
</v>
      </c>
      <c r="H2279" s="52" t="str">
        <f t="shared" ca="1" si="796"/>
        <v>Placed-In-Service Date</v>
      </c>
      <c r="I2279" s="52">
        <v>10</v>
      </c>
    </row>
    <row r="2280" spans="1:10" ht="15" customHeight="1">
      <c r="A2280" t="str">
        <f t="shared" ca="1" si="790"/>
        <v/>
      </c>
      <c r="B2280">
        <f t="shared" si="791"/>
        <v>47</v>
      </c>
      <c r="C2280">
        <f t="shared" ca="1" si="771"/>
        <v>44</v>
      </c>
      <c r="D2280" t="str">
        <f t="shared" si="792"/>
        <v>K47</v>
      </c>
      <c r="E2280" t="str">
        <f t="shared" ca="1" si="793"/>
        <v/>
      </c>
      <c r="F2280" t="str">
        <f t="shared" ca="1" si="794"/>
        <v xml:space="preserve">Enter a 'New Construction/ Rehab APR' for  building 44 in cell K47.
</v>
      </c>
      <c r="G2280" s="9" t="str">
        <f t="shared" ca="1" si="795"/>
        <v xml:space="preserve">Enter a value for 'Number of Floors in the Tallest Building' in cell B60.
</v>
      </c>
      <c r="H2280" s="52" t="str">
        <f t="shared" ca="1" si="796"/>
        <v>New Construction/ Rehab APR</v>
      </c>
      <c r="I2280" s="52">
        <v>11</v>
      </c>
    </row>
    <row r="2281" spans="1:10" ht="15" customHeight="1">
      <c r="A2281" t="str">
        <f t="shared" ca="1" si="790"/>
        <v/>
      </c>
      <c r="B2281">
        <f t="shared" si="791"/>
        <v>47</v>
      </c>
      <c r="C2281">
        <f t="shared" ca="1" si="771"/>
        <v>44</v>
      </c>
      <c r="D2281" t="str">
        <f t="shared" si="792"/>
        <v>L47</v>
      </c>
      <c r="E2281" t="str">
        <f t="shared" ca="1" si="793"/>
        <v/>
      </c>
      <c r="F2281" t="str">
        <f t="shared" ca="1" si="794"/>
        <v xml:space="preserve">Enter a 'New Construction Eligible Basis' for  building 44 in cell L47.
</v>
      </c>
      <c r="G2281" s="9" t="str">
        <f t="shared" ca="1" si="795"/>
        <v xml:space="preserve">Enter a value for 'Number of Floors in the Tallest Building' in cell B60.
</v>
      </c>
      <c r="H2281" s="52" t="str">
        <f t="shared" ca="1" si="796"/>
        <v>New Construction Eligible Basis</v>
      </c>
      <c r="I2281" s="52">
        <v>12</v>
      </c>
    </row>
    <row r="2282" spans="1:10" ht="15" customHeight="1">
      <c r="A2282" t="str">
        <f ca="1">IF(AND(OFFSET(A2282, -I2282 + 2, 4) &gt;  0, E2282="", Calculations!$B$7), F2282, "")</f>
        <v/>
      </c>
      <c r="B2282">
        <f t="shared" si="791"/>
        <v>47</v>
      </c>
      <c r="C2282">
        <f t="shared" ca="1" si="771"/>
        <v>44</v>
      </c>
      <c r="D2282" t="str">
        <f t="shared" si="792"/>
        <v>M47</v>
      </c>
      <c r="E2282" t="str">
        <f t="shared" ca="1" si="793"/>
        <v/>
      </c>
      <c r="F2282" t="str">
        <f t="shared" ca="1" si="794"/>
        <v xml:space="preserve">Enter a 'Eligible Basis for Rehab' for  building 44 in cell M47.
</v>
      </c>
      <c r="G2282" s="9" t="str">
        <f t="shared" ca="1" si="795"/>
        <v xml:space="preserve">Enter a value for 'Number of Floors in the Tallest Building' in cell B60.
</v>
      </c>
      <c r="H2282" s="52" t="str">
        <f t="shared" ca="1" si="796"/>
        <v>Eligible Basis for Rehab</v>
      </c>
      <c r="I2282" s="52">
        <v>13</v>
      </c>
    </row>
    <row r="2283" spans="1:10" ht="15" customHeight="1">
      <c r="A2283" t="str">
        <f ca="1">IF(AND(OFFSET(A2283, -I2283 + 2, 4) &gt;  0, E2283="", Calculations!$B$7), F2283, "")</f>
        <v/>
      </c>
      <c r="B2283">
        <f t="shared" si="791"/>
        <v>47</v>
      </c>
      <c r="C2283">
        <f t="shared" ca="1" si="771"/>
        <v>44</v>
      </c>
      <c r="D2283" t="str">
        <f t="shared" si="792"/>
        <v>N47</v>
      </c>
      <c r="E2283" t="str">
        <f t="shared" ca="1" si="793"/>
        <v/>
      </c>
      <c r="F2283" t="str">
        <f t="shared" ca="1" si="794"/>
        <v xml:space="preserve">Enter a 'Cost of Acquiring the Building***' for  building 44 in cell N47.
</v>
      </c>
      <c r="G2283" s="9" t="str">
        <f t="shared" ca="1" si="795"/>
        <v xml:space="preserve">Enter a value for 'Number of Floors in the Tallest Building' in cell B60.
</v>
      </c>
      <c r="H2283" s="52" t="str">
        <f t="shared" ca="1" si="796"/>
        <v>Cost of Acquiring the Building***</v>
      </c>
      <c r="I2283" s="52">
        <v>14</v>
      </c>
    </row>
    <row r="2284" spans="1:10" ht="15" customHeight="1">
      <c r="A2284" t="str">
        <f ca="1">IF(AND(OFFSET(A2284, -I2284 + 2, 4) &gt;  0, E2284="", Calculations!$B$7), F2284, "")</f>
        <v/>
      </c>
      <c r="B2284">
        <f t="shared" si="791"/>
        <v>47</v>
      </c>
      <c r="C2284">
        <f t="shared" ca="1" si="771"/>
        <v>44</v>
      </c>
      <c r="D2284" t="str">
        <f t="shared" si="792"/>
        <v>O47</v>
      </c>
      <c r="E2284" t="str">
        <f t="shared" ca="1" si="793"/>
        <v/>
      </c>
      <c r="F2284" t="str">
        <f t="shared" ca="1" si="794"/>
        <v xml:space="preserve">Enter a 'Higher of Land Purchase Price or Land Appraised Value****' for  building 44 in cell O47.
</v>
      </c>
      <c r="G2284" s="9" t="str">
        <f t="shared" ca="1" si="795"/>
        <v xml:space="preserve">Enter a value for 'Number of Floors in the Tallest Building' in cell B60.
</v>
      </c>
      <c r="H2284" s="52" t="str">
        <f t="shared" ca="1" si="796"/>
        <v>Higher of Land Purchase Price or Land Appraised Value****</v>
      </c>
      <c r="I2284" s="52">
        <v>15</v>
      </c>
    </row>
    <row r="2285" spans="1:10" ht="15" customHeight="1">
      <c r="A2285" t="str">
        <f ca="1">IF(AND(OFFSET(A2285, -I2285 + 2, 4) &gt;  0, E2285="", Calculations!$B$7), F2285, "")</f>
        <v/>
      </c>
      <c r="B2285">
        <f t="shared" si="791"/>
        <v>47</v>
      </c>
      <c r="C2285">
        <f t="shared" ca="1" si="771"/>
        <v>44</v>
      </c>
      <c r="D2285" t="str">
        <f t="shared" si="792"/>
        <v>P47</v>
      </c>
      <c r="E2285" t="str">
        <f t="shared" ca="1" si="793"/>
        <v/>
      </c>
      <c r="F2285" t="str">
        <f t="shared" ca="1" si="794"/>
        <v xml:space="preserve">Enter a 'Acquisition Placed-in-Service Date' for  building 44 in cell P47.
</v>
      </c>
      <c r="G2285" s="9" t="str">
        <f t="shared" ca="1" si="795"/>
        <v xml:space="preserve">Enter a value for 'Number of Floors in the Tallest Building' in cell B60.
</v>
      </c>
      <c r="H2285" s="52" t="str">
        <f t="shared" ca="1" si="796"/>
        <v>Acquisition Placed-in-Service Date</v>
      </c>
      <c r="I2285" s="52">
        <v>16</v>
      </c>
    </row>
    <row r="2286" spans="1:10" ht="15" customHeight="1">
      <c r="A2286" t="str">
        <f ca="1">IF(AND(OFFSET(A2286, -I2286 + 2, 4) &gt;  0, E2286="", Calculations!$B$7), F2286, "")</f>
        <v/>
      </c>
      <c r="B2286">
        <f t="shared" si="791"/>
        <v>47</v>
      </c>
      <c r="C2286">
        <f t="shared" ca="1" si="771"/>
        <v>44</v>
      </c>
      <c r="D2286" t="str">
        <f t="shared" si="792"/>
        <v>Q47</v>
      </c>
      <c r="E2286" t="str">
        <f t="shared" ca="1" si="793"/>
        <v/>
      </c>
      <c r="F2286" t="str">
        <f t="shared" ca="1" si="794"/>
        <v xml:space="preserve">Enter a 'Acquisition APR' for  building 44 in cell Q47.
</v>
      </c>
      <c r="G2286" s="9" t="str">
        <f t="shared" ca="1" si="795"/>
        <v xml:space="preserve">Enter a value for 'Number of Floors in the Tallest Building' in cell B60.
</v>
      </c>
      <c r="H2286" s="52" t="str">
        <f t="shared" ca="1" si="796"/>
        <v>Acquisition APR</v>
      </c>
      <c r="I2286" s="52">
        <v>17</v>
      </c>
    </row>
    <row r="2287" spans="1:10" ht="15" customHeight="1">
      <c r="A2287" t="str">
        <f ca="1">IF(AND(Calculations!$B$4,Calculations!$B$29&gt;=C2287, E2287 &lt;&gt; 13),F2287,"")</f>
        <v/>
      </c>
      <c r="B2287">
        <f>ROW('Final Building Profile'!C48)</f>
        <v>48</v>
      </c>
      <c r="C2287">
        <f t="shared" ref="C2287:C2350" ca="1" si="797">INDIRECT($F$1565 &amp; ADDRESS(B2287, 1,4  ))</f>
        <v>45</v>
      </c>
      <c r="D2287" t="str">
        <f>ADDRESS(B2287, 3,4  )</f>
        <v>C48</v>
      </c>
      <c r="E2287" s="52">
        <f ca="1">H2287+I2287</f>
        <v>0</v>
      </c>
      <c r="F2287" t="str">
        <f ca="1">CONCATENATE("Based upon the number of buildings specified, information for  building ", C2287, " required for a final application in row ", B2287, ".", CHAR(10))</f>
        <v xml:space="preserve">Based upon the number of buildings specified, information for  building 45 required for a final application in row 48.
</v>
      </c>
      <c r="G2287" s="9" t="str">
        <f t="shared" ca="1" si="795"/>
        <v xml:space="preserve">Enter a value for 'Number of Floors in the Tallest Building' in cell B60.
</v>
      </c>
      <c r="H2287" s="52">
        <f ca="1">SUMPRODUCT(--ISTEXT(INDIRECT(J2287)))</f>
        <v>0</v>
      </c>
      <c r="I2287" s="52">
        <f ca="1">SUMPRODUCT(--ISNUMBER(INDIRECT(J2287)))</f>
        <v>0</v>
      </c>
      <c r="J2287" s="52" t="str">
        <f>$F$1565&amp; ADDRESS(B2287,3,4) &amp; ":" &amp; ADDRESS(B2287,15,4)</f>
        <v>'Final Building Profile'!C48:O48</v>
      </c>
    </row>
    <row r="2288" spans="1:10" ht="15" customHeight="1">
      <c r="A2288" t="str">
        <f t="shared" ref="A2288:A2297" ca="1" si="798">IF(AND(OFFSET(A2288, -I2288 + 2, 4) &gt;  0, E2288=""), F2288, "")</f>
        <v/>
      </c>
      <c r="B2288">
        <f t="shared" ref="B2288:B2302" si="799">B2287</f>
        <v>48</v>
      </c>
      <c r="C2288">
        <f t="shared" ca="1" si="797"/>
        <v>45</v>
      </c>
      <c r="D2288" t="str">
        <f t="shared" ref="D2288:D2302" si="800">ADDRESS(B2288, I2288,4  )</f>
        <v>C48</v>
      </c>
      <c r="E2288" t="str">
        <f t="shared" ref="E2288:E2302" ca="1" si="801">IF(ISBLANK( INDIRECT($F$1565 &amp; D2288)),"", INDIRECT($F$1565 &amp; D2288))</f>
        <v/>
      </c>
      <c r="F2288" t="str">
        <f t="shared" ref="F2288:F2302" ca="1" si="802">CONCATENATE("Enter a '"&amp; H2288 &amp;"' for  building ", C2288, " in cell ", D2288, ".", CHAR(10))</f>
        <v xml:space="preserve">Enter a 'Building Street Address Only 
(DO NOT ENTER CITY, STATE, OR ZIP)' for  building 45 in cell C48.
</v>
      </c>
      <c r="G2288" s="9" t="str">
        <f t="shared" ca="1" si="795"/>
        <v xml:space="preserve">Enter a value for 'Number of Floors in the Tallest Building' in cell B60.
</v>
      </c>
      <c r="H2288" s="52" t="str">
        <f t="shared" ref="H2288:H2302" ca="1" si="803">OFFSET(INDIRECT($F$1565 &amp; D2288), -B2288 + 3, 0)</f>
        <v>Building Street Address Only 
(DO NOT ENTER CITY, STATE, OR ZIP)</v>
      </c>
      <c r="I2288" s="52">
        <v>3</v>
      </c>
    </row>
    <row r="2289" spans="1:10" ht="15" customHeight="1">
      <c r="A2289" t="str">
        <f t="shared" ca="1" si="798"/>
        <v/>
      </c>
      <c r="B2289">
        <f t="shared" si="799"/>
        <v>48</v>
      </c>
      <c r="C2289">
        <f t="shared" ca="1" si="797"/>
        <v>45</v>
      </c>
      <c r="D2289" t="str">
        <f t="shared" si="800"/>
        <v>D48</v>
      </c>
      <c r="E2289" t="str">
        <f t="shared" ca="1" si="801"/>
        <v/>
      </c>
      <c r="F2289" t="str">
        <f t="shared" ca="1" si="802"/>
        <v xml:space="preserve">Enter a 'Total Units in Building*' for  building 45 in cell D48.
</v>
      </c>
      <c r="G2289" s="9" t="str">
        <f t="shared" ca="1" si="795"/>
        <v xml:space="preserve">Enter a value for 'Number of Floors in the Tallest Building' in cell B60.
</v>
      </c>
      <c r="H2289" s="52" t="str">
        <f t="shared" ca="1" si="803"/>
        <v>Total Units in Building*</v>
      </c>
      <c r="I2289" s="52">
        <v>4</v>
      </c>
    </row>
    <row r="2290" spans="1:10" ht="15" customHeight="1">
      <c r="A2290" t="str">
        <f t="shared" ca="1" si="798"/>
        <v/>
      </c>
      <c r="B2290">
        <f t="shared" si="799"/>
        <v>48</v>
      </c>
      <c r="C2290">
        <f t="shared" ca="1" si="797"/>
        <v>45</v>
      </c>
      <c r="D2290" t="str">
        <f t="shared" si="800"/>
        <v>E48</v>
      </c>
      <c r="E2290" t="str">
        <f t="shared" ca="1" si="801"/>
        <v/>
      </c>
      <c r="F2290" t="str">
        <f t="shared" ca="1" si="802"/>
        <v xml:space="preserve">Enter a 'Employee Units' for  building 45 in cell E48.
</v>
      </c>
      <c r="G2290" s="9" t="str">
        <f t="shared" ca="1" si="795"/>
        <v xml:space="preserve">Enter a value for 'Number of Floors in the Tallest Building' in cell B60.
</v>
      </c>
      <c r="H2290" s="52" t="str">
        <f t="shared" ca="1" si="803"/>
        <v>Employee Units</v>
      </c>
      <c r="I2290" s="52">
        <v>5</v>
      </c>
    </row>
    <row r="2291" spans="1:10" ht="15" customHeight="1">
      <c r="A2291" t="str">
        <f t="shared" ca="1" si="798"/>
        <v/>
      </c>
      <c r="B2291">
        <f t="shared" si="799"/>
        <v>48</v>
      </c>
      <c r="C2291">
        <f t="shared" ca="1" si="797"/>
        <v>45</v>
      </c>
      <c r="D2291" t="str">
        <f t="shared" si="800"/>
        <v>F48</v>
      </c>
      <c r="E2291" t="str">
        <f t="shared" ca="1" si="801"/>
        <v/>
      </c>
      <c r="F2291" t="str">
        <f t="shared" ca="1" si="802"/>
        <v xml:space="preserve">Enter a 'Low-Income Units' for  building 45 in cell F48.
</v>
      </c>
      <c r="G2291" s="9" t="str">
        <f t="shared" ca="1" si="795"/>
        <v xml:space="preserve">Enter a value for 'Number of Floors in the Tallest Building' in cell B60.
</v>
      </c>
      <c r="H2291" s="52" t="str">
        <f t="shared" ca="1" si="803"/>
        <v>Low-Income Units</v>
      </c>
      <c r="I2291" s="52">
        <v>6</v>
      </c>
    </row>
    <row r="2292" spans="1:10" ht="15" customHeight="1">
      <c r="A2292" t="str">
        <f t="shared" ca="1" si="798"/>
        <v/>
      </c>
      <c r="B2292">
        <f t="shared" si="799"/>
        <v>48</v>
      </c>
      <c r="C2292">
        <f t="shared" ca="1" si="797"/>
        <v>45</v>
      </c>
      <c r="D2292" t="str">
        <f t="shared" si="800"/>
        <v>G48</v>
      </c>
      <c r="E2292" t="str">
        <f t="shared" ca="1" si="801"/>
        <v/>
      </c>
      <c r="F2292" t="str">
        <f t="shared" ca="1" si="802"/>
        <v xml:space="preserve">Enter a 'Residential Square Footage**' for  building 45 in cell G48.
</v>
      </c>
      <c r="G2292" s="9" t="str">
        <f t="shared" ca="1" si="795"/>
        <v xml:space="preserve">Enter a value for 'Number of Floors in the Tallest Building' in cell B60.
</v>
      </c>
      <c r="H2292" s="52" t="str">
        <f t="shared" ca="1" si="803"/>
        <v>Residential Square Footage**</v>
      </c>
      <c r="I2292" s="52">
        <v>7</v>
      </c>
    </row>
    <row r="2293" spans="1:10" ht="15" customHeight="1">
      <c r="A2293" t="str">
        <f t="shared" ca="1" si="798"/>
        <v/>
      </c>
      <c r="B2293">
        <f t="shared" si="799"/>
        <v>48</v>
      </c>
      <c r="C2293">
        <f t="shared" ca="1" si="797"/>
        <v>45</v>
      </c>
      <c r="D2293" t="str">
        <f t="shared" si="800"/>
        <v>H48</v>
      </c>
      <c r="E2293" t="str">
        <f t="shared" ca="1" si="801"/>
        <v/>
      </c>
      <c r="F2293" t="str">
        <f t="shared" ca="1" si="802"/>
        <v xml:space="preserve">Enter a 'Square Footage of Employee Units' for  building 45 in cell H48.
</v>
      </c>
      <c r="G2293" s="9" t="str">
        <f t="shared" ca="1" si="795"/>
        <v xml:space="preserve">Enter a value for 'Number of Floors in the Tallest Building' in cell B60.
</v>
      </c>
      <c r="H2293" s="52" t="str">
        <f t="shared" ca="1" si="803"/>
        <v>Square Footage of Employee Units</v>
      </c>
      <c r="I2293" s="52">
        <v>8</v>
      </c>
    </row>
    <row r="2294" spans="1:10" ht="15" customHeight="1">
      <c r="A2294" t="str">
        <f t="shared" ca="1" si="798"/>
        <v/>
      </c>
      <c r="B2294">
        <f t="shared" si="799"/>
        <v>48</v>
      </c>
      <c r="C2294">
        <f t="shared" ca="1" si="797"/>
        <v>45</v>
      </c>
      <c r="D2294" t="str">
        <f t="shared" si="800"/>
        <v>I48</v>
      </c>
      <c r="E2294" t="str">
        <f t="shared" ca="1" si="801"/>
        <v/>
      </c>
      <c r="F2294" t="str">
        <f t="shared" ca="1" si="802"/>
        <v xml:space="preserve">Enter a 'Square Footage of Low-Income Units' for  building 45 in cell I48.
</v>
      </c>
      <c r="G2294" s="9" t="str">
        <f t="shared" ca="1" si="795"/>
        <v xml:space="preserve">Enter a value for 'Number of Floors in the Tallest Building' in cell B60.
</v>
      </c>
      <c r="H2294" s="52" t="str">
        <f t="shared" ca="1" si="803"/>
        <v>Square Footage of Low-Income Units</v>
      </c>
      <c r="I2294" s="52">
        <v>9</v>
      </c>
    </row>
    <row r="2295" spans="1:10" ht="15" customHeight="1">
      <c r="A2295" t="str">
        <f t="shared" ca="1" si="798"/>
        <v/>
      </c>
      <c r="B2295">
        <f t="shared" si="799"/>
        <v>48</v>
      </c>
      <c r="C2295">
        <f t="shared" ca="1" si="797"/>
        <v>45</v>
      </c>
      <c r="D2295" t="str">
        <f t="shared" si="800"/>
        <v>J48</v>
      </c>
      <c r="E2295" t="str">
        <f t="shared" ca="1" si="801"/>
        <v/>
      </c>
      <c r="F2295" t="str">
        <f t="shared" ca="1" si="802"/>
        <v xml:space="preserve">Enter a 'Placed-In-Service Date' for  building 45 in cell J48.
</v>
      </c>
      <c r="G2295" s="9" t="str">
        <f t="shared" ca="1" si="795"/>
        <v xml:space="preserve">Enter a value for 'Number of Floors in the Tallest Building' in cell B60.
</v>
      </c>
      <c r="H2295" s="52" t="str">
        <f t="shared" ca="1" si="803"/>
        <v>Placed-In-Service Date</v>
      </c>
      <c r="I2295" s="52">
        <v>10</v>
      </c>
    </row>
    <row r="2296" spans="1:10" ht="15" customHeight="1">
      <c r="A2296" t="str">
        <f t="shared" ca="1" si="798"/>
        <v/>
      </c>
      <c r="B2296">
        <f t="shared" si="799"/>
        <v>48</v>
      </c>
      <c r="C2296">
        <f t="shared" ca="1" si="797"/>
        <v>45</v>
      </c>
      <c r="D2296" t="str">
        <f t="shared" si="800"/>
        <v>K48</v>
      </c>
      <c r="E2296" t="str">
        <f t="shared" ca="1" si="801"/>
        <v/>
      </c>
      <c r="F2296" t="str">
        <f t="shared" ca="1" si="802"/>
        <v xml:space="preserve">Enter a 'New Construction/ Rehab APR' for  building 45 in cell K48.
</v>
      </c>
      <c r="G2296" s="9" t="str">
        <f t="shared" ca="1" si="795"/>
        <v xml:space="preserve">Enter a value for 'Number of Floors in the Tallest Building' in cell B60.
</v>
      </c>
      <c r="H2296" s="52" t="str">
        <f t="shared" ca="1" si="803"/>
        <v>New Construction/ Rehab APR</v>
      </c>
      <c r="I2296" s="52">
        <v>11</v>
      </c>
    </row>
    <row r="2297" spans="1:10" ht="15" customHeight="1">
      <c r="A2297" t="str">
        <f t="shared" ca="1" si="798"/>
        <v/>
      </c>
      <c r="B2297">
        <f t="shared" si="799"/>
        <v>48</v>
      </c>
      <c r="C2297">
        <f t="shared" ca="1" si="797"/>
        <v>45</v>
      </c>
      <c r="D2297" t="str">
        <f t="shared" si="800"/>
        <v>L48</v>
      </c>
      <c r="E2297" t="str">
        <f t="shared" ca="1" si="801"/>
        <v/>
      </c>
      <c r="F2297" t="str">
        <f t="shared" ca="1" si="802"/>
        <v xml:space="preserve">Enter a 'New Construction Eligible Basis' for  building 45 in cell L48.
</v>
      </c>
      <c r="G2297" s="9" t="str">
        <f t="shared" ca="1" si="795"/>
        <v xml:space="preserve">Enter a value for 'Number of Floors in the Tallest Building' in cell B60.
</v>
      </c>
      <c r="H2297" s="52" t="str">
        <f t="shared" ca="1" si="803"/>
        <v>New Construction Eligible Basis</v>
      </c>
      <c r="I2297" s="52">
        <v>12</v>
      </c>
    </row>
    <row r="2298" spans="1:10" ht="15" customHeight="1">
      <c r="A2298" t="str">
        <f ca="1">IF(AND(OFFSET(A2298, -I2298 + 2, 4) &gt;  0, E2298="", Calculations!$B$7), F2298, "")</f>
        <v/>
      </c>
      <c r="B2298">
        <f t="shared" si="799"/>
        <v>48</v>
      </c>
      <c r="C2298">
        <f t="shared" ca="1" si="797"/>
        <v>45</v>
      </c>
      <c r="D2298" t="str">
        <f t="shared" si="800"/>
        <v>M48</v>
      </c>
      <c r="E2298" t="str">
        <f t="shared" ca="1" si="801"/>
        <v/>
      </c>
      <c r="F2298" t="str">
        <f t="shared" ca="1" si="802"/>
        <v xml:space="preserve">Enter a 'Eligible Basis for Rehab' for  building 45 in cell M48.
</v>
      </c>
      <c r="G2298" s="9" t="str">
        <f t="shared" ca="1" si="795"/>
        <v xml:space="preserve">Enter a value for 'Number of Floors in the Tallest Building' in cell B60.
</v>
      </c>
      <c r="H2298" s="52" t="str">
        <f t="shared" ca="1" si="803"/>
        <v>Eligible Basis for Rehab</v>
      </c>
      <c r="I2298" s="52">
        <v>13</v>
      </c>
    </row>
    <row r="2299" spans="1:10" ht="15" customHeight="1">
      <c r="A2299" t="str">
        <f ca="1">IF(AND(OFFSET(A2299, -I2299 + 2, 4) &gt;  0, E2299="", Calculations!$B$7), F2299, "")</f>
        <v/>
      </c>
      <c r="B2299">
        <f t="shared" si="799"/>
        <v>48</v>
      </c>
      <c r="C2299">
        <f t="shared" ca="1" si="797"/>
        <v>45</v>
      </c>
      <c r="D2299" t="str">
        <f t="shared" si="800"/>
        <v>N48</v>
      </c>
      <c r="E2299" t="str">
        <f t="shared" ca="1" si="801"/>
        <v/>
      </c>
      <c r="F2299" t="str">
        <f t="shared" ca="1" si="802"/>
        <v xml:space="preserve">Enter a 'Cost of Acquiring the Building***' for  building 45 in cell N48.
</v>
      </c>
      <c r="G2299" s="9" t="str">
        <f t="shared" ca="1" si="795"/>
        <v xml:space="preserve">Enter a value for 'Number of Floors in the Tallest Building' in cell B60.
</v>
      </c>
      <c r="H2299" s="52" t="str">
        <f t="shared" ca="1" si="803"/>
        <v>Cost of Acquiring the Building***</v>
      </c>
      <c r="I2299" s="52">
        <v>14</v>
      </c>
    </row>
    <row r="2300" spans="1:10" ht="15" customHeight="1">
      <c r="A2300" t="str">
        <f ca="1">IF(AND(OFFSET(A2300, -I2300 + 2, 4) &gt;  0, E2300="", Calculations!$B$7), F2300, "")</f>
        <v/>
      </c>
      <c r="B2300">
        <f t="shared" si="799"/>
        <v>48</v>
      </c>
      <c r="C2300">
        <f t="shared" ca="1" si="797"/>
        <v>45</v>
      </c>
      <c r="D2300" t="str">
        <f t="shared" si="800"/>
        <v>O48</v>
      </c>
      <c r="E2300" t="str">
        <f t="shared" ca="1" si="801"/>
        <v/>
      </c>
      <c r="F2300" t="str">
        <f t="shared" ca="1" si="802"/>
        <v xml:space="preserve">Enter a 'Higher of Land Purchase Price or Land Appraised Value****' for  building 45 in cell O48.
</v>
      </c>
      <c r="G2300" s="9" t="str">
        <f t="shared" ca="1" si="795"/>
        <v xml:space="preserve">Enter a value for 'Number of Floors in the Tallest Building' in cell B60.
</v>
      </c>
      <c r="H2300" s="52" t="str">
        <f t="shared" ca="1" si="803"/>
        <v>Higher of Land Purchase Price or Land Appraised Value****</v>
      </c>
      <c r="I2300" s="52">
        <v>15</v>
      </c>
    </row>
    <row r="2301" spans="1:10" ht="15" customHeight="1">
      <c r="A2301" t="str">
        <f ca="1">IF(AND(OFFSET(A2301, -I2301 + 2, 4) &gt;  0, E2301="", Calculations!$B$7), F2301, "")</f>
        <v/>
      </c>
      <c r="B2301">
        <f t="shared" si="799"/>
        <v>48</v>
      </c>
      <c r="C2301">
        <f t="shared" ca="1" si="797"/>
        <v>45</v>
      </c>
      <c r="D2301" t="str">
        <f t="shared" si="800"/>
        <v>P48</v>
      </c>
      <c r="E2301" t="str">
        <f t="shared" ca="1" si="801"/>
        <v/>
      </c>
      <c r="F2301" t="str">
        <f t="shared" ca="1" si="802"/>
        <v xml:space="preserve">Enter a 'Acquisition Placed-in-Service Date' for  building 45 in cell P48.
</v>
      </c>
      <c r="G2301" s="9" t="str">
        <f t="shared" ca="1" si="795"/>
        <v xml:space="preserve">Enter a value for 'Number of Floors in the Tallest Building' in cell B60.
</v>
      </c>
      <c r="H2301" s="52" t="str">
        <f t="shared" ca="1" si="803"/>
        <v>Acquisition Placed-in-Service Date</v>
      </c>
      <c r="I2301" s="52">
        <v>16</v>
      </c>
    </row>
    <row r="2302" spans="1:10" ht="15" customHeight="1">
      <c r="A2302" t="str">
        <f ca="1">IF(AND(OFFSET(A2302, -I2302 + 2, 4) &gt;  0, E2302="", Calculations!$B$7), F2302, "")</f>
        <v/>
      </c>
      <c r="B2302">
        <f t="shared" si="799"/>
        <v>48</v>
      </c>
      <c r="C2302">
        <f t="shared" ca="1" si="797"/>
        <v>45</v>
      </c>
      <c r="D2302" t="str">
        <f t="shared" si="800"/>
        <v>Q48</v>
      </c>
      <c r="E2302" t="str">
        <f t="shared" ca="1" si="801"/>
        <v/>
      </c>
      <c r="F2302" t="str">
        <f t="shared" ca="1" si="802"/>
        <v xml:space="preserve">Enter a 'Acquisition APR' for  building 45 in cell Q48.
</v>
      </c>
      <c r="G2302" s="9" t="str">
        <f t="shared" ca="1" si="795"/>
        <v xml:space="preserve">Enter a value for 'Number of Floors in the Tallest Building' in cell B60.
</v>
      </c>
      <c r="H2302" s="52" t="str">
        <f t="shared" ca="1" si="803"/>
        <v>Acquisition APR</v>
      </c>
      <c r="I2302" s="52">
        <v>17</v>
      </c>
    </row>
    <row r="2303" spans="1:10" ht="15" customHeight="1">
      <c r="A2303" t="str">
        <f ca="1">IF(AND(Calculations!$B$4,Calculations!$B$29&gt;=C2303, E2303 &lt;&gt; 13),F2303,"")</f>
        <v/>
      </c>
      <c r="B2303">
        <f>ROW('Final Building Profile'!C49)</f>
        <v>49</v>
      </c>
      <c r="C2303">
        <f t="shared" ca="1" si="797"/>
        <v>46</v>
      </c>
      <c r="D2303" t="str">
        <f>ADDRESS(B2303, 3,4  )</f>
        <v>C49</v>
      </c>
      <c r="E2303" s="52">
        <f ca="1">H2303+I2303</f>
        <v>0</v>
      </c>
      <c r="F2303" t="str">
        <f ca="1">CONCATENATE("Based upon the number of buildings specified, information for  building ", C2303, " required for a final application in row ", B2303, ".", CHAR(10))</f>
        <v xml:space="preserve">Based upon the number of buildings specified, information for  building 46 required for a final application in row 49.
</v>
      </c>
      <c r="G2303" s="9" t="str">
        <f t="shared" ca="1" si="795"/>
        <v xml:space="preserve">Enter a value for 'Number of Floors in the Tallest Building' in cell B60.
</v>
      </c>
      <c r="H2303" s="52">
        <f ca="1">SUMPRODUCT(--ISTEXT(INDIRECT(J2303)))</f>
        <v>0</v>
      </c>
      <c r="I2303" s="52">
        <f ca="1">SUMPRODUCT(--ISNUMBER(INDIRECT(J2303)))</f>
        <v>0</v>
      </c>
      <c r="J2303" s="52" t="str">
        <f>$F$1565&amp; ADDRESS(B2303,3,4) &amp; ":" &amp; ADDRESS(B2303,15,4)</f>
        <v>'Final Building Profile'!C49:O49</v>
      </c>
    </row>
    <row r="2304" spans="1:10" ht="15" customHeight="1">
      <c r="A2304" t="str">
        <f t="shared" ref="A2304:A2313" ca="1" si="804">IF(AND(OFFSET(A2304, -I2304 + 2, 4) &gt;  0, E2304=""), F2304, "")</f>
        <v/>
      </c>
      <c r="B2304">
        <f t="shared" ref="B2304:B2318" si="805">B2303</f>
        <v>49</v>
      </c>
      <c r="C2304">
        <f t="shared" ca="1" si="797"/>
        <v>46</v>
      </c>
      <c r="D2304" t="str">
        <f t="shared" ref="D2304:D2318" si="806">ADDRESS(B2304, I2304,4  )</f>
        <v>C49</v>
      </c>
      <c r="E2304" t="str">
        <f t="shared" ref="E2304:E2318" ca="1" si="807">IF(ISBLANK( INDIRECT($F$1565 &amp; D2304)),"", INDIRECT($F$1565 &amp; D2304))</f>
        <v/>
      </c>
      <c r="F2304" t="str">
        <f t="shared" ref="F2304:F2318" ca="1" si="808">CONCATENATE("Enter a '"&amp; H2304 &amp;"' for  building ", C2304, " in cell ", D2304, ".", CHAR(10))</f>
        <v xml:space="preserve">Enter a 'Building Street Address Only 
(DO NOT ENTER CITY, STATE, OR ZIP)' for  building 46 in cell C49.
</v>
      </c>
      <c r="G2304" s="9" t="str">
        <f t="shared" ca="1" si="795"/>
        <v xml:space="preserve">Enter a value for 'Number of Floors in the Tallest Building' in cell B60.
</v>
      </c>
      <c r="H2304" s="52" t="str">
        <f t="shared" ref="H2304:H2318" ca="1" si="809">OFFSET(INDIRECT($F$1565 &amp; D2304), -B2304 + 3, 0)</f>
        <v>Building Street Address Only 
(DO NOT ENTER CITY, STATE, OR ZIP)</v>
      </c>
      <c r="I2304" s="52">
        <v>3</v>
      </c>
    </row>
    <row r="2305" spans="1:10" ht="15" customHeight="1">
      <c r="A2305" t="str">
        <f t="shared" ca="1" si="804"/>
        <v/>
      </c>
      <c r="B2305">
        <f t="shared" si="805"/>
        <v>49</v>
      </c>
      <c r="C2305">
        <f t="shared" ca="1" si="797"/>
        <v>46</v>
      </c>
      <c r="D2305" t="str">
        <f t="shared" si="806"/>
        <v>D49</v>
      </c>
      <c r="E2305" t="str">
        <f t="shared" ca="1" si="807"/>
        <v/>
      </c>
      <c r="F2305" t="str">
        <f t="shared" ca="1" si="808"/>
        <v xml:space="preserve">Enter a 'Total Units in Building*' for  building 46 in cell D49.
</v>
      </c>
      <c r="G2305" s="9" t="str">
        <f t="shared" ca="1" si="795"/>
        <v xml:space="preserve">Enter a value for 'Number of Floors in the Tallest Building' in cell B60.
</v>
      </c>
      <c r="H2305" s="52" t="str">
        <f t="shared" ca="1" si="809"/>
        <v>Total Units in Building*</v>
      </c>
      <c r="I2305" s="52">
        <v>4</v>
      </c>
    </row>
    <row r="2306" spans="1:10" ht="15" customHeight="1">
      <c r="A2306" t="str">
        <f t="shared" ca="1" si="804"/>
        <v/>
      </c>
      <c r="B2306">
        <f t="shared" si="805"/>
        <v>49</v>
      </c>
      <c r="C2306">
        <f t="shared" ca="1" si="797"/>
        <v>46</v>
      </c>
      <c r="D2306" t="str">
        <f t="shared" si="806"/>
        <v>E49</v>
      </c>
      <c r="E2306" t="str">
        <f t="shared" ca="1" si="807"/>
        <v/>
      </c>
      <c r="F2306" t="str">
        <f t="shared" ca="1" si="808"/>
        <v xml:space="preserve">Enter a 'Employee Units' for  building 46 in cell E49.
</v>
      </c>
      <c r="G2306" s="9" t="str">
        <f t="shared" ca="1" si="795"/>
        <v xml:space="preserve">Enter a value for 'Number of Floors in the Tallest Building' in cell B60.
</v>
      </c>
      <c r="H2306" s="52" t="str">
        <f t="shared" ca="1" si="809"/>
        <v>Employee Units</v>
      </c>
      <c r="I2306" s="52">
        <v>5</v>
      </c>
    </row>
    <row r="2307" spans="1:10" ht="15" customHeight="1">
      <c r="A2307" t="str">
        <f t="shared" ca="1" si="804"/>
        <v/>
      </c>
      <c r="B2307">
        <f t="shared" si="805"/>
        <v>49</v>
      </c>
      <c r="C2307">
        <f t="shared" ca="1" si="797"/>
        <v>46</v>
      </c>
      <c r="D2307" t="str">
        <f t="shared" si="806"/>
        <v>F49</v>
      </c>
      <c r="E2307" t="str">
        <f t="shared" ca="1" si="807"/>
        <v/>
      </c>
      <c r="F2307" t="str">
        <f t="shared" ca="1" si="808"/>
        <v xml:space="preserve">Enter a 'Low-Income Units' for  building 46 in cell F49.
</v>
      </c>
      <c r="G2307" s="9" t="str">
        <f t="shared" ca="1" si="795"/>
        <v xml:space="preserve">Enter a value for 'Number of Floors in the Tallest Building' in cell B60.
</v>
      </c>
      <c r="H2307" s="52" t="str">
        <f t="shared" ca="1" si="809"/>
        <v>Low-Income Units</v>
      </c>
      <c r="I2307" s="52">
        <v>6</v>
      </c>
    </row>
    <row r="2308" spans="1:10" ht="15" customHeight="1">
      <c r="A2308" t="str">
        <f t="shared" ca="1" si="804"/>
        <v/>
      </c>
      <c r="B2308">
        <f t="shared" si="805"/>
        <v>49</v>
      </c>
      <c r="C2308">
        <f t="shared" ca="1" si="797"/>
        <v>46</v>
      </c>
      <c r="D2308" t="str">
        <f t="shared" si="806"/>
        <v>G49</v>
      </c>
      <c r="E2308" t="str">
        <f t="shared" ca="1" si="807"/>
        <v/>
      </c>
      <c r="F2308" t="str">
        <f t="shared" ca="1" si="808"/>
        <v xml:space="preserve">Enter a 'Residential Square Footage**' for  building 46 in cell G49.
</v>
      </c>
      <c r="G2308" s="9" t="str">
        <f t="shared" ca="1" si="795"/>
        <v xml:space="preserve">Enter a value for 'Number of Floors in the Tallest Building' in cell B60.
</v>
      </c>
      <c r="H2308" s="52" t="str">
        <f t="shared" ca="1" si="809"/>
        <v>Residential Square Footage**</v>
      </c>
      <c r="I2308" s="52">
        <v>7</v>
      </c>
    </row>
    <row r="2309" spans="1:10" ht="15" customHeight="1">
      <c r="A2309" t="str">
        <f t="shared" ca="1" si="804"/>
        <v/>
      </c>
      <c r="B2309">
        <f t="shared" si="805"/>
        <v>49</v>
      </c>
      <c r="C2309">
        <f t="shared" ca="1" si="797"/>
        <v>46</v>
      </c>
      <c r="D2309" t="str">
        <f t="shared" si="806"/>
        <v>H49</v>
      </c>
      <c r="E2309" t="str">
        <f t="shared" ca="1" si="807"/>
        <v/>
      </c>
      <c r="F2309" t="str">
        <f t="shared" ca="1" si="808"/>
        <v xml:space="preserve">Enter a 'Square Footage of Employee Units' for  building 46 in cell H49.
</v>
      </c>
      <c r="G2309" s="9" t="str">
        <f t="shared" ca="1" si="795"/>
        <v xml:space="preserve">Enter a value for 'Number of Floors in the Tallest Building' in cell B60.
</v>
      </c>
      <c r="H2309" s="52" t="str">
        <f t="shared" ca="1" si="809"/>
        <v>Square Footage of Employee Units</v>
      </c>
      <c r="I2309" s="52">
        <v>8</v>
      </c>
    </row>
    <row r="2310" spans="1:10" ht="15" customHeight="1">
      <c r="A2310" t="str">
        <f t="shared" ca="1" si="804"/>
        <v/>
      </c>
      <c r="B2310">
        <f t="shared" si="805"/>
        <v>49</v>
      </c>
      <c r="C2310">
        <f t="shared" ca="1" si="797"/>
        <v>46</v>
      </c>
      <c r="D2310" t="str">
        <f t="shared" si="806"/>
        <v>I49</v>
      </c>
      <c r="E2310" t="str">
        <f t="shared" ca="1" si="807"/>
        <v/>
      </c>
      <c r="F2310" t="str">
        <f t="shared" ca="1" si="808"/>
        <v xml:space="preserve">Enter a 'Square Footage of Low-Income Units' for  building 46 in cell I49.
</v>
      </c>
      <c r="G2310" s="9" t="str">
        <f t="shared" ca="1" si="795"/>
        <v xml:space="preserve">Enter a value for 'Number of Floors in the Tallest Building' in cell B60.
</v>
      </c>
      <c r="H2310" s="52" t="str">
        <f t="shared" ca="1" si="809"/>
        <v>Square Footage of Low-Income Units</v>
      </c>
      <c r="I2310" s="52">
        <v>9</v>
      </c>
    </row>
    <row r="2311" spans="1:10" ht="15" customHeight="1">
      <c r="A2311" t="str">
        <f t="shared" ca="1" si="804"/>
        <v/>
      </c>
      <c r="B2311">
        <f t="shared" si="805"/>
        <v>49</v>
      </c>
      <c r="C2311">
        <f t="shared" ca="1" si="797"/>
        <v>46</v>
      </c>
      <c r="D2311" t="str">
        <f t="shared" si="806"/>
        <v>J49</v>
      </c>
      <c r="E2311" t="str">
        <f t="shared" ca="1" si="807"/>
        <v/>
      </c>
      <c r="F2311" t="str">
        <f t="shared" ca="1" si="808"/>
        <v xml:space="preserve">Enter a 'Placed-In-Service Date' for  building 46 in cell J49.
</v>
      </c>
      <c r="G2311" s="9" t="str">
        <f t="shared" ca="1" si="795"/>
        <v xml:space="preserve">Enter a value for 'Number of Floors in the Tallest Building' in cell B60.
</v>
      </c>
      <c r="H2311" s="52" t="str">
        <f t="shared" ca="1" si="809"/>
        <v>Placed-In-Service Date</v>
      </c>
      <c r="I2311" s="52">
        <v>10</v>
      </c>
    </row>
    <row r="2312" spans="1:10" ht="15" customHeight="1">
      <c r="A2312" t="str">
        <f t="shared" ca="1" si="804"/>
        <v/>
      </c>
      <c r="B2312">
        <f t="shared" si="805"/>
        <v>49</v>
      </c>
      <c r="C2312">
        <f t="shared" ca="1" si="797"/>
        <v>46</v>
      </c>
      <c r="D2312" t="str">
        <f t="shared" si="806"/>
        <v>K49</v>
      </c>
      <c r="E2312" t="str">
        <f t="shared" ca="1" si="807"/>
        <v/>
      </c>
      <c r="F2312" t="str">
        <f t="shared" ca="1" si="808"/>
        <v xml:space="preserve">Enter a 'New Construction/ Rehab APR' for  building 46 in cell K49.
</v>
      </c>
      <c r="G2312" s="9" t="str">
        <f t="shared" ca="1" si="795"/>
        <v xml:space="preserve">Enter a value for 'Number of Floors in the Tallest Building' in cell B60.
</v>
      </c>
      <c r="H2312" s="52" t="str">
        <f t="shared" ca="1" si="809"/>
        <v>New Construction/ Rehab APR</v>
      </c>
      <c r="I2312" s="52">
        <v>11</v>
      </c>
    </row>
    <row r="2313" spans="1:10" ht="15" customHeight="1">
      <c r="A2313" t="str">
        <f t="shared" ca="1" si="804"/>
        <v/>
      </c>
      <c r="B2313">
        <f t="shared" si="805"/>
        <v>49</v>
      </c>
      <c r="C2313">
        <f t="shared" ca="1" si="797"/>
        <v>46</v>
      </c>
      <c r="D2313" t="str">
        <f t="shared" si="806"/>
        <v>L49</v>
      </c>
      <c r="E2313" t="str">
        <f t="shared" ca="1" si="807"/>
        <v/>
      </c>
      <c r="F2313" t="str">
        <f t="shared" ca="1" si="808"/>
        <v xml:space="preserve">Enter a 'New Construction Eligible Basis' for  building 46 in cell L49.
</v>
      </c>
      <c r="G2313" s="9" t="str">
        <f t="shared" ca="1" si="795"/>
        <v xml:space="preserve">Enter a value for 'Number of Floors in the Tallest Building' in cell B60.
</v>
      </c>
      <c r="H2313" s="52" t="str">
        <f t="shared" ca="1" si="809"/>
        <v>New Construction Eligible Basis</v>
      </c>
      <c r="I2313" s="52">
        <v>12</v>
      </c>
    </row>
    <row r="2314" spans="1:10" ht="15" customHeight="1">
      <c r="A2314" t="str">
        <f ca="1">IF(AND(OFFSET(A2314, -I2314 + 2, 4) &gt;  0, E2314="", Calculations!$B$7), F2314, "")</f>
        <v/>
      </c>
      <c r="B2314">
        <f t="shared" si="805"/>
        <v>49</v>
      </c>
      <c r="C2314">
        <f t="shared" ca="1" si="797"/>
        <v>46</v>
      </c>
      <c r="D2314" t="str">
        <f t="shared" si="806"/>
        <v>M49</v>
      </c>
      <c r="E2314" t="str">
        <f t="shared" ca="1" si="807"/>
        <v/>
      </c>
      <c r="F2314" t="str">
        <f t="shared" ca="1" si="808"/>
        <v xml:space="preserve">Enter a 'Eligible Basis for Rehab' for  building 46 in cell M49.
</v>
      </c>
      <c r="G2314" s="9" t="str">
        <f t="shared" ca="1" si="795"/>
        <v xml:space="preserve">Enter a value for 'Number of Floors in the Tallest Building' in cell B60.
</v>
      </c>
      <c r="H2314" s="52" t="str">
        <f t="shared" ca="1" si="809"/>
        <v>Eligible Basis for Rehab</v>
      </c>
      <c r="I2314" s="52">
        <v>13</v>
      </c>
    </row>
    <row r="2315" spans="1:10" ht="15" customHeight="1">
      <c r="A2315" t="str">
        <f ca="1">IF(AND(OFFSET(A2315, -I2315 + 2, 4) &gt;  0, E2315="", Calculations!$B$7), F2315, "")</f>
        <v/>
      </c>
      <c r="B2315">
        <f t="shared" si="805"/>
        <v>49</v>
      </c>
      <c r="C2315">
        <f t="shared" ca="1" si="797"/>
        <v>46</v>
      </c>
      <c r="D2315" t="str">
        <f t="shared" si="806"/>
        <v>N49</v>
      </c>
      <c r="E2315" t="str">
        <f t="shared" ca="1" si="807"/>
        <v/>
      </c>
      <c r="F2315" t="str">
        <f t="shared" ca="1" si="808"/>
        <v xml:space="preserve">Enter a 'Cost of Acquiring the Building***' for  building 46 in cell N49.
</v>
      </c>
      <c r="G2315" s="9" t="str">
        <f t="shared" ca="1" si="795"/>
        <v xml:space="preserve">Enter a value for 'Number of Floors in the Tallest Building' in cell B60.
</v>
      </c>
      <c r="H2315" s="52" t="str">
        <f t="shared" ca="1" si="809"/>
        <v>Cost of Acquiring the Building***</v>
      </c>
      <c r="I2315" s="52">
        <v>14</v>
      </c>
    </row>
    <row r="2316" spans="1:10" ht="15" customHeight="1">
      <c r="A2316" t="str">
        <f ca="1">IF(AND(OFFSET(A2316, -I2316 + 2, 4) &gt;  0, E2316="", Calculations!$B$7), F2316, "")</f>
        <v/>
      </c>
      <c r="B2316">
        <f t="shared" si="805"/>
        <v>49</v>
      </c>
      <c r="C2316">
        <f t="shared" ca="1" si="797"/>
        <v>46</v>
      </c>
      <c r="D2316" t="str">
        <f t="shared" si="806"/>
        <v>O49</v>
      </c>
      <c r="E2316" t="str">
        <f t="shared" ca="1" si="807"/>
        <v/>
      </c>
      <c r="F2316" t="str">
        <f t="shared" ca="1" si="808"/>
        <v xml:space="preserve">Enter a 'Higher of Land Purchase Price or Land Appraised Value****' for  building 46 in cell O49.
</v>
      </c>
      <c r="G2316" s="9" t="str">
        <f t="shared" ca="1" si="795"/>
        <v xml:space="preserve">Enter a value for 'Number of Floors in the Tallest Building' in cell B60.
</v>
      </c>
      <c r="H2316" s="52" t="str">
        <f t="shared" ca="1" si="809"/>
        <v>Higher of Land Purchase Price or Land Appraised Value****</v>
      </c>
      <c r="I2316" s="52">
        <v>15</v>
      </c>
    </row>
    <row r="2317" spans="1:10" ht="15" customHeight="1">
      <c r="A2317" t="str">
        <f ca="1">IF(AND(OFFSET(A2317, -I2317 + 2, 4) &gt;  0, E2317="", Calculations!$B$7), F2317, "")</f>
        <v/>
      </c>
      <c r="B2317">
        <f t="shared" si="805"/>
        <v>49</v>
      </c>
      <c r="C2317">
        <f t="shared" ca="1" si="797"/>
        <v>46</v>
      </c>
      <c r="D2317" t="str">
        <f t="shared" si="806"/>
        <v>P49</v>
      </c>
      <c r="E2317" t="str">
        <f t="shared" ca="1" si="807"/>
        <v/>
      </c>
      <c r="F2317" t="str">
        <f t="shared" ca="1" si="808"/>
        <v xml:space="preserve">Enter a 'Acquisition Placed-in-Service Date' for  building 46 in cell P49.
</v>
      </c>
      <c r="G2317" s="9" t="str">
        <f t="shared" ca="1" si="795"/>
        <v xml:space="preserve">Enter a value for 'Number of Floors in the Tallest Building' in cell B60.
</v>
      </c>
      <c r="H2317" s="52" t="str">
        <f t="shared" ca="1" si="809"/>
        <v>Acquisition Placed-in-Service Date</v>
      </c>
      <c r="I2317" s="52">
        <v>16</v>
      </c>
    </row>
    <row r="2318" spans="1:10" ht="15" customHeight="1">
      <c r="A2318" t="str">
        <f ca="1">IF(AND(OFFSET(A2318, -I2318 + 2, 4) &gt;  0, E2318="", Calculations!$B$7), F2318, "")</f>
        <v/>
      </c>
      <c r="B2318">
        <f t="shared" si="805"/>
        <v>49</v>
      </c>
      <c r="C2318">
        <f t="shared" ca="1" si="797"/>
        <v>46</v>
      </c>
      <c r="D2318" t="str">
        <f t="shared" si="806"/>
        <v>Q49</v>
      </c>
      <c r="E2318" t="str">
        <f t="shared" ca="1" si="807"/>
        <v/>
      </c>
      <c r="F2318" t="str">
        <f t="shared" ca="1" si="808"/>
        <v xml:space="preserve">Enter a 'Acquisition APR' for  building 46 in cell Q49.
</v>
      </c>
      <c r="G2318" s="9" t="str">
        <f t="shared" ca="1" si="795"/>
        <v xml:space="preserve">Enter a value for 'Number of Floors in the Tallest Building' in cell B60.
</v>
      </c>
      <c r="H2318" s="52" t="str">
        <f t="shared" ca="1" si="809"/>
        <v>Acquisition APR</v>
      </c>
      <c r="I2318" s="52">
        <v>17</v>
      </c>
    </row>
    <row r="2319" spans="1:10" ht="15" customHeight="1">
      <c r="A2319" t="str">
        <f ca="1">IF(AND(Calculations!$B$4,Calculations!$B$29&gt;=C2319, E2319 &lt;&gt; 13),F2319,"")</f>
        <v/>
      </c>
      <c r="B2319">
        <f>ROW('Final Building Profile'!C50)</f>
        <v>50</v>
      </c>
      <c r="C2319">
        <f t="shared" ca="1" si="797"/>
        <v>47</v>
      </c>
      <c r="D2319" t="str">
        <f>ADDRESS(B2319, 3,4  )</f>
        <v>C50</v>
      </c>
      <c r="E2319" s="52">
        <f ca="1">H2319+I2319</f>
        <v>0</v>
      </c>
      <c r="F2319" t="str">
        <f ca="1">CONCATENATE("Based upon the number of buildings specified, information for  building ", C2319, " required for a final application in row ", B2319, ".", CHAR(10))</f>
        <v xml:space="preserve">Based upon the number of buildings specified, information for  building 47 required for a final application in row 50.
</v>
      </c>
      <c r="G2319" s="9" t="str">
        <f t="shared" ca="1" si="795"/>
        <v xml:space="preserve">Enter a value for 'Number of Floors in the Tallest Building' in cell B60.
</v>
      </c>
      <c r="H2319" s="52">
        <f ca="1">SUMPRODUCT(--ISTEXT(INDIRECT(J2319)))</f>
        <v>0</v>
      </c>
      <c r="I2319" s="52">
        <f ca="1">SUMPRODUCT(--ISNUMBER(INDIRECT(J2319)))</f>
        <v>0</v>
      </c>
      <c r="J2319" s="52" t="str">
        <f>$F$1565&amp; ADDRESS(B2319,3,4) &amp; ":" &amp; ADDRESS(B2319,15,4)</f>
        <v>'Final Building Profile'!C50:O50</v>
      </c>
    </row>
    <row r="2320" spans="1:10" ht="15" customHeight="1">
      <c r="A2320" t="str">
        <f t="shared" ref="A2320:A2329" ca="1" si="810">IF(AND(OFFSET(A2320, -I2320 + 2, 4) &gt;  0, E2320=""), F2320, "")</f>
        <v/>
      </c>
      <c r="B2320">
        <f t="shared" ref="B2320:B2334" si="811">B2319</f>
        <v>50</v>
      </c>
      <c r="C2320">
        <f t="shared" ca="1" si="797"/>
        <v>47</v>
      </c>
      <c r="D2320" t="str">
        <f t="shared" ref="D2320:D2334" si="812">ADDRESS(B2320, I2320,4  )</f>
        <v>C50</v>
      </c>
      <c r="E2320" t="str">
        <f t="shared" ref="E2320:E2334" ca="1" si="813">IF(ISBLANK( INDIRECT($F$1565 &amp; D2320)),"", INDIRECT($F$1565 &amp; D2320))</f>
        <v/>
      </c>
      <c r="F2320" t="str">
        <f t="shared" ref="F2320:F2334" ca="1" si="814">CONCATENATE("Enter a '"&amp; H2320 &amp;"' for  building ", C2320, " in cell ", D2320, ".", CHAR(10))</f>
        <v xml:space="preserve">Enter a 'Building Street Address Only 
(DO NOT ENTER CITY, STATE, OR ZIP)' for  building 47 in cell C50.
</v>
      </c>
      <c r="G2320" s="9" t="str">
        <f t="shared" ca="1" si="795"/>
        <v xml:space="preserve">Enter a value for 'Number of Floors in the Tallest Building' in cell B60.
</v>
      </c>
      <c r="H2320" s="52" t="str">
        <f t="shared" ref="H2320:H2334" ca="1" si="815">OFFSET(INDIRECT($F$1565 &amp; D2320), -B2320 + 3, 0)</f>
        <v>Building Street Address Only 
(DO NOT ENTER CITY, STATE, OR ZIP)</v>
      </c>
      <c r="I2320" s="52">
        <v>3</v>
      </c>
    </row>
    <row r="2321" spans="1:10" ht="15" customHeight="1">
      <c r="A2321" t="str">
        <f t="shared" ca="1" si="810"/>
        <v/>
      </c>
      <c r="B2321">
        <f t="shared" si="811"/>
        <v>50</v>
      </c>
      <c r="C2321">
        <f t="shared" ca="1" si="797"/>
        <v>47</v>
      </c>
      <c r="D2321" t="str">
        <f t="shared" si="812"/>
        <v>D50</v>
      </c>
      <c r="E2321" t="str">
        <f t="shared" ca="1" si="813"/>
        <v/>
      </c>
      <c r="F2321" t="str">
        <f t="shared" ca="1" si="814"/>
        <v xml:space="preserve">Enter a 'Total Units in Building*' for  building 47 in cell D50.
</v>
      </c>
      <c r="G2321" s="9" t="str">
        <f t="shared" ca="1" si="795"/>
        <v xml:space="preserve">Enter a value for 'Number of Floors in the Tallest Building' in cell B60.
</v>
      </c>
      <c r="H2321" s="52" t="str">
        <f t="shared" ca="1" si="815"/>
        <v>Total Units in Building*</v>
      </c>
      <c r="I2321" s="52">
        <v>4</v>
      </c>
    </row>
    <row r="2322" spans="1:10" ht="15" customHeight="1">
      <c r="A2322" t="str">
        <f t="shared" ca="1" si="810"/>
        <v/>
      </c>
      <c r="B2322">
        <f t="shared" si="811"/>
        <v>50</v>
      </c>
      <c r="C2322">
        <f t="shared" ca="1" si="797"/>
        <v>47</v>
      </c>
      <c r="D2322" t="str">
        <f t="shared" si="812"/>
        <v>E50</v>
      </c>
      <c r="E2322" t="str">
        <f t="shared" ca="1" si="813"/>
        <v/>
      </c>
      <c r="F2322" t="str">
        <f t="shared" ca="1" si="814"/>
        <v xml:space="preserve">Enter a 'Employee Units' for  building 47 in cell E50.
</v>
      </c>
      <c r="G2322" s="9" t="str">
        <f t="shared" ca="1" si="795"/>
        <v xml:space="preserve">Enter a value for 'Number of Floors in the Tallest Building' in cell B60.
</v>
      </c>
      <c r="H2322" s="52" t="str">
        <f t="shared" ca="1" si="815"/>
        <v>Employee Units</v>
      </c>
      <c r="I2322" s="52">
        <v>5</v>
      </c>
    </row>
    <row r="2323" spans="1:10" ht="15" customHeight="1">
      <c r="A2323" t="str">
        <f t="shared" ca="1" si="810"/>
        <v/>
      </c>
      <c r="B2323">
        <f t="shared" si="811"/>
        <v>50</v>
      </c>
      <c r="C2323">
        <f t="shared" ca="1" si="797"/>
        <v>47</v>
      </c>
      <c r="D2323" t="str">
        <f t="shared" si="812"/>
        <v>F50</v>
      </c>
      <c r="E2323" t="str">
        <f t="shared" ca="1" si="813"/>
        <v/>
      </c>
      <c r="F2323" t="str">
        <f t="shared" ca="1" si="814"/>
        <v xml:space="preserve">Enter a 'Low-Income Units' for  building 47 in cell F50.
</v>
      </c>
      <c r="G2323" s="9" t="str">
        <f t="shared" ca="1" si="795"/>
        <v xml:space="preserve">Enter a value for 'Number of Floors in the Tallest Building' in cell B60.
</v>
      </c>
      <c r="H2323" s="52" t="str">
        <f t="shared" ca="1" si="815"/>
        <v>Low-Income Units</v>
      </c>
      <c r="I2323" s="52">
        <v>6</v>
      </c>
    </row>
    <row r="2324" spans="1:10" ht="15" customHeight="1">
      <c r="A2324" t="str">
        <f t="shared" ca="1" si="810"/>
        <v/>
      </c>
      <c r="B2324">
        <f t="shared" si="811"/>
        <v>50</v>
      </c>
      <c r="C2324">
        <f t="shared" ca="1" si="797"/>
        <v>47</v>
      </c>
      <c r="D2324" t="str">
        <f t="shared" si="812"/>
        <v>G50</v>
      </c>
      <c r="E2324" t="str">
        <f t="shared" ca="1" si="813"/>
        <v/>
      </c>
      <c r="F2324" t="str">
        <f t="shared" ca="1" si="814"/>
        <v xml:space="preserve">Enter a 'Residential Square Footage**' for  building 47 in cell G50.
</v>
      </c>
      <c r="G2324" s="9" t="str">
        <f t="shared" ca="1" si="795"/>
        <v xml:space="preserve">Enter a value for 'Number of Floors in the Tallest Building' in cell B60.
</v>
      </c>
      <c r="H2324" s="52" t="str">
        <f t="shared" ca="1" si="815"/>
        <v>Residential Square Footage**</v>
      </c>
      <c r="I2324" s="52">
        <v>7</v>
      </c>
    </row>
    <row r="2325" spans="1:10" ht="15" customHeight="1">
      <c r="A2325" t="str">
        <f t="shared" ca="1" si="810"/>
        <v/>
      </c>
      <c r="B2325">
        <f t="shared" si="811"/>
        <v>50</v>
      </c>
      <c r="C2325">
        <f t="shared" ca="1" si="797"/>
        <v>47</v>
      </c>
      <c r="D2325" t="str">
        <f t="shared" si="812"/>
        <v>H50</v>
      </c>
      <c r="E2325" t="str">
        <f t="shared" ca="1" si="813"/>
        <v/>
      </c>
      <c r="F2325" t="str">
        <f t="shared" ca="1" si="814"/>
        <v xml:space="preserve">Enter a 'Square Footage of Employee Units' for  building 47 in cell H50.
</v>
      </c>
      <c r="G2325" s="9" t="str">
        <f t="shared" ca="1" si="795"/>
        <v xml:space="preserve">Enter a value for 'Number of Floors in the Tallest Building' in cell B60.
</v>
      </c>
      <c r="H2325" s="52" t="str">
        <f t="shared" ca="1" si="815"/>
        <v>Square Footage of Employee Units</v>
      </c>
      <c r="I2325" s="52">
        <v>8</v>
      </c>
    </row>
    <row r="2326" spans="1:10" ht="15" customHeight="1">
      <c r="A2326" t="str">
        <f t="shared" ca="1" si="810"/>
        <v/>
      </c>
      <c r="B2326">
        <f t="shared" si="811"/>
        <v>50</v>
      </c>
      <c r="C2326">
        <f t="shared" ca="1" si="797"/>
        <v>47</v>
      </c>
      <c r="D2326" t="str">
        <f t="shared" si="812"/>
        <v>I50</v>
      </c>
      <c r="E2326" t="str">
        <f t="shared" ca="1" si="813"/>
        <v/>
      </c>
      <c r="F2326" t="str">
        <f t="shared" ca="1" si="814"/>
        <v xml:space="preserve">Enter a 'Square Footage of Low-Income Units' for  building 47 in cell I50.
</v>
      </c>
      <c r="G2326" s="9" t="str">
        <f t="shared" ca="1" si="795"/>
        <v xml:space="preserve">Enter a value for 'Number of Floors in the Tallest Building' in cell B60.
</v>
      </c>
      <c r="H2326" s="52" t="str">
        <f t="shared" ca="1" si="815"/>
        <v>Square Footage of Low-Income Units</v>
      </c>
      <c r="I2326" s="52">
        <v>9</v>
      </c>
    </row>
    <row r="2327" spans="1:10" ht="15" customHeight="1">
      <c r="A2327" t="str">
        <f t="shared" ca="1" si="810"/>
        <v/>
      </c>
      <c r="B2327">
        <f t="shared" si="811"/>
        <v>50</v>
      </c>
      <c r="C2327">
        <f t="shared" ca="1" si="797"/>
        <v>47</v>
      </c>
      <c r="D2327" t="str">
        <f t="shared" si="812"/>
        <v>J50</v>
      </c>
      <c r="E2327" t="str">
        <f t="shared" ca="1" si="813"/>
        <v/>
      </c>
      <c r="F2327" t="str">
        <f t="shared" ca="1" si="814"/>
        <v xml:space="preserve">Enter a 'Placed-In-Service Date' for  building 47 in cell J50.
</v>
      </c>
      <c r="G2327" s="9" t="str">
        <f t="shared" ca="1" si="795"/>
        <v xml:space="preserve">Enter a value for 'Number of Floors in the Tallest Building' in cell B60.
</v>
      </c>
      <c r="H2327" s="52" t="str">
        <f t="shared" ca="1" si="815"/>
        <v>Placed-In-Service Date</v>
      </c>
      <c r="I2327" s="52">
        <v>10</v>
      </c>
    </row>
    <row r="2328" spans="1:10" ht="15" customHeight="1">
      <c r="A2328" t="str">
        <f t="shared" ca="1" si="810"/>
        <v/>
      </c>
      <c r="B2328">
        <f t="shared" si="811"/>
        <v>50</v>
      </c>
      <c r="C2328">
        <f t="shared" ca="1" si="797"/>
        <v>47</v>
      </c>
      <c r="D2328" t="str">
        <f t="shared" si="812"/>
        <v>K50</v>
      </c>
      <c r="E2328" t="str">
        <f t="shared" ca="1" si="813"/>
        <v/>
      </c>
      <c r="F2328" t="str">
        <f t="shared" ca="1" si="814"/>
        <v xml:space="preserve">Enter a 'New Construction/ Rehab APR' for  building 47 in cell K50.
</v>
      </c>
      <c r="G2328" s="9" t="str">
        <f t="shared" ca="1" si="795"/>
        <v xml:space="preserve">Enter a value for 'Number of Floors in the Tallest Building' in cell B60.
</v>
      </c>
      <c r="H2328" s="52" t="str">
        <f t="shared" ca="1" si="815"/>
        <v>New Construction/ Rehab APR</v>
      </c>
      <c r="I2328" s="52">
        <v>11</v>
      </c>
    </row>
    <row r="2329" spans="1:10" ht="15" customHeight="1">
      <c r="A2329" t="str">
        <f t="shared" ca="1" si="810"/>
        <v/>
      </c>
      <c r="B2329">
        <f t="shared" si="811"/>
        <v>50</v>
      </c>
      <c r="C2329">
        <f t="shared" ca="1" si="797"/>
        <v>47</v>
      </c>
      <c r="D2329" t="str">
        <f t="shared" si="812"/>
        <v>L50</v>
      </c>
      <c r="E2329" t="str">
        <f t="shared" ca="1" si="813"/>
        <v/>
      </c>
      <c r="F2329" t="str">
        <f t="shared" ca="1" si="814"/>
        <v xml:space="preserve">Enter a 'New Construction Eligible Basis' for  building 47 in cell L50.
</v>
      </c>
      <c r="G2329" s="9" t="str">
        <f t="shared" ca="1" si="795"/>
        <v xml:space="preserve">Enter a value for 'Number of Floors in the Tallest Building' in cell B60.
</v>
      </c>
      <c r="H2329" s="52" t="str">
        <f t="shared" ca="1" si="815"/>
        <v>New Construction Eligible Basis</v>
      </c>
      <c r="I2329" s="52">
        <v>12</v>
      </c>
    </row>
    <row r="2330" spans="1:10" ht="15" customHeight="1">
      <c r="A2330" t="str">
        <f ca="1">IF(AND(OFFSET(A2330, -I2330 + 2, 4) &gt;  0, E2330="", Calculations!$B$7), F2330, "")</f>
        <v/>
      </c>
      <c r="B2330">
        <f t="shared" si="811"/>
        <v>50</v>
      </c>
      <c r="C2330">
        <f t="shared" ca="1" si="797"/>
        <v>47</v>
      </c>
      <c r="D2330" t="str">
        <f t="shared" si="812"/>
        <v>M50</v>
      </c>
      <c r="E2330" t="str">
        <f t="shared" ca="1" si="813"/>
        <v/>
      </c>
      <c r="F2330" t="str">
        <f t="shared" ca="1" si="814"/>
        <v xml:space="preserve">Enter a 'Eligible Basis for Rehab' for  building 47 in cell M50.
</v>
      </c>
      <c r="G2330" s="9" t="str">
        <f t="shared" ca="1" si="795"/>
        <v xml:space="preserve">Enter a value for 'Number of Floors in the Tallest Building' in cell B60.
</v>
      </c>
      <c r="H2330" s="52" t="str">
        <f t="shared" ca="1" si="815"/>
        <v>Eligible Basis for Rehab</v>
      </c>
      <c r="I2330" s="52">
        <v>13</v>
      </c>
    </row>
    <row r="2331" spans="1:10" ht="15" customHeight="1">
      <c r="A2331" t="str">
        <f ca="1">IF(AND(OFFSET(A2331, -I2331 + 2, 4) &gt;  0, E2331="", Calculations!$B$7), F2331, "")</f>
        <v/>
      </c>
      <c r="B2331">
        <f t="shared" si="811"/>
        <v>50</v>
      </c>
      <c r="C2331">
        <f t="shared" ca="1" si="797"/>
        <v>47</v>
      </c>
      <c r="D2331" t="str">
        <f t="shared" si="812"/>
        <v>N50</v>
      </c>
      <c r="E2331" t="str">
        <f t="shared" ca="1" si="813"/>
        <v/>
      </c>
      <c r="F2331" t="str">
        <f t="shared" ca="1" si="814"/>
        <v xml:space="preserve">Enter a 'Cost of Acquiring the Building***' for  building 47 in cell N50.
</v>
      </c>
      <c r="G2331" s="9" t="str">
        <f t="shared" ca="1" si="795"/>
        <v xml:space="preserve">Enter a value for 'Number of Floors in the Tallest Building' in cell B60.
</v>
      </c>
      <c r="H2331" s="52" t="str">
        <f t="shared" ca="1" si="815"/>
        <v>Cost of Acquiring the Building***</v>
      </c>
      <c r="I2331" s="52">
        <v>14</v>
      </c>
    </row>
    <row r="2332" spans="1:10" ht="15" customHeight="1">
      <c r="A2332" t="str">
        <f ca="1">IF(AND(OFFSET(A2332, -I2332 + 2, 4) &gt;  0, E2332="", Calculations!$B$7), F2332, "")</f>
        <v/>
      </c>
      <c r="B2332">
        <f t="shared" si="811"/>
        <v>50</v>
      </c>
      <c r="C2332">
        <f t="shared" ca="1" si="797"/>
        <v>47</v>
      </c>
      <c r="D2332" t="str">
        <f t="shared" si="812"/>
        <v>O50</v>
      </c>
      <c r="E2332" t="str">
        <f t="shared" ca="1" si="813"/>
        <v/>
      </c>
      <c r="F2332" t="str">
        <f t="shared" ca="1" si="814"/>
        <v xml:space="preserve">Enter a 'Higher of Land Purchase Price or Land Appraised Value****' for  building 47 in cell O50.
</v>
      </c>
      <c r="G2332" s="9" t="str">
        <f t="shared" ca="1" si="795"/>
        <v xml:space="preserve">Enter a value for 'Number of Floors in the Tallest Building' in cell B60.
</v>
      </c>
      <c r="H2332" s="52" t="str">
        <f t="shared" ca="1" si="815"/>
        <v>Higher of Land Purchase Price or Land Appraised Value****</v>
      </c>
      <c r="I2332" s="52">
        <v>15</v>
      </c>
    </row>
    <row r="2333" spans="1:10" ht="15" customHeight="1">
      <c r="A2333" t="str">
        <f ca="1">IF(AND(OFFSET(A2333, -I2333 + 2, 4) &gt;  0, E2333="", Calculations!$B$7), F2333, "")</f>
        <v/>
      </c>
      <c r="B2333">
        <f t="shared" si="811"/>
        <v>50</v>
      </c>
      <c r="C2333">
        <f t="shared" ca="1" si="797"/>
        <v>47</v>
      </c>
      <c r="D2333" t="str">
        <f t="shared" si="812"/>
        <v>P50</v>
      </c>
      <c r="E2333" t="str">
        <f t="shared" ca="1" si="813"/>
        <v/>
      </c>
      <c r="F2333" t="str">
        <f t="shared" ca="1" si="814"/>
        <v xml:space="preserve">Enter a 'Acquisition Placed-in-Service Date' for  building 47 in cell P50.
</v>
      </c>
      <c r="G2333" s="9" t="str">
        <f t="shared" ca="1" si="795"/>
        <v xml:space="preserve">Enter a value for 'Number of Floors in the Tallest Building' in cell B60.
</v>
      </c>
      <c r="H2333" s="52" t="str">
        <f t="shared" ca="1" si="815"/>
        <v>Acquisition Placed-in-Service Date</v>
      </c>
      <c r="I2333" s="52">
        <v>16</v>
      </c>
    </row>
    <row r="2334" spans="1:10" ht="15" customHeight="1">
      <c r="A2334" t="str">
        <f ca="1">IF(AND(OFFSET(A2334, -I2334 + 2, 4) &gt;  0, E2334="", Calculations!$B$7), F2334, "")</f>
        <v/>
      </c>
      <c r="B2334">
        <f t="shared" si="811"/>
        <v>50</v>
      </c>
      <c r="C2334">
        <f t="shared" ca="1" si="797"/>
        <v>47</v>
      </c>
      <c r="D2334" t="str">
        <f t="shared" si="812"/>
        <v>Q50</v>
      </c>
      <c r="E2334" t="str">
        <f t="shared" ca="1" si="813"/>
        <v/>
      </c>
      <c r="F2334" t="str">
        <f t="shared" ca="1" si="814"/>
        <v xml:space="preserve">Enter a 'Acquisition APR' for  building 47 in cell Q50.
</v>
      </c>
      <c r="G2334" s="9" t="str">
        <f t="shared" ca="1" si="795"/>
        <v xml:space="preserve">Enter a value for 'Number of Floors in the Tallest Building' in cell B60.
</v>
      </c>
      <c r="H2334" s="52" t="str">
        <f t="shared" ca="1" si="815"/>
        <v>Acquisition APR</v>
      </c>
      <c r="I2334" s="52">
        <v>17</v>
      </c>
    </row>
    <row r="2335" spans="1:10" ht="15" customHeight="1">
      <c r="A2335" t="str">
        <f ca="1">IF(AND(Calculations!$B$4,Calculations!$B$29&gt;=C2335, E2335 &lt;&gt; 13),F2335,"")</f>
        <v/>
      </c>
      <c r="B2335">
        <f>ROW('Final Building Profile'!C51)</f>
        <v>51</v>
      </c>
      <c r="C2335">
        <f t="shared" ca="1" si="797"/>
        <v>48</v>
      </c>
      <c r="D2335" t="str">
        <f>ADDRESS(B2335, 3,4  )</f>
        <v>C51</v>
      </c>
      <c r="E2335" s="52">
        <f ca="1">H2335+I2335</f>
        <v>0</v>
      </c>
      <c r="F2335" t="str">
        <f ca="1">CONCATENATE("Based upon the number of buildings specified, information for  building ", C2335, " required for a final application in row ", B2335, ".", CHAR(10))</f>
        <v xml:space="preserve">Based upon the number of buildings specified, information for  building 48 required for a final application in row 51.
</v>
      </c>
      <c r="G2335" s="9" t="str">
        <f t="shared" ca="1" si="795"/>
        <v xml:space="preserve">Enter a value for 'Number of Floors in the Tallest Building' in cell B60.
</v>
      </c>
      <c r="H2335" s="52">
        <f ca="1">SUMPRODUCT(--ISTEXT(INDIRECT(J2335)))</f>
        <v>0</v>
      </c>
      <c r="I2335" s="52">
        <f ca="1">SUMPRODUCT(--ISNUMBER(INDIRECT(J2335)))</f>
        <v>0</v>
      </c>
      <c r="J2335" s="52" t="str">
        <f>$F$1565&amp; ADDRESS(B2335,3,4) &amp; ":" &amp; ADDRESS(B2335,15,4)</f>
        <v>'Final Building Profile'!C51:O51</v>
      </c>
    </row>
    <row r="2336" spans="1:10" ht="15" customHeight="1">
      <c r="A2336" t="str">
        <f t="shared" ref="A2336:A2345" ca="1" si="816">IF(AND(OFFSET(A2336, -I2336 + 2, 4) &gt;  0, E2336=""), F2336, "")</f>
        <v/>
      </c>
      <c r="B2336">
        <f t="shared" ref="B2336:B2350" si="817">B2335</f>
        <v>51</v>
      </c>
      <c r="C2336">
        <f t="shared" ca="1" si="797"/>
        <v>48</v>
      </c>
      <c r="D2336" t="str">
        <f t="shared" ref="D2336:D2350" si="818">ADDRESS(B2336, I2336,4  )</f>
        <v>C51</v>
      </c>
      <c r="E2336" t="str">
        <f t="shared" ref="E2336:E2350" ca="1" si="819">IF(ISBLANK( INDIRECT($F$1565 &amp; D2336)),"", INDIRECT($F$1565 &amp; D2336))</f>
        <v/>
      </c>
      <c r="F2336" t="str">
        <f t="shared" ref="F2336:F2350" ca="1" si="820">CONCATENATE("Enter a '"&amp; H2336 &amp;"' for  building ", C2336, " in cell ", D2336, ".", CHAR(10))</f>
        <v xml:space="preserve">Enter a 'Building Street Address Only 
(DO NOT ENTER CITY, STATE, OR ZIP)' for  building 48 in cell C51.
</v>
      </c>
      <c r="G2336" s="9" t="str">
        <f t="shared" ref="G2336:G2399" ca="1" si="821">OFFSET(G2336, -1, 0) &amp; A2336</f>
        <v xml:space="preserve">Enter a value for 'Number of Floors in the Tallest Building' in cell B60.
</v>
      </c>
      <c r="H2336" s="52" t="str">
        <f t="shared" ref="H2336:H2350" ca="1" si="822">OFFSET(INDIRECT($F$1565 &amp; D2336), -B2336 + 3, 0)</f>
        <v>Building Street Address Only 
(DO NOT ENTER CITY, STATE, OR ZIP)</v>
      </c>
      <c r="I2336" s="52">
        <v>3</v>
      </c>
    </row>
    <row r="2337" spans="1:10" ht="15" customHeight="1">
      <c r="A2337" t="str">
        <f t="shared" ca="1" si="816"/>
        <v/>
      </c>
      <c r="B2337">
        <f t="shared" si="817"/>
        <v>51</v>
      </c>
      <c r="C2337">
        <f t="shared" ca="1" si="797"/>
        <v>48</v>
      </c>
      <c r="D2337" t="str">
        <f t="shared" si="818"/>
        <v>D51</v>
      </c>
      <c r="E2337" t="str">
        <f t="shared" ca="1" si="819"/>
        <v/>
      </c>
      <c r="F2337" t="str">
        <f t="shared" ca="1" si="820"/>
        <v xml:space="preserve">Enter a 'Total Units in Building*' for  building 48 in cell D51.
</v>
      </c>
      <c r="G2337" s="9" t="str">
        <f t="shared" ca="1" si="821"/>
        <v xml:space="preserve">Enter a value for 'Number of Floors in the Tallest Building' in cell B60.
</v>
      </c>
      <c r="H2337" s="52" t="str">
        <f t="shared" ca="1" si="822"/>
        <v>Total Units in Building*</v>
      </c>
      <c r="I2337" s="52">
        <v>4</v>
      </c>
    </row>
    <row r="2338" spans="1:10" ht="15" customHeight="1">
      <c r="A2338" t="str">
        <f t="shared" ca="1" si="816"/>
        <v/>
      </c>
      <c r="B2338">
        <f t="shared" si="817"/>
        <v>51</v>
      </c>
      <c r="C2338">
        <f t="shared" ca="1" si="797"/>
        <v>48</v>
      </c>
      <c r="D2338" t="str">
        <f t="shared" si="818"/>
        <v>E51</v>
      </c>
      <c r="E2338" t="str">
        <f t="shared" ca="1" si="819"/>
        <v/>
      </c>
      <c r="F2338" t="str">
        <f t="shared" ca="1" si="820"/>
        <v xml:space="preserve">Enter a 'Employee Units' for  building 48 in cell E51.
</v>
      </c>
      <c r="G2338" s="9" t="str">
        <f t="shared" ca="1" si="821"/>
        <v xml:space="preserve">Enter a value for 'Number of Floors in the Tallest Building' in cell B60.
</v>
      </c>
      <c r="H2338" s="52" t="str">
        <f t="shared" ca="1" si="822"/>
        <v>Employee Units</v>
      </c>
      <c r="I2338" s="52">
        <v>5</v>
      </c>
    </row>
    <row r="2339" spans="1:10" ht="15" customHeight="1">
      <c r="A2339" t="str">
        <f t="shared" ca="1" si="816"/>
        <v/>
      </c>
      <c r="B2339">
        <f t="shared" si="817"/>
        <v>51</v>
      </c>
      <c r="C2339">
        <f t="shared" ca="1" si="797"/>
        <v>48</v>
      </c>
      <c r="D2339" t="str">
        <f t="shared" si="818"/>
        <v>F51</v>
      </c>
      <c r="E2339" t="str">
        <f t="shared" ca="1" si="819"/>
        <v/>
      </c>
      <c r="F2339" t="str">
        <f t="shared" ca="1" si="820"/>
        <v xml:space="preserve">Enter a 'Low-Income Units' for  building 48 in cell F51.
</v>
      </c>
      <c r="G2339" s="9" t="str">
        <f t="shared" ca="1" si="821"/>
        <v xml:space="preserve">Enter a value for 'Number of Floors in the Tallest Building' in cell B60.
</v>
      </c>
      <c r="H2339" s="52" t="str">
        <f t="shared" ca="1" si="822"/>
        <v>Low-Income Units</v>
      </c>
      <c r="I2339" s="52">
        <v>6</v>
      </c>
    </row>
    <row r="2340" spans="1:10" ht="15" customHeight="1">
      <c r="A2340" t="str">
        <f t="shared" ca="1" si="816"/>
        <v/>
      </c>
      <c r="B2340">
        <f t="shared" si="817"/>
        <v>51</v>
      </c>
      <c r="C2340">
        <f t="shared" ca="1" si="797"/>
        <v>48</v>
      </c>
      <c r="D2340" t="str">
        <f t="shared" si="818"/>
        <v>G51</v>
      </c>
      <c r="E2340" t="str">
        <f t="shared" ca="1" si="819"/>
        <v/>
      </c>
      <c r="F2340" t="str">
        <f t="shared" ca="1" si="820"/>
        <v xml:space="preserve">Enter a 'Residential Square Footage**' for  building 48 in cell G51.
</v>
      </c>
      <c r="G2340" s="9" t="str">
        <f t="shared" ca="1" si="821"/>
        <v xml:space="preserve">Enter a value for 'Number of Floors in the Tallest Building' in cell B60.
</v>
      </c>
      <c r="H2340" s="52" t="str">
        <f t="shared" ca="1" si="822"/>
        <v>Residential Square Footage**</v>
      </c>
      <c r="I2340" s="52">
        <v>7</v>
      </c>
    </row>
    <row r="2341" spans="1:10" ht="15" customHeight="1">
      <c r="A2341" t="str">
        <f t="shared" ca="1" si="816"/>
        <v/>
      </c>
      <c r="B2341">
        <f t="shared" si="817"/>
        <v>51</v>
      </c>
      <c r="C2341">
        <f t="shared" ca="1" si="797"/>
        <v>48</v>
      </c>
      <c r="D2341" t="str">
        <f t="shared" si="818"/>
        <v>H51</v>
      </c>
      <c r="E2341" t="str">
        <f t="shared" ca="1" si="819"/>
        <v/>
      </c>
      <c r="F2341" t="str">
        <f t="shared" ca="1" si="820"/>
        <v xml:space="preserve">Enter a 'Square Footage of Employee Units' for  building 48 in cell H51.
</v>
      </c>
      <c r="G2341" s="9" t="str">
        <f t="shared" ca="1" si="821"/>
        <v xml:space="preserve">Enter a value for 'Number of Floors in the Tallest Building' in cell B60.
</v>
      </c>
      <c r="H2341" s="52" t="str">
        <f t="shared" ca="1" si="822"/>
        <v>Square Footage of Employee Units</v>
      </c>
      <c r="I2341" s="52">
        <v>8</v>
      </c>
    </row>
    <row r="2342" spans="1:10" ht="15" customHeight="1">
      <c r="A2342" t="str">
        <f t="shared" ca="1" si="816"/>
        <v/>
      </c>
      <c r="B2342">
        <f t="shared" si="817"/>
        <v>51</v>
      </c>
      <c r="C2342">
        <f t="shared" ca="1" si="797"/>
        <v>48</v>
      </c>
      <c r="D2342" t="str">
        <f t="shared" si="818"/>
        <v>I51</v>
      </c>
      <c r="E2342" t="str">
        <f t="shared" ca="1" si="819"/>
        <v/>
      </c>
      <c r="F2342" t="str">
        <f t="shared" ca="1" si="820"/>
        <v xml:space="preserve">Enter a 'Square Footage of Low-Income Units' for  building 48 in cell I51.
</v>
      </c>
      <c r="G2342" s="9" t="str">
        <f t="shared" ca="1" si="821"/>
        <v xml:space="preserve">Enter a value for 'Number of Floors in the Tallest Building' in cell B60.
</v>
      </c>
      <c r="H2342" s="52" t="str">
        <f t="shared" ca="1" si="822"/>
        <v>Square Footage of Low-Income Units</v>
      </c>
      <c r="I2342" s="52">
        <v>9</v>
      </c>
    </row>
    <row r="2343" spans="1:10" ht="15" customHeight="1">
      <c r="A2343" t="str">
        <f t="shared" ca="1" si="816"/>
        <v/>
      </c>
      <c r="B2343">
        <f t="shared" si="817"/>
        <v>51</v>
      </c>
      <c r="C2343">
        <f t="shared" ca="1" si="797"/>
        <v>48</v>
      </c>
      <c r="D2343" t="str">
        <f t="shared" si="818"/>
        <v>J51</v>
      </c>
      <c r="E2343" t="str">
        <f t="shared" ca="1" si="819"/>
        <v/>
      </c>
      <c r="F2343" t="str">
        <f t="shared" ca="1" si="820"/>
        <v xml:space="preserve">Enter a 'Placed-In-Service Date' for  building 48 in cell J51.
</v>
      </c>
      <c r="G2343" s="9" t="str">
        <f t="shared" ca="1" si="821"/>
        <v xml:space="preserve">Enter a value for 'Number of Floors in the Tallest Building' in cell B60.
</v>
      </c>
      <c r="H2343" s="52" t="str">
        <f t="shared" ca="1" si="822"/>
        <v>Placed-In-Service Date</v>
      </c>
      <c r="I2343" s="52">
        <v>10</v>
      </c>
    </row>
    <row r="2344" spans="1:10" ht="15" customHeight="1">
      <c r="A2344" t="str">
        <f t="shared" ca="1" si="816"/>
        <v/>
      </c>
      <c r="B2344">
        <f t="shared" si="817"/>
        <v>51</v>
      </c>
      <c r="C2344">
        <f t="shared" ca="1" si="797"/>
        <v>48</v>
      </c>
      <c r="D2344" t="str">
        <f t="shared" si="818"/>
        <v>K51</v>
      </c>
      <c r="E2344" t="str">
        <f t="shared" ca="1" si="819"/>
        <v/>
      </c>
      <c r="F2344" t="str">
        <f t="shared" ca="1" si="820"/>
        <v xml:space="preserve">Enter a 'New Construction/ Rehab APR' for  building 48 in cell K51.
</v>
      </c>
      <c r="G2344" s="9" t="str">
        <f t="shared" ca="1" si="821"/>
        <v xml:space="preserve">Enter a value for 'Number of Floors in the Tallest Building' in cell B60.
</v>
      </c>
      <c r="H2344" s="52" t="str">
        <f t="shared" ca="1" si="822"/>
        <v>New Construction/ Rehab APR</v>
      </c>
      <c r="I2344" s="52">
        <v>11</v>
      </c>
    </row>
    <row r="2345" spans="1:10" ht="15" customHeight="1">
      <c r="A2345" t="str">
        <f t="shared" ca="1" si="816"/>
        <v/>
      </c>
      <c r="B2345">
        <f t="shared" si="817"/>
        <v>51</v>
      </c>
      <c r="C2345">
        <f t="shared" ca="1" si="797"/>
        <v>48</v>
      </c>
      <c r="D2345" t="str">
        <f t="shared" si="818"/>
        <v>L51</v>
      </c>
      <c r="E2345" t="str">
        <f t="shared" ca="1" si="819"/>
        <v/>
      </c>
      <c r="F2345" t="str">
        <f t="shared" ca="1" si="820"/>
        <v xml:space="preserve">Enter a 'New Construction Eligible Basis' for  building 48 in cell L51.
</v>
      </c>
      <c r="G2345" s="9" t="str">
        <f t="shared" ca="1" si="821"/>
        <v xml:space="preserve">Enter a value for 'Number of Floors in the Tallest Building' in cell B60.
</v>
      </c>
      <c r="H2345" s="52" t="str">
        <f t="shared" ca="1" si="822"/>
        <v>New Construction Eligible Basis</v>
      </c>
      <c r="I2345" s="52">
        <v>12</v>
      </c>
    </row>
    <row r="2346" spans="1:10" ht="15" customHeight="1">
      <c r="A2346" t="str">
        <f ca="1">IF(AND(OFFSET(A2346, -I2346 + 2, 4) &gt;  0, E2346="", Calculations!$B$7), F2346, "")</f>
        <v/>
      </c>
      <c r="B2346">
        <f t="shared" si="817"/>
        <v>51</v>
      </c>
      <c r="C2346">
        <f t="shared" ca="1" si="797"/>
        <v>48</v>
      </c>
      <c r="D2346" t="str">
        <f t="shared" si="818"/>
        <v>M51</v>
      </c>
      <c r="E2346" t="str">
        <f t="shared" ca="1" si="819"/>
        <v/>
      </c>
      <c r="F2346" t="str">
        <f t="shared" ca="1" si="820"/>
        <v xml:space="preserve">Enter a 'Eligible Basis for Rehab' for  building 48 in cell M51.
</v>
      </c>
      <c r="G2346" s="9" t="str">
        <f t="shared" ca="1" si="821"/>
        <v xml:space="preserve">Enter a value for 'Number of Floors in the Tallest Building' in cell B60.
</v>
      </c>
      <c r="H2346" s="52" t="str">
        <f t="shared" ca="1" si="822"/>
        <v>Eligible Basis for Rehab</v>
      </c>
      <c r="I2346" s="52">
        <v>13</v>
      </c>
    </row>
    <row r="2347" spans="1:10" ht="15" customHeight="1">
      <c r="A2347" t="str">
        <f ca="1">IF(AND(OFFSET(A2347, -I2347 + 2, 4) &gt;  0, E2347="", Calculations!$B$7), F2347, "")</f>
        <v/>
      </c>
      <c r="B2347">
        <f t="shared" si="817"/>
        <v>51</v>
      </c>
      <c r="C2347">
        <f t="shared" ca="1" si="797"/>
        <v>48</v>
      </c>
      <c r="D2347" t="str">
        <f t="shared" si="818"/>
        <v>N51</v>
      </c>
      <c r="E2347" t="str">
        <f t="shared" ca="1" si="819"/>
        <v/>
      </c>
      <c r="F2347" t="str">
        <f t="shared" ca="1" si="820"/>
        <v xml:space="preserve">Enter a 'Cost of Acquiring the Building***' for  building 48 in cell N51.
</v>
      </c>
      <c r="G2347" s="9" t="str">
        <f t="shared" ca="1" si="821"/>
        <v xml:space="preserve">Enter a value for 'Number of Floors in the Tallest Building' in cell B60.
</v>
      </c>
      <c r="H2347" s="52" t="str">
        <f t="shared" ca="1" si="822"/>
        <v>Cost of Acquiring the Building***</v>
      </c>
      <c r="I2347" s="52">
        <v>14</v>
      </c>
    </row>
    <row r="2348" spans="1:10" ht="15" customHeight="1">
      <c r="A2348" t="str">
        <f ca="1">IF(AND(OFFSET(A2348, -I2348 + 2, 4) &gt;  0, E2348="", Calculations!$B$7), F2348, "")</f>
        <v/>
      </c>
      <c r="B2348">
        <f t="shared" si="817"/>
        <v>51</v>
      </c>
      <c r="C2348">
        <f t="shared" ca="1" si="797"/>
        <v>48</v>
      </c>
      <c r="D2348" t="str">
        <f t="shared" si="818"/>
        <v>O51</v>
      </c>
      <c r="E2348" t="str">
        <f t="shared" ca="1" si="819"/>
        <v/>
      </c>
      <c r="F2348" t="str">
        <f t="shared" ca="1" si="820"/>
        <v xml:space="preserve">Enter a 'Higher of Land Purchase Price or Land Appraised Value****' for  building 48 in cell O51.
</v>
      </c>
      <c r="G2348" s="9" t="str">
        <f t="shared" ca="1" si="821"/>
        <v xml:space="preserve">Enter a value for 'Number of Floors in the Tallest Building' in cell B60.
</v>
      </c>
      <c r="H2348" s="52" t="str">
        <f t="shared" ca="1" si="822"/>
        <v>Higher of Land Purchase Price or Land Appraised Value****</v>
      </c>
      <c r="I2348" s="52">
        <v>15</v>
      </c>
    </row>
    <row r="2349" spans="1:10" ht="15" customHeight="1">
      <c r="A2349" t="str">
        <f ca="1">IF(AND(OFFSET(A2349, -I2349 + 2, 4) &gt;  0, E2349="", Calculations!$B$7), F2349, "")</f>
        <v/>
      </c>
      <c r="B2349">
        <f t="shared" si="817"/>
        <v>51</v>
      </c>
      <c r="C2349">
        <f t="shared" ca="1" si="797"/>
        <v>48</v>
      </c>
      <c r="D2349" t="str">
        <f t="shared" si="818"/>
        <v>P51</v>
      </c>
      <c r="E2349" t="str">
        <f t="shared" ca="1" si="819"/>
        <v/>
      </c>
      <c r="F2349" t="str">
        <f t="shared" ca="1" si="820"/>
        <v xml:space="preserve">Enter a 'Acquisition Placed-in-Service Date' for  building 48 in cell P51.
</v>
      </c>
      <c r="G2349" s="9" t="str">
        <f t="shared" ca="1" si="821"/>
        <v xml:space="preserve">Enter a value for 'Number of Floors in the Tallest Building' in cell B60.
</v>
      </c>
      <c r="H2349" s="52" t="str">
        <f t="shared" ca="1" si="822"/>
        <v>Acquisition Placed-in-Service Date</v>
      </c>
      <c r="I2349" s="52">
        <v>16</v>
      </c>
    </row>
    <row r="2350" spans="1:10" ht="15" customHeight="1">
      <c r="A2350" t="str">
        <f ca="1">IF(AND(OFFSET(A2350, -I2350 + 2, 4) &gt;  0, E2350="", Calculations!$B$7), F2350, "")</f>
        <v/>
      </c>
      <c r="B2350">
        <f t="shared" si="817"/>
        <v>51</v>
      </c>
      <c r="C2350">
        <f t="shared" ca="1" si="797"/>
        <v>48</v>
      </c>
      <c r="D2350" t="str">
        <f t="shared" si="818"/>
        <v>Q51</v>
      </c>
      <c r="E2350" t="str">
        <f t="shared" ca="1" si="819"/>
        <v/>
      </c>
      <c r="F2350" t="str">
        <f t="shared" ca="1" si="820"/>
        <v xml:space="preserve">Enter a 'Acquisition APR' for  building 48 in cell Q51.
</v>
      </c>
      <c r="G2350" s="9" t="str">
        <f t="shared" ca="1" si="821"/>
        <v xml:space="preserve">Enter a value for 'Number of Floors in the Tallest Building' in cell B60.
</v>
      </c>
      <c r="H2350" s="52" t="str">
        <f t="shared" ca="1" si="822"/>
        <v>Acquisition APR</v>
      </c>
      <c r="I2350" s="52">
        <v>17</v>
      </c>
    </row>
    <row r="2351" spans="1:10" ht="15" customHeight="1">
      <c r="A2351" t="str">
        <f ca="1">IF(AND(Calculations!$B$4,Calculations!$B$29&gt;=C2351, E2351 &lt;&gt; 13),F2351,"")</f>
        <v/>
      </c>
      <c r="B2351">
        <f>ROW('Final Building Profile'!C52)</f>
        <v>52</v>
      </c>
      <c r="C2351">
        <f t="shared" ref="C2351:C2414" ca="1" si="823">INDIRECT($F$1565 &amp; ADDRESS(B2351, 1,4  ))</f>
        <v>49</v>
      </c>
      <c r="D2351" t="str">
        <f>ADDRESS(B2351, 3,4  )</f>
        <v>C52</v>
      </c>
      <c r="E2351" s="52">
        <f ca="1">H2351+I2351</f>
        <v>0</v>
      </c>
      <c r="F2351" t="str">
        <f ca="1">CONCATENATE("Based upon the number of buildings specified, information for  building ", C2351, " required for a final application in row ", B2351, ".", CHAR(10))</f>
        <v xml:space="preserve">Based upon the number of buildings specified, information for  building 49 required for a final application in row 52.
</v>
      </c>
      <c r="G2351" s="9" t="str">
        <f t="shared" ca="1" si="821"/>
        <v xml:space="preserve">Enter a value for 'Number of Floors in the Tallest Building' in cell B60.
</v>
      </c>
      <c r="H2351" s="52">
        <f ca="1">SUMPRODUCT(--ISTEXT(INDIRECT(J2351)))</f>
        <v>0</v>
      </c>
      <c r="I2351" s="52">
        <f ca="1">SUMPRODUCT(--ISNUMBER(INDIRECT(J2351)))</f>
        <v>0</v>
      </c>
      <c r="J2351" s="52" t="str">
        <f>$F$1565&amp; ADDRESS(B2351,3,4) &amp; ":" &amp; ADDRESS(B2351,15,4)</f>
        <v>'Final Building Profile'!C52:O52</v>
      </c>
    </row>
    <row r="2352" spans="1:10" ht="15" customHeight="1">
      <c r="A2352" t="str">
        <f t="shared" ref="A2352:A2361" ca="1" si="824">IF(AND(OFFSET(A2352, -I2352 + 2, 4) &gt;  0, E2352=""), F2352, "")</f>
        <v/>
      </c>
      <c r="B2352">
        <f t="shared" ref="B2352:B2366" si="825">B2351</f>
        <v>52</v>
      </c>
      <c r="C2352">
        <f t="shared" ca="1" si="823"/>
        <v>49</v>
      </c>
      <c r="D2352" t="str">
        <f t="shared" ref="D2352:D2366" si="826">ADDRESS(B2352, I2352,4  )</f>
        <v>C52</v>
      </c>
      <c r="E2352" t="str">
        <f t="shared" ref="E2352:E2366" ca="1" si="827">IF(ISBLANK( INDIRECT($F$1565 &amp; D2352)),"", INDIRECT($F$1565 &amp; D2352))</f>
        <v/>
      </c>
      <c r="F2352" t="str">
        <f t="shared" ref="F2352:F2366" ca="1" si="828">CONCATENATE("Enter a '"&amp; H2352 &amp;"' for  building ", C2352, " in cell ", D2352, ".", CHAR(10))</f>
        <v xml:space="preserve">Enter a 'Building Street Address Only 
(DO NOT ENTER CITY, STATE, OR ZIP)' for  building 49 in cell C52.
</v>
      </c>
      <c r="G2352" s="9" t="str">
        <f t="shared" ca="1" si="821"/>
        <v xml:space="preserve">Enter a value for 'Number of Floors in the Tallest Building' in cell B60.
</v>
      </c>
      <c r="H2352" s="52" t="str">
        <f t="shared" ref="H2352:H2366" ca="1" si="829">OFFSET(INDIRECT($F$1565 &amp; D2352), -B2352 + 3, 0)</f>
        <v>Building Street Address Only 
(DO NOT ENTER CITY, STATE, OR ZIP)</v>
      </c>
      <c r="I2352" s="52">
        <v>3</v>
      </c>
    </row>
    <row r="2353" spans="1:10" ht="15" customHeight="1">
      <c r="A2353" t="str">
        <f t="shared" ca="1" si="824"/>
        <v/>
      </c>
      <c r="B2353">
        <f t="shared" si="825"/>
        <v>52</v>
      </c>
      <c r="C2353">
        <f t="shared" ca="1" si="823"/>
        <v>49</v>
      </c>
      <c r="D2353" t="str">
        <f t="shared" si="826"/>
        <v>D52</v>
      </c>
      <c r="E2353" t="str">
        <f t="shared" ca="1" si="827"/>
        <v/>
      </c>
      <c r="F2353" t="str">
        <f t="shared" ca="1" si="828"/>
        <v xml:space="preserve">Enter a 'Total Units in Building*' for  building 49 in cell D52.
</v>
      </c>
      <c r="G2353" s="9" t="str">
        <f t="shared" ca="1" si="821"/>
        <v xml:space="preserve">Enter a value for 'Number of Floors in the Tallest Building' in cell B60.
</v>
      </c>
      <c r="H2353" s="52" t="str">
        <f t="shared" ca="1" si="829"/>
        <v>Total Units in Building*</v>
      </c>
      <c r="I2353" s="52">
        <v>4</v>
      </c>
    </row>
    <row r="2354" spans="1:10" ht="15" customHeight="1">
      <c r="A2354" t="str">
        <f t="shared" ca="1" si="824"/>
        <v/>
      </c>
      <c r="B2354">
        <f t="shared" si="825"/>
        <v>52</v>
      </c>
      <c r="C2354">
        <f t="shared" ca="1" si="823"/>
        <v>49</v>
      </c>
      <c r="D2354" t="str">
        <f t="shared" si="826"/>
        <v>E52</v>
      </c>
      <c r="E2354" t="str">
        <f t="shared" ca="1" si="827"/>
        <v/>
      </c>
      <c r="F2354" t="str">
        <f t="shared" ca="1" si="828"/>
        <v xml:space="preserve">Enter a 'Employee Units' for  building 49 in cell E52.
</v>
      </c>
      <c r="G2354" s="9" t="str">
        <f t="shared" ca="1" si="821"/>
        <v xml:space="preserve">Enter a value for 'Number of Floors in the Tallest Building' in cell B60.
</v>
      </c>
      <c r="H2354" s="52" t="str">
        <f t="shared" ca="1" si="829"/>
        <v>Employee Units</v>
      </c>
      <c r="I2354" s="52">
        <v>5</v>
      </c>
    </row>
    <row r="2355" spans="1:10" ht="15" customHeight="1">
      <c r="A2355" t="str">
        <f t="shared" ca="1" si="824"/>
        <v/>
      </c>
      <c r="B2355">
        <f t="shared" si="825"/>
        <v>52</v>
      </c>
      <c r="C2355">
        <f t="shared" ca="1" si="823"/>
        <v>49</v>
      </c>
      <c r="D2355" t="str">
        <f t="shared" si="826"/>
        <v>F52</v>
      </c>
      <c r="E2355" t="str">
        <f t="shared" ca="1" si="827"/>
        <v/>
      </c>
      <c r="F2355" t="str">
        <f t="shared" ca="1" si="828"/>
        <v xml:space="preserve">Enter a 'Low-Income Units' for  building 49 in cell F52.
</v>
      </c>
      <c r="G2355" s="9" t="str">
        <f t="shared" ca="1" si="821"/>
        <v xml:space="preserve">Enter a value for 'Number of Floors in the Tallest Building' in cell B60.
</v>
      </c>
      <c r="H2355" s="52" t="str">
        <f t="shared" ca="1" si="829"/>
        <v>Low-Income Units</v>
      </c>
      <c r="I2355" s="52">
        <v>6</v>
      </c>
    </row>
    <row r="2356" spans="1:10" ht="15" customHeight="1">
      <c r="A2356" t="str">
        <f t="shared" ca="1" si="824"/>
        <v/>
      </c>
      <c r="B2356">
        <f t="shared" si="825"/>
        <v>52</v>
      </c>
      <c r="C2356">
        <f t="shared" ca="1" si="823"/>
        <v>49</v>
      </c>
      <c r="D2356" t="str">
        <f t="shared" si="826"/>
        <v>G52</v>
      </c>
      <c r="E2356" t="str">
        <f t="shared" ca="1" si="827"/>
        <v/>
      </c>
      <c r="F2356" t="str">
        <f t="shared" ca="1" si="828"/>
        <v xml:space="preserve">Enter a 'Residential Square Footage**' for  building 49 in cell G52.
</v>
      </c>
      <c r="G2356" s="9" t="str">
        <f t="shared" ca="1" si="821"/>
        <v xml:space="preserve">Enter a value for 'Number of Floors in the Tallest Building' in cell B60.
</v>
      </c>
      <c r="H2356" s="52" t="str">
        <f t="shared" ca="1" si="829"/>
        <v>Residential Square Footage**</v>
      </c>
      <c r="I2356" s="52">
        <v>7</v>
      </c>
    </row>
    <row r="2357" spans="1:10" ht="15" customHeight="1">
      <c r="A2357" t="str">
        <f t="shared" ca="1" si="824"/>
        <v/>
      </c>
      <c r="B2357">
        <f t="shared" si="825"/>
        <v>52</v>
      </c>
      <c r="C2357">
        <f t="shared" ca="1" si="823"/>
        <v>49</v>
      </c>
      <c r="D2357" t="str">
        <f t="shared" si="826"/>
        <v>H52</v>
      </c>
      <c r="E2357" t="str">
        <f t="shared" ca="1" si="827"/>
        <v/>
      </c>
      <c r="F2357" t="str">
        <f t="shared" ca="1" si="828"/>
        <v xml:space="preserve">Enter a 'Square Footage of Employee Units' for  building 49 in cell H52.
</v>
      </c>
      <c r="G2357" s="9" t="str">
        <f t="shared" ca="1" si="821"/>
        <v xml:space="preserve">Enter a value for 'Number of Floors in the Tallest Building' in cell B60.
</v>
      </c>
      <c r="H2357" s="52" t="str">
        <f t="shared" ca="1" si="829"/>
        <v>Square Footage of Employee Units</v>
      </c>
      <c r="I2357" s="52">
        <v>8</v>
      </c>
    </row>
    <row r="2358" spans="1:10" ht="15" customHeight="1">
      <c r="A2358" t="str">
        <f t="shared" ca="1" si="824"/>
        <v/>
      </c>
      <c r="B2358">
        <f t="shared" si="825"/>
        <v>52</v>
      </c>
      <c r="C2358">
        <f t="shared" ca="1" si="823"/>
        <v>49</v>
      </c>
      <c r="D2358" t="str">
        <f t="shared" si="826"/>
        <v>I52</v>
      </c>
      <c r="E2358" t="str">
        <f t="shared" ca="1" si="827"/>
        <v/>
      </c>
      <c r="F2358" t="str">
        <f t="shared" ca="1" si="828"/>
        <v xml:space="preserve">Enter a 'Square Footage of Low-Income Units' for  building 49 in cell I52.
</v>
      </c>
      <c r="G2358" s="9" t="str">
        <f t="shared" ca="1" si="821"/>
        <v xml:space="preserve">Enter a value for 'Number of Floors in the Tallest Building' in cell B60.
</v>
      </c>
      <c r="H2358" s="52" t="str">
        <f t="shared" ca="1" si="829"/>
        <v>Square Footage of Low-Income Units</v>
      </c>
      <c r="I2358" s="52">
        <v>9</v>
      </c>
    </row>
    <row r="2359" spans="1:10" ht="15" customHeight="1">
      <c r="A2359" t="str">
        <f t="shared" ca="1" si="824"/>
        <v/>
      </c>
      <c r="B2359">
        <f t="shared" si="825"/>
        <v>52</v>
      </c>
      <c r="C2359">
        <f t="shared" ca="1" si="823"/>
        <v>49</v>
      </c>
      <c r="D2359" t="str">
        <f t="shared" si="826"/>
        <v>J52</v>
      </c>
      <c r="E2359" t="str">
        <f t="shared" ca="1" si="827"/>
        <v/>
      </c>
      <c r="F2359" t="str">
        <f t="shared" ca="1" si="828"/>
        <v xml:space="preserve">Enter a 'Placed-In-Service Date' for  building 49 in cell J52.
</v>
      </c>
      <c r="G2359" s="9" t="str">
        <f t="shared" ca="1" si="821"/>
        <v xml:space="preserve">Enter a value for 'Number of Floors in the Tallest Building' in cell B60.
</v>
      </c>
      <c r="H2359" s="52" t="str">
        <f t="shared" ca="1" si="829"/>
        <v>Placed-In-Service Date</v>
      </c>
      <c r="I2359" s="52">
        <v>10</v>
      </c>
    </row>
    <row r="2360" spans="1:10" ht="15" customHeight="1">
      <c r="A2360" t="str">
        <f t="shared" ca="1" si="824"/>
        <v/>
      </c>
      <c r="B2360">
        <f t="shared" si="825"/>
        <v>52</v>
      </c>
      <c r="C2360">
        <f t="shared" ca="1" si="823"/>
        <v>49</v>
      </c>
      <c r="D2360" t="str">
        <f t="shared" si="826"/>
        <v>K52</v>
      </c>
      <c r="E2360" t="str">
        <f t="shared" ca="1" si="827"/>
        <v/>
      </c>
      <c r="F2360" t="str">
        <f t="shared" ca="1" si="828"/>
        <v xml:space="preserve">Enter a 'New Construction/ Rehab APR' for  building 49 in cell K52.
</v>
      </c>
      <c r="G2360" s="9" t="str">
        <f t="shared" ca="1" si="821"/>
        <v xml:space="preserve">Enter a value for 'Number of Floors in the Tallest Building' in cell B60.
</v>
      </c>
      <c r="H2360" s="52" t="str">
        <f t="shared" ca="1" si="829"/>
        <v>New Construction/ Rehab APR</v>
      </c>
      <c r="I2360" s="52">
        <v>11</v>
      </c>
    </row>
    <row r="2361" spans="1:10" ht="15" customHeight="1">
      <c r="A2361" t="str">
        <f t="shared" ca="1" si="824"/>
        <v/>
      </c>
      <c r="B2361">
        <f t="shared" si="825"/>
        <v>52</v>
      </c>
      <c r="C2361">
        <f t="shared" ca="1" si="823"/>
        <v>49</v>
      </c>
      <c r="D2361" t="str">
        <f t="shared" si="826"/>
        <v>L52</v>
      </c>
      <c r="E2361" t="str">
        <f t="shared" ca="1" si="827"/>
        <v/>
      </c>
      <c r="F2361" t="str">
        <f t="shared" ca="1" si="828"/>
        <v xml:space="preserve">Enter a 'New Construction Eligible Basis' for  building 49 in cell L52.
</v>
      </c>
      <c r="G2361" s="9" t="str">
        <f t="shared" ca="1" si="821"/>
        <v xml:space="preserve">Enter a value for 'Number of Floors in the Tallest Building' in cell B60.
</v>
      </c>
      <c r="H2361" s="52" t="str">
        <f t="shared" ca="1" si="829"/>
        <v>New Construction Eligible Basis</v>
      </c>
      <c r="I2361" s="52">
        <v>12</v>
      </c>
    </row>
    <row r="2362" spans="1:10" ht="15" customHeight="1">
      <c r="A2362" t="str">
        <f ca="1">IF(AND(OFFSET(A2362, -I2362 + 2, 4) &gt;  0, E2362="", Calculations!$B$7), F2362, "")</f>
        <v/>
      </c>
      <c r="B2362">
        <f t="shared" si="825"/>
        <v>52</v>
      </c>
      <c r="C2362">
        <f t="shared" ca="1" si="823"/>
        <v>49</v>
      </c>
      <c r="D2362" t="str">
        <f t="shared" si="826"/>
        <v>M52</v>
      </c>
      <c r="E2362" t="str">
        <f t="shared" ca="1" si="827"/>
        <v/>
      </c>
      <c r="F2362" t="str">
        <f t="shared" ca="1" si="828"/>
        <v xml:space="preserve">Enter a 'Eligible Basis for Rehab' for  building 49 in cell M52.
</v>
      </c>
      <c r="G2362" s="9" t="str">
        <f t="shared" ca="1" si="821"/>
        <v xml:space="preserve">Enter a value for 'Number of Floors in the Tallest Building' in cell B60.
</v>
      </c>
      <c r="H2362" s="52" t="str">
        <f t="shared" ca="1" si="829"/>
        <v>Eligible Basis for Rehab</v>
      </c>
      <c r="I2362" s="52">
        <v>13</v>
      </c>
    </row>
    <row r="2363" spans="1:10" ht="15" customHeight="1">
      <c r="A2363" t="str">
        <f ca="1">IF(AND(OFFSET(A2363, -I2363 + 2, 4) &gt;  0, E2363="", Calculations!$B$7), F2363, "")</f>
        <v/>
      </c>
      <c r="B2363">
        <f t="shared" si="825"/>
        <v>52</v>
      </c>
      <c r="C2363">
        <f t="shared" ca="1" si="823"/>
        <v>49</v>
      </c>
      <c r="D2363" t="str">
        <f t="shared" si="826"/>
        <v>N52</v>
      </c>
      <c r="E2363" t="str">
        <f t="shared" ca="1" si="827"/>
        <v/>
      </c>
      <c r="F2363" t="str">
        <f t="shared" ca="1" si="828"/>
        <v xml:space="preserve">Enter a 'Cost of Acquiring the Building***' for  building 49 in cell N52.
</v>
      </c>
      <c r="G2363" s="9" t="str">
        <f t="shared" ca="1" si="821"/>
        <v xml:space="preserve">Enter a value for 'Number of Floors in the Tallest Building' in cell B60.
</v>
      </c>
      <c r="H2363" s="52" t="str">
        <f t="shared" ca="1" si="829"/>
        <v>Cost of Acquiring the Building***</v>
      </c>
      <c r="I2363" s="52">
        <v>14</v>
      </c>
    </row>
    <row r="2364" spans="1:10" ht="15" customHeight="1">
      <c r="A2364" t="str">
        <f ca="1">IF(AND(OFFSET(A2364, -I2364 + 2, 4) &gt;  0, E2364="", Calculations!$B$7), F2364, "")</f>
        <v/>
      </c>
      <c r="B2364">
        <f t="shared" si="825"/>
        <v>52</v>
      </c>
      <c r="C2364">
        <f t="shared" ca="1" si="823"/>
        <v>49</v>
      </c>
      <c r="D2364" t="str">
        <f t="shared" si="826"/>
        <v>O52</v>
      </c>
      <c r="E2364" t="str">
        <f t="shared" ca="1" si="827"/>
        <v/>
      </c>
      <c r="F2364" t="str">
        <f t="shared" ca="1" si="828"/>
        <v xml:space="preserve">Enter a 'Higher of Land Purchase Price or Land Appraised Value****' for  building 49 in cell O52.
</v>
      </c>
      <c r="G2364" s="9" t="str">
        <f t="shared" ca="1" si="821"/>
        <v xml:space="preserve">Enter a value for 'Number of Floors in the Tallest Building' in cell B60.
</v>
      </c>
      <c r="H2364" s="52" t="str">
        <f t="shared" ca="1" si="829"/>
        <v>Higher of Land Purchase Price or Land Appraised Value****</v>
      </c>
      <c r="I2364" s="52">
        <v>15</v>
      </c>
    </row>
    <row r="2365" spans="1:10" ht="15" customHeight="1">
      <c r="A2365" t="str">
        <f ca="1">IF(AND(OFFSET(A2365, -I2365 + 2, 4) &gt;  0, E2365="", Calculations!$B$7), F2365, "")</f>
        <v/>
      </c>
      <c r="B2365">
        <f t="shared" si="825"/>
        <v>52</v>
      </c>
      <c r="C2365">
        <f t="shared" ca="1" si="823"/>
        <v>49</v>
      </c>
      <c r="D2365" t="str">
        <f t="shared" si="826"/>
        <v>P52</v>
      </c>
      <c r="E2365" t="str">
        <f t="shared" ca="1" si="827"/>
        <v/>
      </c>
      <c r="F2365" t="str">
        <f t="shared" ca="1" si="828"/>
        <v xml:space="preserve">Enter a 'Acquisition Placed-in-Service Date' for  building 49 in cell P52.
</v>
      </c>
      <c r="G2365" s="9" t="str">
        <f t="shared" ca="1" si="821"/>
        <v xml:space="preserve">Enter a value for 'Number of Floors in the Tallest Building' in cell B60.
</v>
      </c>
      <c r="H2365" s="52" t="str">
        <f t="shared" ca="1" si="829"/>
        <v>Acquisition Placed-in-Service Date</v>
      </c>
      <c r="I2365" s="52">
        <v>16</v>
      </c>
    </row>
    <row r="2366" spans="1:10" ht="15" customHeight="1">
      <c r="A2366" t="str">
        <f ca="1">IF(AND(OFFSET(A2366, -I2366 + 2, 4) &gt;  0, E2366="", Calculations!$B$7), F2366, "")</f>
        <v/>
      </c>
      <c r="B2366">
        <f t="shared" si="825"/>
        <v>52</v>
      </c>
      <c r="C2366">
        <f t="shared" ca="1" si="823"/>
        <v>49</v>
      </c>
      <c r="D2366" t="str">
        <f t="shared" si="826"/>
        <v>Q52</v>
      </c>
      <c r="E2366" t="str">
        <f t="shared" ca="1" si="827"/>
        <v/>
      </c>
      <c r="F2366" t="str">
        <f t="shared" ca="1" si="828"/>
        <v xml:space="preserve">Enter a 'Acquisition APR' for  building 49 in cell Q52.
</v>
      </c>
      <c r="G2366" s="9" t="str">
        <f t="shared" ca="1" si="821"/>
        <v xml:space="preserve">Enter a value for 'Number of Floors in the Tallest Building' in cell B60.
</v>
      </c>
      <c r="H2366" s="52" t="str">
        <f t="shared" ca="1" si="829"/>
        <v>Acquisition APR</v>
      </c>
      <c r="I2366" s="52">
        <v>17</v>
      </c>
    </row>
    <row r="2367" spans="1:10" ht="15" customHeight="1">
      <c r="A2367" t="str">
        <f ca="1">IF(AND(Calculations!$B$4,Calculations!$B$29&gt;=C2367, E2367 &lt;&gt; 13),F2367,"")</f>
        <v/>
      </c>
      <c r="B2367">
        <f>ROW('Final Building Profile'!C53)</f>
        <v>53</v>
      </c>
      <c r="C2367">
        <f t="shared" ca="1" si="823"/>
        <v>50</v>
      </c>
      <c r="D2367" t="str">
        <f>ADDRESS(B2367, 3,4  )</f>
        <v>C53</v>
      </c>
      <c r="E2367" s="52">
        <f ca="1">H2367+I2367</f>
        <v>0</v>
      </c>
      <c r="F2367" t="str">
        <f ca="1">CONCATENATE("Based upon the number of buildings specified, information for  building ", C2367, " required for a final application in row ", B2367, ".", CHAR(10))</f>
        <v xml:space="preserve">Based upon the number of buildings specified, information for  building 50 required for a final application in row 53.
</v>
      </c>
      <c r="G2367" s="9" t="str">
        <f t="shared" ca="1" si="821"/>
        <v xml:space="preserve">Enter a value for 'Number of Floors in the Tallest Building' in cell B60.
</v>
      </c>
      <c r="H2367" s="52">
        <f ca="1">SUMPRODUCT(--ISTEXT(INDIRECT(J2367)))</f>
        <v>0</v>
      </c>
      <c r="I2367" s="52">
        <f ca="1">SUMPRODUCT(--ISNUMBER(INDIRECT(J2367)))</f>
        <v>0</v>
      </c>
      <c r="J2367" s="52" t="str">
        <f>$F$1565&amp; ADDRESS(B2367,3,4) &amp; ":" &amp; ADDRESS(B2367,15,4)</f>
        <v>'Final Building Profile'!C53:O53</v>
      </c>
    </row>
    <row r="2368" spans="1:10" ht="15" customHeight="1">
      <c r="A2368" t="str">
        <f t="shared" ref="A2368:A2377" ca="1" si="830">IF(AND(OFFSET(A2368, -I2368 + 2, 4) &gt;  0, E2368=""), F2368, "")</f>
        <v/>
      </c>
      <c r="B2368">
        <f t="shared" ref="B2368:B2382" si="831">B2367</f>
        <v>53</v>
      </c>
      <c r="C2368">
        <f t="shared" ca="1" si="823"/>
        <v>50</v>
      </c>
      <c r="D2368" t="str">
        <f t="shared" ref="D2368:D2382" si="832">ADDRESS(B2368, I2368,4  )</f>
        <v>C53</v>
      </c>
      <c r="E2368" t="str">
        <f t="shared" ref="E2368:E2382" ca="1" si="833">IF(ISBLANK( INDIRECT($F$1565 &amp; D2368)),"", INDIRECT($F$1565 &amp; D2368))</f>
        <v/>
      </c>
      <c r="F2368" t="str">
        <f t="shared" ref="F2368:F2382" ca="1" si="834">CONCATENATE("Enter a '"&amp; H2368 &amp;"' for  building ", C2368, " in cell ", D2368, ".", CHAR(10))</f>
        <v xml:space="preserve">Enter a 'Building Street Address Only 
(DO NOT ENTER CITY, STATE, OR ZIP)' for  building 50 in cell C53.
</v>
      </c>
      <c r="G2368" s="9" t="str">
        <f t="shared" ca="1" si="821"/>
        <v xml:space="preserve">Enter a value for 'Number of Floors in the Tallest Building' in cell B60.
</v>
      </c>
      <c r="H2368" s="52" t="str">
        <f t="shared" ref="H2368:H2382" ca="1" si="835">OFFSET(INDIRECT($F$1565 &amp; D2368), -B2368 + 3, 0)</f>
        <v>Building Street Address Only 
(DO NOT ENTER CITY, STATE, OR ZIP)</v>
      </c>
      <c r="I2368" s="52">
        <v>3</v>
      </c>
    </row>
    <row r="2369" spans="1:10" ht="15" customHeight="1">
      <c r="A2369" t="str">
        <f t="shared" ca="1" si="830"/>
        <v/>
      </c>
      <c r="B2369">
        <f t="shared" si="831"/>
        <v>53</v>
      </c>
      <c r="C2369">
        <f t="shared" ca="1" si="823"/>
        <v>50</v>
      </c>
      <c r="D2369" t="str">
        <f t="shared" si="832"/>
        <v>D53</v>
      </c>
      <c r="E2369" t="str">
        <f t="shared" ca="1" si="833"/>
        <v/>
      </c>
      <c r="F2369" t="str">
        <f t="shared" ca="1" si="834"/>
        <v xml:space="preserve">Enter a 'Total Units in Building*' for  building 50 in cell D53.
</v>
      </c>
      <c r="G2369" s="9" t="str">
        <f t="shared" ca="1" si="821"/>
        <v xml:space="preserve">Enter a value for 'Number of Floors in the Tallest Building' in cell B60.
</v>
      </c>
      <c r="H2369" s="52" t="str">
        <f t="shared" ca="1" si="835"/>
        <v>Total Units in Building*</v>
      </c>
      <c r="I2369" s="52">
        <v>4</v>
      </c>
    </row>
    <row r="2370" spans="1:10" ht="15" customHeight="1">
      <c r="A2370" t="str">
        <f t="shared" ca="1" si="830"/>
        <v/>
      </c>
      <c r="B2370">
        <f t="shared" si="831"/>
        <v>53</v>
      </c>
      <c r="C2370">
        <f t="shared" ca="1" si="823"/>
        <v>50</v>
      </c>
      <c r="D2370" t="str">
        <f t="shared" si="832"/>
        <v>E53</v>
      </c>
      <c r="E2370" t="str">
        <f t="shared" ca="1" si="833"/>
        <v/>
      </c>
      <c r="F2370" t="str">
        <f t="shared" ca="1" si="834"/>
        <v xml:space="preserve">Enter a 'Employee Units' for  building 50 in cell E53.
</v>
      </c>
      <c r="G2370" s="9" t="str">
        <f t="shared" ca="1" si="821"/>
        <v xml:space="preserve">Enter a value for 'Number of Floors in the Tallest Building' in cell B60.
</v>
      </c>
      <c r="H2370" s="52" t="str">
        <f t="shared" ca="1" si="835"/>
        <v>Employee Units</v>
      </c>
      <c r="I2370" s="52">
        <v>5</v>
      </c>
    </row>
    <row r="2371" spans="1:10" ht="15" customHeight="1">
      <c r="A2371" t="str">
        <f t="shared" ca="1" si="830"/>
        <v/>
      </c>
      <c r="B2371">
        <f t="shared" si="831"/>
        <v>53</v>
      </c>
      <c r="C2371">
        <f t="shared" ca="1" si="823"/>
        <v>50</v>
      </c>
      <c r="D2371" t="str">
        <f t="shared" si="832"/>
        <v>F53</v>
      </c>
      <c r="E2371" t="str">
        <f t="shared" ca="1" si="833"/>
        <v/>
      </c>
      <c r="F2371" t="str">
        <f t="shared" ca="1" si="834"/>
        <v xml:space="preserve">Enter a 'Low-Income Units' for  building 50 in cell F53.
</v>
      </c>
      <c r="G2371" s="9" t="str">
        <f t="shared" ca="1" si="821"/>
        <v xml:space="preserve">Enter a value for 'Number of Floors in the Tallest Building' in cell B60.
</v>
      </c>
      <c r="H2371" s="52" t="str">
        <f t="shared" ca="1" si="835"/>
        <v>Low-Income Units</v>
      </c>
      <c r="I2371" s="52">
        <v>6</v>
      </c>
    </row>
    <row r="2372" spans="1:10" ht="15" customHeight="1">
      <c r="A2372" t="str">
        <f t="shared" ca="1" si="830"/>
        <v/>
      </c>
      <c r="B2372">
        <f t="shared" si="831"/>
        <v>53</v>
      </c>
      <c r="C2372">
        <f t="shared" ca="1" si="823"/>
        <v>50</v>
      </c>
      <c r="D2372" t="str">
        <f t="shared" si="832"/>
        <v>G53</v>
      </c>
      <c r="E2372" t="str">
        <f t="shared" ca="1" si="833"/>
        <v/>
      </c>
      <c r="F2372" t="str">
        <f t="shared" ca="1" si="834"/>
        <v xml:space="preserve">Enter a 'Residential Square Footage**' for  building 50 in cell G53.
</v>
      </c>
      <c r="G2372" s="9" t="str">
        <f t="shared" ca="1" si="821"/>
        <v xml:space="preserve">Enter a value for 'Number of Floors in the Tallest Building' in cell B60.
</v>
      </c>
      <c r="H2372" s="52" t="str">
        <f t="shared" ca="1" si="835"/>
        <v>Residential Square Footage**</v>
      </c>
      <c r="I2372" s="52">
        <v>7</v>
      </c>
    </row>
    <row r="2373" spans="1:10" ht="15" customHeight="1">
      <c r="A2373" t="str">
        <f t="shared" ca="1" si="830"/>
        <v/>
      </c>
      <c r="B2373">
        <f t="shared" si="831"/>
        <v>53</v>
      </c>
      <c r="C2373">
        <f t="shared" ca="1" si="823"/>
        <v>50</v>
      </c>
      <c r="D2373" t="str">
        <f t="shared" si="832"/>
        <v>H53</v>
      </c>
      <c r="E2373" t="str">
        <f t="shared" ca="1" si="833"/>
        <v/>
      </c>
      <c r="F2373" t="str">
        <f t="shared" ca="1" si="834"/>
        <v xml:space="preserve">Enter a 'Square Footage of Employee Units' for  building 50 in cell H53.
</v>
      </c>
      <c r="G2373" s="9" t="str">
        <f t="shared" ca="1" si="821"/>
        <v xml:space="preserve">Enter a value for 'Number of Floors in the Tallest Building' in cell B60.
</v>
      </c>
      <c r="H2373" s="52" t="str">
        <f t="shared" ca="1" si="835"/>
        <v>Square Footage of Employee Units</v>
      </c>
      <c r="I2373" s="52">
        <v>8</v>
      </c>
    </row>
    <row r="2374" spans="1:10" ht="15" customHeight="1">
      <c r="A2374" t="str">
        <f t="shared" ca="1" si="830"/>
        <v/>
      </c>
      <c r="B2374">
        <f t="shared" si="831"/>
        <v>53</v>
      </c>
      <c r="C2374">
        <f t="shared" ca="1" si="823"/>
        <v>50</v>
      </c>
      <c r="D2374" t="str">
        <f t="shared" si="832"/>
        <v>I53</v>
      </c>
      <c r="E2374" t="str">
        <f t="shared" ca="1" si="833"/>
        <v/>
      </c>
      <c r="F2374" t="str">
        <f t="shared" ca="1" si="834"/>
        <v xml:space="preserve">Enter a 'Square Footage of Low-Income Units' for  building 50 in cell I53.
</v>
      </c>
      <c r="G2374" s="9" t="str">
        <f t="shared" ca="1" si="821"/>
        <v xml:space="preserve">Enter a value for 'Number of Floors in the Tallest Building' in cell B60.
</v>
      </c>
      <c r="H2374" s="52" t="str">
        <f t="shared" ca="1" si="835"/>
        <v>Square Footage of Low-Income Units</v>
      </c>
      <c r="I2374" s="52">
        <v>9</v>
      </c>
    </row>
    <row r="2375" spans="1:10" ht="15" customHeight="1">
      <c r="A2375" t="str">
        <f t="shared" ca="1" si="830"/>
        <v/>
      </c>
      <c r="B2375">
        <f t="shared" si="831"/>
        <v>53</v>
      </c>
      <c r="C2375">
        <f t="shared" ca="1" si="823"/>
        <v>50</v>
      </c>
      <c r="D2375" t="str">
        <f t="shared" si="832"/>
        <v>J53</v>
      </c>
      <c r="E2375" t="str">
        <f t="shared" ca="1" si="833"/>
        <v/>
      </c>
      <c r="F2375" t="str">
        <f t="shared" ca="1" si="834"/>
        <v xml:space="preserve">Enter a 'Placed-In-Service Date' for  building 50 in cell J53.
</v>
      </c>
      <c r="G2375" s="9" t="str">
        <f t="shared" ca="1" si="821"/>
        <v xml:space="preserve">Enter a value for 'Number of Floors in the Tallest Building' in cell B60.
</v>
      </c>
      <c r="H2375" s="52" t="str">
        <f t="shared" ca="1" si="835"/>
        <v>Placed-In-Service Date</v>
      </c>
      <c r="I2375" s="52">
        <v>10</v>
      </c>
    </row>
    <row r="2376" spans="1:10" ht="15" customHeight="1">
      <c r="A2376" t="str">
        <f t="shared" ca="1" si="830"/>
        <v/>
      </c>
      <c r="B2376">
        <f t="shared" si="831"/>
        <v>53</v>
      </c>
      <c r="C2376">
        <f t="shared" ca="1" si="823"/>
        <v>50</v>
      </c>
      <c r="D2376" t="str">
        <f t="shared" si="832"/>
        <v>K53</v>
      </c>
      <c r="E2376" t="str">
        <f t="shared" ca="1" si="833"/>
        <v/>
      </c>
      <c r="F2376" t="str">
        <f t="shared" ca="1" si="834"/>
        <v xml:space="preserve">Enter a 'New Construction/ Rehab APR' for  building 50 in cell K53.
</v>
      </c>
      <c r="G2376" s="9" t="str">
        <f t="shared" ca="1" si="821"/>
        <v xml:space="preserve">Enter a value for 'Number of Floors in the Tallest Building' in cell B60.
</v>
      </c>
      <c r="H2376" s="52" t="str">
        <f t="shared" ca="1" si="835"/>
        <v>New Construction/ Rehab APR</v>
      </c>
      <c r="I2376" s="52">
        <v>11</v>
      </c>
    </row>
    <row r="2377" spans="1:10" ht="15" customHeight="1">
      <c r="A2377" t="str">
        <f t="shared" ca="1" si="830"/>
        <v/>
      </c>
      <c r="B2377">
        <f t="shared" si="831"/>
        <v>53</v>
      </c>
      <c r="C2377">
        <f t="shared" ca="1" si="823"/>
        <v>50</v>
      </c>
      <c r="D2377" t="str">
        <f t="shared" si="832"/>
        <v>L53</v>
      </c>
      <c r="E2377" t="str">
        <f t="shared" ca="1" si="833"/>
        <v/>
      </c>
      <c r="F2377" t="str">
        <f t="shared" ca="1" si="834"/>
        <v xml:space="preserve">Enter a 'New Construction Eligible Basis' for  building 50 in cell L53.
</v>
      </c>
      <c r="G2377" s="9" t="str">
        <f t="shared" ca="1" si="821"/>
        <v xml:space="preserve">Enter a value for 'Number of Floors in the Tallest Building' in cell B60.
</v>
      </c>
      <c r="H2377" s="52" t="str">
        <f t="shared" ca="1" si="835"/>
        <v>New Construction Eligible Basis</v>
      </c>
      <c r="I2377" s="52">
        <v>12</v>
      </c>
    </row>
    <row r="2378" spans="1:10" ht="15" customHeight="1">
      <c r="A2378" t="str">
        <f ca="1">IF(AND(OFFSET(A2378, -I2378 + 2, 4) &gt;  0, E2378="", Calculations!$B$7), F2378, "")</f>
        <v/>
      </c>
      <c r="B2378">
        <f t="shared" si="831"/>
        <v>53</v>
      </c>
      <c r="C2378">
        <f t="shared" ca="1" si="823"/>
        <v>50</v>
      </c>
      <c r="D2378" t="str">
        <f t="shared" si="832"/>
        <v>M53</v>
      </c>
      <c r="E2378" t="str">
        <f t="shared" ca="1" si="833"/>
        <v/>
      </c>
      <c r="F2378" t="str">
        <f t="shared" ca="1" si="834"/>
        <v xml:space="preserve">Enter a 'Eligible Basis for Rehab' for  building 50 in cell M53.
</v>
      </c>
      <c r="G2378" s="9" t="str">
        <f t="shared" ca="1" si="821"/>
        <v xml:space="preserve">Enter a value for 'Number of Floors in the Tallest Building' in cell B60.
</v>
      </c>
      <c r="H2378" s="52" t="str">
        <f t="shared" ca="1" si="835"/>
        <v>Eligible Basis for Rehab</v>
      </c>
      <c r="I2378" s="52">
        <v>13</v>
      </c>
    </row>
    <row r="2379" spans="1:10" ht="15" customHeight="1">
      <c r="A2379" t="str">
        <f ca="1">IF(AND(OFFSET(A2379, -I2379 + 2, 4) &gt;  0, E2379="", Calculations!$B$7), F2379, "")</f>
        <v/>
      </c>
      <c r="B2379">
        <f t="shared" si="831"/>
        <v>53</v>
      </c>
      <c r="C2379">
        <f t="shared" ca="1" si="823"/>
        <v>50</v>
      </c>
      <c r="D2379" t="str">
        <f t="shared" si="832"/>
        <v>N53</v>
      </c>
      <c r="E2379" t="str">
        <f t="shared" ca="1" si="833"/>
        <v/>
      </c>
      <c r="F2379" t="str">
        <f t="shared" ca="1" si="834"/>
        <v xml:space="preserve">Enter a 'Cost of Acquiring the Building***' for  building 50 in cell N53.
</v>
      </c>
      <c r="G2379" s="9" t="str">
        <f t="shared" ca="1" si="821"/>
        <v xml:space="preserve">Enter a value for 'Number of Floors in the Tallest Building' in cell B60.
</v>
      </c>
      <c r="H2379" s="52" t="str">
        <f t="shared" ca="1" si="835"/>
        <v>Cost of Acquiring the Building***</v>
      </c>
      <c r="I2379" s="52">
        <v>14</v>
      </c>
    </row>
    <row r="2380" spans="1:10" ht="15" customHeight="1">
      <c r="A2380" t="str">
        <f ca="1">IF(AND(OFFSET(A2380, -I2380 + 2, 4) &gt;  0, E2380="", Calculations!$B$7), F2380, "")</f>
        <v/>
      </c>
      <c r="B2380">
        <f t="shared" si="831"/>
        <v>53</v>
      </c>
      <c r="C2380">
        <f t="shared" ca="1" si="823"/>
        <v>50</v>
      </c>
      <c r="D2380" t="str">
        <f t="shared" si="832"/>
        <v>O53</v>
      </c>
      <c r="E2380" t="str">
        <f t="shared" ca="1" si="833"/>
        <v/>
      </c>
      <c r="F2380" t="str">
        <f t="shared" ca="1" si="834"/>
        <v xml:space="preserve">Enter a 'Higher of Land Purchase Price or Land Appraised Value****' for  building 50 in cell O53.
</v>
      </c>
      <c r="G2380" s="9" t="str">
        <f t="shared" ca="1" si="821"/>
        <v xml:space="preserve">Enter a value for 'Number of Floors in the Tallest Building' in cell B60.
</v>
      </c>
      <c r="H2380" s="52" t="str">
        <f t="shared" ca="1" si="835"/>
        <v>Higher of Land Purchase Price or Land Appraised Value****</v>
      </c>
      <c r="I2380" s="52">
        <v>15</v>
      </c>
    </row>
    <row r="2381" spans="1:10" ht="15" customHeight="1">
      <c r="A2381" t="str">
        <f ca="1">IF(AND(OFFSET(A2381, -I2381 + 2, 4) &gt;  0, E2381="", Calculations!$B$7), F2381, "")</f>
        <v/>
      </c>
      <c r="B2381">
        <f t="shared" si="831"/>
        <v>53</v>
      </c>
      <c r="C2381">
        <f t="shared" ca="1" si="823"/>
        <v>50</v>
      </c>
      <c r="D2381" t="str">
        <f t="shared" si="832"/>
        <v>P53</v>
      </c>
      <c r="E2381" t="str">
        <f t="shared" ca="1" si="833"/>
        <v/>
      </c>
      <c r="F2381" t="str">
        <f t="shared" ca="1" si="834"/>
        <v xml:space="preserve">Enter a 'Acquisition Placed-in-Service Date' for  building 50 in cell P53.
</v>
      </c>
      <c r="G2381" s="9" t="str">
        <f t="shared" ca="1" si="821"/>
        <v xml:space="preserve">Enter a value for 'Number of Floors in the Tallest Building' in cell B60.
</v>
      </c>
      <c r="H2381" s="52" t="str">
        <f t="shared" ca="1" si="835"/>
        <v>Acquisition Placed-in-Service Date</v>
      </c>
      <c r="I2381" s="52">
        <v>16</v>
      </c>
    </row>
    <row r="2382" spans="1:10" ht="15" customHeight="1">
      <c r="A2382" t="str">
        <f ca="1">IF(AND(OFFSET(A2382, -I2382 + 2, 4) &gt;  0, E2382="", Calculations!$B$7), F2382, "")</f>
        <v/>
      </c>
      <c r="B2382">
        <f t="shared" si="831"/>
        <v>53</v>
      </c>
      <c r="C2382">
        <f t="shared" ca="1" si="823"/>
        <v>50</v>
      </c>
      <c r="D2382" t="str">
        <f t="shared" si="832"/>
        <v>Q53</v>
      </c>
      <c r="E2382" t="str">
        <f t="shared" ca="1" si="833"/>
        <v/>
      </c>
      <c r="F2382" t="str">
        <f t="shared" ca="1" si="834"/>
        <v xml:space="preserve">Enter a 'Acquisition APR' for  building 50 in cell Q53.
</v>
      </c>
      <c r="G2382" s="9" t="str">
        <f t="shared" ca="1" si="821"/>
        <v xml:space="preserve">Enter a value for 'Number of Floors in the Tallest Building' in cell B60.
</v>
      </c>
      <c r="H2382" s="52" t="str">
        <f t="shared" ca="1" si="835"/>
        <v>Acquisition APR</v>
      </c>
      <c r="I2382" s="52">
        <v>17</v>
      </c>
    </row>
    <row r="2383" spans="1:10" ht="15" customHeight="1">
      <c r="A2383" t="str">
        <f ca="1">IF(AND(Calculations!$B$4,Calculations!$B$29&gt;=C2383, E2383 &lt;&gt; 13),F2383,"")</f>
        <v/>
      </c>
      <c r="B2383">
        <f>ROW('Final Building Profile'!C54)</f>
        <v>54</v>
      </c>
      <c r="C2383">
        <f t="shared" ca="1" si="823"/>
        <v>51</v>
      </c>
      <c r="D2383" t="str">
        <f>ADDRESS(B2383, 3,4  )</f>
        <v>C54</v>
      </c>
      <c r="E2383" s="52">
        <f ca="1">H2383+I2383</f>
        <v>0</v>
      </c>
      <c r="F2383" t="str">
        <f ca="1">CONCATENATE("Based upon the number of buildings specified, information for  building ", C2383, " required for a final application in row ", B2383, ".", CHAR(10))</f>
        <v xml:space="preserve">Based upon the number of buildings specified, information for  building 51 required for a final application in row 54.
</v>
      </c>
      <c r="G2383" s="9" t="str">
        <f t="shared" ca="1" si="821"/>
        <v xml:space="preserve">Enter a value for 'Number of Floors in the Tallest Building' in cell B60.
</v>
      </c>
      <c r="H2383" s="52">
        <f ca="1">SUMPRODUCT(--ISTEXT(INDIRECT(J2383)))</f>
        <v>0</v>
      </c>
      <c r="I2383" s="52">
        <f ca="1">SUMPRODUCT(--ISNUMBER(INDIRECT(J2383)))</f>
        <v>0</v>
      </c>
      <c r="J2383" s="52" t="str">
        <f>$F$1565&amp; ADDRESS(B2383,3,4) &amp; ":" &amp; ADDRESS(B2383,15,4)</f>
        <v>'Final Building Profile'!C54:O54</v>
      </c>
    </row>
    <row r="2384" spans="1:10" ht="15" customHeight="1">
      <c r="A2384" t="str">
        <f t="shared" ref="A2384:A2393" ca="1" si="836">IF(AND(OFFSET(A2384, -I2384 + 2, 4) &gt;  0, E2384=""), F2384, "")</f>
        <v/>
      </c>
      <c r="B2384">
        <f t="shared" ref="B2384:B2398" si="837">B2383</f>
        <v>54</v>
      </c>
      <c r="C2384">
        <f t="shared" ca="1" si="823"/>
        <v>51</v>
      </c>
      <c r="D2384" t="str">
        <f t="shared" ref="D2384:D2398" si="838">ADDRESS(B2384, I2384,4  )</f>
        <v>C54</v>
      </c>
      <c r="E2384" t="str">
        <f t="shared" ref="E2384:E2398" ca="1" si="839">IF(ISBLANK( INDIRECT($F$1565 &amp; D2384)),"", INDIRECT($F$1565 &amp; D2384))</f>
        <v/>
      </c>
      <c r="F2384" t="str">
        <f t="shared" ref="F2384:F2398" ca="1" si="840">CONCATENATE("Enter a '"&amp; H2384 &amp;"' for  building ", C2384, " in cell ", D2384, ".", CHAR(10))</f>
        <v xml:space="preserve">Enter a 'Building Street Address Only 
(DO NOT ENTER CITY, STATE, OR ZIP)' for  building 51 in cell C54.
</v>
      </c>
      <c r="G2384" s="9" t="str">
        <f t="shared" ca="1" si="821"/>
        <v xml:space="preserve">Enter a value for 'Number of Floors in the Tallest Building' in cell B60.
</v>
      </c>
      <c r="H2384" s="52" t="str">
        <f t="shared" ref="H2384:H2398" ca="1" si="841">OFFSET(INDIRECT($F$1565 &amp; D2384), -B2384 + 3, 0)</f>
        <v>Building Street Address Only 
(DO NOT ENTER CITY, STATE, OR ZIP)</v>
      </c>
      <c r="I2384" s="52">
        <v>3</v>
      </c>
    </row>
    <row r="2385" spans="1:10" ht="15" customHeight="1">
      <c r="A2385" t="str">
        <f t="shared" ca="1" si="836"/>
        <v/>
      </c>
      <c r="B2385">
        <f t="shared" si="837"/>
        <v>54</v>
      </c>
      <c r="C2385">
        <f t="shared" ca="1" si="823"/>
        <v>51</v>
      </c>
      <c r="D2385" t="str">
        <f t="shared" si="838"/>
        <v>D54</v>
      </c>
      <c r="E2385" t="str">
        <f t="shared" ca="1" si="839"/>
        <v/>
      </c>
      <c r="F2385" t="str">
        <f t="shared" ca="1" si="840"/>
        <v xml:space="preserve">Enter a 'Total Units in Building*' for  building 51 in cell D54.
</v>
      </c>
      <c r="G2385" s="9" t="str">
        <f t="shared" ca="1" si="821"/>
        <v xml:space="preserve">Enter a value for 'Number of Floors in the Tallest Building' in cell B60.
</v>
      </c>
      <c r="H2385" s="52" t="str">
        <f t="shared" ca="1" si="841"/>
        <v>Total Units in Building*</v>
      </c>
      <c r="I2385" s="52">
        <v>4</v>
      </c>
    </row>
    <row r="2386" spans="1:10" ht="15" customHeight="1">
      <c r="A2386" t="str">
        <f t="shared" ca="1" si="836"/>
        <v/>
      </c>
      <c r="B2386">
        <f t="shared" si="837"/>
        <v>54</v>
      </c>
      <c r="C2386">
        <f t="shared" ca="1" si="823"/>
        <v>51</v>
      </c>
      <c r="D2386" t="str">
        <f t="shared" si="838"/>
        <v>E54</v>
      </c>
      <c r="E2386" t="str">
        <f t="shared" ca="1" si="839"/>
        <v/>
      </c>
      <c r="F2386" t="str">
        <f t="shared" ca="1" si="840"/>
        <v xml:space="preserve">Enter a 'Employee Units' for  building 51 in cell E54.
</v>
      </c>
      <c r="G2386" s="9" t="str">
        <f t="shared" ca="1" si="821"/>
        <v xml:space="preserve">Enter a value for 'Number of Floors in the Tallest Building' in cell B60.
</v>
      </c>
      <c r="H2386" s="52" t="str">
        <f t="shared" ca="1" si="841"/>
        <v>Employee Units</v>
      </c>
      <c r="I2386" s="52">
        <v>5</v>
      </c>
    </row>
    <row r="2387" spans="1:10" ht="15" customHeight="1">
      <c r="A2387" t="str">
        <f t="shared" ca="1" si="836"/>
        <v/>
      </c>
      <c r="B2387">
        <f t="shared" si="837"/>
        <v>54</v>
      </c>
      <c r="C2387">
        <f t="shared" ca="1" si="823"/>
        <v>51</v>
      </c>
      <c r="D2387" t="str">
        <f t="shared" si="838"/>
        <v>F54</v>
      </c>
      <c r="E2387" t="str">
        <f t="shared" ca="1" si="839"/>
        <v/>
      </c>
      <c r="F2387" t="str">
        <f t="shared" ca="1" si="840"/>
        <v xml:space="preserve">Enter a 'Low-Income Units' for  building 51 in cell F54.
</v>
      </c>
      <c r="G2387" s="9" t="str">
        <f t="shared" ca="1" si="821"/>
        <v xml:space="preserve">Enter a value for 'Number of Floors in the Tallest Building' in cell B60.
</v>
      </c>
      <c r="H2387" s="52" t="str">
        <f t="shared" ca="1" si="841"/>
        <v>Low-Income Units</v>
      </c>
      <c r="I2387" s="52">
        <v>6</v>
      </c>
    </row>
    <row r="2388" spans="1:10" ht="15" customHeight="1">
      <c r="A2388" t="str">
        <f t="shared" ca="1" si="836"/>
        <v/>
      </c>
      <c r="B2388">
        <f t="shared" si="837"/>
        <v>54</v>
      </c>
      <c r="C2388">
        <f t="shared" ca="1" si="823"/>
        <v>51</v>
      </c>
      <c r="D2388" t="str">
        <f t="shared" si="838"/>
        <v>G54</v>
      </c>
      <c r="E2388" t="str">
        <f t="shared" ca="1" si="839"/>
        <v/>
      </c>
      <c r="F2388" t="str">
        <f t="shared" ca="1" si="840"/>
        <v xml:space="preserve">Enter a 'Residential Square Footage**' for  building 51 in cell G54.
</v>
      </c>
      <c r="G2388" s="9" t="str">
        <f t="shared" ca="1" si="821"/>
        <v xml:space="preserve">Enter a value for 'Number of Floors in the Tallest Building' in cell B60.
</v>
      </c>
      <c r="H2388" s="52" t="str">
        <f t="shared" ca="1" si="841"/>
        <v>Residential Square Footage**</v>
      </c>
      <c r="I2388" s="52">
        <v>7</v>
      </c>
    </row>
    <row r="2389" spans="1:10" ht="15" customHeight="1">
      <c r="A2389" t="str">
        <f t="shared" ca="1" si="836"/>
        <v/>
      </c>
      <c r="B2389">
        <f t="shared" si="837"/>
        <v>54</v>
      </c>
      <c r="C2389">
        <f t="shared" ca="1" si="823"/>
        <v>51</v>
      </c>
      <c r="D2389" t="str">
        <f t="shared" si="838"/>
        <v>H54</v>
      </c>
      <c r="E2389" t="str">
        <f t="shared" ca="1" si="839"/>
        <v/>
      </c>
      <c r="F2389" t="str">
        <f t="shared" ca="1" si="840"/>
        <v xml:space="preserve">Enter a 'Square Footage of Employee Units' for  building 51 in cell H54.
</v>
      </c>
      <c r="G2389" s="9" t="str">
        <f t="shared" ca="1" si="821"/>
        <v xml:space="preserve">Enter a value for 'Number of Floors in the Tallest Building' in cell B60.
</v>
      </c>
      <c r="H2389" s="52" t="str">
        <f t="shared" ca="1" si="841"/>
        <v>Square Footage of Employee Units</v>
      </c>
      <c r="I2389" s="52">
        <v>8</v>
      </c>
    </row>
    <row r="2390" spans="1:10" ht="15" customHeight="1">
      <c r="A2390" t="str">
        <f t="shared" ca="1" si="836"/>
        <v/>
      </c>
      <c r="B2390">
        <f t="shared" si="837"/>
        <v>54</v>
      </c>
      <c r="C2390">
        <f t="shared" ca="1" si="823"/>
        <v>51</v>
      </c>
      <c r="D2390" t="str">
        <f t="shared" si="838"/>
        <v>I54</v>
      </c>
      <c r="E2390" t="str">
        <f t="shared" ca="1" si="839"/>
        <v/>
      </c>
      <c r="F2390" t="str">
        <f t="shared" ca="1" si="840"/>
        <v xml:space="preserve">Enter a 'Square Footage of Low-Income Units' for  building 51 in cell I54.
</v>
      </c>
      <c r="G2390" s="9" t="str">
        <f t="shared" ca="1" si="821"/>
        <v xml:space="preserve">Enter a value for 'Number of Floors in the Tallest Building' in cell B60.
</v>
      </c>
      <c r="H2390" s="52" t="str">
        <f t="shared" ca="1" si="841"/>
        <v>Square Footage of Low-Income Units</v>
      </c>
      <c r="I2390" s="52">
        <v>9</v>
      </c>
    </row>
    <row r="2391" spans="1:10" ht="15" customHeight="1">
      <c r="A2391" t="str">
        <f t="shared" ca="1" si="836"/>
        <v/>
      </c>
      <c r="B2391">
        <f t="shared" si="837"/>
        <v>54</v>
      </c>
      <c r="C2391">
        <f t="shared" ca="1" si="823"/>
        <v>51</v>
      </c>
      <c r="D2391" t="str">
        <f t="shared" si="838"/>
        <v>J54</v>
      </c>
      <c r="E2391" t="str">
        <f t="shared" ca="1" si="839"/>
        <v/>
      </c>
      <c r="F2391" t="str">
        <f t="shared" ca="1" si="840"/>
        <v xml:space="preserve">Enter a 'Placed-In-Service Date' for  building 51 in cell J54.
</v>
      </c>
      <c r="G2391" s="9" t="str">
        <f t="shared" ca="1" si="821"/>
        <v xml:space="preserve">Enter a value for 'Number of Floors in the Tallest Building' in cell B60.
</v>
      </c>
      <c r="H2391" s="52" t="str">
        <f t="shared" ca="1" si="841"/>
        <v>Placed-In-Service Date</v>
      </c>
      <c r="I2391" s="52">
        <v>10</v>
      </c>
    </row>
    <row r="2392" spans="1:10" ht="15" customHeight="1">
      <c r="A2392" t="str">
        <f t="shared" ca="1" si="836"/>
        <v/>
      </c>
      <c r="B2392">
        <f t="shared" si="837"/>
        <v>54</v>
      </c>
      <c r="C2392">
        <f t="shared" ca="1" si="823"/>
        <v>51</v>
      </c>
      <c r="D2392" t="str">
        <f t="shared" si="838"/>
        <v>K54</v>
      </c>
      <c r="E2392" t="str">
        <f t="shared" ca="1" si="839"/>
        <v/>
      </c>
      <c r="F2392" t="str">
        <f t="shared" ca="1" si="840"/>
        <v xml:space="preserve">Enter a 'New Construction/ Rehab APR' for  building 51 in cell K54.
</v>
      </c>
      <c r="G2392" s="9" t="str">
        <f t="shared" ca="1" si="821"/>
        <v xml:space="preserve">Enter a value for 'Number of Floors in the Tallest Building' in cell B60.
</v>
      </c>
      <c r="H2392" s="52" t="str">
        <f t="shared" ca="1" si="841"/>
        <v>New Construction/ Rehab APR</v>
      </c>
      <c r="I2392" s="52">
        <v>11</v>
      </c>
    </row>
    <row r="2393" spans="1:10" ht="15" customHeight="1">
      <c r="A2393" t="str">
        <f t="shared" ca="1" si="836"/>
        <v/>
      </c>
      <c r="B2393">
        <f t="shared" si="837"/>
        <v>54</v>
      </c>
      <c r="C2393">
        <f t="shared" ca="1" si="823"/>
        <v>51</v>
      </c>
      <c r="D2393" t="str">
        <f t="shared" si="838"/>
        <v>L54</v>
      </c>
      <c r="E2393" t="str">
        <f t="shared" ca="1" si="839"/>
        <v/>
      </c>
      <c r="F2393" t="str">
        <f t="shared" ca="1" si="840"/>
        <v xml:space="preserve">Enter a 'New Construction Eligible Basis' for  building 51 in cell L54.
</v>
      </c>
      <c r="G2393" s="9" t="str">
        <f t="shared" ca="1" si="821"/>
        <v xml:space="preserve">Enter a value for 'Number of Floors in the Tallest Building' in cell B60.
</v>
      </c>
      <c r="H2393" s="52" t="str">
        <f t="shared" ca="1" si="841"/>
        <v>New Construction Eligible Basis</v>
      </c>
      <c r="I2393" s="52">
        <v>12</v>
      </c>
    </row>
    <row r="2394" spans="1:10" ht="15" customHeight="1">
      <c r="A2394" t="str">
        <f ca="1">IF(AND(OFFSET(A2394, -I2394 + 2, 4) &gt;  0, E2394="", Calculations!$B$7), F2394, "")</f>
        <v/>
      </c>
      <c r="B2394">
        <f t="shared" si="837"/>
        <v>54</v>
      </c>
      <c r="C2394">
        <f t="shared" ca="1" si="823"/>
        <v>51</v>
      </c>
      <c r="D2394" t="str">
        <f t="shared" si="838"/>
        <v>M54</v>
      </c>
      <c r="E2394" t="str">
        <f t="shared" ca="1" si="839"/>
        <v/>
      </c>
      <c r="F2394" t="str">
        <f t="shared" ca="1" si="840"/>
        <v xml:space="preserve">Enter a 'Eligible Basis for Rehab' for  building 51 in cell M54.
</v>
      </c>
      <c r="G2394" s="9" t="str">
        <f t="shared" ca="1" si="821"/>
        <v xml:space="preserve">Enter a value for 'Number of Floors in the Tallest Building' in cell B60.
</v>
      </c>
      <c r="H2394" s="52" t="str">
        <f t="shared" ca="1" si="841"/>
        <v>Eligible Basis for Rehab</v>
      </c>
      <c r="I2394" s="52">
        <v>13</v>
      </c>
    </row>
    <row r="2395" spans="1:10" ht="15" customHeight="1">
      <c r="A2395" t="str">
        <f ca="1">IF(AND(OFFSET(A2395, -I2395 + 2, 4) &gt;  0, E2395="", Calculations!$B$7), F2395, "")</f>
        <v/>
      </c>
      <c r="B2395">
        <f t="shared" si="837"/>
        <v>54</v>
      </c>
      <c r="C2395">
        <f t="shared" ca="1" si="823"/>
        <v>51</v>
      </c>
      <c r="D2395" t="str">
        <f t="shared" si="838"/>
        <v>N54</v>
      </c>
      <c r="E2395" t="str">
        <f t="shared" ca="1" si="839"/>
        <v/>
      </c>
      <c r="F2395" t="str">
        <f t="shared" ca="1" si="840"/>
        <v xml:space="preserve">Enter a 'Cost of Acquiring the Building***' for  building 51 in cell N54.
</v>
      </c>
      <c r="G2395" s="9" t="str">
        <f t="shared" ca="1" si="821"/>
        <v xml:space="preserve">Enter a value for 'Number of Floors in the Tallest Building' in cell B60.
</v>
      </c>
      <c r="H2395" s="52" t="str">
        <f t="shared" ca="1" si="841"/>
        <v>Cost of Acquiring the Building***</v>
      </c>
      <c r="I2395" s="52">
        <v>14</v>
      </c>
    </row>
    <row r="2396" spans="1:10" ht="15" customHeight="1">
      <c r="A2396" t="str">
        <f ca="1">IF(AND(OFFSET(A2396, -I2396 + 2, 4) &gt;  0, E2396="", Calculations!$B$7), F2396, "")</f>
        <v/>
      </c>
      <c r="B2396">
        <f t="shared" si="837"/>
        <v>54</v>
      </c>
      <c r="C2396">
        <f t="shared" ca="1" si="823"/>
        <v>51</v>
      </c>
      <c r="D2396" t="str">
        <f t="shared" si="838"/>
        <v>O54</v>
      </c>
      <c r="E2396" t="str">
        <f t="shared" ca="1" si="839"/>
        <v/>
      </c>
      <c r="F2396" t="str">
        <f t="shared" ca="1" si="840"/>
        <v xml:space="preserve">Enter a 'Higher of Land Purchase Price or Land Appraised Value****' for  building 51 in cell O54.
</v>
      </c>
      <c r="G2396" s="9" t="str">
        <f t="shared" ca="1" si="821"/>
        <v xml:space="preserve">Enter a value for 'Number of Floors in the Tallest Building' in cell B60.
</v>
      </c>
      <c r="H2396" s="52" t="str">
        <f t="shared" ca="1" si="841"/>
        <v>Higher of Land Purchase Price or Land Appraised Value****</v>
      </c>
      <c r="I2396" s="52">
        <v>15</v>
      </c>
    </row>
    <row r="2397" spans="1:10" ht="15" customHeight="1">
      <c r="A2397" t="str">
        <f ca="1">IF(AND(OFFSET(A2397, -I2397 + 2, 4) &gt;  0, E2397="", Calculations!$B$7), F2397, "")</f>
        <v/>
      </c>
      <c r="B2397">
        <f t="shared" si="837"/>
        <v>54</v>
      </c>
      <c r="C2397">
        <f t="shared" ca="1" si="823"/>
        <v>51</v>
      </c>
      <c r="D2397" t="str">
        <f t="shared" si="838"/>
        <v>P54</v>
      </c>
      <c r="E2397" t="str">
        <f t="shared" ca="1" si="839"/>
        <v/>
      </c>
      <c r="F2397" t="str">
        <f t="shared" ca="1" si="840"/>
        <v xml:space="preserve">Enter a 'Acquisition Placed-in-Service Date' for  building 51 in cell P54.
</v>
      </c>
      <c r="G2397" s="9" t="str">
        <f t="shared" ca="1" si="821"/>
        <v xml:space="preserve">Enter a value for 'Number of Floors in the Tallest Building' in cell B60.
</v>
      </c>
      <c r="H2397" s="52" t="str">
        <f t="shared" ca="1" si="841"/>
        <v>Acquisition Placed-in-Service Date</v>
      </c>
      <c r="I2397" s="52">
        <v>16</v>
      </c>
    </row>
    <row r="2398" spans="1:10" ht="15" customHeight="1">
      <c r="A2398" t="str">
        <f ca="1">IF(AND(OFFSET(A2398, -I2398 + 2, 4) &gt;  0, E2398="", Calculations!$B$7), F2398, "")</f>
        <v/>
      </c>
      <c r="B2398">
        <f t="shared" si="837"/>
        <v>54</v>
      </c>
      <c r="C2398">
        <f t="shared" ca="1" si="823"/>
        <v>51</v>
      </c>
      <c r="D2398" t="str">
        <f t="shared" si="838"/>
        <v>Q54</v>
      </c>
      <c r="E2398" t="str">
        <f t="shared" ca="1" si="839"/>
        <v/>
      </c>
      <c r="F2398" t="str">
        <f t="shared" ca="1" si="840"/>
        <v xml:space="preserve">Enter a 'Acquisition APR' for  building 51 in cell Q54.
</v>
      </c>
      <c r="G2398" s="9" t="str">
        <f t="shared" ca="1" si="821"/>
        <v xml:space="preserve">Enter a value for 'Number of Floors in the Tallest Building' in cell B60.
</v>
      </c>
      <c r="H2398" s="52" t="str">
        <f t="shared" ca="1" si="841"/>
        <v>Acquisition APR</v>
      </c>
      <c r="I2398" s="52">
        <v>17</v>
      </c>
    </row>
    <row r="2399" spans="1:10" ht="15" customHeight="1">
      <c r="A2399" t="str">
        <f ca="1">IF(AND(Calculations!$B$4,Calculations!$B$29&gt;=C2399, E2399 &lt;&gt; 13),F2399,"")</f>
        <v/>
      </c>
      <c r="B2399">
        <f>ROW('Final Building Profile'!C55)</f>
        <v>55</v>
      </c>
      <c r="C2399">
        <f t="shared" ca="1" si="823"/>
        <v>52</v>
      </c>
      <c r="D2399" t="str">
        <f>ADDRESS(B2399, 3,4  )</f>
        <v>C55</v>
      </c>
      <c r="E2399" s="52">
        <f ca="1">H2399+I2399</f>
        <v>0</v>
      </c>
      <c r="F2399" t="str">
        <f ca="1">CONCATENATE("Based upon the number of buildings specified, information for  building ", C2399, " required for a final application in row ", B2399, ".", CHAR(10))</f>
        <v xml:space="preserve">Based upon the number of buildings specified, information for  building 52 required for a final application in row 55.
</v>
      </c>
      <c r="G2399" s="9" t="str">
        <f t="shared" ca="1" si="821"/>
        <v xml:space="preserve">Enter a value for 'Number of Floors in the Tallest Building' in cell B60.
</v>
      </c>
      <c r="H2399" s="52">
        <f ca="1">SUMPRODUCT(--ISTEXT(INDIRECT(J2399)))</f>
        <v>0</v>
      </c>
      <c r="I2399" s="52">
        <f ca="1">SUMPRODUCT(--ISNUMBER(INDIRECT(J2399)))</f>
        <v>0</v>
      </c>
      <c r="J2399" s="52" t="str">
        <f>$F$1565&amp; ADDRESS(B2399,3,4) &amp; ":" &amp; ADDRESS(B2399,15,4)</f>
        <v>'Final Building Profile'!C55:O55</v>
      </c>
    </row>
    <row r="2400" spans="1:10" ht="15" customHeight="1">
      <c r="A2400" t="str">
        <f t="shared" ref="A2400:A2409" ca="1" si="842">IF(AND(OFFSET(A2400, -I2400 + 2, 4) &gt;  0, E2400=""), F2400, "")</f>
        <v/>
      </c>
      <c r="B2400">
        <f t="shared" ref="B2400:B2414" si="843">B2399</f>
        <v>55</v>
      </c>
      <c r="C2400">
        <f t="shared" ca="1" si="823"/>
        <v>52</v>
      </c>
      <c r="D2400" t="str">
        <f t="shared" ref="D2400:D2414" si="844">ADDRESS(B2400, I2400,4  )</f>
        <v>C55</v>
      </c>
      <c r="E2400" t="str">
        <f t="shared" ref="E2400:E2414" ca="1" si="845">IF(ISBLANK( INDIRECT($F$1565 &amp; D2400)),"", INDIRECT($F$1565 &amp; D2400))</f>
        <v/>
      </c>
      <c r="F2400" t="str">
        <f t="shared" ref="F2400:F2414" ca="1" si="846">CONCATENATE("Enter a '"&amp; H2400 &amp;"' for  building ", C2400, " in cell ", D2400, ".", CHAR(10))</f>
        <v xml:space="preserve">Enter a 'Building Street Address Only 
(DO NOT ENTER CITY, STATE, OR ZIP)' for  building 52 in cell C55.
</v>
      </c>
      <c r="G2400" s="9" t="str">
        <f t="shared" ref="G2400:G2463" ca="1" si="847">OFFSET(G2400, -1, 0) &amp; A2400</f>
        <v xml:space="preserve">Enter a value for 'Number of Floors in the Tallest Building' in cell B60.
</v>
      </c>
      <c r="H2400" s="52" t="str">
        <f t="shared" ref="H2400:H2414" ca="1" si="848">OFFSET(INDIRECT($F$1565 &amp; D2400), -B2400 + 3, 0)</f>
        <v>Building Street Address Only 
(DO NOT ENTER CITY, STATE, OR ZIP)</v>
      </c>
      <c r="I2400" s="52">
        <v>3</v>
      </c>
    </row>
    <row r="2401" spans="1:10" ht="15" customHeight="1">
      <c r="A2401" t="str">
        <f t="shared" ca="1" si="842"/>
        <v/>
      </c>
      <c r="B2401">
        <f t="shared" si="843"/>
        <v>55</v>
      </c>
      <c r="C2401">
        <f t="shared" ca="1" si="823"/>
        <v>52</v>
      </c>
      <c r="D2401" t="str">
        <f t="shared" si="844"/>
        <v>D55</v>
      </c>
      <c r="E2401" t="str">
        <f t="shared" ca="1" si="845"/>
        <v/>
      </c>
      <c r="F2401" t="str">
        <f t="shared" ca="1" si="846"/>
        <v xml:space="preserve">Enter a 'Total Units in Building*' for  building 52 in cell D55.
</v>
      </c>
      <c r="G2401" s="9" t="str">
        <f t="shared" ca="1" si="847"/>
        <v xml:space="preserve">Enter a value for 'Number of Floors in the Tallest Building' in cell B60.
</v>
      </c>
      <c r="H2401" s="52" t="str">
        <f t="shared" ca="1" si="848"/>
        <v>Total Units in Building*</v>
      </c>
      <c r="I2401" s="52">
        <v>4</v>
      </c>
    </row>
    <row r="2402" spans="1:10" ht="15" customHeight="1">
      <c r="A2402" t="str">
        <f t="shared" ca="1" si="842"/>
        <v/>
      </c>
      <c r="B2402">
        <f t="shared" si="843"/>
        <v>55</v>
      </c>
      <c r="C2402">
        <f t="shared" ca="1" si="823"/>
        <v>52</v>
      </c>
      <c r="D2402" t="str">
        <f t="shared" si="844"/>
        <v>E55</v>
      </c>
      <c r="E2402" t="str">
        <f t="shared" ca="1" si="845"/>
        <v/>
      </c>
      <c r="F2402" t="str">
        <f t="shared" ca="1" si="846"/>
        <v xml:space="preserve">Enter a 'Employee Units' for  building 52 in cell E55.
</v>
      </c>
      <c r="G2402" s="9" t="str">
        <f t="shared" ca="1" si="847"/>
        <v xml:space="preserve">Enter a value for 'Number of Floors in the Tallest Building' in cell B60.
</v>
      </c>
      <c r="H2402" s="52" t="str">
        <f t="shared" ca="1" si="848"/>
        <v>Employee Units</v>
      </c>
      <c r="I2402" s="52">
        <v>5</v>
      </c>
    </row>
    <row r="2403" spans="1:10" ht="15" customHeight="1">
      <c r="A2403" t="str">
        <f t="shared" ca="1" si="842"/>
        <v/>
      </c>
      <c r="B2403">
        <f t="shared" si="843"/>
        <v>55</v>
      </c>
      <c r="C2403">
        <f t="shared" ca="1" si="823"/>
        <v>52</v>
      </c>
      <c r="D2403" t="str">
        <f t="shared" si="844"/>
        <v>F55</v>
      </c>
      <c r="E2403" t="str">
        <f t="shared" ca="1" si="845"/>
        <v/>
      </c>
      <c r="F2403" t="str">
        <f t="shared" ca="1" si="846"/>
        <v xml:space="preserve">Enter a 'Low-Income Units' for  building 52 in cell F55.
</v>
      </c>
      <c r="G2403" s="9" t="str">
        <f t="shared" ca="1" si="847"/>
        <v xml:space="preserve">Enter a value for 'Number of Floors in the Tallest Building' in cell B60.
</v>
      </c>
      <c r="H2403" s="52" t="str">
        <f t="shared" ca="1" si="848"/>
        <v>Low-Income Units</v>
      </c>
      <c r="I2403" s="52">
        <v>6</v>
      </c>
    </row>
    <row r="2404" spans="1:10" ht="15" customHeight="1">
      <c r="A2404" t="str">
        <f t="shared" ca="1" si="842"/>
        <v/>
      </c>
      <c r="B2404">
        <f t="shared" si="843"/>
        <v>55</v>
      </c>
      <c r="C2404">
        <f t="shared" ca="1" si="823"/>
        <v>52</v>
      </c>
      <c r="D2404" t="str">
        <f t="shared" si="844"/>
        <v>G55</v>
      </c>
      <c r="E2404" t="str">
        <f t="shared" ca="1" si="845"/>
        <v/>
      </c>
      <c r="F2404" t="str">
        <f t="shared" ca="1" si="846"/>
        <v xml:space="preserve">Enter a 'Residential Square Footage**' for  building 52 in cell G55.
</v>
      </c>
      <c r="G2404" s="9" t="str">
        <f t="shared" ca="1" si="847"/>
        <v xml:space="preserve">Enter a value for 'Number of Floors in the Tallest Building' in cell B60.
</v>
      </c>
      <c r="H2404" s="52" t="str">
        <f t="shared" ca="1" si="848"/>
        <v>Residential Square Footage**</v>
      </c>
      <c r="I2404" s="52">
        <v>7</v>
      </c>
    </row>
    <row r="2405" spans="1:10" ht="15" customHeight="1">
      <c r="A2405" t="str">
        <f t="shared" ca="1" si="842"/>
        <v/>
      </c>
      <c r="B2405">
        <f t="shared" si="843"/>
        <v>55</v>
      </c>
      <c r="C2405">
        <f t="shared" ca="1" si="823"/>
        <v>52</v>
      </c>
      <c r="D2405" t="str">
        <f t="shared" si="844"/>
        <v>H55</v>
      </c>
      <c r="E2405" t="str">
        <f t="shared" ca="1" si="845"/>
        <v/>
      </c>
      <c r="F2405" t="str">
        <f t="shared" ca="1" si="846"/>
        <v xml:space="preserve">Enter a 'Square Footage of Employee Units' for  building 52 in cell H55.
</v>
      </c>
      <c r="G2405" s="9" t="str">
        <f t="shared" ca="1" si="847"/>
        <v xml:space="preserve">Enter a value for 'Number of Floors in the Tallest Building' in cell B60.
</v>
      </c>
      <c r="H2405" s="52" t="str">
        <f t="shared" ca="1" si="848"/>
        <v>Square Footage of Employee Units</v>
      </c>
      <c r="I2405" s="52">
        <v>8</v>
      </c>
    </row>
    <row r="2406" spans="1:10" ht="15" customHeight="1">
      <c r="A2406" t="str">
        <f t="shared" ca="1" si="842"/>
        <v/>
      </c>
      <c r="B2406">
        <f t="shared" si="843"/>
        <v>55</v>
      </c>
      <c r="C2406">
        <f t="shared" ca="1" si="823"/>
        <v>52</v>
      </c>
      <c r="D2406" t="str">
        <f t="shared" si="844"/>
        <v>I55</v>
      </c>
      <c r="E2406" t="str">
        <f t="shared" ca="1" si="845"/>
        <v/>
      </c>
      <c r="F2406" t="str">
        <f t="shared" ca="1" si="846"/>
        <v xml:space="preserve">Enter a 'Square Footage of Low-Income Units' for  building 52 in cell I55.
</v>
      </c>
      <c r="G2406" s="9" t="str">
        <f t="shared" ca="1" si="847"/>
        <v xml:space="preserve">Enter a value for 'Number of Floors in the Tallest Building' in cell B60.
</v>
      </c>
      <c r="H2406" s="52" t="str">
        <f t="shared" ca="1" si="848"/>
        <v>Square Footage of Low-Income Units</v>
      </c>
      <c r="I2406" s="52">
        <v>9</v>
      </c>
    </row>
    <row r="2407" spans="1:10" ht="15" customHeight="1">
      <c r="A2407" t="str">
        <f t="shared" ca="1" si="842"/>
        <v/>
      </c>
      <c r="B2407">
        <f t="shared" si="843"/>
        <v>55</v>
      </c>
      <c r="C2407">
        <f t="shared" ca="1" si="823"/>
        <v>52</v>
      </c>
      <c r="D2407" t="str">
        <f t="shared" si="844"/>
        <v>J55</v>
      </c>
      <c r="E2407" t="str">
        <f t="shared" ca="1" si="845"/>
        <v/>
      </c>
      <c r="F2407" t="str">
        <f t="shared" ca="1" si="846"/>
        <v xml:space="preserve">Enter a 'Placed-In-Service Date' for  building 52 in cell J55.
</v>
      </c>
      <c r="G2407" s="9" t="str">
        <f t="shared" ca="1" si="847"/>
        <v xml:space="preserve">Enter a value for 'Number of Floors in the Tallest Building' in cell B60.
</v>
      </c>
      <c r="H2407" s="52" t="str">
        <f t="shared" ca="1" si="848"/>
        <v>Placed-In-Service Date</v>
      </c>
      <c r="I2407" s="52">
        <v>10</v>
      </c>
    </row>
    <row r="2408" spans="1:10" ht="15" customHeight="1">
      <c r="A2408" t="str">
        <f t="shared" ca="1" si="842"/>
        <v/>
      </c>
      <c r="B2408">
        <f t="shared" si="843"/>
        <v>55</v>
      </c>
      <c r="C2408">
        <f t="shared" ca="1" si="823"/>
        <v>52</v>
      </c>
      <c r="D2408" t="str">
        <f t="shared" si="844"/>
        <v>K55</v>
      </c>
      <c r="E2408" t="str">
        <f t="shared" ca="1" si="845"/>
        <v/>
      </c>
      <c r="F2408" t="str">
        <f t="shared" ca="1" si="846"/>
        <v xml:space="preserve">Enter a 'New Construction/ Rehab APR' for  building 52 in cell K55.
</v>
      </c>
      <c r="G2408" s="9" t="str">
        <f t="shared" ca="1" si="847"/>
        <v xml:space="preserve">Enter a value for 'Number of Floors in the Tallest Building' in cell B60.
</v>
      </c>
      <c r="H2408" s="52" t="str">
        <f t="shared" ca="1" si="848"/>
        <v>New Construction/ Rehab APR</v>
      </c>
      <c r="I2408" s="52">
        <v>11</v>
      </c>
    </row>
    <row r="2409" spans="1:10" ht="15" customHeight="1">
      <c r="A2409" t="str">
        <f t="shared" ca="1" si="842"/>
        <v/>
      </c>
      <c r="B2409">
        <f t="shared" si="843"/>
        <v>55</v>
      </c>
      <c r="C2409">
        <f t="shared" ca="1" si="823"/>
        <v>52</v>
      </c>
      <c r="D2409" t="str">
        <f t="shared" si="844"/>
        <v>L55</v>
      </c>
      <c r="E2409" t="str">
        <f t="shared" ca="1" si="845"/>
        <v/>
      </c>
      <c r="F2409" t="str">
        <f t="shared" ca="1" si="846"/>
        <v xml:space="preserve">Enter a 'New Construction Eligible Basis' for  building 52 in cell L55.
</v>
      </c>
      <c r="G2409" s="9" t="str">
        <f t="shared" ca="1" si="847"/>
        <v xml:space="preserve">Enter a value for 'Number of Floors in the Tallest Building' in cell B60.
</v>
      </c>
      <c r="H2409" s="52" t="str">
        <f t="shared" ca="1" si="848"/>
        <v>New Construction Eligible Basis</v>
      </c>
      <c r="I2409" s="52">
        <v>12</v>
      </c>
    </row>
    <row r="2410" spans="1:10" ht="15" customHeight="1">
      <c r="A2410" t="str">
        <f ca="1">IF(AND(OFFSET(A2410, -I2410 + 2, 4) &gt;  0, E2410="", Calculations!$B$7), F2410, "")</f>
        <v/>
      </c>
      <c r="B2410">
        <f t="shared" si="843"/>
        <v>55</v>
      </c>
      <c r="C2410">
        <f t="shared" ca="1" si="823"/>
        <v>52</v>
      </c>
      <c r="D2410" t="str">
        <f t="shared" si="844"/>
        <v>M55</v>
      </c>
      <c r="E2410" t="str">
        <f t="shared" ca="1" si="845"/>
        <v/>
      </c>
      <c r="F2410" t="str">
        <f t="shared" ca="1" si="846"/>
        <v xml:space="preserve">Enter a 'Eligible Basis for Rehab' for  building 52 in cell M55.
</v>
      </c>
      <c r="G2410" s="9" t="str">
        <f t="shared" ca="1" si="847"/>
        <v xml:space="preserve">Enter a value for 'Number of Floors in the Tallest Building' in cell B60.
</v>
      </c>
      <c r="H2410" s="52" t="str">
        <f t="shared" ca="1" si="848"/>
        <v>Eligible Basis for Rehab</v>
      </c>
      <c r="I2410" s="52">
        <v>13</v>
      </c>
    </row>
    <row r="2411" spans="1:10" ht="15" customHeight="1">
      <c r="A2411" t="str">
        <f ca="1">IF(AND(OFFSET(A2411, -I2411 + 2, 4) &gt;  0, E2411="", Calculations!$B$7), F2411, "")</f>
        <v/>
      </c>
      <c r="B2411">
        <f t="shared" si="843"/>
        <v>55</v>
      </c>
      <c r="C2411">
        <f t="shared" ca="1" si="823"/>
        <v>52</v>
      </c>
      <c r="D2411" t="str">
        <f t="shared" si="844"/>
        <v>N55</v>
      </c>
      <c r="E2411" t="str">
        <f t="shared" ca="1" si="845"/>
        <v/>
      </c>
      <c r="F2411" t="str">
        <f t="shared" ca="1" si="846"/>
        <v xml:space="preserve">Enter a 'Cost of Acquiring the Building***' for  building 52 in cell N55.
</v>
      </c>
      <c r="G2411" s="9" t="str">
        <f t="shared" ca="1" si="847"/>
        <v xml:space="preserve">Enter a value for 'Number of Floors in the Tallest Building' in cell B60.
</v>
      </c>
      <c r="H2411" s="52" t="str">
        <f t="shared" ca="1" si="848"/>
        <v>Cost of Acquiring the Building***</v>
      </c>
      <c r="I2411" s="52">
        <v>14</v>
      </c>
    </row>
    <row r="2412" spans="1:10" ht="15" customHeight="1">
      <c r="A2412" t="str">
        <f ca="1">IF(AND(OFFSET(A2412, -I2412 + 2, 4) &gt;  0, E2412="", Calculations!$B$7), F2412, "")</f>
        <v/>
      </c>
      <c r="B2412">
        <f t="shared" si="843"/>
        <v>55</v>
      </c>
      <c r="C2412">
        <f t="shared" ca="1" si="823"/>
        <v>52</v>
      </c>
      <c r="D2412" t="str">
        <f t="shared" si="844"/>
        <v>O55</v>
      </c>
      <c r="E2412" t="str">
        <f t="shared" ca="1" si="845"/>
        <v/>
      </c>
      <c r="F2412" t="str">
        <f t="shared" ca="1" si="846"/>
        <v xml:space="preserve">Enter a 'Higher of Land Purchase Price or Land Appraised Value****' for  building 52 in cell O55.
</v>
      </c>
      <c r="G2412" s="9" t="str">
        <f t="shared" ca="1" si="847"/>
        <v xml:space="preserve">Enter a value for 'Number of Floors in the Tallest Building' in cell B60.
</v>
      </c>
      <c r="H2412" s="52" t="str">
        <f t="shared" ca="1" si="848"/>
        <v>Higher of Land Purchase Price or Land Appraised Value****</v>
      </c>
      <c r="I2412" s="52">
        <v>15</v>
      </c>
    </row>
    <row r="2413" spans="1:10" ht="15" customHeight="1">
      <c r="A2413" t="str">
        <f ca="1">IF(AND(OFFSET(A2413, -I2413 + 2, 4) &gt;  0, E2413="", Calculations!$B$7), F2413, "")</f>
        <v/>
      </c>
      <c r="B2413">
        <f t="shared" si="843"/>
        <v>55</v>
      </c>
      <c r="C2413">
        <f t="shared" ca="1" si="823"/>
        <v>52</v>
      </c>
      <c r="D2413" t="str">
        <f t="shared" si="844"/>
        <v>P55</v>
      </c>
      <c r="E2413" t="str">
        <f t="shared" ca="1" si="845"/>
        <v/>
      </c>
      <c r="F2413" t="str">
        <f t="shared" ca="1" si="846"/>
        <v xml:space="preserve">Enter a 'Acquisition Placed-in-Service Date' for  building 52 in cell P55.
</v>
      </c>
      <c r="G2413" s="9" t="str">
        <f t="shared" ca="1" si="847"/>
        <v xml:space="preserve">Enter a value for 'Number of Floors in the Tallest Building' in cell B60.
</v>
      </c>
      <c r="H2413" s="52" t="str">
        <f t="shared" ca="1" si="848"/>
        <v>Acquisition Placed-in-Service Date</v>
      </c>
      <c r="I2413" s="52">
        <v>16</v>
      </c>
    </row>
    <row r="2414" spans="1:10" ht="15" customHeight="1">
      <c r="A2414" t="str">
        <f ca="1">IF(AND(OFFSET(A2414, -I2414 + 2, 4) &gt;  0, E2414="", Calculations!$B$7), F2414, "")</f>
        <v/>
      </c>
      <c r="B2414">
        <f t="shared" si="843"/>
        <v>55</v>
      </c>
      <c r="C2414">
        <f t="shared" ca="1" si="823"/>
        <v>52</v>
      </c>
      <c r="D2414" t="str">
        <f t="shared" si="844"/>
        <v>Q55</v>
      </c>
      <c r="E2414" t="str">
        <f t="shared" ca="1" si="845"/>
        <v/>
      </c>
      <c r="F2414" t="str">
        <f t="shared" ca="1" si="846"/>
        <v xml:space="preserve">Enter a 'Acquisition APR' for  building 52 in cell Q55.
</v>
      </c>
      <c r="G2414" s="9" t="str">
        <f t="shared" ca="1" si="847"/>
        <v xml:space="preserve">Enter a value for 'Number of Floors in the Tallest Building' in cell B60.
</v>
      </c>
      <c r="H2414" s="52" t="str">
        <f t="shared" ca="1" si="848"/>
        <v>Acquisition APR</v>
      </c>
      <c r="I2414" s="52">
        <v>17</v>
      </c>
    </row>
    <row r="2415" spans="1:10" ht="15" customHeight="1">
      <c r="A2415" t="str">
        <f ca="1">IF(AND(Calculations!$B$4,Calculations!$B$29&gt;=C2415, E2415 &lt;&gt; 13),F2415,"")</f>
        <v/>
      </c>
      <c r="B2415">
        <f>ROW('Final Building Profile'!C56)</f>
        <v>56</v>
      </c>
      <c r="C2415">
        <f t="shared" ref="C2415:C2478" ca="1" si="849">INDIRECT($F$1565 &amp; ADDRESS(B2415, 1,4  ))</f>
        <v>53</v>
      </c>
      <c r="D2415" t="str">
        <f>ADDRESS(B2415, 3,4  )</f>
        <v>C56</v>
      </c>
      <c r="E2415" s="52">
        <f ca="1">H2415+I2415</f>
        <v>0</v>
      </c>
      <c r="F2415" t="str">
        <f ca="1">CONCATENATE("Based upon the number of buildings specified, information for  building ", C2415, " required for a final application in row ", B2415, ".", CHAR(10))</f>
        <v xml:space="preserve">Based upon the number of buildings specified, information for  building 53 required for a final application in row 56.
</v>
      </c>
      <c r="G2415" s="9" t="str">
        <f t="shared" ca="1" si="847"/>
        <v xml:space="preserve">Enter a value for 'Number of Floors in the Tallest Building' in cell B60.
</v>
      </c>
      <c r="H2415" s="52">
        <f ca="1">SUMPRODUCT(--ISTEXT(INDIRECT(J2415)))</f>
        <v>0</v>
      </c>
      <c r="I2415" s="52">
        <f ca="1">SUMPRODUCT(--ISNUMBER(INDIRECT(J2415)))</f>
        <v>0</v>
      </c>
      <c r="J2415" s="52" t="str">
        <f>$F$1565&amp; ADDRESS(B2415,3,4) &amp; ":" &amp; ADDRESS(B2415,15,4)</f>
        <v>'Final Building Profile'!C56:O56</v>
      </c>
    </row>
    <row r="2416" spans="1:10" ht="15" customHeight="1">
      <c r="A2416" t="str">
        <f t="shared" ref="A2416:A2425" ca="1" si="850">IF(AND(OFFSET(A2416, -I2416 + 2, 4) &gt;  0, E2416=""), F2416, "")</f>
        <v/>
      </c>
      <c r="B2416">
        <f t="shared" ref="B2416:B2430" si="851">B2415</f>
        <v>56</v>
      </c>
      <c r="C2416">
        <f t="shared" ca="1" si="849"/>
        <v>53</v>
      </c>
      <c r="D2416" t="str">
        <f t="shared" ref="D2416:D2430" si="852">ADDRESS(B2416, I2416,4  )</f>
        <v>C56</v>
      </c>
      <c r="E2416" t="str">
        <f t="shared" ref="E2416:E2430" ca="1" si="853">IF(ISBLANK( INDIRECT($F$1565 &amp; D2416)),"", INDIRECT($F$1565 &amp; D2416))</f>
        <v/>
      </c>
      <c r="F2416" t="str">
        <f t="shared" ref="F2416:F2430" ca="1" si="854">CONCATENATE("Enter a '"&amp; H2416 &amp;"' for  building ", C2416, " in cell ", D2416, ".", CHAR(10))</f>
        <v xml:space="preserve">Enter a 'Building Street Address Only 
(DO NOT ENTER CITY, STATE, OR ZIP)' for  building 53 in cell C56.
</v>
      </c>
      <c r="G2416" s="9" t="str">
        <f t="shared" ca="1" si="847"/>
        <v xml:space="preserve">Enter a value for 'Number of Floors in the Tallest Building' in cell B60.
</v>
      </c>
      <c r="H2416" s="52" t="str">
        <f t="shared" ref="H2416:H2430" ca="1" si="855">OFFSET(INDIRECT($F$1565 &amp; D2416), -B2416 + 3, 0)</f>
        <v>Building Street Address Only 
(DO NOT ENTER CITY, STATE, OR ZIP)</v>
      </c>
      <c r="I2416" s="52">
        <v>3</v>
      </c>
    </row>
    <row r="2417" spans="1:10" ht="15" customHeight="1">
      <c r="A2417" t="str">
        <f t="shared" ca="1" si="850"/>
        <v/>
      </c>
      <c r="B2417">
        <f t="shared" si="851"/>
        <v>56</v>
      </c>
      <c r="C2417">
        <f t="shared" ca="1" si="849"/>
        <v>53</v>
      </c>
      <c r="D2417" t="str">
        <f t="shared" si="852"/>
        <v>D56</v>
      </c>
      <c r="E2417" t="str">
        <f t="shared" ca="1" si="853"/>
        <v/>
      </c>
      <c r="F2417" t="str">
        <f t="shared" ca="1" si="854"/>
        <v xml:space="preserve">Enter a 'Total Units in Building*' for  building 53 in cell D56.
</v>
      </c>
      <c r="G2417" s="9" t="str">
        <f t="shared" ca="1" si="847"/>
        <v xml:space="preserve">Enter a value for 'Number of Floors in the Tallest Building' in cell B60.
</v>
      </c>
      <c r="H2417" s="52" t="str">
        <f t="shared" ca="1" si="855"/>
        <v>Total Units in Building*</v>
      </c>
      <c r="I2417" s="52">
        <v>4</v>
      </c>
    </row>
    <row r="2418" spans="1:10" ht="15" customHeight="1">
      <c r="A2418" t="str">
        <f t="shared" ca="1" si="850"/>
        <v/>
      </c>
      <c r="B2418">
        <f t="shared" si="851"/>
        <v>56</v>
      </c>
      <c r="C2418">
        <f t="shared" ca="1" si="849"/>
        <v>53</v>
      </c>
      <c r="D2418" t="str">
        <f t="shared" si="852"/>
        <v>E56</v>
      </c>
      <c r="E2418" t="str">
        <f t="shared" ca="1" si="853"/>
        <v/>
      </c>
      <c r="F2418" t="str">
        <f t="shared" ca="1" si="854"/>
        <v xml:space="preserve">Enter a 'Employee Units' for  building 53 in cell E56.
</v>
      </c>
      <c r="G2418" s="9" t="str">
        <f t="shared" ca="1" si="847"/>
        <v xml:space="preserve">Enter a value for 'Number of Floors in the Tallest Building' in cell B60.
</v>
      </c>
      <c r="H2418" s="52" t="str">
        <f t="shared" ca="1" si="855"/>
        <v>Employee Units</v>
      </c>
      <c r="I2418" s="52">
        <v>5</v>
      </c>
    </row>
    <row r="2419" spans="1:10" ht="15" customHeight="1">
      <c r="A2419" t="str">
        <f t="shared" ca="1" si="850"/>
        <v/>
      </c>
      <c r="B2419">
        <f t="shared" si="851"/>
        <v>56</v>
      </c>
      <c r="C2419">
        <f t="shared" ca="1" si="849"/>
        <v>53</v>
      </c>
      <c r="D2419" t="str">
        <f t="shared" si="852"/>
        <v>F56</v>
      </c>
      <c r="E2419" t="str">
        <f t="shared" ca="1" si="853"/>
        <v/>
      </c>
      <c r="F2419" t="str">
        <f t="shared" ca="1" si="854"/>
        <v xml:space="preserve">Enter a 'Low-Income Units' for  building 53 in cell F56.
</v>
      </c>
      <c r="G2419" s="9" t="str">
        <f t="shared" ca="1" si="847"/>
        <v xml:space="preserve">Enter a value for 'Number of Floors in the Tallest Building' in cell B60.
</v>
      </c>
      <c r="H2419" s="52" t="str">
        <f t="shared" ca="1" si="855"/>
        <v>Low-Income Units</v>
      </c>
      <c r="I2419" s="52">
        <v>6</v>
      </c>
    </row>
    <row r="2420" spans="1:10" ht="15" customHeight="1">
      <c r="A2420" t="str">
        <f t="shared" ca="1" si="850"/>
        <v/>
      </c>
      <c r="B2420">
        <f t="shared" si="851"/>
        <v>56</v>
      </c>
      <c r="C2420">
        <f t="shared" ca="1" si="849"/>
        <v>53</v>
      </c>
      <c r="D2420" t="str">
        <f t="shared" si="852"/>
        <v>G56</v>
      </c>
      <c r="E2420" t="str">
        <f t="shared" ca="1" si="853"/>
        <v/>
      </c>
      <c r="F2420" t="str">
        <f t="shared" ca="1" si="854"/>
        <v xml:space="preserve">Enter a 'Residential Square Footage**' for  building 53 in cell G56.
</v>
      </c>
      <c r="G2420" s="9" t="str">
        <f t="shared" ca="1" si="847"/>
        <v xml:space="preserve">Enter a value for 'Number of Floors in the Tallest Building' in cell B60.
</v>
      </c>
      <c r="H2420" s="52" t="str">
        <f t="shared" ca="1" si="855"/>
        <v>Residential Square Footage**</v>
      </c>
      <c r="I2420" s="52">
        <v>7</v>
      </c>
    </row>
    <row r="2421" spans="1:10" ht="15" customHeight="1">
      <c r="A2421" t="str">
        <f t="shared" ca="1" si="850"/>
        <v/>
      </c>
      <c r="B2421">
        <f t="shared" si="851"/>
        <v>56</v>
      </c>
      <c r="C2421">
        <f t="shared" ca="1" si="849"/>
        <v>53</v>
      </c>
      <c r="D2421" t="str">
        <f t="shared" si="852"/>
        <v>H56</v>
      </c>
      <c r="E2421" t="str">
        <f t="shared" ca="1" si="853"/>
        <v/>
      </c>
      <c r="F2421" t="str">
        <f t="shared" ca="1" si="854"/>
        <v xml:space="preserve">Enter a 'Square Footage of Employee Units' for  building 53 in cell H56.
</v>
      </c>
      <c r="G2421" s="9" t="str">
        <f t="shared" ca="1" si="847"/>
        <v xml:space="preserve">Enter a value for 'Number of Floors in the Tallest Building' in cell B60.
</v>
      </c>
      <c r="H2421" s="52" t="str">
        <f t="shared" ca="1" si="855"/>
        <v>Square Footage of Employee Units</v>
      </c>
      <c r="I2421" s="52">
        <v>8</v>
      </c>
    </row>
    <row r="2422" spans="1:10" ht="15" customHeight="1">
      <c r="A2422" t="str">
        <f t="shared" ca="1" si="850"/>
        <v/>
      </c>
      <c r="B2422">
        <f t="shared" si="851"/>
        <v>56</v>
      </c>
      <c r="C2422">
        <f t="shared" ca="1" si="849"/>
        <v>53</v>
      </c>
      <c r="D2422" t="str">
        <f t="shared" si="852"/>
        <v>I56</v>
      </c>
      <c r="E2422" t="str">
        <f t="shared" ca="1" si="853"/>
        <v/>
      </c>
      <c r="F2422" t="str">
        <f t="shared" ca="1" si="854"/>
        <v xml:space="preserve">Enter a 'Square Footage of Low-Income Units' for  building 53 in cell I56.
</v>
      </c>
      <c r="G2422" s="9" t="str">
        <f t="shared" ca="1" si="847"/>
        <v xml:space="preserve">Enter a value for 'Number of Floors in the Tallest Building' in cell B60.
</v>
      </c>
      <c r="H2422" s="52" t="str">
        <f t="shared" ca="1" si="855"/>
        <v>Square Footage of Low-Income Units</v>
      </c>
      <c r="I2422" s="52">
        <v>9</v>
      </c>
    </row>
    <row r="2423" spans="1:10" ht="15" customHeight="1">
      <c r="A2423" t="str">
        <f t="shared" ca="1" si="850"/>
        <v/>
      </c>
      <c r="B2423">
        <f t="shared" si="851"/>
        <v>56</v>
      </c>
      <c r="C2423">
        <f t="shared" ca="1" si="849"/>
        <v>53</v>
      </c>
      <c r="D2423" t="str">
        <f t="shared" si="852"/>
        <v>J56</v>
      </c>
      <c r="E2423" t="str">
        <f t="shared" ca="1" si="853"/>
        <v/>
      </c>
      <c r="F2423" t="str">
        <f t="shared" ca="1" si="854"/>
        <v xml:space="preserve">Enter a 'Placed-In-Service Date' for  building 53 in cell J56.
</v>
      </c>
      <c r="G2423" s="9" t="str">
        <f t="shared" ca="1" si="847"/>
        <v xml:space="preserve">Enter a value for 'Number of Floors in the Tallest Building' in cell B60.
</v>
      </c>
      <c r="H2423" s="52" t="str">
        <f t="shared" ca="1" si="855"/>
        <v>Placed-In-Service Date</v>
      </c>
      <c r="I2423" s="52">
        <v>10</v>
      </c>
    </row>
    <row r="2424" spans="1:10" ht="15" customHeight="1">
      <c r="A2424" t="str">
        <f t="shared" ca="1" si="850"/>
        <v/>
      </c>
      <c r="B2424">
        <f t="shared" si="851"/>
        <v>56</v>
      </c>
      <c r="C2424">
        <f t="shared" ca="1" si="849"/>
        <v>53</v>
      </c>
      <c r="D2424" t="str">
        <f t="shared" si="852"/>
        <v>K56</v>
      </c>
      <c r="E2424" t="str">
        <f t="shared" ca="1" si="853"/>
        <v/>
      </c>
      <c r="F2424" t="str">
        <f t="shared" ca="1" si="854"/>
        <v xml:space="preserve">Enter a 'New Construction/ Rehab APR' for  building 53 in cell K56.
</v>
      </c>
      <c r="G2424" s="9" t="str">
        <f t="shared" ca="1" si="847"/>
        <v xml:space="preserve">Enter a value for 'Number of Floors in the Tallest Building' in cell B60.
</v>
      </c>
      <c r="H2424" s="52" t="str">
        <f t="shared" ca="1" si="855"/>
        <v>New Construction/ Rehab APR</v>
      </c>
      <c r="I2424" s="52">
        <v>11</v>
      </c>
    </row>
    <row r="2425" spans="1:10" ht="15" customHeight="1">
      <c r="A2425" t="str">
        <f t="shared" ca="1" si="850"/>
        <v/>
      </c>
      <c r="B2425">
        <f t="shared" si="851"/>
        <v>56</v>
      </c>
      <c r="C2425">
        <f t="shared" ca="1" si="849"/>
        <v>53</v>
      </c>
      <c r="D2425" t="str">
        <f t="shared" si="852"/>
        <v>L56</v>
      </c>
      <c r="E2425" t="str">
        <f t="shared" ca="1" si="853"/>
        <v/>
      </c>
      <c r="F2425" t="str">
        <f t="shared" ca="1" si="854"/>
        <v xml:space="preserve">Enter a 'New Construction Eligible Basis' for  building 53 in cell L56.
</v>
      </c>
      <c r="G2425" s="9" t="str">
        <f t="shared" ca="1" si="847"/>
        <v xml:space="preserve">Enter a value for 'Number of Floors in the Tallest Building' in cell B60.
</v>
      </c>
      <c r="H2425" s="52" t="str">
        <f t="shared" ca="1" si="855"/>
        <v>New Construction Eligible Basis</v>
      </c>
      <c r="I2425" s="52">
        <v>12</v>
      </c>
    </row>
    <row r="2426" spans="1:10" ht="15" customHeight="1">
      <c r="A2426" t="str">
        <f ca="1">IF(AND(OFFSET(A2426, -I2426 + 2, 4) &gt;  0, E2426="", Calculations!$B$7), F2426, "")</f>
        <v/>
      </c>
      <c r="B2426">
        <f t="shared" si="851"/>
        <v>56</v>
      </c>
      <c r="C2426">
        <f t="shared" ca="1" si="849"/>
        <v>53</v>
      </c>
      <c r="D2426" t="str">
        <f t="shared" si="852"/>
        <v>M56</v>
      </c>
      <c r="E2426" t="str">
        <f t="shared" ca="1" si="853"/>
        <v/>
      </c>
      <c r="F2426" t="str">
        <f t="shared" ca="1" si="854"/>
        <v xml:space="preserve">Enter a 'Eligible Basis for Rehab' for  building 53 in cell M56.
</v>
      </c>
      <c r="G2426" s="9" t="str">
        <f t="shared" ca="1" si="847"/>
        <v xml:space="preserve">Enter a value for 'Number of Floors in the Tallest Building' in cell B60.
</v>
      </c>
      <c r="H2426" s="52" t="str">
        <f t="shared" ca="1" si="855"/>
        <v>Eligible Basis for Rehab</v>
      </c>
      <c r="I2426" s="52">
        <v>13</v>
      </c>
    </row>
    <row r="2427" spans="1:10" ht="15" customHeight="1">
      <c r="A2427" t="str">
        <f ca="1">IF(AND(OFFSET(A2427, -I2427 + 2, 4) &gt;  0, E2427="", Calculations!$B$7), F2427, "")</f>
        <v/>
      </c>
      <c r="B2427">
        <f t="shared" si="851"/>
        <v>56</v>
      </c>
      <c r="C2427">
        <f t="shared" ca="1" si="849"/>
        <v>53</v>
      </c>
      <c r="D2427" t="str">
        <f t="shared" si="852"/>
        <v>N56</v>
      </c>
      <c r="E2427" t="str">
        <f t="shared" ca="1" si="853"/>
        <v/>
      </c>
      <c r="F2427" t="str">
        <f t="shared" ca="1" si="854"/>
        <v xml:space="preserve">Enter a 'Cost of Acquiring the Building***' for  building 53 in cell N56.
</v>
      </c>
      <c r="G2427" s="9" t="str">
        <f t="shared" ca="1" si="847"/>
        <v xml:space="preserve">Enter a value for 'Number of Floors in the Tallest Building' in cell B60.
</v>
      </c>
      <c r="H2427" s="52" t="str">
        <f t="shared" ca="1" si="855"/>
        <v>Cost of Acquiring the Building***</v>
      </c>
      <c r="I2427" s="52">
        <v>14</v>
      </c>
    </row>
    <row r="2428" spans="1:10" ht="15" customHeight="1">
      <c r="A2428" t="str">
        <f ca="1">IF(AND(OFFSET(A2428, -I2428 + 2, 4) &gt;  0, E2428="", Calculations!$B$7), F2428, "")</f>
        <v/>
      </c>
      <c r="B2428">
        <f t="shared" si="851"/>
        <v>56</v>
      </c>
      <c r="C2428">
        <f t="shared" ca="1" si="849"/>
        <v>53</v>
      </c>
      <c r="D2428" t="str">
        <f t="shared" si="852"/>
        <v>O56</v>
      </c>
      <c r="E2428" t="str">
        <f t="shared" ca="1" si="853"/>
        <v/>
      </c>
      <c r="F2428" t="str">
        <f t="shared" ca="1" si="854"/>
        <v xml:space="preserve">Enter a 'Higher of Land Purchase Price or Land Appraised Value****' for  building 53 in cell O56.
</v>
      </c>
      <c r="G2428" s="9" t="str">
        <f t="shared" ca="1" si="847"/>
        <v xml:space="preserve">Enter a value for 'Number of Floors in the Tallest Building' in cell B60.
</v>
      </c>
      <c r="H2428" s="52" t="str">
        <f t="shared" ca="1" si="855"/>
        <v>Higher of Land Purchase Price or Land Appraised Value****</v>
      </c>
      <c r="I2428" s="52">
        <v>15</v>
      </c>
    </row>
    <row r="2429" spans="1:10" ht="15" customHeight="1">
      <c r="A2429" t="str">
        <f ca="1">IF(AND(OFFSET(A2429, -I2429 + 2, 4) &gt;  0, E2429="", Calculations!$B$7), F2429, "")</f>
        <v/>
      </c>
      <c r="B2429">
        <f t="shared" si="851"/>
        <v>56</v>
      </c>
      <c r="C2429">
        <f t="shared" ca="1" si="849"/>
        <v>53</v>
      </c>
      <c r="D2429" t="str">
        <f t="shared" si="852"/>
        <v>P56</v>
      </c>
      <c r="E2429" t="str">
        <f t="shared" ca="1" si="853"/>
        <v/>
      </c>
      <c r="F2429" t="str">
        <f t="shared" ca="1" si="854"/>
        <v xml:space="preserve">Enter a 'Acquisition Placed-in-Service Date' for  building 53 in cell P56.
</v>
      </c>
      <c r="G2429" s="9" t="str">
        <f t="shared" ca="1" si="847"/>
        <v xml:space="preserve">Enter a value for 'Number of Floors in the Tallest Building' in cell B60.
</v>
      </c>
      <c r="H2429" s="52" t="str">
        <f t="shared" ca="1" si="855"/>
        <v>Acquisition Placed-in-Service Date</v>
      </c>
      <c r="I2429" s="52">
        <v>16</v>
      </c>
    </row>
    <row r="2430" spans="1:10" ht="15" customHeight="1">
      <c r="A2430" t="str">
        <f ca="1">IF(AND(OFFSET(A2430, -I2430 + 2, 4) &gt;  0, E2430="", Calculations!$B$7), F2430, "")</f>
        <v/>
      </c>
      <c r="B2430">
        <f t="shared" si="851"/>
        <v>56</v>
      </c>
      <c r="C2430">
        <f t="shared" ca="1" si="849"/>
        <v>53</v>
      </c>
      <c r="D2430" t="str">
        <f t="shared" si="852"/>
        <v>Q56</v>
      </c>
      <c r="E2430" t="str">
        <f t="shared" ca="1" si="853"/>
        <v/>
      </c>
      <c r="F2430" t="str">
        <f t="shared" ca="1" si="854"/>
        <v xml:space="preserve">Enter a 'Acquisition APR' for  building 53 in cell Q56.
</v>
      </c>
      <c r="G2430" s="9" t="str">
        <f t="shared" ca="1" si="847"/>
        <v xml:space="preserve">Enter a value for 'Number of Floors in the Tallest Building' in cell B60.
</v>
      </c>
      <c r="H2430" s="52" t="str">
        <f t="shared" ca="1" si="855"/>
        <v>Acquisition APR</v>
      </c>
      <c r="I2430" s="52">
        <v>17</v>
      </c>
    </row>
    <row r="2431" spans="1:10" ht="15" customHeight="1">
      <c r="A2431" t="str">
        <f ca="1">IF(AND(Calculations!$B$4,Calculations!$B$29&gt;=C2431, E2431 &lt;&gt; 13),F2431,"")</f>
        <v/>
      </c>
      <c r="B2431">
        <f>ROW('Final Building Profile'!C57)</f>
        <v>57</v>
      </c>
      <c r="C2431">
        <f t="shared" ca="1" si="849"/>
        <v>54</v>
      </c>
      <c r="D2431" t="str">
        <f>ADDRESS(B2431, 3,4  )</f>
        <v>C57</v>
      </c>
      <c r="E2431" s="52">
        <f ca="1">H2431+I2431</f>
        <v>0</v>
      </c>
      <c r="F2431" t="str">
        <f ca="1">CONCATENATE("Based upon the number of buildings specified, information for  building ", C2431, " required for a final application in row ", B2431, ".", CHAR(10))</f>
        <v xml:space="preserve">Based upon the number of buildings specified, information for  building 54 required for a final application in row 57.
</v>
      </c>
      <c r="G2431" s="9" t="str">
        <f t="shared" ca="1" si="847"/>
        <v xml:space="preserve">Enter a value for 'Number of Floors in the Tallest Building' in cell B60.
</v>
      </c>
      <c r="H2431" s="52">
        <f ca="1">SUMPRODUCT(--ISTEXT(INDIRECT(J2431)))</f>
        <v>0</v>
      </c>
      <c r="I2431" s="52">
        <f ca="1">SUMPRODUCT(--ISNUMBER(INDIRECT(J2431)))</f>
        <v>0</v>
      </c>
      <c r="J2431" s="52" t="str">
        <f>$F$1565&amp; ADDRESS(B2431,3,4) &amp; ":" &amp; ADDRESS(B2431,15,4)</f>
        <v>'Final Building Profile'!C57:O57</v>
      </c>
    </row>
    <row r="2432" spans="1:10" ht="15" customHeight="1">
      <c r="A2432" t="str">
        <f t="shared" ref="A2432:A2441" ca="1" si="856">IF(AND(OFFSET(A2432, -I2432 + 2, 4) &gt;  0, E2432=""), F2432, "")</f>
        <v/>
      </c>
      <c r="B2432">
        <f t="shared" ref="B2432:B2446" si="857">B2431</f>
        <v>57</v>
      </c>
      <c r="C2432">
        <f t="shared" ca="1" si="849"/>
        <v>54</v>
      </c>
      <c r="D2432" t="str">
        <f t="shared" ref="D2432:D2446" si="858">ADDRESS(B2432, I2432,4  )</f>
        <v>C57</v>
      </c>
      <c r="E2432" t="str">
        <f t="shared" ref="E2432:E2446" ca="1" si="859">IF(ISBLANK( INDIRECT($F$1565 &amp; D2432)),"", INDIRECT($F$1565 &amp; D2432))</f>
        <v/>
      </c>
      <c r="F2432" t="str">
        <f t="shared" ref="F2432:F2446" ca="1" si="860">CONCATENATE("Enter a '"&amp; H2432 &amp;"' for  building ", C2432, " in cell ", D2432, ".", CHAR(10))</f>
        <v xml:space="preserve">Enter a 'Building Street Address Only 
(DO NOT ENTER CITY, STATE, OR ZIP)' for  building 54 in cell C57.
</v>
      </c>
      <c r="G2432" s="9" t="str">
        <f t="shared" ca="1" si="847"/>
        <v xml:space="preserve">Enter a value for 'Number of Floors in the Tallest Building' in cell B60.
</v>
      </c>
      <c r="H2432" s="52" t="str">
        <f t="shared" ref="H2432:H2446" ca="1" si="861">OFFSET(INDIRECT($F$1565 &amp; D2432), -B2432 + 3, 0)</f>
        <v>Building Street Address Only 
(DO NOT ENTER CITY, STATE, OR ZIP)</v>
      </c>
      <c r="I2432" s="52">
        <v>3</v>
      </c>
    </row>
    <row r="2433" spans="1:10" ht="15" customHeight="1">
      <c r="A2433" t="str">
        <f t="shared" ca="1" si="856"/>
        <v/>
      </c>
      <c r="B2433">
        <f t="shared" si="857"/>
        <v>57</v>
      </c>
      <c r="C2433">
        <f t="shared" ca="1" si="849"/>
        <v>54</v>
      </c>
      <c r="D2433" t="str">
        <f t="shared" si="858"/>
        <v>D57</v>
      </c>
      <c r="E2433" t="str">
        <f t="shared" ca="1" si="859"/>
        <v/>
      </c>
      <c r="F2433" t="str">
        <f t="shared" ca="1" si="860"/>
        <v xml:space="preserve">Enter a 'Total Units in Building*' for  building 54 in cell D57.
</v>
      </c>
      <c r="G2433" s="9" t="str">
        <f t="shared" ca="1" si="847"/>
        <v xml:space="preserve">Enter a value for 'Number of Floors in the Tallest Building' in cell B60.
</v>
      </c>
      <c r="H2433" s="52" t="str">
        <f t="shared" ca="1" si="861"/>
        <v>Total Units in Building*</v>
      </c>
      <c r="I2433" s="52">
        <v>4</v>
      </c>
    </row>
    <row r="2434" spans="1:10" ht="15" customHeight="1">
      <c r="A2434" t="str">
        <f t="shared" ca="1" si="856"/>
        <v/>
      </c>
      <c r="B2434">
        <f t="shared" si="857"/>
        <v>57</v>
      </c>
      <c r="C2434">
        <f t="shared" ca="1" si="849"/>
        <v>54</v>
      </c>
      <c r="D2434" t="str">
        <f t="shared" si="858"/>
        <v>E57</v>
      </c>
      <c r="E2434" t="str">
        <f t="shared" ca="1" si="859"/>
        <v/>
      </c>
      <c r="F2434" t="str">
        <f t="shared" ca="1" si="860"/>
        <v xml:space="preserve">Enter a 'Employee Units' for  building 54 in cell E57.
</v>
      </c>
      <c r="G2434" s="9" t="str">
        <f t="shared" ca="1" si="847"/>
        <v xml:space="preserve">Enter a value for 'Number of Floors in the Tallest Building' in cell B60.
</v>
      </c>
      <c r="H2434" s="52" t="str">
        <f t="shared" ca="1" si="861"/>
        <v>Employee Units</v>
      </c>
      <c r="I2434" s="52">
        <v>5</v>
      </c>
    </row>
    <row r="2435" spans="1:10" ht="15" customHeight="1">
      <c r="A2435" t="str">
        <f t="shared" ca="1" si="856"/>
        <v/>
      </c>
      <c r="B2435">
        <f t="shared" si="857"/>
        <v>57</v>
      </c>
      <c r="C2435">
        <f t="shared" ca="1" si="849"/>
        <v>54</v>
      </c>
      <c r="D2435" t="str">
        <f t="shared" si="858"/>
        <v>F57</v>
      </c>
      <c r="E2435" t="str">
        <f t="shared" ca="1" si="859"/>
        <v/>
      </c>
      <c r="F2435" t="str">
        <f t="shared" ca="1" si="860"/>
        <v xml:space="preserve">Enter a 'Low-Income Units' for  building 54 in cell F57.
</v>
      </c>
      <c r="G2435" s="9" t="str">
        <f t="shared" ca="1" si="847"/>
        <v xml:space="preserve">Enter a value for 'Number of Floors in the Tallest Building' in cell B60.
</v>
      </c>
      <c r="H2435" s="52" t="str">
        <f t="shared" ca="1" si="861"/>
        <v>Low-Income Units</v>
      </c>
      <c r="I2435" s="52">
        <v>6</v>
      </c>
    </row>
    <row r="2436" spans="1:10" ht="15" customHeight="1">
      <c r="A2436" t="str">
        <f t="shared" ca="1" si="856"/>
        <v/>
      </c>
      <c r="B2436">
        <f t="shared" si="857"/>
        <v>57</v>
      </c>
      <c r="C2436">
        <f t="shared" ca="1" si="849"/>
        <v>54</v>
      </c>
      <c r="D2436" t="str">
        <f t="shared" si="858"/>
        <v>G57</v>
      </c>
      <c r="E2436" t="str">
        <f t="shared" ca="1" si="859"/>
        <v/>
      </c>
      <c r="F2436" t="str">
        <f t="shared" ca="1" si="860"/>
        <v xml:space="preserve">Enter a 'Residential Square Footage**' for  building 54 in cell G57.
</v>
      </c>
      <c r="G2436" s="9" t="str">
        <f t="shared" ca="1" si="847"/>
        <v xml:space="preserve">Enter a value for 'Number of Floors in the Tallest Building' in cell B60.
</v>
      </c>
      <c r="H2436" s="52" t="str">
        <f t="shared" ca="1" si="861"/>
        <v>Residential Square Footage**</v>
      </c>
      <c r="I2436" s="52">
        <v>7</v>
      </c>
    </row>
    <row r="2437" spans="1:10" ht="15" customHeight="1">
      <c r="A2437" t="str">
        <f t="shared" ca="1" si="856"/>
        <v/>
      </c>
      <c r="B2437">
        <f t="shared" si="857"/>
        <v>57</v>
      </c>
      <c r="C2437">
        <f t="shared" ca="1" si="849"/>
        <v>54</v>
      </c>
      <c r="D2437" t="str">
        <f t="shared" si="858"/>
        <v>H57</v>
      </c>
      <c r="E2437" t="str">
        <f t="shared" ca="1" si="859"/>
        <v/>
      </c>
      <c r="F2437" t="str">
        <f t="shared" ca="1" si="860"/>
        <v xml:space="preserve">Enter a 'Square Footage of Employee Units' for  building 54 in cell H57.
</v>
      </c>
      <c r="G2437" s="9" t="str">
        <f t="shared" ca="1" si="847"/>
        <v xml:space="preserve">Enter a value for 'Number of Floors in the Tallest Building' in cell B60.
</v>
      </c>
      <c r="H2437" s="52" t="str">
        <f t="shared" ca="1" si="861"/>
        <v>Square Footage of Employee Units</v>
      </c>
      <c r="I2437" s="52">
        <v>8</v>
      </c>
    </row>
    <row r="2438" spans="1:10" ht="15" customHeight="1">
      <c r="A2438" t="str">
        <f t="shared" ca="1" si="856"/>
        <v/>
      </c>
      <c r="B2438">
        <f t="shared" si="857"/>
        <v>57</v>
      </c>
      <c r="C2438">
        <f t="shared" ca="1" si="849"/>
        <v>54</v>
      </c>
      <c r="D2438" t="str">
        <f t="shared" si="858"/>
        <v>I57</v>
      </c>
      <c r="E2438" t="str">
        <f t="shared" ca="1" si="859"/>
        <v/>
      </c>
      <c r="F2438" t="str">
        <f t="shared" ca="1" si="860"/>
        <v xml:space="preserve">Enter a 'Square Footage of Low-Income Units' for  building 54 in cell I57.
</v>
      </c>
      <c r="G2438" s="9" t="str">
        <f t="shared" ca="1" si="847"/>
        <v xml:space="preserve">Enter a value for 'Number of Floors in the Tallest Building' in cell B60.
</v>
      </c>
      <c r="H2438" s="52" t="str">
        <f t="shared" ca="1" si="861"/>
        <v>Square Footage of Low-Income Units</v>
      </c>
      <c r="I2438" s="52">
        <v>9</v>
      </c>
    </row>
    <row r="2439" spans="1:10" ht="15" customHeight="1">
      <c r="A2439" t="str">
        <f t="shared" ca="1" si="856"/>
        <v/>
      </c>
      <c r="B2439">
        <f t="shared" si="857"/>
        <v>57</v>
      </c>
      <c r="C2439">
        <f t="shared" ca="1" si="849"/>
        <v>54</v>
      </c>
      <c r="D2439" t="str">
        <f t="shared" si="858"/>
        <v>J57</v>
      </c>
      <c r="E2439" t="str">
        <f t="shared" ca="1" si="859"/>
        <v/>
      </c>
      <c r="F2439" t="str">
        <f t="shared" ca="1" si="860"/>
        <v xml:space="preserve">Enter a 'Placed-In-Service Date' for  building 54 in cell J57.
</v>
      </c>
      <c r="G2439" s="9" t="str">
        <f t="shared" ca="1" si="847"/>
        <v xml:space="preserve">Enter a value for 'Number of Floors in the Tallest Building' in cell B60.
</v>
      </c>
      <c r="H2439" s="52" t="str">
        <f t="shared" ca="1" si="861"/>
        <v>Placed-In-Service Date</v>
      </c>
      <c r="I2439" s="52">
        <v>10</v>
      </c>
    </row>
    <row r="2440" spans="1:10" ht="15" customHeight="1">
      <c r="A2440" t="str">
        <f t="shared" ca="1" si="856"/>
        <v/>
      </c>
      <c r="B2440">
        <f t="shared" si="857"/>
        <v>57</v>
      </c>
      <c r="C2440">
        <f t="shared" ca="1" si="849"/>
        <v>54</v>
      </c>
      <c r="D2440" t="str">
        <f t="shared" si="858"/>
        <v>K57</v>
      </c>
      <c r="E2440" t="str">
        <f t="shared" ca="1" si="859"/>
        <v/>
      </c>
      <c r="F2440" t="str">
        <f t="shared" ca="1" si="860"/>
        <v xml:space="preserve">Enter a 'New Construction/ Rehab APR' for  building 54 in cell K57.
</v>
      </c>
      <c r="G2440" s="9" t="str">
        <f t="shared" ca="1" si="847"/>
        <v xml:space="preserve">Enter a value for 'Number of Floors in the Tallest Building' in cell B60.
</v>
      </c>
      <c r="H2440" s="52" t="str">
        <f t="shared" ca="1" si="861"/>
        <v>New Construction/ Rehab APR</v>
      </c>
      <c r="I2440" s="52">
        <v>11</v>
      </c>
    </row>
    <row r="2441" spans="1:10" ht="15" customHeight="1">
      <c r="A2441" t="str">
        <f t="shared" ca="1" si="856"/>
        <v/>
      </c>
      <c r="B2441">
        <f t="shared" si="857"/>
        <v>57</v>
      </c>
      <c r="C2441">
        <f t="shared" ca="1" si="849"/>
        <v>54</v>
      </c>
      <c r="D2441" t="str">
        <f t="shared" si="858"/>
        <v>L57</v>
      </c>
      <c r="E2441" t="str">
        <f t="shared" ca="1" si="859"/>
        <v/>
      </c>
      <c r="F2441" t="str">
        <f t="shared" ca="1" si="860"/>
        <v xml:space="preserve">Enter a 'New Construction Eligible Basis' for  building 54 in cell L57.
</v>
      </c>
      <c r="G2441" s="9" t="str">
        <f t="shared" ca="1" si="847"/>
        <v xml:space="preserve">Enter a value for 'Number of Floors in the Tallest Building' in cell B60.
</v>
      </c>
      <c r="H2441" s="52" t="str">
        <f t="shared" ca="1" si="861"/>
        <v>New Construction Eligible Basis</v>
      </c>
      <c r="I2441" s="52">
        <v>12</v>
      </c>
    </row>
    <row r="2442" spans="1:10" ht="15" customHeight="1">
      <c r="A2442" t="str">
        <f ca="1">IF(AND(OFFSET(A2442, -I2442 + 2, 4) &gt;  0, E2442="", Calculations!$B$7), F2442, "")</f>
        <v/>
      </c>
      <c r="B2442">
        <f t="shared" si="857"/>
        <v>57</v>
      </c>
      <c r="C2442">
        <f t="shared" ca="1" si="849"/>
        <v>54</v>
      </c>
      <c r="D2442" t="str">
        <f t="shared" si="858"/>
        <v>M57</v>
      </c>
      <c r="E2442" t="str">
        <f t="shared" ca="1" si="859"/>
        <v/>
      </c>
      <c r="F2442" t="str">
        <f t="shared" ca="1" si="860"/>
        <v xml:space="preserve">Enter a 'Eligible Basis for Rehab' for  building 54 in cell M57.
</v>
      </c>
      <c r="G2442" s="9" t="str">
        <f t="shared" ca="1" si="847"/>
        <v xml:space="preserve">Enter a value for 'Number of Floors in the Tallest Building' in cell B60.
</v>
      </c>
      <c r="H2442" s="52" t="str">
        <f t="shared" ca="1" si="861"/>
        <v>Eligible Basis for Rehab</v>
      </c>
      <c r="I2442" s="52">
        <v>13</v>
      </c>
    </row>
    <row r="2443" spans="1:10" ht="15" customHeight="1">
      <c r="A2443" t="str">
        <f ca="1">IF(AND(OFFSET(A2443, -I2443 + 2, 4) &gt;  0, E2443="", Calculations!$B$7), F2443, "")</f>
        <v/>
      </c>
      <c r="B2443">
        <f t="shared" si="857"/>
        <v>57</v>
      </c>
      <c r="C2443">
        <f t="shared" ca="1" si="849"/>
        <v>54</v>
      </c>
      <c r="D2443" t="str">
        <f t="shared" si="858"/>
        <v>N57</v>
      </c>
      <c r="E2443" t="str">
        <f t="shared" ca="1" si="859"/>
        <v/>
      </c>
      <c r="F2443" t="str">
        <f t="shared" ca="1" si="860"/>
        <v xml:space="preserve">Enter a 'Cost of Acquiring the Building***' for  building 54 in cell N57.
</v>
      </c>
      <c r="G2443" s="9" t="str">
        <f t="shared" ca="1" si="847"/>
        <v xml:space="preserve">Enter a value for 'Number of Floors in the Tallest Building' in cell B60.
</v>
      </c>
      <c r="H2443" s="52" t="str">
        <f t="shared" ca="1" si="861"/>
        <v>Cost of Acquiring the Building***</v>
      </c>
      <c r="I2443" s="52">
        <v>14</v>
      </c>
    </row>
    <row r="2444" spans="1:10" ht="15" customHeight="1">
      <c r="A2444" t="str">
        <f ca="1">IF(AND(OFFSET(A2444, -I2444 + 2, 4) &gt;  0, E2444="", Calculations!$B$7), F2444, "")</f>
        <v/>
      </c>
      <c r="B2444">
        <f t="shared" si="857"/>
        <v>57</v>
      </c>
      <c r="C2444">
        <f t="shared" ca="1" si="849"/>
        <v>54</v>
      </c>
      <c r="D2444" t="str">
        <f t="shared" si="858"/>
        <v>O57</v>
      </c>
      <c r="E2444" t="str">
        <f t="shared" ca="1" si="859"/>
        <v/>
      </c>
      <c r="F2444" t="str">
        <f t="shared" ca="1" si="860"/>
        <v xml:space="preserve">Enter a 'Higher of Land Purchase Price or Land Appraised Value****' for  building 54 in cell O57.
</v>
      </c>
      <c r="G2444" s="9" t="str">
        <f t="shared" ca="1" si="847"/>
        <v xml:space="preserve">Enter a value for 'Number of Floors in the Tallest Building' in cell B60.
</v>
      </c>
      <c r="H2444" s="52" t="str">
        <f t="shared" ca="1" si="861"/>
        <v>Higher of Land Purchase Price or Land Appraised Value****</v>
      </c>
      <c r="I2444" s="52">
        <v>15</v>
      </c>
    </row>
    <row r="2445" spans="1:10" ht="15" customHeight="1">
      <c r="A2445" t="str">
        <f ca="1">IF(AND(OFFSET(A2445, -I2445 + 2, 4) &gt;  0, E2445="", Calculations!$B$7), F2445, "")</f>
        <v/>
      </c>
      <c r="B2445">
        <f t="shared" si="857"/>
        <v>57</v>
      </c>
      <c r="C2445">
        <f t="shared" ca="1" si="849"/>
        <v>54</v>
      </c>
      <c r="D2445" t="str">
        <f t="shared" si="858"/>
        <v>P57</v>
      </c>
      <c r="E2445" t="str">
        <f t="shared" ca="1" si="859"/>
        <v/>
      </c>
      <c r="F2445" t="str">
        <f t="shared" ca="1" si="860"/>
        <v xml:space="preserve">Enter a 'Acquisition Placed-in-Service Date' for  building 54 in cell P57.
</v>
      </c>
      <c r="G2445" s="9" t="str">
        <f t="shared" ca="1" si="847"/>
        <v xml:space="preserve">Enter a value for 'Number of Floors in the Tallest Building' in cell B60.
</v>
      </c>
      <c r="H2445" s="52" t="str">
        <f t="shared" ca="1" si="861"/>
        <v>Acquisition Placed-in-Service Date</v>
      </c>
      <c r="I2445" s="52">
        <v>16</v>
      </c>
    </row>
    <row r="2446" spans="1:10" ht="15" customHeight="1">
      <c r="A2446" t="str">
        <f ca="1">IF(AND(OFFSET(A2446, -I2446 + 2, 4) &gt;  0, E2446="", Calculations!$B$7), F2446, "")</f>
        <v/>
      </c>
      <c r="B2446">
        <f t="shared" si="857"/>
        <v>57</v>
      </c>
      <c r="C2446">
        <f t="shared" ca="1" si="849"/>
        <v>54</v>
      </c>
      <c r="D2446" t="str">
        <f t="shared" si="858"/>
        <v>Q57</v>
      </c>
      <c r="E2446" t="str">
        <f t="shared" ca="1" si="859"/>
        <v/>
      </c>
      <c r="F2446" t="str">
        <f t="shared" ca="1" si="860"/>
        <v xml:space="preserve">Enter a 'Acquisition APR' for  building 54 in cell Q57.
</v>
      </c>
      <c r="G2446" s="9" t="str">
        <f t="shared" ca="1" si="847"/>
        <v xml:space="preserve">Enter a value for 'Number of Floors in the Tallest Building' in cell B60.
</v>
      </c>
      <c r="H2446" s="52" t="str">
        <f t="shared" ca="1" si="861"/>
        <v>Acquisition APR</v>
      </c>
      <c r="I2446" s="52">
        <v>17</v>
      </c>
    </row>
    <row r="2447" spans="1:10" ht="15" customHeight="1">
      <c r="A2447" t="str">
        <f ca="1">IF(AND(Calculations!$B$4,Calculations!$B$29&gt;=C2447, E2447 &lt;&gt; 13),F2447,"")</f>
        <v/>
      </c>
      <c r="B2447">
        <f>ROW('Final Building Profile'!C58)</f>
        <v>58</v>
      </c>
      <c r="C2447">
        <f t="shared" ca="1" si="849"/>
        <v>55</v>
      </c>
      <c r="D2447" t="str">
        <f>ADDRESS(B2447, 3,4  )</f>
        <v>C58</v>
      </c>
      <c r="E2447" s="52">
        <f ca="1">H2447+I2447</f>
        <v>0</v>
      </c>
      <c r="F2447" t="str">
        <f ca="1">CONCATENATE("Based upon the number of buildings specified, information for  building ", C2447, " required for a final application in row ", B2447, ".", CHAR(10))</f>
        <v xml:space="preserve">Based upon the number of buildings specified, information for  building 55 required for a final application in row 58.
</v>
      </c>
      <c r="G2447" s="9" t="str">
        <f t="shared" ca="1" si="847"/>
        <v xml:space="preserve">Enter a value for 'Number of Floors in the Tallest Building' in cell B60.
</v>
      </c>
      <c r="H2447" s="52">
        <f ca="1">SUMPRODUCT(--ISTEXT(INDIRECT(J2447)))</f>
        <v>0</v>
      </c>
      <c r="I2447" s="52">
        <f ca="1">SUMPRODUCT(--ISNUMBER(INDIRECT(J2447)))</f>
        <v>0</v>
      </c>
      <c r="J2447" s="52" t="str">
        <f>$F$1565&amp; ADDRESS(B2447,3,4) &amp; ":" &amp; ADDRESS(B2447,15,4)</f>
        <v>'Final Building Profile'!C58:O58</v>
      </c>
    </row>
    <row r="2448" spans="1:10" ht="15" customHeight="1">
      <c r="A2448" t="str">
        <f t="shared" ref="A2448:A2457" ca="1" si="862">IF(AND(OFFSET(A2448, -I2448 + 2, 4) &gt;  0, E2448=""), F2448, "")</f>
        <v/>
      </c>
      <c r="B2448">
        <f t="shared" ref="B2448:B2462" si="863">B2447</f>
        <v>58</v>
      </c>
      <c r="C2448">
        <f t="shared" ca="1" si="849"/>
        <v>55</v>
      </c>
      <c r="D2448" t="str">
        <f t="shared" ref="D2448:D2462" si="864">ADDRESS(B2448, I2448,4  )</f>
        <v>C58</v>
      </c>
      <c r="E2448" t="str">
        <f t="shared" ref="E2448:E2462" ca="1" si="865">IF(ISBLANK( INDIRECT($F$1565 &amp; D2448)),"", INDIRECT($F$1565 &amp; D2448))</f>
        <v/>
      </c>
      <c r="F2448" t="str">
        <f t="shared" ref="F2448:F2462" ca="1" si="866">CONCATENATE("Enter a '"&amp; H2448 &amp;"' for  building ", C2448, " in cell ", D2448, ".", CHAR(10))</f>
        <v xml:space="preserve">Enter a 'Building Street Address Only 
(DO NOT ENTER CITY, STATE, OR ZIP)' for  building 55 in cell C58.
</v>
      </c>
      <c r="G2448" s="9" t="str">
        <f t="shared" ca="1" si="847"/>
        <v xml:space="preserve">Enter a value for 'Number of Floors in the Tallest Building' in cell B60.
</v>
      </c>
      <c r="H2448" s="52" t="str">
        <f t="shared" ref="H2448:H2462" ca="1" si="867">OFFSET(INDIRECT($F$1565 &amp; D2448), -B2448 + 3, 0)</f>
        <v>Building Street Address Only 
(DO NOT ENTER CITY, STATE, OR ZIP)</v>
      </c>
      <c r="I2448" s="52">
        <v>3</v>
      </c>
    </row>
    <row r="2449" spans="1:10" ht="15" customHeight="1">
      <c r="A2449" t="str">
        <f t="shared" ca="1" si="862"/>
        <v/>
      </c>
      <c r="B2449">
        <f t="shared" si="863"/>
        <v>58</v>
      </c>
      <c r="C2449">
        <f t="shared" ca="1" si="849"/>
        <v>55</v>
      </c>
      <c r="D2449" t="str">
        <f t="shared" si="864"/>
        <v>D58</v>
      </c>
      <c r="E2449" t="str">
        <f t="shared" ca="1" si="865"/>
        <v/>
      </c>
      <c r="F2449" t="str">
        <f t="shared" ca="1" si="866"/>
        <v xml:space="preserve">Enter a 'Total Units in Building*' for  building 55 in cell D58.
</v>
      </c>
      <c r="G2449" s="9" t="str">
        <f t="shared" ca="1" si="847"/>
        <v xml:space="preserve">Enter a value for 'Number of Floors in the Tallest Building' in cell B60.
</v>
      </c>
      <c r="H2449" s="52" t="str">
        <f t="shared" ca="1" si="867"/>
        <v>Total Units in Building*</v>
      </c>
      <c r="I2449" s="52">
        <v>4</v>
      </c>
    </row>
    <row r="2450" spans="1:10" ht="15" customHeight="1">
      <c r="A2450" t="str">
        <f t="shared" ca="1" si="862"/>
        <v/>
      </c>
      <c r="B2450">
        <f t="shared" si="863"/>
        <v>58</v>
      </c>
      <c r="C2450">
        <f t="shared" ca="1" si="849"/>
        <v>55</v>
      </c>
      <c r="D2450" t="str">
        <f t="shared" si="864"/>
        <v>E58</v>
      </c>
      <c r="E2450" t="str">
        <f t="shared" ca="1" si="865"/>
        <v/>
      </c>
      <c r="F2450" t="str">
        <f t="shared" ca="1" si="866"/>
        <v xml:space="preserve">Enter a 'Employee Units' for  building 55 in cell E58.
</v>
      </c>
      <c r="G2450" s="9" t="str">
        <f t="shared" ca="1" si="847"/>
        <v xml:space="preserve">Enter a value for 'Number of Floors in the Tallest Building' in cell B60.
</v>
      </c>
      <c r="H2450" s="52" t="str">
        <f t="shared" ca="1" si="867"/>
        <v>Employee Units</v>
      </c>
      <c r="I2450" s="52">
        <v>5</v>
      </c>
    </row>
    <row r="2451" spans="1:10" ht="15" customHeight="1">
      <c r="A2451" t="str">
        <f t="shared" ca="1" si="862"/>
        <v/>
      </c>
      <c r="B2451">
        <f t="shared" si="863"/>
        <v>58</v>
      </c>
      <c r="C2451">
        <f t="shared" ca="1" si="849"/>
        <v>55</v>
      </c>
      <c r="D2451" t="str">
        <f t="shared" si="864"/>
        <v>F58</v>
      </c>
      <c r="E2451" t="str">
        <f t="shared" ca="1" si="865"/>
        <v/>
      </c>
      <c r="F2451" t="str">
        <f t="shared" ca="1" si="866"/>
        <v xml:space="preserve">Enter a 'Low-Income Units' for  building 55 in cell F58.
</v>
      </c>
      <c r="G2451" s="9" t="str">
        <f t="shared" ca="1" si="847"/>
        <v xml:space="preserve">Enter a value for 'Number of Floors in the Tallest Building' in cell B60.
</v>
      </c>
      <c r="H2451" s="52" t="str">
        <f t="shared" ca="1" si="867"/>
        <v>Low-Income Units</v>
      </c>
      <c r="I2451" s="52">
        <v>6</v>
      </c>
    </row>
    <row r="2452" spans="1:10" ht="15" customHeight="1">
      <c r="A2452" t="str">
        <f t="shared" ca="1" si="862"/>
        <v/>
      </c>
      <c r="B2452">
        <f t="shared" si="863"/>
        <v>58</v>
      </c>
      <c r="C2452">
        <f t="shared" ca="1" si="849"/>
        <v>55</v>
      </c>
      <c r="D2452" t="str">
        <f t="shared" si="864"/>
        <v>G58</v>
      </c>
      <c r="E2452" t="str">
        <f t="shared" ca="1" si="865"/>
        <v/>
      </c>
      <c r="F2452" t="str">
        <f t="shared" ca="1" si="866"/>
        <v xml:space="preserve">Enter a 'Residential Square Footage**' for  building 55 in cell G58.
</v>
      </c>
      <c r="G2452" s="9" t="str">
        <f t="shared" ca="1" si="847"/>
        <v xml:space="preserve">Enter a value for 'Number of Floors in the Tallest Building' in cell B60.
</v>
      </c>
      <c r="H2452" s="52" t="str">
        <f t="shared" ca="1" si="867"/>
        <v>Residential Square Footage**</v>
      </c>
      <c r="I2452" s="52">
        <v>7</v>
      </c>
    </row>
    <row r="2453" spans="1:10" ht="15" customHeight="1">
      <c r="A2453" t="str">
        <f t="shared" ca="1" si="862"/>
        <v/>
      </c>
      <c r="B2453">
        <f t="shared" si="863"/>
        <v>58</v>
      </c>
      <c r="C2453">
        <f t="shared" ca="1" si="849"/>
        <v>55</v>
      </c>
      <c r="D2453" t="str">
        <f t="shared" si="864"/>
        <v>H58</v>
      </c>
      <c r="E2453" t="str">
        <f t="shared" ca="1" si="865"/>
        <v/>
      </c>
      <c r="F2453" t="str">
        <f t="shared" ca="1" si="866"/>
        <v xml:space="preserve">Enter a 'Square Footage of Employee Units' for  building 55 in cell H58.
</v>
      </c>
      <c r="G2453" s="9" t="str">
        <f t="shared" ca="1" si="847"/>
        <v xml:space="preserve">Enter a value for 'Number of Floors in the Tallest Building' in cell B60.
</v>
      </c>
      <c r="H2453" s="52" t="str">
        <f t="shared" ca="1" si="867"/>
        <v>Square Footage of Employee Units</v>
      </c>
      <c r="I2453" s="52">
        <v>8</v>
      </c>
    </row>
    <row r="2454" spans="1:10" ht="15" customHeight="1">
      <c r="A2454" t="str">
        <f t="shared" ca="1" si="862"/>
        <v/>
      </c>
      <c r="B2454">
        <f t="shared" si="863"/>
        <v>58</v>
      </c>
      <c r="C2454">
        <f t="shared" ca="1" si="849"/>
        <v>55</v>
      </c>
      <c r="D2454" t="str">
        <f t="shared" si="864"/>
        <v>I58</v>
      </c>
      <c r="E2454" t="str">
        <f t="shared" ca="1" si="865"/>
        <v/>
      </c>
      <c r="F2454" t="str">
        <f t="shared" ca="1" si="866"/>
        <v xml:space="preserve">Enter a 'Square Footage of Low-Income Units' for  building 55 in cell I58.
</v>
      </c>
      <c r="G2454" s="9" t="str">
        <f t="shared" ca="1" si="847"/>
        <v xml:space="preserve">Enter a value for 'Number of Floors in the Tallest Building' in cell B60.
</v>
      </c>
      <c r="H2454" s="52" t="str">
        <f t="shared" ca="1" si="867"/>
        <v>Square Footage of Low-Income Units</v>
      </c>
      <c r="I2454" s="52">
        <v>9</v>
      </c>
    </row>
    <row r="2455" spans="1:10" ht="15" customHeight="1">
      <c r="A2455" t="str">
        <f t="shared" ca="1" si="862"/>
        <v/>
      </c>
      <c r="B2455">
        <f t="shared" si="863"/>
        <v>58</v>
      </c>
      <c r="C2455">
        <f t="shared" ca="1" si="849"/>
        <v>55</v>
      </c>
      <c r="D2455" t="str">
        <f t="shared" si="864"/>
        <v>J58</v>
      </c>
      <c r="E2455" t="str">
        <f t="shared" ca="1" si="865"/>
        <v/>
      </c>
      <c r="F2455" t="str">
        <f t="shared" ca="1" si="866"/>
        <v xml:space="preserve">Enter a 'Placed-In-Service Date' for  building 55 in cell J58.
</v>
      </c>
      <c r="G2455" s="9" t="str">
        <f t="shared" ca="1" si="847"/>
        <v xml:space="preserve">Enter a value for 'Number of Floors in the Tallest Building' in cell B60.
</v>
      </c>
      <c r="H2455" s="52" t="str">
        <f t="shared" ca="1" si="867"/>
        <v>Placed-In-Service Date</v>
      </c>
      <c r="I2455" s="52">
        <v>10</v>
      </c>
    </row>
    <row r="2456" spans="1:10" ht="15" customHeight="1">
      <c r="A2456" t="str">
        <f t="shared" ca="1" si="862"/>
        <v/>
      </c>
      <c r="B2456">
        <f t="shared" si="863"/>
        <v>58</v>
      </c>
      <c r="C2456">
        <f t="shared" ca="1" si="849"/>
        <v>55</v>
      </c>
      <c r="D2456" t="str">
        <f t="shared" si="864"/>
        <v>K58</v>
      </c>
      <c r="E2456" t="str">
        <f t="shared" ca="1" si="865"/>
        <v/>
      </c>
      <c r="F2456" t="str">
        <f t="shared" ca="1" si="866"/>
        <v xml:space="preserve">Enter a 'New Construction/ Rehab APR' for  building 55 in cell K58.
</v>
      </c>
      <c r="G2456" s="9" t="str">
        <f t="shared" ca="1" si="847"/>
        <v xml:space="preserve">Enter a value for 'Number of Floors in the Tallest Building' in cell B60.
</v>
      </c>
      <c r="H2456" s="52" t="str">
        <f t="shared" ca="1" si="867"/>
        <v>New Construction/ Rehab APR</v>
      </c>
      <c r="I2456" s="52">
        <v>11</v>
      </c>
    </row>
    <row r="2457" spans="1:10" ht="15" customHeight="1">
      <c r="A2457" t="str">
        <f t="shared" ca="1" si="862"/>
        <v/>
      </c>
      <c r="B2457">
        <f t="shared" si="863"/>
        <v>58</v>
      </c>
      <c r="C2457">
        <f t="shared" ca="1" si="849"/>
        <v>55</v>
      </c>
      <c r="D2457" t="str">
        <f t="shared" si="864"/>
        <v>L58</v>
      </c>
      <c r="E2457" t="str">
        <f t="shared" ca="1" si="865"/>
        <v/>
      </c>
      <c r="F2457" t="str">
        <f t="shared" ca="1" si="866"/>
        <v xml:space="preserve">Enter a 'New Construction Eligible Basis' for  building 55 in cell L58.
</v>
      </c>
      <c r="G2457" s="9" t="str">
        <f t="shared" ca="1" si="847"/>
        <v xml:space="preserve">Enter a value for 'Number of Floors in the Tallest Building' in cell B60.
</v>
      </c>
      <c r="H2457" s="52" t="str">
        <f t="shared" ca="1" si="867"/>
        <v>New Construction Eligible Basis</v>
      </c>
      <c r="I2457" s="52">
        <v>12</v>
      </c>
    </row>
    <row r="2458" spans="1:10" ht="15" customHeight="1">
      <c r="A2458" t="str">
        <f ca="1">IF(AND(OFFSET(A2458, -I2458 + 2, 4) &gt;  0, E2458="", Calculations!$B$7), F2458, "")</f>
        <v/>
      </c>
      <c r="B2458">
        <f t="shared" si="863"/>
        <v>58</v>
      </c>
      <c r="C2458">
        <f t="shared" ca="1" si="849"/>
        <v>55</v>
      </c>
      <c r="D2458" t="str">
        <f t="shared" si="864"/>
        <v>M58</v>
      </c>
      <c r="E2458" t="str">
        <f t="shared" ca="1" si="865"/>
        <v/>
      </c>
      <c r="F2458" t="str">
        <f t="shared" ca="1" si="866"/>
        <v xml:space="preserve">Enter a 'Eligible Basis for Rehab' for  building 55 in cell M58.
</v>
      </c>
      <c r="G2458" s="9" t="str">
        <f t="shared" ca="1" si="847"/>
        <v xml:space="preserve">Enter a value for 'Number of Floors in the Tallest Building' in cell B60.
</v>
      </c>
      <c r="H2458" s="52" t="str">
        <f t="shared" ca="1" si="867"/>
        <v>Eligible Basis for Rehab</v>
      </c>
      <c r="I2458" s="52">
        <v>13</v>
      </c>
    </row>
    <row r="2459" spans="1:10" ht="15" customHeight="1">
      <c r="A2459" t="str">
        <f ca="1">IF(AND(OFFSET(A2459, -I2459 + 2, 4) &gt;  0, E2459="", Calculations!$B$7), F2459, "")</f>
        <v/>
      </c>
      <c r="B2459">
        <f t="shared" si="863"/>
        <v>58</v>
      </c>
      <c r="C2459">
        <f t="shared" ca="1" si="849"/>
        <v>55</v>
      </c>
      <c r="D2459" t="str">
        <f t="shared" si="864"/>
        <v>N58</v>
      </c>
      <c r="E2459" t="str">
        <f t="shared" ca="1" si="865"/>
        <v/>
      </c>
      <c r="F2459" t="str">
        <f t="shared" ca="1" si="866"/>
        <v xml:space="preserve">Enter a 'Cost of Acquiring the Building***' for  building 55 in cell N58.
</v>
      </c>
      <c r="G2459" s="9" t="str">
        <f t="shared" ca="1" si="847"/>
        <v xml:space="preserve">Enter a value for 'Number of Floors in the Tallest Building' in cell B60.
</v>
      </c>
      <c r="H2459" s="52" t="str">
        <f t="shared" ca="1" si="867"/>
        <v>Cost of Acquiring the Building***</v>
      </c>
      <c r="I2459" s="52">
        <v>14</v>
      </c>
    </row>
    <row r="2460" spans="1:10" ht="15" customHeight="1">
      <c r="A2460" t="str">
        <f ca="1">IF(AND(OFFSET(A2460, -I2460 + 2, 4) &gt;  0, E2460="", Calculations!$B$7), F2460, "")</f>
        <v/>
      </c>
      <c r="B2460">
        <f t="shared" si="863"/>
        <v>58</v>
      </c>
      <c r="C2460">
        <f t="shared" ca="1" si="849"/>
        <v>55</v>
      </c>
      <c r="D2460" t="str">
        <f t="shared" si="864"/>
        <v>O58</v>
      </c>
      <c r="E2460" t="str">
        <f t="shared" ca="1" si="865"/>
        <v/>
      </c>
      <c r="F2460" t="str">
        <f t="shared" ca="1" si="866"/>
        <v xml:space="preserve">Enter a 'Higher of Land Purchase Price or Land Appraised Value****' for  building 55 in cell O58.
</v>
      </c>
      <c r="G2460" s="9" t="str">
        <f t="shared" ca="1" si="847"/>
        <v xml:space="preserve">Enter a value for 'Number of Floors in the Tallest Building' in cell B60.
</v>
      </c>
      <c r="H2460" s="52" t="str">
        <f t="shared" ca="1" si="867"/>
        <v>Higher of Land Purchase Price or Land Appraised Value****</v>
      </c>
      <c r="I2460" s="52">
        <v>15</v>
      </c>
    </row>
    <row r="2461" spans="1:10" ht="15" customHeight="1">
      <c r="A2461" t="str">
        <f ca="1">IF(AND(OFFSET(A2461, -I2461 + 2, 4) &gt;  0, E2461="", Calculations!$B$7), F2461, "")</f>
        <v/>
      </c>
      <c r="B2461">
        <f t="shared" si="863"/>
        <v>58</v>
      </c>
      <c r="C2461">
        <f t="shared" ca="1" si="849"/>
        <v>55</v>
      </c>
      <c r="D2461" t="str">
        <f t="shared" si="864"/>
        <v>P58</v>
      </c>
      <c r="E2461" t="str">
        <f t="shared" ca="1" si="865"/>
        <v/>
      </c>
      <c r="F2461" t="str">
        <f t="shared" ca="1" si="866"/>
        <v xml:space="preserve">Enter a 'Acquisition Placed-in-Service Date' for  building 55 in cell P58.
</v>
      </c>
      <c r="G2461" s="9" t="str">
        <f t="shared" ca="1" si="847"/>
        <v xml:space="preserve">Enter a value for 'Number of Floors in the Tallest Building' in cell B60.
</v>
      </c>
      <c r="H2461" s="52" t="str">
        <f t="shared" ca="1" si="867"/>
        <v>Acquisition Placed-in-Service Date</v>
      </c>
      <c r="I2461" s="52">
        <v>16</v>
      </c>
    </row>
    <row r="2462" spans="1:10" ht="15" customHeight="1">
      <c r="A2462" t="str">
        <f ca="1">IF(AND(OFFSET(A2462, -I2462 + 2, 4) &gt;  0, E2462="", Calculations!$B$7), F2462, "")</f>
        <v/>
      </c>
      <c r="B2462">
        <f t="shared" si="863"/>
        <v>58</v>
      </c>
      <c r="C2462">
        <f t="shared" ca="1" si="849"/>
        <v>55</v>
      </c>
      <c r="D2462" t="str">
        <f t="shared" si="864"/>
        <v>Q58</v>
      </c>
      <c r="E2462" t="str">
        <f t="shared" ca="1" si="865"/>
        <v/>
      </c>
      <c r="F2462" t="str">
        <f t="shared" ca="1" si="866"/>
        <v xml:space="preserve">Enter a 'Acquisition APR' for  building 55 in cell Q58.
</v>
      </c>
      <c r="G2462" s="9" t="str">
        <f t="shared" ca="1" si="847"/>
        <v xml:space="preserve">Enter a value for 'Number of Floors in the Tallest Building' in cell B60.
</v>
      </c>
      <c r="H2462" s="52" t="str">
        <f t="shared" ca="1" si="867"/>
        <v>Acquisition APR</v>
      </c>
      <c r="I2462" s="52">
        <v>17</v>
      </c>
    </row>
    <row r="2463" spans="1:10" ht="15" customHeight="1">
      <c r="A2463" t="str">
        <f ca="1">IF(AND(Calculations!$B$4,Calculations!$B$29&gt;=C2463, E2463 &lt;&gt; 13),F2463,"")</f>
        <v/>
      </c>
      <c r="B2463">
        <f>ROW('Final Building Profile'!C59)</f>
        <v>59</v>
      </c>
      <c r="C2463">
        <f t="shared" ca="1" si="849"/>
        <v>56</v>
      </c>
      <c r="D2463" t="str">
        <f>ADDRESS(B2463, 3,4  )</f>
        <v>C59</v>
      </c>
      <c r="E2463" s="52">
        <f ca="1">H2463+I2463</f>
        <v>0</v>
      </c>
      <c r="F2463" t="str">
        <f ca="1">CONCATENATE("Based upon the number of buildings specified, information for  building ", C2463, " required for a final application in row ", B2463, ".", CHAR(10))</f>
        <v xml:space="preserve">Based upon the number of buildings specified, information for  building 56 required for a final application in row 59.
</v>
      </c>
      <c r="G2463" s="9" t="str">
        <f t="shared" ca="1" si="847"/>
        <v xml:space="preserve">Enter a value for 'Number of Floors in the Tallest Building' in cell B60.
</v>
      </c>
      <c r="H2463" s="52">
        <f ca="1">SUMPRODUCT(--ISTEXT(INDIRECT(J2463)))</f>
        <v>0</v>
      </c>
      <c r="I2463" s="52">
        <f ca="1">SUMPRODUCT(--ISNUMBER(INDIRECT(J2463)))</f>
        <v>0</v>
      </c>
      <c r="J2463" s="52" t="str">
        <f>$F$1565&amp; ADDRESS(B2463,3,4) &amp; ":" &amp; ADDRESS(B2463,15,4)</f>
        <v>'Final Building Profile'!C59:O59</v>
      </c>
    </row>
    <row r="2464" spans="1:10" ht="15" customHeight="1">
      <c r="A2464" t="str">
        <f t="shared" ref="A2464:A2473" ca="1" si="868">IF(AND(OFFSET(A2464, -I2464 + 2, 4) &gt;  0, E2464=""), F2464, "")</f>
        <v/>
      </c>
      <c r="B2464">
        <f t="shared" ref="B2464:B2478" si="869">B2463</f>
        <v>59</v>
      </c>
      <c r="C2464">
        <f t="shared" ca="1" si="849"/>
        <v>56</v>
      </c>
      <c r="D2464" t="str">
        <f t="shared" ref="D2464:D2478" si="870">ADDRESS(B2464, I2464,4  )</f>
        <v>C59</v>
      </c>
      <c r="E2464" t="str">
        <f t="shared" ref="E2464:E2478" ca="1" si="871">IF(ISBLANK( INDIRECT($F$1565 &amp; D2464)),"", INDIRECT($F$1565 &amp; D2464))</f>
        <v/>
      </c>
      <c r="F2464" t="str">
        <f t="shared" ref="F2464:F2478" ca="1" si="872">CONCATENATE("Enter a '"&amp; H2464 &amp;"' for  building ", C2464, " in cell ", D2464, ".", CHAR(10))</f>
        <v xml:space="preserve">Enter a 'Building Street Address Only 
(DO NOT ENTER CITY, STATE, OR ZIP)' for  building 56 in cell C59.
</v>
      </c>
      <c r="G2464" s="9" t="str">
        <f t="shared" ref="G2464:G2527" ca="1" si="873">OFFSET(G2464, -1, 0) &amp; A2464</f>
        <v xml:space="preserve">Enter a value for 'Number of Floors in the Tallest Building' in cell B60.
</v>
      </c>
      <c r="H2464" s="52" t="str">
        <f t="shared" ref="H2464:H2478" ca="1" si="874">OFFSET(INDIRECT($F$1565 &amp; D2464), -B2464 + 3, 0)</f>
        <v>Building Street Address Only 
(DO NOT ENTER CITY, STATE, OR ZIP)</v>
      </c>
      <c r="I2464" s="52">
        <v>3</v>
      </c>
    </row>
    <row r="2465" spans="1:10" ht="15" customHeight="1">
      <c r="A2465" t="str">
        <f t="shared" ca="1" si="868"/>
        <v/>
      </c>
      <c r="B2465">
        <f t="shared" si="869"/>
        <v>59</v>
      </c>
      <c r="C2465">
        <f t="shared" ca="1" si="849"/>
        <v>56</v>
      </c>
      <c r="D2465" t="str">
        <f t="shared" si="870"/>
        <v>D59</v>
      </c>
      <c r="E2465" t="str">
        <f t="shared" ca="1" si="871"/>
        <v/>
      </c>
      <c r="F2465" t="str">
        <f t="shared" ca="1" si="872"/>
        <v xml:space="preserve">Enter a 'Total Units in Building*' for  building 56 in cell D59.
</v>
      </c>
      <c r="G2465" s="9" t="str">
        <f t="shared" ca="1" si="873"/>
        <v xml:space="preserve">Enter a value for 'Number of Floors in the Tallest Building' in cell B60.
</v>
      </c>
      <c r="H2465" s="52" t="str">
        <f t="shared" ca="1" si="874"/>
        <v>Total Units in Building*</v>
      </c>
      <c r="I2465" s="52">
        <v>4</v>
      </c>
    </row>
    <row r="2466" spans="1:10" ht="15" customHeight="1">
      <c r="A2466" t="str">
        <f t="shared" ca="1" si="868"/>
        <v/>
      </c>
      <c r="B2466">
        <f t="shared" si="869"/>
        <v>59</v>
      </c>
      <c r="C2466">
        <f t="shared" ca="1" si="849"/>
        <v>56</v>
      </c>
      <c r="D2466" t="str">
        <f t="shared" si="870"/>
        <v>E59</v>
      </c>
      <c r="E2466" t="str">
        <f t="shared" ca="1" si="871"/>
        <v/>
      </c>
      <c r="F2466" t="str">
        <f t="shared" ca="1" si="872"/>
        <v xml:space="preserve">Enter a 'Employee Units' for  building 56 in cell E59.
</v>
      </c>
      <c r="G2466" s="9" t="str">
        <f t="shared" ca="1" si="873"/>
        <v xml:space="preserve">Enter a value for 'Number of Floors in the Tallest Building' in cell B60.
</v>
      </c>
      <c r="H2466" s="52" t="str">
        <f t="shared" ca="1" si="874"/>
        <v>Employee Units</v>
      </c>
      <c r="I2466" s="52">
        <v>5</v>
      </c>
    </row>
    <row r="2467" spans="1:10" ht="15" customHeight="1">
      <c r="A2467" t="str">
        <f t="shared" ca="1" si="868"/>
        <v/>
      </c>
      <c r="B2467">
        <f t="shared" si="869"/>
        <v>59</v>
      </c>
      <c r="C2467">
        <f t="shared" ca="1" si="849"/>
        <v>56</v>
      </c>
      <c r="D2467" t="str">
        <f t="shared" si="870"/>
        <v>F59</v>
      </c>
      <c r="E2467" t="str">
        <f t="shared" ca="1" si="871"/>
        <v/>
      </c>
      <c r="F2467" t="str">
        <f t="shared" ca="1" si="872"/>
        <v xml:space="preserve">Enter a 'Low-Income Units' for  building 56 in cell F59.
</v>
      </c>
      <c r="G2467" s="9" t="str">
        <f t="shared" ca="1" si="873"/>
        <v xml:space="preserve">Enter a value for 'Number of Floors in the Tallest Building' in cell B60.
</v>
      </c>
      <c r="H2467" s="52" t="str">
        <f t="shared" ca="1" si="874"/>
        <v>Low-Income Units</v>
      </c>
      <c r="I2467" s="52">
        <v>6</v>
      </c>
    </row>
    <row r="2468" spans="1:10" ht="15" customHeight="1">
      <c r="A2468" t="str">
        <f t="shared" ca="1" si="868"/>
        <v/>
      </c>
      <c r="B2468">
        <f t="shared" si="869"/>
        <v>59</v>
      </c>
      <c r="C2468">
        <f t="shared" ca="1" si="849"/>
        <v>56</v>
      </c>
      <c r="D2468" t="str">
        <f t="shared" si="870"/>
        <v>G59</v>
      </c>
      <c r="E2468" t="str">
        <f t="shared" ca="1" si="871"/>
        <v/>
      </c>
      <c r="F2468" t="str">
        <f t="shared" ca="1" si="872"/>
        <v xml:space="preserve">Enter a 'Residential Square Footage**' for  building 56 in cell G59.
</v>
      </c>
      <c r="G2468" s="9" t="str">
        <f t="shared" ca="1" si="873"/>
        <v xml:space="preserve">Enter a value for 'Number of Floors in the Tallest Building' in cell B60.
</v>
      </c>
      <c r="H2468" s="52" t="str">
        <f t="shared" ca="1" si="874"/>
        <v>Residential Square Footage**</v>
      </c>
      <c r="I2468" s="52">
        <v>7</v>
      </c>
    </row>
    <row r="2469" spans="1:10" ht="15" customHeight="1">
      <c r="A2469" t="str">
        <f t="shared" ca="1" si="868"/>
        <v/>
      </c>
      <c r="B2469">
        <f t="shared" si="869"/>
        <v>59</v>
      </c>
      <c r="C2469">
        <f t="shared" ca="1" si="849"/>
        <v>56</v>
      </c>
      <c r="D2469" t="str">
        <f t="shared" si="870"/>
        <v>H59</v>
      </c>
      <c r="E2469" t="str">
        <f t="shared" ca="1" si="871"/>
        <v/>
      </c>
      <c r="F2469" t="str">
        <f t="shared" ca="1" si="872"/>
        <v xml:space="preserve">Enter a 'Square Footage of Employee Units' for  building 56 in cell H59.
</v>
      </c>
      <c r="G2469" s="9" t="str">
        <f t="shared" ca="1" si="873"/>
        <v xml:space="preserve">Enter a value for 'Number of Floors in the Tallest Building' in cell B60.
</v>
      </c>
      <c r="H2469" s="52" t="str">
        <f t="shared" ca="1" si="874"/>
        <v>Square Footage of Employee Units</v>
      </c>
      <c r="I2469" s="52">
        <v>8</v>
      </c>
    </row>
    <row r="2470" spans="1:10" ht="15" customHeight="1">
      <c r="A2470" t="str">
        <f t="shared" ca="1" si="868"/>
        <v/>
      </c>
      <c r="B2470">
        <f t="shared" si="869"/>
        <v>59</v>
      </c>
      <c r="C2470">
        <f t="shared" ca="1" si="849"/>
        <v>56</v>
      </c>
      <c r="D2470" t="str">
        <f t="shared" si="870"/>
        <v>I59</v>
      </c>
      <c r="E2470" t="str">
        <f t="shared" ca="1" si="871"/>
        <v/>
      </c>
      <c r="F2470" t="str">
        <f t="shared" ca="1" si="872"/>
        <v xml:space="preserve">Enter a 'Square Footage of Low-Income Units' for  building 56 in cell I59.
</v>
      </c>
      <c r="G2470" s="9" t="str">
        <f t="shared" ca="1" si="873"/>
        <v xml:space="preserve">Enter a value for 'Number of Floors in the Tallest Building' in cell B60.
</v>
      </c>
      <c r="H2470" s="52" t="str">
        <f t="shared" ca="1" si="874"/>
        <v>Square Footage of Low-Income Units</v>
      </c>
      <c r="I2470" s="52">
        <v>9</v>
      </c>
    </row>
    <row r="2471" spans="1:10" ht="15" customHeight="1">
      <c r="A2471" t="str">
        <f t="shared" ca="1" si="868"/>
        <v/>
      </c>
      <c r="B2471">
        <f t="shared" si="869"/>
        <v>59</v>
      </c>
      <c r="C2471">
        <f t="shared" ca="1" si="849"/>
        <v>56</v>
      </c>
      <c r="D2471" t="str">
        <f t="shared" si="870"/>
        <v>J59</v>
      </c>
      <c r="E2471" t="str">
        <f t="shared" ca="1" si="871"/>
        <v/>
      </c>
      <c r="F2471" t="str">
        <f t="shared" ca="1" si="872"/>
        <v xml:space="preserve">Enter a 'Placed-In-Service Date' for  building 56 in cell J59.
</v>
      </c>
      <c r="G2471" s="9" t="str">
        <f t="shared" ca="1" si="873"/>
        <v xml:space="preserve">Enter a value for 'Number of Floors in the Tallest Building' in cell B60.
</v>
      </c>
      <c r="H2471" s="52" t="str">
        <f t="shared" ca="1" si="874"/>
        <v>Placed-In-Service Date</v>
      </c>
      <c r="I2471" s="52">
        <v>10</v>
      </c>
    </row>
    <row r="2472" spans="1:10" ht="15" customHeight="1">
      <c r="A2472" t="str">
        <f t="shared" ca="1" si="868"/>
        <v/>
      </c>
      <c r="B2472">
        <f t="shared" si="869"/>
        <v>59</v>
      </c>
      <c r="C2472">
        <f t="shared" ca="1" si="849"/>
        <v>56</v>
      </c>
      <c r="D2472" t="str">
        <f t="shared" si="870"/>
        <v>K59</v>
      </c>
      <c r="E2472" t="str">
        <f t="shared" ca="1" si="871"/>
        <v/>
      </c>
      <c r="F2472" t="str">
        <f t="shared" ca="1" si="872"/>
        <v xml:space="preserve">Enter a 'New Construction/ Rehab APR' for  building 56 in cell K59.
</v>
      </c>
      <c r="G2472" s="9" t="str">
        <f t="shared" ca="1" si="873"/>
        <v xml:space="preserve">Enter a value for 'Number of Floors in the Tallest Building' in cell B60.
</v>
      </c>
      <c r="H2472" s="52" t="str">
        <f t="shared" ca="1" si="874"/>
        <v>New Construction/ Rehab APR</v>
      </c>
      <c r="I2472" s="52">
        <v>11</v>
      </c>
    </row>
    <row r="2473" spans="1:10" ht="15" customHeight="1">
      <c r="A2473" t="str">
        <f t="shared" ca="1" si="868"/>
        <v/>
      </c>
      <c r="B2473">
        <f t="shared" si="869"/>
        <v>59</v>
      </c>
      <c r="C2473">
        <f t="shared" ca="1" si="849"/>
        <v>56</v>
      </c>
      <c r="D2473" t="str">
        <f t="shared" si="870"/>
        <v>L59</v>
      </c>
      <c r="E2473" t="str">
        <f t="shared" ca="1" si="871"/>
        <v/>
      </c>
      <c r="F2473" t="str">
        <f t="shared" ca="1" si="872"/>
        <v xml:space="preserve">Enter a 'New Construction Eligible Basis' for  building 56 in cell L59.
</v>
      </c>
      <c r="G2473" s="9" t="str">
        <f t="shared" ca="1" si="873"/>
        <v xml:space="preserve">Enter a value for 'Number of Floors in the Tallest Building' in cell B60.
</v>
      </c>
      <c r="H2473" s="52" t="str">
        <f t="shared" ca="1" si="874"/>
        <v>New Construction Eligible Basis</v>
      </c>
      <c r="I2473" s="52">
        <v>12</v>
      </c>
    </row>
    <row r="2474" spans="1:10" ht="15" customHeight="1">
      <c r="A2474" t="str">
        <f ca="1">IF(AND(OFFSET(A2474, -I2474 + 2, 4) &gt;  0, E2474="", Calculations!$B$7), F2474, "")</f>
        <v/>
      </c>
      <c r="B2474">
        <f t="shared" si="869"/>
        <v>59</v>
      </c>
      <c r="C2474">
        <f t="shared" ca="1" si="849"/>
        <v>56</v>
      </c>
      <c r="D2474" t="str">
        <f t="shared" si="870"/>
        <v>M59</v>
      </c>
      <c r="E2474" t="str">
        <f t="shared" ca="1" si="871"/>
        <v/>
      </c>
      <c r="F2474" t="str">
        <f t="shared" ca="1" si="872"/>
        <v xml:space="preserve">Enter a 'Eligible Basis for Rehab' for  building 56 in cell M59.
</v>
      </c>
      <c r="G2474" s="9" t="str">
        <f t="shared" ca="1" si="873"/>
        <v xml:space="preserve">Enter a value for 'Number of Floors in the Tallest Building' in cell B60.
</v>
      </c>
      <c r="H2474" s="52" t="str">
        <f t="shared" ca="1" si="874"/>
        <v>Eligible Basis for Rehab</v>
      </c>
      <c r="I2474" s="52">
        <v>13</v>
      </c>
    </row>
    <row r="2475" spans="1:10" ht="15" customHeight="1">
      <c r="A2475" t="str">
        <f ca="1">IF(AND(OFFSET(A2475, -I2475 + 2, 4) &gt;  0, E2475="", Calculations!$B$7), F2475, "")</f>
        <v/>
      </c>
      <c r="B2475">
        <f t="shared" si="869"/>
        <v>59</v>
      </c>
      <c r="C2475">
        <f t="shared" ca="1" si="849"/>
        <v>56</v>
      </c>
      <c r="D2475" t="str">
        <f t="shared" si="870"/>
        <v>N59</v>
      </c>
      <c r="E2475" t="str">
        <f t="shared" ca="1" si="871"/>
        <v/>
      </c>
      <c r="F2475" t="str">
        <f t="shared" ca="1" si="872"/>
        <v xml:space="preserve">Enter a 'Cost of Acquiring the Building***' for  building 56 in cell N59.
</v>
      </c>
      <c r="G2475" s="9" t="str">
        <f t="shared" ca="1" si="873"/>
        <v xml:space="preserve">Enter a value for 'Number of Floors in the Tallest Building' in cell B60.
</v>
      </c>
      <c r="H2475" s="52" t="str">
        <f t="shared" ca="1" si="874"/>
        <v>Cost of Acquiring the Building***</v>
      </c>
      <c r="I2475" s="52">
        <v>14</v>
      </c>
    </row>
    <row r="2476" spans="1:10" ht="15" customHeight="1">
      <c r="A2476" t="str">
        <f ca="1">IF(AND(OFFSET(A2476, -I2476 + 2, 4) &gt;  0, E2476="", Calculations!$B$7), F2476, "")</f>
        <v/>
      </c>
      <c r="B2476">
        <f t="shared" si="869"/>
        <v>59</v>
      </c>
      <c r="C2476">
        <f t="shared" ca="1" si="849"/>
        <v>56</v>
      </c>
      <c r="D2476" t="str">
        <f t="shared" si="870"/>
        <v>O59</v>
      </c>
      <c r="E2476" t="str">
        <f t="shared" ca="1" si="871"/>
        <v/>
      </c>
      <c r="F2476" t="str">
        <f t="shared" ca="1" si="872"/>
        <v xml:space="preserve">Enter a 'Higher of Land Purchase Price or Land Appraised Value****' for  building 56 in cell O59.
</v>
      </c>
      <c r="G2476" s="9" t="str">
        <f t="shared" ca="1" si="873"/>
        <v xml:space="preserve">Enter a value for 'Number of Floors in the Tallest Building' in cell B60.
</v>
      </c>
      <c r="H2476" s="52" t="str">
        <f t="shared" ca="1" si="874"/>
        <v>Higher of Land Purchase Price or Land Appraised Value****</v>
      </c>
      <c r="I2476" s="52">
        <v>15</v>
      </c>
    </row>
    <row r="2477" spans="1:10" ht="15" customHeight="1">
      <c r="A2477" t="str">
        <f ca="1">IF(AND(OFFSET(A2477, -I2477 + 2, 4) &gt;  0, E2477="", Calculations!$B$7), F2477, "")</f>
        <v/>
      </c>
      <c r="B2477">
        <f t="shared" si="869"/>
        <v>59</v>
      </c>
      <c r="C2477">
        <f t="shared" ca="1" si="849"/>
        <v>56</v>
      </c>
      <c r="D2477" t="str">
        <f t="shared" si="870"/>
        <v>P59</v>
      </c>
      <c r="E2477" t="str">
        <f t="shared" ca="1" si="871"/>
        <v/>
      </c>
      <c r="F2477" t="str">
        <f t="shared" ca="1" si="872"/>
        <v xml:space="preserve">Enter a 'Acquisition Placed-in-Service Date' for  building 56 in cell P59.
</v>
      </c>
      <c r="G2477" s="9" t="str">
        <f t="shared" ca="1" si="873"/>
        <v xml:space="preserve">Enter a value for 'Number of Floors in the Tallest Building' in cell B60.
</v>
      </c>
      <c r="H2477" s="52" t="str">
        <f t="shared" ca="1" si="874"/>
        <v>Acquisition Placed-in-Service Date</v>
      </c>
      <c r="I2477" s="52">
        <v>16</v>
      </c>
    </row>
    <row r="2478" spans="1:10" ht="15" customHeight="1">
      <c r="A2478" t="str">
        <f ca="1">IF(AND(OFFSET(A2478, -I2478 + 2, 4) &gt;  0, E2478="", Calculations!$B$7), F2478, "")</f>
        <v/>
      </c>
      <c r="B2478">
        <f t="shared" si="869"/>
        <v>59</v>
      </c>
      <c r="C2478">
        <f t="shared" ca="1" si="849"/>
        <v>56</v>
      </c>
      <c r="D2478" t="str">
        <f t="shared" si="870"/>
        <v>Q59</v>
      </c>
      <c r="E2478" t="str">
        <f t="shared" ca="1" si="871"/>
        <v/>
      </c>
      <c r="F2478" t="str">
        <f t="shared" ca="1" si="872"/>
        <v xml:space="preserve">Enter a 'Acquisition APR' for  building 56 in cell Q59.
</v>
      </c>
      <c r="G2478" s="9" t="str">
        <f t="shared" ca="1" si="873"/>
        <v xml:space="preserve">Enter a value for 'Number of Floors in the Tallest Building' in cell B60.
</v>
      </c>
      <c r="H2478" s="52" t="str">
        <f t="shared" ca="1" si="874"/>
        <v>Acquisition APR</v>
      </c>
      <c r="I2478" s="52">
        <v>17</v>
      </c>
    </row>
    <row r="2479" spans="1:10" ht="15" customHeight="1">
      <c r="A2479" t="str">
        <f ca="1">IF(AND(Calculations!$B$4,Calculations!$B$29&gt;=C2479, E2479 &lt;&gt; 13),F2479,"")</f>
        <v/>
      </c>
      <c r="B2479">
        <f>ROW('Final Building Profile'!C60)</f>
        <v>60</v>
      </c>
      <c r="C2479">
        <f t="shared" ref="C2479:C2542" ca="1" si="875">INDIRECT($F$1565 &amp; ADDRESS(B2479, 1,4  ))</f>
        <v>57</v>
      </c>
      <c r="D2479" t="str">
        <f>ADDRESS(B2479, 3,4  )</f>
        <v>C60</v>
      </c>
      <c r="E2479" s="52">
        <f ca="1">H2479+I2479</f>
        <v>0</v>
      </c>
      <c r="F2479" t="str">
        <f ca="1">CONCATENATE("Based upon the number of buildings specified, information for  building ", C2479, " required for a final application in row ", B2479, ".", CHAR(10))</f>
        <v xml:space="preserve">Based upon the number of buildings specified, information for  building 57 required for a final application in row 60.
</v>
      </c>
      <c r="G2479" s="9" t="str">
        <f t="shared" ca="1" si="873"/>
        <v xml:space="preserve">Enter a value for 'Number of Floors in the Tallest Building' in cell B60.
</v>
      </c>
      <c r="H2479" s="52">
        <f ca="1">SUMPRODUCT(--ISTEXT(INDIRECT(J2479)))</f>
        <v>0</v>
      </c>
      <c r="I2479" s="52">
        <f ca="1">SUMPRODUCT(--ISNUMBER(INDIRECT(J2479)))</f>
        <v>0</v>
      </c>
      <c r="J2479" s="52" t="str">
        <f>$F$1565&amp; ADDRESS(B2479,3,4) &amp; ":" &amp; ADDRESS(B2479,15,4)</f>
        <v>'Final Building Profile'!C60:O60</v>
      </c>
    </row>
    <row r="2480" spans="1:10" ht="15" customHeight="1">
      <c r="A2480" t="str">
        <f t="shared" ref="A2480:A2489" ca="1" si="876">IF(AND(OFFSET(A2480, -I2480 + 2, 4) &gt;  0, E2480=""), F2480, "")</f>
        <v/>
      </c>
      <c r="B2480">
        <f t="shared" ref="B2480:B2494" si="877">B2479</f>
        <v>60</v>
      </c>
      <c r="C2480">
        <f t="shared" ca="1" si="875"/>
        <v>57</v>
      </c>
      <c r="D2480" t="str">
        <f t="shared" ref="D2480:D2494" si="878">ADDRESS(B2480, I2480,4  )</f>
        <v>C60</v>
      </c>
      <c r="E2480" t="str">
        <f t="shared" ref="E2480:E2494" ca="1" si="879">IF(ISBLANK( INDIRECT($F$1565 &amp; D2480)),"", INDIRECT($F$1565 &amp; D2480))</f>
        <v/>
      </c>
      <c r="F2480" t="str">
        <f t="shared" ref="F2480:F2494" ca="1" si="880">CONCATENATE("Enter a '"&amp; H2480 &amp;"' for  building ", C2480, " in cell ", D2480, ".", CHAR(10))</f>
        <v xml:space="preserve">Enter a 'Building Street Address Only 
(DO NOT ENTER CITY, STATE, OR ZIP)' for  building 57 in cell C60.
</v>
      </c>
      <c r="G2480" s="9" t="str">
        <f t="shared" ca="1" si="873"/>
        <v xml:space="preserve">Enter a value for 'Number of Floors in the Tallest Building' in cell B60.
</v>
      </c>
      <c r="H2480" s="52" t="str">
        <f t="shared" ref="H2480:H2494" ca="1" si="881">OFFSET(INDIRECT($F$1565 &amp; D2480), -B2480 + 3, 0)</f>
        <v>Building Street Address Only 
(DO NOT ENTER CITY, STATE, OR ZIP)</v>
      </c>
      <c r="I2480" s="52">
        <v>3</v>
      </c>
    </row>
    <row r="2481" spans="1:10" ht="15" customHeight="1">
      <c r="A2481" t="str">
        <f t="shared" ca="1" si="876"/>
        <v/>
      </c>
      <c r="B2481">
        <f t="shared" si="877"/>
        <v>60</v>
      </c>
      <c r="C2481">
        <f t="shared" ca="1" si="875"/>
        <v>57</v>
      </c>
      <c r="D2481" t="str">
        <f t="shared" si="878"/>
        <v>D60</v>
      </c>
      <c r="E2481" t="str">
        <f t="shared" ca="1" si="879"/>
        <v/>
      </c>
      <c r="F2481" t="str">
        <f t="shared" ca="1" si="880"/>
        <v xml:space="preserve">Enter a 'Total Units in Building*' for  building 57 in cell D60.
</v>
      </c>
      <c r="G2481" s="9" t="str">
        <f t="shared" ca="1" si="873"/>
        <v xml:space="preserve">Enter a value for 'Number of Floors in the Tallest Building' in cell B60.
</v>
      </c>
      <c r="H2481" s="52" t="str">
        <f t="shared" ca="1" si="881"/>
        <v>Total Units in Building*</v>
      </c>
      <c r="I2481" s="52">
        <v>4</v>
      </c>
    </row>
    <row r="2482" spans="1:10" ht="15" customHeight="1">
      <c r="A2482" t="str">
        <f t="shared" ca="1" si="876"/>
        <v/>
      </c>
      <c r="B2482">
        <f t="shared" si="877"/>
        <v>60</v>
      </c>
      <c r="C2482">
        <f t="shared" ca="1" si="875"/>
        <v>57</v>
      </c>
      <c r="D2482" t="str">
        <f t="shared" si="878"/>
        <v>E60</v>
      </c>
      <c r="E2482" t="str">
        <f t="shared" ca="1" si="879"/>
        <v/>
      </c>
      <c r="F2482" t="str">
        <f t="shared" ca="1" si="880"/>
        <v xml:space="preserve">Enter a 'Employee Units' for  building 57 in cell E60.
</v>
      </c>
      <c r="G2482" s="9" t="str">
        <f t="shared" ca="1" si="873"/>
        <v xml:space="preserve">Enter a value for 'Number of Floors in the Tallest Building' in cell B60.
</v>
      </c>
      <c r="H2482" s="52" t="str">
        <f t="shared" ca="1" si="881"/>
        <v>Employee Units</v>
      </c>
      <c r="I2482" s="52">
        <v>5</v>
      </c>
    </row>
    <row r="2483" spans="1:10" ht="15" customHeight="1">
      <c r="A2483" t="str">
        <f t="shared" ca="1" si="876"/>
        <v/>
      </c>
      <c r="B2483">
        <f t="shared" si="877"/>
        <v>60</v>
      </c>
      <c r="C2483">
        <f t="shared" ca="1" si="875"/>
        <v>57</v>
      </c>
      <c r="D2483" t="str">
        <f t="shared" si="878"/>
        <v>F60</v>
      </c>
      <c r="E2483" t="str">
        <f t="shared" ca="1" si="879"/>
        <v/>
      </c>
      <c r="F2483" t="str">
        <f t="shared" ca="1" si="880"/>
        <v xml:space="preserve">Enter a 'Low-Income Units' for  building 57 in cell F60.
</v>
      </c>
      <c r="G2483" s="9" t="str">
        <f t="shared" ca="1" si="873"/>
        <v xml:space="preserve">Enter a value for 'Number of Floors in the Tallest Building' in cell B60.
</v>
      </c>
      <c r="H2483" s="52" t="str">
        <f t="shared" ca="1" si="881"/>
        <v>Low-Income Units</v>
      </c>
      <c r="I2483" s="52">
        <v>6</v>
      </c>
    </row>
    <row r="2484" spans="1:10" ht="15" customHeight="1">
      <c r="A2484" t="str">
        <f t="shared" ca="1" si="876"/>
        <v/>
      </c>
      <c r="B2484">
        <f t="shared" si="877"/>
        <v>60</v>
      </c>
      <c r="C2484">
        <f t="shared" ca="1" si="875"/>
        <v>57</v>
      </c>
      <c r="D2484" t="str">
        <f t="shared" si="878"/>
        <v>G60</v>
      </c>
      <c r="E2484" t="str">
        <f t="shared" ca="1" si="879"/>
        <v/>
      </c>
      <c r="F2484" t="str">
        <f t="shared" ca="1" si="880"/>
        <v xml:space="preserve">Enter a 'Residential Square Footage**' for  building 57 in cell G60.
</v>
      </c>
      <c r="G2484" s="9" t="str">
        <f t="shared" ca="1" si="873"/>
        <v xml:space="preserve">Enter a value for 'Number of Floors in the Tallest Building' in cell B60.
</v>
      </c>
      <c r="H2484" s="52" t="str">
        <f t="shared" ca="1" si="881"/>
        <v>Residential Square Footage**</v>
      </c>
      <c r="I2484" s="52">
        <v>7</v>
      </c>
    </row>
    <row r="2485" spans="1:10" ht="15" customHeight="1">
      <c r="A2485" t="str">
        <f t="shared" ca="1" si="876"/>
        <v/>
      </c>
      <c r="B2485">
        <f t="shared" si="877"/>
        <v>60</v>
      </c>
      <c r="C2485">
        <f t="shared" ca="1" si="875"/>
        <v>57</v>
      </c>
      <c r="D2485" t="str">
        <f t="shared" si="878"/>
        <v>H60</v>
      </c>
      <c r="E2485" t="str">
        <f t="shared" ca="1" si="879"/>
        <v/>
      </c>
      <c r="F2485" t="str">
        <f t="shared" ca="1" si="880"/>
        <v xml:space="preserve">Enter a 'Square Footage of Employee Units' for  building 57 in cell H60.
</v>
      </c>
      <c r="G2485" s="9" t="str">
        <f t="shared" ca="1" si="873"/>
        <v xml:space="preserve">Enter a value for 'Number of Floors in the Tallest Building' in cell B60.
</v>
      </c>
      <c r="H2485" s="52" t="str">
        <f t="shared" ca="1" si="881"/>
        <v>Square Footage of Employee Units</v>
      </c>
      <c r="I2485" s="52">
        <v>8</v>
      </c>
    </row>
    <row r="2486" spans="1:10" ht="15" customHeight="1">
      <c r="A2486" t="str">
        <f t="shared" ca="1" si="876"/>
        <v/>
      </c>
      <c r="B2486">
        <f t="shared" si="877"/>
        <v>60</v>
      </c>
      <c r="C2486">
        <f t="shared" ca="1" si="875"/>
        <v>57</v>
      </c>
      <c r="D2486" t="str">
        <f t="shared" si="878"/>
        <v>I60</v>
      </c>
      <c r="E2486" t="str">
        <f t="shared" ca="1" si="879"/>
        <v/>
      </c>
      <c r="F2486" t="str">
        <f t="shared" ca="1" si="880"/>
        <v xml:space="preserve">Enter a 'Square Footage of Low-Income Units' for  building 57 in cell I60.
</v>
      </c>
      <c r="G2486" s="9" t="str">
        <f t="shared" ca="1" si="873"/>
        <v xml:space="preserve">Enter a value for 'Number of Floors in the Tallest Building' in cell B60.
</v>
      </c>
      <c r="H2486" s="52" t="str">
        <f t="shared" ca="1" si="881"/>
        <v>Square Footage of Low-Income Units</v>
      </c>
      <c r="I2486" s="52">
        <v>9</v>
      </c>
    </row>
    <row r="2487" spans="1:10" ht="15" customHeight="1">
      <c r="A2487" t="str">
        <f t="shared" ca="1" si="876"/>
        <v/>
      </c>
      <c r="B2487">
        <f t="shared" si="877"/>
        <v>60</v>
      </c>
      <c r="C2487">
        <f t="shared" ca="1" si="875"/>
        <v>57</v>
      </c>
      <c r="D2487" t="str">
        <f t="shared" si="878"/>
        <v>J60</v>
      </c>
      <c r="E2487" t="str">
        <f t="shared" ca="1" si="879"/>
        <v/>
      </c>
      <c r="F2487" t="str">
        <f t="shared" ca="1" si="880"/>
        <v xml:space="preserve">Enter a 'Placed-In-Service Date' for  building 57 in cell J60.
</v>
      </c>
      <c r="G2487" s="9" t="str">
        <f t="shared" ca="1" si="873"/>
        <v xml:space="preserve">Enter a value for 'Number of Floors in the Tallest Building' in cell B60.
</v>
      </c>
      <c r="H2487" s="52" t="str">
        <f t="shared" ca="1" si="881"/>
        <v>Placed-In-Service Date</v>
      </c>
      <c r="I2487" s="52">
        <v>10</v>
      </c>
    </row>
    <row r="2488" spans="1:10" ht="15" customHeight="1">
      <c r="A2488" t="str">
        <f t="shared" ca="1" si="876"/>
        <v/>
      </c>
      <c r="B2488">
        <f t="shared" si="877"/>
        <v>60</v>
      </c>
      <c r="C2488">
        <f t="shared" ca="1" si="875"/>
        <v>57</v>
      </c>
      <c r="D2488" t="str">
        <f t="shared" si="878"/>
        <v>K60</v>
      </c>
      <c r="E2488" t="str">
        <f t="shared" ca="1" si="879"/>
        <v/>
      </c>
      <c r="F2488" t="str">
        <f t="shared" ca="1" si="880"/>
        <v xml:space="preserve">Enter a 'New Construction/ Rehab APR' for  building 57 in cell K60.
</v>
      </c>
      <c r="G2488" s="9" t="str">
        <f t="shared" ca="1" si="873"/>
        <v xml:space="preserve">Enter a value for 'Number of Floors in the Tallest Building' in cell B60.
</v>
      </c>
      <c r="H2488" s="52" t="str">
        <f t="shared" ca="1" si="881"/>
        <v>New Construction/ Rehab APR</v>
      </c>
      <c r="I2488" s="52">
        <v>11</v>
      </c>
    </row>
    <row r="2489" spans="1:10" ht="15" customHeight="1">
      <c r="A2489" t="str">
        <f t="shared" ca="1" si="876"/>
        <v/>
      </c>
      <c r="B2489">
        <f t="shared" si="877"/>
        <v>60</v>
      </c>
      <c r="C2489">
        <f t="shared" ca="1" si="875"/>
        <v>57</v>
      </c>
      <c r="D2489" t="str">
        <f t="shared" si="878"/>
        <v>L60</v>
      </c>
      <c r="E2489" t="str">
        <f t="shared" ca="1" si="879"/>
        <v/>
      </c>
      <c r="F2489" t="str">
        <f t="shared" ca="1" si="880"/>
        <v xml:space="preserve">Enter a 'New Construction Eligible Basis' for  building 57 in cell L60.
</v>
      </c>
      <c r="G2489" s="9" t="str">
        <f t="shared" ca="1" si="873"/>
        <v xml:space="preserve">Enter a value for 'Number of Floors in the Tallest Building' in cell B60.
</v>
      </c>
      <c r="H2489" s="52" t="str">
        <f t="shared" ca="1" si="881"/>
        <v>New Construction Eligible Basis</v>
      </c>
      <c r="I2489" s="52">
        <v>12</v>
      </c>
    </row>
    <row r="2490" spans="1:10" ht="15" customHeight="1">
      <c r="A2490" t="str">
        <f ca="1">IF(AND(OFFSET(A2490, -I2490 + 2, 4) &gt;  0, E2490="", Calculations!$B$7), F2490, "")</f>
        <v/>
      </c>
      <c r="B2490">
        <f t="shared" si="877"/>
        <v>60</v>
      </c>
      <c r="C2490">
        <f t="shared" ca="1" si="875"/>
        <v>57</v>
      </c>
      <c r="D2490" t="str">
        <f t="shared" si="878"/>
        <v>M60</v>
      </c>
      <c r="E2490" t="str">
        <f t="shared" ca="1" si="879"/>
        <v/>
      </c>
      <c r="F2490" t="str">
        <f t="shared" ca="1" si="880"/>
        <v xml:space="preserve">Enter a 'Eligible Basis for Rehab' for  building 57 in cell M60.
</v>
      </c>
      <c r="G2490" s="9" t="str">
        <f t="shared" ca="1" si="873"/>
        <v xml:space="preserve">Enter a value for 'Number of Floors in the Tallest Building' in cell B60.
</v>
      </c>
      <c r="H2490" s="52" t="str">
        <f t="shared" ca="1" si="881"/>
        <v>Eligible Basis for Rehab</v>
      </c>
      <c r="I2490" s="52">
        <v>13</v>
      </c>
    </row>
    <row r="2491" spans="1:10" ht="15" customHeight="1">
      <c r="A2491" t="str">
        <f ca="1">IF(AND(OFFSET(A2491, -I2491 + 2, 4) &gt;  0, E2491="", Calculations!$B$7), F2491, "")</f>
        <v/>
      </c>
      <c r="B2491">
        <f t="shared" si="877"/>
        <v>60</v>
      </c>
      <c r="C2491">
        <f t="shared" ca="1" si="875"/>
        <v>57</v>
      </c>
      <c r="D2491" t="str">
        <f t="shared" si="878"/>
        <v>N60</v>
      </c>
      <c r="E2491" t="str">
        <f t="shared" ca="1" si="879"/>
        <v/>
      </c>
      <c r="F2491" t="str">
        <f t="shared" ca="1" si="880"/>
        <v xml:space="preserve">Enter a 'Cost of Acquiring the Building***' for  building 57 in cell N60.
</v>
      </c>
      <c r="G2491" s="9" t="str">
        <f t="shared" ca="1" si="873"/>
        <v xml:space="preserve">Enter a value for 'Number of Floors in the Tallest Building' in cell B60.
</v>
      </c>
      <c r="H2491" s="52" t="str">
        <f t="shared" ca="1" si="881"/>
        <v>Cost of Acquiring the Building***</v>
      </c>
      <c r="I2491" s="52">
        <v>14</v>
      </c>
    </row>
    <row r="2492" spans="1:10" ht="15" customHeight="1">
      <c r="A2492" t="str">
        <f ca="1">IF(AND(OFFSET(A2492, -I2492 + 2, 4) &gt;  0, E2492="", Calculations!$B$7), F2492, "")</f>
        <v/>
      </c>
      <c r="B2492">
        <f t="shared" si="877"/>
        <v>60</v>
      </c>
      <c r="C2492">
        <f t="shared" ca="1" si="875"/>
        <v>57</v>
      </c>
      <c r="D2492" t="str">
        <f t="shared" si="878"/>
        <v>O60</v>
      </c>
      <c r="E2492" t="str">
        <f t="shared" ca="1" si="879"/>
        <v/>
      </c>
      <c r="F2492" t="str">
        <f t="shared" ca="1" si="880"/>
        <v xml:space="preserve">Enter a 'Higher of Land Purchase Price or Land Appraised Value****' for  building 57 in cell O60.
</v>
      </c>
      <c r="G2492" s="9" t="str">
        <f t="shared" ca="1" si="873"/>
        <v xml:space="preserve">Enter a value for 'Number of Floors in the Tallest Building' in cell B60.
</v>
      </c>
      <c r="H2492" s="52" t="str">
        <f t="shared" ca="1" si="881"/>
        <v>Higher of Land Purchase Price or Land Appraised Value****</v>
      </c>
      <c r="I2492" s="52">
        <v>15</v>
      </c>
    </row>
    <row r="2493" spans="1:10" ht="15" customHeight="1">
      <c r="A2493" t="str">
        <f ca="1">IF(AND(OFFSET(A2493, -I2493 + 2, 4) &gt;  0, E2493="", Calculations!$B$7), F2493, "")</f>
        <v/>
      </c>
      <c r="B2493">
        <f t="shared" si="877"/>
        <v>60</v>
      </c>
      <c r="C2493">
        <f t="shared" ca="1" si="875"/>
        <v>57</v>
      </c>
      <c r="D2493" t="str">
        <f t="shared" si="878"/>
        <v>P60</v>
      </c>
      <c r="E2493" t="str">
        <f t="shared" ca="1" si="879"/>
        <v/>
      </c>
      <c r="F2493" t="str">
        <f t="shared" ca="1" si="880"/>
        <v xml:space="preserve">Enter a 'Acquisition Placed-in-Service Date' for  building 57 in cell P60.
</v>
      </c>
      <c r="G2493" s="9" t="str">
        <f t="shared" ca="1" si="873"/>
        <v xml:space="preserve">Enter a value for 'Number of Floors in the Tallest Building' in cell B60.
</v>
      </c>
      <c r="H2493" s="52" t="str">
        <f t="shared" ca="1" si="881"/>
        <v>Acquisition Placed-in-Service Date</v>
      </c>
      <c r="I2493" s="52">
        <v>16</v>
      </c>
    </row>
    <row r="2494" spans="1:10" ht="15" customHeight="1">
      <c r="A2494" t="str">
        <f ca="1">IF(AND(OFFSET(A2494, -I2494 + 2, 4) &gt;  0, E2494="", Calculations!$B$7), F2494, "")</f>
        <v/>
      </c>
      <c r="B2494">
        <f t="shared" si="877"/>
        <v>60</v>
      </c>
      <c r="C2494">
        <f t="shared" ca="1" si="875"/>
        <v>57</v>
      </c>
      <c r="D2494" t="str">
        <f t="shared" si="878"/>
        <v>Q60</v>
      </c>
      <c r="E2494" t="str">
        <f t="shared" ca="1" si="879"/>
        <v/>
      </c>
      <c r="F2494" t="str">
        <f t="shared" ca="1" si="880"/>
        <v xml:space="preserve">Enter a 'Acquisition APR' for  building 57 in cell Q60.
</v>
      </c>
      <c r="G2494" s="9" t="str">
        <f t="shared" ca="1" si="873"/>
        <v xml:space="preserve">Enter a value for 'Number of Floors in the Tallest Building' in cell B60.
</v>
      </c>
      <c r="H2494" s="52" t="str">
        <f t="shared" ca="1" si="881"/>
        <v>Acquisition APR</v>
      </c>
      <c r="I2494" s="52">
        <v>17</v>
      </c>
    </row>
    <row r="2495" spans="1:10" ht="15" customHeight="1">
      <c r="A2495" t="str">
        <f ca="1">IF(AND(Calculations!$B$4,Calculations!$B$29&gt;=C2495, E2495 &lt;&gt; 13),F2495,"")</f>
        <v/>
      </c>
      <c r="B2495">
        <f>ROW('Final Building Profile'!C61)</f>
        <v>61</v>
      </c>
      <c r="C2495">
        <f t="shared" ca="1" si="875"/>
        <v>58</v>
      </c>
      <c r="D2495" t="str">
        <f>ADDRESS(B2495, 3,4  )</f>
        <v>C61</v>
      </c>
      <c r="E2495" s="52">
        <f ca="1">H2495+I2495</f>
        <v>0</v>
      </c>
      <c r="F2495" t="str">
        <f ca="1">CONCATENATE("Based upon the number of buildings specified, information for  building ", C2495, " required for a final application in row ", B2495, ".", CHAR(10))</f>
        <v xml:space="preserve">Based upon the number of buildings specified, information for  building 58 required for a final application in row 61.
</v>
      </c>
      <c r="G2495" s="9" t="str">
        <f t="shared" ca="1" si="873"/>
        <v xml:space="preserve">Enter a value for 'Number of Floors in the Tallest Building' in cell B60.
</v>
      </c>
      <c r="H2495" s="52">
        <f ca="1">SUMPRODUCT(--ISTEXT(INDIRECT(J2495)))</f>
        <v>0</v>
      </c>
      <c r="I2495" s="52">
        <f ca="1">SUMPRODUCT(--ISNUMBER(INDIRECT(J2495)))</f>
        <v>0</v>
      </c>
      <c r="J2495" s="52" t="str">
        <f>$F$1565&amp; ADDRESS(B2495,3,4) &amp; ":" &amp; ADDRESS(B2495,15,4)</f>
        <v>'Final Building Profile'!C61:O61</v>
      </c>
    </row>
    <row r="2496" spans="1:10" ht="15" customHeight="1">
      <c r="A2496" t="str">
        <f t="shared" ref="A2496:A2505" ca="1" si="882">IF(AND(OFFSET(A2496, -I2496 + 2, 4) &gt;  0, E2496=""), F2496, "")</f>
        <v/>
      </c>
      <c r="B2496">
        <f t="shared" ref="B2496:B2510" si="883">B2495</f>
        <v>61</v>
      </c>
      <c r="C2496">
        <f t="shared" ca="1" si="875"/>
        <v>58</v>
      </c>
      <c r="D2496" t="str">
        <f t="shared" ref="D2496:D2510" si="884">ADDRESS(B2496, I2496,4  )</f>
        <v>C61</v>
      </c>
      <c r="E2496" t="str">
        <f t="shared" ref="E2496:E2510" ca="1" si="885">IF(ISBLANK( INDIRECT($F$1565 &amp; D2496)),"", INDIRECT($F$1565 &amp; D2496))</f>
        <v/>
      </c>
      <c r="F2496" t="str">
        <f t="shared" ref="F2496:F2510" ca="1" si="886">CONCATENATE("Enter a '"&amp; H2496 &amp;"' for  building ", C2496, " in cell ", D2496, ".", CHAR(10))</f>
        <v xml:space="preserve">Enter a 'Building Street Address Only 
(DO NOT ENTER CITY, STATE, OR ZIP)' for  building 58 in cell C61.
</v>
      </c>
      <c r="G2496" s="9" t="str">
        <f t="shared" ca="1" si="873"/>
        <v xml:space="preserve">Enter a value for 'Number of Floors in the Tallest Building' in cell B60.
</v>
      </c>
      <c r="H2496" s="52" t="str">
        <f t="shared" ref="H2496:H2510" ca="1" si="887">OFFSET(INDIRECT($F$1565 &amp; D2496), -B2496 + 3, 0)</f>
        <v>Building Street Address Only 
(DO NOT ENTER CITY, STATE, OR ZIP)</v>
      </c>
      <c r="I2496" s="52">
        <v>3</v>
      </c>
    </row>
    <row r="2497" spans="1:10" ht="15" customHeight="1">
      <c r="A2497" t="str">
        <f t="shared" ca="1" si="882"/>
        <v/>
      </c>
      <c r="B2497">
        <f t="shared" si="883"/>
        <v>61</v>
      </c>
      <c r="C2497">
        <f t="shared" ca="1" si="875"/>
        <v>58</v>
      </c>
      <c r="D2497" t="str">
        <f t="shared" si="884"/>
        <v>D61</v>
      </c>
      <c r="E2497" t="str">
        <f t="shared" ca="1" si="885"/>
        <v/>
      </c>
      <c r="F2497" t="str">
        <f t="shared" ca="1" si="886"/>
        <v xml:space="preserve">Enter a 'Total Units in Building*' for  building 58 in cell D61.
</v>
      </c>
      <c r="G2497" s="9" t="str">
        <f t="shared" ca="1" si="873"/>
        <v xml:space="preserve">Enter a value for 'Number of Floors in the Tallest Building' in cell B60.
</v>
      </c>
      <c r="H2497" s="52" t="str">
        <f t="shared" ca="1" si="887"/>
        <v>Total Units in Building*</v>
      </c>
      <c r="I2497" s="52">
        <v>4</v>
      </c>
    </row>
    <row r="2498" spans="1:10" ht="15" customHeight="1">
      <c r="A2498" t="str">
        <f t="shared" ca="1" si="882"/>
        <v/>
      </c>
      <c r="B2498">
        <f t="shared" si="883"/>
        <v>61</v>
      </c>
      <c r="C2498">
        <f t="shared" ca="1" si="875"/>
        <v>58</v>
      </c>
      <c r="D2498" t="str">
        <f t="shared" si="884"/>
        <v>E61</v>
      </c>
      <c r="E2498" t="str">
        <f t="shared" ca="1" si="885"/>
        <v/>
      </c>
      <c r="F2498" t="str">
        <f t="shared" ca="1" si="886"/>
        <v xml:space="preserve">Enter a 'Employee Units' for  building 58 in cell E61.
</v>
      </c>
      <c r="G2498" s="9" t="str">
        <f t="shared" ca="1" si="873"/>
        <v xml:space="preserve">Enter a value for 'Number of Floors in the Tallest Building' in cell B60.
</v>
      </c>
      <c r="H2498" s="52" t="str">
        <f t="shared" ca="1" si="887"/>
        <v>Employee Units</v>
      </c>
      <c r="I2498" s="52">
        <v>5</v>
      </c>
    </row>
    <row r="2499" spans="1:10" ht="15" customHeight="1">
      <c r="A2499" t="str">
        <f t="shared" ca="1" si="882"/>
        <v/>
      </c>
      <c r="B2499">
        <f t="shared" si="883"/>
        <v>61</v>
      </c>
      <c r="C2499">
        <f t="shared" ca="1" si="875"/>
        <v>58</v>
      </c>
      <c r="D2499" t="str">
        <f t="shared" si="884"/>
        <v>F61</v>
      </c>
      <c r="E2499" t="str">
        <f t="shared" ca="1" si="885"/>
        <v/>
      </c>
      <c r="F2499" t="str">
        <f t="shared" ca="1" si="886"/>
        <v xml:space="preserve">Enter a 'Low-Income Units' for  building 58 in cell F61.
</v>
      </c>
      <c r="G2499" s="9" t="str">
        <f t="shared" ca="1" si="873"/>
        <v xml:space="preserve">Enter a value for 'Number of Floors in the Tallest Building' in cell B60.
</v>
      </c>
      <c r="H2499" s="52" t="str">
        <f t="shared" ca="1" si="887"/>
        <v>Low-Income Units</v>
      </c>
      <c r="I2499" s="52">
        <v>6</v>
      </c>
    </row>
    <row r="2500" spans="1:10" ht="15" customHeight="1">
      <c r="A2500" t="str">
        <f t="shared" ca="1" si="882"/>
        <v/>
      </c>
      <c r="B2500">
        <f t="shared" si="883"/>
        <v>61</v>
      </c>
      <c r="C2500">
        <f t="shared" ca="1" si="875"/>
        <v>58</v>
      </c>
      <c r="D2500" t="str">
        <f t="shared" si="884"/>
        <v>G61</v>
      </c>
      <c r="E2500" t="str">
        <f t="shared" ca="1" si="885"/>
        <v/>
      </c>
      <c r="F2500" t="str">
        <f t="shared" ca="1" si="886"/>
        <v xml:space="preserve">Enter a 'Residential Square Footage**' for  building 58 in cell G61.
</v>
      </c>
      <c r="G2500" s="9" t="str">
        <f t="shared" ca="1" si="873"/>
        <v xml:space="preserve">Enter a value for 'Number of Floors in the Tallest Building' in cell B60.
</v>
      </c>
      <c r="H2500" s="52" t="str">
        <f t="shared" ca="1" si="887"/>
        <v>Residential Square Footage**</v>
      </c>
      <c r="I2500" s="52">
        <v>7</v>
      </c>
    </row>
    <row r="2501" spans="1:10" ht="15" customHeight="1">
      <c r="A2501" t="str">
        <f t="shared" ca="1" si="882"/>
        <v/>
      </c>
      <c r="B2501">
        <f t="shared" si="883"/>
        <v>61</v>
      </c>
      <c r="C2501">
        <f t="shared" ca="1" si="875"/>
        <v>58</v>
      </c>
      <c r="D2501" t="str">
        <f t="shared" si="884"/>
        <v>H61</v>
      </c>
      <c r="E2501" t="str">
        <f t="shared" ca="1" si="885"/>
        <v/>
      </c>
      <c r="F2501" t="str">
        <f t="shared" ca="1" si="886"/>
        <v xml:space="preserve">Enter a 'Square Footage of Employee Units' for  building 58 in cell H61.
</v>
      </c>
      <c r="G2501" s="9" t="str">
        <f t="shared" ca="1" si="873"/>
        <v xml:space="preserve">Enter a value for 'Number of Floors in the Tallest Building' in cell B60.
</v>
      </c>
      <c r="H2501" s="52" t="str">
        <f t="shared" ca="1" si="887"/>
        <v>Square Footage of Employee Units</v>
      </c>
      <c r="I2501" s="52">
        <v>8</v>
      </c>
    </row>
    <row r="2502" spans="1:10" ht="15" customHeight="1">
      <c r="A2502" t="str">
        <f t="shared" ca="1" si="882"/>
        <v/>
      </c>
      <c r="B2502">
        <f t="shared" si="883"/>
        <v>61</v>
      </c>
      <c r="C2502">
        <f t="shared" ca="1" si="875"/>
        <v>58</v>
      </c>
      <c r="D2502" t="str">
        <f t="shared" si="884"/>
        <v>I61</v>
      </c>
      <c r="E2502" t="str">
        <f t="shared" ca="1" si="885"/>
        <v/>
      </c>
      <c r="F2502" t="str">
        <f t="shared" ca="1" si="886"/>
        <v xml:space="preserve">Enter a 'Square Footage of Low-Income Units' for  building 58 in cell I61.
</v>
      </c>
      <c r="G2502" s="9" t="str">
        <f t="shared" ca="1" si="873"/>
        <v xml:space="preserve">Enter a value for 'Number of Floors in the Tallest Building' in cell B60.
</v>
      </c>
      <c r="H2502" s="52" t="str">
        <f t="shared" ca="1" si="887"/>
        <v>Square Footage of Low-Income Units</v>
      </c>
      <c r="I2502" s="52">
        <v>9</v>
      </c>
    </row>
    <row r="2503" spans="1:10" ht="15" customHeight="1">
      <c r="A2503" t="str">
        <f t="shared" ca="1" si="882"/>
        <v/>
      </c>
      <c r="B2503">
        <f t="shared" si="883"/>
        <v>61</v>
      </c>
      <c r="C2503">
        <f t="shared" ca="1" si="875"/>
        <v>58</v>
      </c>
      <c r="D2503" t="str">
        <f t="shared" si="884"/>
        <v>J61</v>
      </c>
      <c r="E2503" t="str">
        <f t="shared" ca="1" si="885"/>
        <v/>
      </c>
      <c r="F2503" t="str">
        <f t="shared" ca="1" si="886"/>
        <v xml:space="preserve">Enter a 'Placed-In-Service Date' for  building 58 in cell J61.
</v>
      </c>
      <c r="G2503" s="9" t="str">
        <f t="shared" ca="1" si="873"/>
        <v xml:space="preserve">Enter a value for 'Number of Floors in the Tallest Building' in cell B60.
</v>
      </c>
      <c r="H2503" s="52" t="str">
        <f t="shared" ca="1" si="887"/>
        <v>Placed-In-Service Date</v>
      </c>
      <c r="I2503" s="52">
        <v>10</v>
      </c>
    </row>
    <row r="2504" spans="1:10" ht="15" customHeight="1">
      <c r="A2504" t="str">
        <f t="shared" ca="1" si="882"/>
        <v/>
      </c>
      <c r="B2504">
        <f t="shared" si="883"/>
        <v>61</v>
      </c>
      <c r="C2504">
        <f t="shared" ca="1" si="875"/>
        <v>58</v>
      </c>
      <c r="D2504" t="str">
        <f t="shared" si="884"/>
        <v>K61</v>
      </c>
      <c r="E2504" t="str">
        <f t="shared" ca="1" si="885"/>
        <v/>
      </c>
      <c r="F2504" t="str">
        <f t="shared" ca="1" si="886"/>
        <v xml:space="preserve">Enter a 'New Construction/ Rehab APR' for  building 58 in cell K61.
</v>
      </c>
      <c r="G2504" s="9" t="str">
        <f t="shared" ca="1" si="873"/>
        <v xml:space="preserve">Enter a value for 'Number of Floors in the Tallest Building' in cell B60.
</v>
      </c>
      <c r="H2504" s="52" t="str">
        <f t="shared" ca="1" si="887"/>
        <v>New Construction/ Rehab APR</v>
      </c>
      <c r="I2504" s="52">
        <v>11</v>
      </c>
    </row>
    <row r="2505" spans="1:10" ht="15" customHeight="1">
      <c r="A2505" t="str">
        <f t="shared" ca="1" si="882"/>
        <v/>
      </c>
      <c r="B2505">
        <f t="shared" si="883"/>
        <v>61</v>
      </c>
      <c r="C2505">
        <f t="shared" ca="1" si="875"/>
        <v>58</v>
      </c>
      <c r="D2505" t="str">
        <f t="shared" si="884"/>
        <v>L61</v>
      </c>
      <c r="E2505" t="str">
        <f t="shared" ca="1" si="885"/>
        <v/>
      </c>
      <c r="F2505" t="str">
        <f t="shared" ca="1" si="886"/>
        <v xml:space="preserve">Enter a 'New Construction Eligible Basis' for  building 58 in cell L61.
</v>
      </c>
      <c r="G2505" s="9" t="str">
        <f t="shared" ca="1" si="873"/>
        <v xml:space="preserve">Enter a value for 'Number of Floors in the Tallest Building' in cell B60.
</v>
      </c>
      <c r="H2505" s="52" t="str">
        <f t="shared" ca="1" si="887"/>
        <v>New Construction Eligible Basis</v>
      </c>
      <c r="I2505" s="52">
        <v>12</v>
      </c>
    </row>
    <row r="2506" spans="1:10" ht="15" customHeight="1">
      <c r="A2506" t="str">
        <f ca="1">IF(AND(OFFSET(A2506, -I2506 + 2, 4) &gt;  0, E2506="", Calculations!$B$7), F2506, "")</f>
        <v/>
      </c>
      <c r="B2506">
        <f t="shared" si="883"/>
        <v>61</v>
      </c>
      <c r="C2506">
        <f t="shared" ca="1" si="875"/>
        <v>58</v>
      </c>
      <c r="D2506" t="str">
        <f t="shared" si="884"/>
        <v>M61</v>
      </c>
      <c r="E2506" t="str">
        <f t="shared" ca="1" si="885"/>
        <v/>
      </c>
      <c r="F2506" t="str">
        <f t="shared" ca="1" si="886"/>
        <v xml:space="preserve">Enter a 'Eligible Basis for Rehab' for  building 58 in cell M61.
</v>
      </c>
      <c r="G2506" s="9" t="str">
        <f t="shared" ca="1" si="873"/>
        <v xml:space="preserve">Enter a value for 'Number of Floors in the Tallest Building' in cell B60.
</v>
      </c>
      <c r="H2506" s="52" t="str">
        <f t="shared" ca="1" si="887"/>
        <v>Eligible Basis for Rehab</v>
      </c>
      <c r="I2506" s="52">
        <v>13</v>
      </c>
    </row>
    <row r="2507" spans="1:10" ht="15" customHeight="1">
      <c r="A2507" t="str">
        <f ca="1">IF(AND(OFFSET(A2507, -I2507 + 2, 4) &gt;  0, E2507="", Calculations!$B$7), F2507, "")</f>
        <v/>
      </c>
      <c r="B2507">
        <f t="shared" si="883"/>
        <v>61</v>
      </c>
      <c r="C2507">
        <f t="shared" ca="1" si="875"/>
        <v>58</v>
      </c>
      <c r="D2507" t="str">
        <f t="shared" si="884"/>
        <v>N61</v>
      </c>
      <c r="E2507" t="str">
        <f t="shared" ca="1" si="885"/>
        <v/>
      </c>
      <c r="F2507" t="str">
        <f t="shared" ca="1" si="886"/>
        <v xml:space="preserve">Enter a 'Cost of Acquiring the Building***' for  building 58 in cell N61.
</v>
      </c>
      <c r="G2507" s="9" t="str">
        <f t="shared" ca="1" si="873"/>
        <v xml:space="preserve">Enter a value for 'Number of Floors in the Tallest Building' in cell B60.
</v>
      </c>
      <c r="H2507" s="52" t="str">
        <f t="shared" ca="1" si="887"/>
        <v>Cost of Acquiring the Building***</v>
      </c>
      <c r="I2507" s="52">
        <v>14</v>
      </c>
    </row>
    <row r="2508" spans="1:10" ht="15" customHeight="1">
      <c r="A2508" t="str">
        <f ca="1">IF(AND(OFFSET(A2508, -I2508 + 2, 4) &gt;  0, E2508="", Calculations!$B$7), F2508, "")</f>
        <v/>
      </c>
      <c r="B2508">
        <f t="shared" si="883"/>
        <v>61</v>
      </c>
      <c r="C2508">
        <f t="shared" ca="1" si="875"/>
        <v>58</v>
      </c>
      <c r="D2508" t="str">
        <f t="shared" si="884"/>
        <v>O61</v>
      </c>
      <c r="E2508" t="str">
        <f t="shared" ca="1" si="885"/>
        <v/>
      </c>
      <c r="F2508" t="str">
        <f t="shared" ca="1" si="886"/>
        <v xml:space="preserve">Enter a 'Higher of Land Purchase Price or Land Appraised Value****' for  building 58 in cell O61.
</v>
      </c>
      <c r="G2508" s="9" t="str">
        <f t="shared" ca="1" si="873"/>
        <v xml:space="preserve">Enter a value for 'Number of Floors in the Tallest Building' in cell B60.
</v>
      </c>
      <c r="H2508" s="52" t="str">
        <f t="shared" ca="1" si="887"/>
        <v>Higher of Land Purchase Price or Land Appraised Value****</v>
      </c>
      <c r="I2508" s="52">
        <v>15</v>
      </c>
    </row>
    <row r="2509" spans="1:10" ht="15" customHeight="1">
      <c r="A2509" t="str">
        <f ca="1">IF(AND(OFFSET(A2509, -I2509 + 2, 4) &gt;  0, E2509="", Calculations!$B$7), F2509, "")</f>
        <v/>
      </c>
      <c r="B2509">
        <f t="shared" si="883"/>
        <v>61</v>
      </c>
      <c r="C2509">
        <f t="shared" ca="1" si="875"/>
        <v>58</v>
      </c>
      <c r="D2509" t="str">
        <f t="shared" si="884"/>
        <v>P61</v>
      </c>
      <c r="E2509" t="str">
        <f t="shared" ca="1" si="885"/>
        <v/>
      </c>
      <c r="F2509" t="str">
        <f t="shared" ca="1" si="886"/>
        <v xml:space="preserve">Enter a 'Acquisition Placed-in-Service Date' for  building 58 in cell P61.
</v>
      </c>
      <c r="G2509" s="9" t="str">
        <f t="shared" ca="1" si="873"/>
        <v xml:space="preserve">Enter a value for 'Number of Floors in the Tallest Building' in cell B60.
</v>
      </c>
      <c r="H2509" s="52" t="str">
        <f t="shared" ca="1" si="887"/>
        <v>Acquisition Placed-in-Service Date</v>
      </c>
      <c r="I2509" s="52">
        <v>16</v>
      </c>
    </row>
    <row r="2510" spans="1:10" ht="15" customHeight="1">
      <c r="A2510" t="str">
        <f ca="1">IF(AND(OFFSET(A2510, -I2510 + 2, 4) &gt;  0, E2510="", Calculations!$B$7), F2510, "")</f>
        <v/>
      </c>
      <c r="B2510">
        <f t="shared" si="883"/>
        <v>61</v>
      </c>
      <c r="C2510">
        <f t="shared" ca="1" si="875"/>
        <v>58</v>
      </c>
      <c r="D2510" t="str">
        <f t="shared" si="884"/>
        <v>Q61</v>
      </c>
      <c r="E2510" t="str">
        <f t="shared" ca="1" si="885"/>
        <v/>
      </c>
      <c r="F2510" t="str">
        <f t="shared" ca="1" si="886"/>
        <v xml:space="preserve">Enter a 'Acquisition APR' for  building 58 in cell Q61.
</v>
      </c>
      <c r="G2510" s="9" t="str">
        <f t="shared" ca="1" si="873"/>
        <v xml:space="preserve">Enter a value for 'Number of Floors in the Tallest Building' in cell B60.
</v>
      </c>
      <c r="H2510" s="52" t="str">
        <f t="shared" ca="1" si="887"/>
        <v>Acquisition APR</v>
      </c>
      <c r="I2510" s="52">
        <v>17</v>
      </c>
    </row>
    <row r="2511" spans="1:10" ht="15" customHeight="1">
      <c r="A2511" t="str">
        <f ca="1">IF(AND(Calculations!$B$4,Calculations!$B$29&gt;=C2511, E2511 &lt;&gt; 13),F2511,"")</f>
        <v/>
      </c>
      <c r="B2511">
        <f>ROW('Final Building Profile'!C62)</f>
        <v>62</v>
      </c>
      <c r="C2511">
        <f t="shared" ca="1" si="875"/>
        <v>59</v>
      </c>
      <c r="D2511" t="str">
        <f>ADDRESS(B2511, 3,4  )</f>
        <v>C62</v>
      </c>
      <c r="E2511" s="52">
        <f ca="1">H2511+I2511</f>
        <v>0</v>
      </c>
      <c r="F2511" t="str">
        <f ca="1">CONCATENATE("Based upon the number of buildings specified, information for  building ", C2511, " required for a final application in row ", B2511, ".", CHAR(10))</f>
        <v xml:space="preserve">Based upon the number of buildings specified, information for  building 59 required for a final application in row 62.
</v>
      </c>
      <c r="G2511" s="9" t="str">
        <f t="shared" ca="1" si="873"/>
        <v xml:space="preserve">Enter a value for 'Number of Floors in the Tallest Building' in cell B60.
</v>
      </c>
      <c r="H2511" s="52">
        <f ca="1">SUMPRODUCT(--ISTEXT(INDIRECT(J2511)))</f>
        <v>0</v>
      </c>
      <c r="I2511" s="52">
        <f ca="1">SUMPRODUCT(--ISNUMBER(INDIRECT(J2511)))</f>
        <v>0</v>
      </c>
      <c r="J2511" s="52" t="str">
        <f>$F$1565&amp; ADDRESS(B2511,3,4) &amp; ":" &amp; ADDRESS(B2511,15,4)</f>
        <v>'Final Building Profile'!C62:O62</v>
      </c>
    </row>
    <row r="2512" spans="1:10" ht="15" customHeight="1">
      <c r="A2512" t="str">
        <f t="shared" ref="A2512:A2521" ca="1" si="888">IF(AND(OFFSET(A2512, -I2512 + 2, 4) &gt;  0, E2512=""), F2512, "")</f>
        <v/>
      </c>
      <c r="B2512">
        <f t="shared" ref="B2512:B2526" si="889">B2511</f>
        <v>62</v>
      </c>
      <c r="C2512">
        <f t="shared" ca="1" si="875"/>
        <v>59</v>
      </c>
      <c r="D2512" t="str">
        <f t="shared" ref="D2512:D2526" si="890">ADDRESS(B2512, I2512,4  )</f>
        <v>C62</v>
      </c>
      <c r="E2512" t="str">
        <f t="shared" ref="E2512:E2526" ca="1" si="891">IF(ISBLANK( INDIRECT($F$1565 &amp; D2512)),"", INDIRECT($F$1565 &amp; D2512))</f>
        <v/>
      </c>
      <c r="F2512" t="str">
        <f t="shared" ref="F2512:F2526" ca="1" si="892">CONCATENATE("Enter a '"&amp; H2512 &amp;"' for  building ", C2512, " in cell ", D2512, ".", CHAR(10))</f>
        <v xml:space="preserve">Enter a 'Building Street Address Only 
(DO NOT ENTER CITY, STATE, OR ZIP)' for  building 59 in cell C62.
</v>
      </c>
      <c r="G2512" s="9" t="str">
        <f t="shared" ca="1" si="873"/>
        <v xml:space="preserve">Enter a value for 'Number of Floors in the Tallest Building' in cell B60.
</v>
      </c>
      <c r="H2512" s="52" t="str">
        <f t="shared" ref="H2512:H2526" ca="1" si="893">OFFSET(INDIRECT($F$1565 &amp; D2512), -B2512 + 3, 0)</f>
        <v>Building Street Address Only 
(DO NOT ENTER CITY, STATE, OR ZIP)</v>
      </c>
      <c r="I2512" s="52">
        <v>3</v>
      </c>
    </row>
    <row r="2513" spans="1:10" ht="15" customHeight="1">
      <c r="A2513" t="str">
        <f t="shared" ca="1" si="888"/>
        <v/>
      </c>
      <c r="B2513">
        <f t="shared" si="889"/>
        <v>62</v>
      </c>
      <c r="C2513">
        <f t="shared" ca="1" si="875"/>
        <v>59</v>
      </c>
      <c r="D2513" t="str">
        <f t="shared" si="890"/>
        <v>D62</v>
      </c>
      <c r="E2513" t="str">
        <f t="shared" ca="1" si="891"/>
        <v/>
      </c>
      <c r="F2513" t="str">
        <f t="shared" ca="1" si="892"/>
        <v xml:space="preserve">Enter a 'Total Units in Building*' for  building 59 in cell D62.
</v>
      </c>
      <c r="G2513" s="9" t="str">
        <f t="shared" ca="1" si="873"/>
        <v xml:space="preserve">Enter a value for 'Number of Floors in the Tallest Building' in cell B60.
</v>
      </c>
      <c r="H2513" s="52" t="str">
        <f t="shared" ca="1" si="893"/>
        <v>Total Units in Building*</v>
      </c>
      <c r="I2513" s="52">
        <v>4</v>
      </c>
    </row>
    <row r="2514" spans="1:10" ht="15" customHeight="1">
      <c r="A2514" t="str">
        <f t="shared" ca="1" si="888"/>
        <v/>
      </c>
      <c r="B2514">
        <f t="shared" si="889"/>
        <v>62</v>
      </c>
      <c r="C2514">
        <f t="shared" ca="1" si="875"/>
        <v>59</v>
      </c>
      <c r="D2514" t="str">
        <f t="shared" si="890"/>
        <v>E62</v>
      </c>
      <c r="E2514" t="str">
        <f t="shared" ca="1" si="891"/>
        <v/>
      </c>
      <c r="F2514" t="str">
        <f t="shared" ca="1" si="892"/>
        <v xml:space="preserve">Enter a 'Employee Units' for  building 59 in cell E62.
</v>
      </c>
      <c r="G2514" s="9" t="str">
        <f t="shared" ca="1" si="873"/>
        <v xml:space="preserve">Enter a value for 'Number of Floors in the Tallest Building' in cell B60.
</v>
      </c>
      <c r="H2514" s="52" t="str">
        <f t="shared" ca="1" si="893"/>
        <v>Employee Units</v>
      </c>
      <c r="I2514" s="52">
        <v>5</v>
      </c>
    </row>
    <row r="2515" spans="1:10" ht="15" customHeight="1">
      <c r="A2515" t="str">
        <f t="shared" ca="1" si="888"/>
        <v/>
      </c>
      <c r="B2515">
        <f t="shared" si="889"/>
        <v>62</v>
      </c>
      <c r="C2515">
        <f t="shared" ca="1" si="875"/>
        <v>59</v>
      </c>
      <c r="D2515" t="str">
        <f t="shared" si="890"/>
        <v>F62</v>
      </c>
      <c r="E2515" t="str">
        <f t="shared" ca="1" si="891"/>
        <v/>
      </c>
      <c r="F2515" t="str">
        <f t="shared" ca="1" si="892"/>
        <v xml:space="preserve">Enter a 'Low-Income Units' for  building 59 in cell F62.
</v>
      </c>
      <c r="G2515" s="9" t="str">
        <f t="shared" ca="1" si="873"/>
        <v xml:space="preserve">Enter a value for 'Number of Floors in the Tallest Building' in cell B60.
</v>
      </c>
      <c r="H2515" s="52" t="str">
        <f t="shared" ca="1" si="893"/>
        <v>Low-Income Units</v>
      </c>
      <c r="I2515" s="52">
        <v>6</v>
      </c>
    </row>
    <row r="2516" spans="1:10" ht="15" customHeight="1">
      <c r="A2516" t="str">
        <f t="shared" ca="1" si="888"/>
        <v/>
      </c>
      <c r="B2516">
        <f t="shared" si="889"/>
        <v>62</v>
      </c>
      <c r="C2516">
        <f t="shared" ca="1" si="875"/>
        <v>59</v>
      </c>
      <c r="D2516" t="str">
        <f t="shared" si="890"/>
        <v>G62</v>
      </c>
      <c r="E2516" t="str">
        <f t="shared" ca="1" si="891"/>
        <v/>
      </c>
      <c r="F2516" t="str">
        <f t="shared" ca="1" si="892"/>
        <v xml:space="preserve">Enter a 'Residential Square Footage**' for  building 59 in cell G62.
</v>
      </c>
      <c r="G2516" s="9" t="str">
        <f t="shared" ca="1" si="873"/>
        <v xml:space="preserve">Enter a value for 'Number of Floors in the Tallest Building' in cell B60.
</v>
      </c>
      <c r="H2516" s="52" t="str">
        <f t="shared" ca="1" si="893"/>
        <v>Residential Square Footage**</v>
      </c>
      <c r="I2516" s="52">
        <v>7</v>
      </c>
    </row>
    <row r="2517" spans="1:10" ht="15" customHeight="1">
      <c r="A2517" t="str">
        <f t="shared" ca="1" si="888"/>
        <v/>
      </c>
      <c r="B2517">
        <f t="shared" si="889"/>
        <v>62</v>
      </c>
      <c r="C2517">
        <f t="shared" ca="1" si="875"/>
        <v>59</v>
      </c>
      <c r="D2517" t="str">
        <f t="shared" si="890"/>
        <v>H62</v>
      </c>
      <c r="E2517" t="str">
        <f t="shared" ca="1" si="891"/>
        <v/>
      </c>
      <c r="F2517" t="str">
        <f t="shared" ca="1" si="892"/>
        <v xml:space="preserve">Enter a 'Square Footage of Employee Units' for  building 59 in cell H62.
</v>
      </c>
      <c r="G2517" s="9" t="str">
        <f t="shared" ca="1" si="873"/>
        <v xml:space="preserve">Enter a value for 'Number of Floors in the Tallest Building' in cell B60.
</v>
      </c>
      <c r="H2517" s="52" t="str">
        <f t="shared" ca="1" si="893"/>
        <v>Square Footage of Employee Units</v>
      </c>
      <c r="I2517" s="52">
        <v>8</v>
      </c>
    </row>
    <row r="2518" spans="1:10" ht="15" customHeight="1">
      <c r="A2518" t="str">
        <f t="shared" ca="1" si="888"/>
        <v/>
      </c>
      <c r="B2518">
        <f t="shared" si="889"/>
        <v>62</v>
      </c>
      <c r="C2518">
        <f t="shared" ca="1" si="875"/>
        <v>59</v>
      </c>
      <c r="D2518" t="str">
        <f t="shared" si="890"/>
        <v>I62</v>
      </c>
      <c r="E2518" t="str">
        <f t="shared" ca="1" si="891"/>
        <v/>
      </c>
      <c r="F2518" t="str">
        <f t="shared" ca="1" si="892"/>
        <v xml:space="preserve">Enter a 'Square Footage of Low-Income Units' for  building 59 in cell I62.
</v>
      </c>
      <c r="G2518" s="9" t="str">
        <f t="shared" ca="1" si="873"/>
        <v xml:space="preserve">Enter a value for 'Number of Floors in the Tallest Building' in cell B60.
</v>
      </c>
      <c r="H2518" s="52" t="str">
        <f t="shared" ca="1" si="893"/>
        <v>Square Footage of Low-Income Units</v>
      </c>
      <c r="I2518" s="52">
        <v>9</v>
      </c>
    </row>
    <row r="2519" spans="1:10" ht="15" customHeight="1">
      <c r="A2519" t="str">
        <f t="shared" ca="1" si="888"/>
        <v/>
      </c>
      <c r="B2519">
        <f t="shared" si="889"/>
        <v>62</v>
      </c>
      <c r="C2519">
        <f t="shared" ca="1" si="875"/>
        <v>59</v>
      </c>
      <c r="D2519" t="str">
        <f t="shared" si="890"/>
        <v>J62</v>
      </c>
      <c r="E2519" t="str">
        <f t="shared" ca="1" si="891"/>
        <v/>
      </c>
      <c r="F2519" t="str">
        <f t="shared" ca="1" si="892"/>
        <v xml:space="preserve">Enter a 'Placed-In-Service Date' for  building 59 in cell J62.
</v>
      </c>
      <c r="G2519" s="9" t="str">
        <f t="shared" ca="1" si="873"/>
        <v xml:space="preserve">Enter a value for 'Number of Floors in the Tallest Building' in cell B60.
</v>
      </c>
      <c r="H2519" s="52" t="str">
        <f t="shared" ca="1" si="893"/>
        <v>Placed-In-Service Date</v>
      </c>
      <c r="I2519" s="52">
        <v>10</v>
      </c>
    </row>
    <row r="2520" spans="1:10" ht="15" customHeight="1">
      <c r="A2520" t="str">
        <f t="shared" ca="1" si="888"/>
        <v/>
      </c>
      <c r="B2520">
        <f t="shared" si="889"/>
        <v>62</v>
      </c>
      <c r="C2520">
        <f t="shared" ca="1" si="875"/>
        <v>59</v>
      </c>
      <c r="D2520" t="str">
        <f t="shared" si="890"/>
        <v>K62</v>
      </c>
      <c r="E2520" t="str">
        <f t="shared" ca="1" si="891"/>
        <v/>
      </c>
      <c r="F2520" t="str">
        <f t="shared" ca="1" si="892"/>
        <v xml:space="preserve">Enter a 'New Construction/ Rehab APR' for  building 59 in cell K62.
</v>
      </c>
      <c r="G2520" s="9" t="str">
        <f t="shared" ca="1" si="873"/>
        <v xml:space="preserve">Enter a value for 'Number of Floors in the Tallest Building' in cell B60.
</v>
      </c>
      <c r="H2520" s="52" t="str">
        <f t="shared" ca="1" si="893"/>
        <v>New Construction/ Rehab APR</v>
      </c>
      <c r="I2520" s="52">
        <v>11</v>
      </c>
    </row>
    <row r="2521" spans="1:10" ht="15" customHeight="1">
      <c r="A2521" t="str">
        <f t="shared" ca="1" si="888"/>
        <v/>
      </c>
      <c r="B2521">
        <f t="shared" si="889"/>
        <v>62</v>
      </c>
      <c r="C2521">
        <f t="shared" ca="1" si="875"/>
        <v>59</v>
      </c>
      <c r="D2521" t="str">
        <f t="shared" si="890"/>
        <v>L62</v>
      </c>
      <c r="E2521" t="str">
        <f t="shared" ca="1" si="891"/>
        <v/>
      </c>
      <c r="F2521" t="str">
        <f t="shared" ca="1" si="892"/>
        <v xml:space="preserve">Enter a 'New Construction Eligible Basis' for  building 59 in cell L62.
</v>
      </c>
      <c r="G2521" s="9" t="str">
        <f t="shared" ca="1" si="873"/>
        <v xml:space="preserve">Enter a value for 'Number of Floors in the Tallest Building' in cell B60.
</v>
      </c>
      <c r="H2521" s="52" t="str">
        <f t="shared" ca="1" si="893"/>
        <v>New Construction Eligible Basis</v>
      </c>
      <c r="I2521" s="52">
        <v>12</v>
      </c>
    </row>
    <row r="2522" spans="1:10" ht="15" customHeight="1">
      <c r="A2522" t="str">
        <f ca="1">IF(AND(OFFSET(A2522, -I2522 + 2, 4) &gt;  0, E2522="", Calculations!$B$7), F2522, "")</f>
        <v/>
      </c>
      <c r="B2522">
        <f t="shared" si="889"/>
        <v>62</v>
      </c>
      <c r="C2522">
        <f t="shared" ca="1" si="875"/>
        <v>59</v>
      </c>
      <c r="D2522" t="str">
        <f t="shared" si="890"/>
        <v>M62</v>
      </c>
      <c r="E2522" t="str">
        <f t="shared" ca="1" si="891"/>
        <v/>
      </c>
      <c r="F2522" t="str">
        <f t="shared" ca="1" si="892"/>
        <v xml:space="preserve">Enter a 'Eligible Basis for Rehab' for  building 59 in cell M62.
</v>
      </c>
      <c r="G2522" s="9" t="str">
        <f t="shared" ca="1" si="873"/>
        <v xml:space="preserve">Enter a value for 'Number of Floors in the Tallest Building' in cell B60.
</v>
      </c>
      <c r="H2522" s="52" t="str">
        <f t="shared" ca="1" si="893"/>
        <v>Eligible Basis for Rehab</v>
      </c>
      <c r="I2522" s="52">
        <v>13</v>
      </c>
    </row>
    <row r="2523" spans="1:10" ht="15" customHeight="1">
      <c r="A2523" t="str">
        <f ca="1">IF(AND(OFFSET(A2523, -I2523 + 2, 4) &gt;  0, E2523="", Calculations!$B$7), F2523, "")</f>
        <v/>
      </c>
      <c r="B2523">
        <f t="shared" si="889"/>
        <v>62</v>
      </c>
      <c r="C2523">
        <f t="shared" ca="1" si="875"/>
        <v>59</v>
      </c>
      <c r="D2523" t="str">
        <f t="shared" si="890"/>
        <v>N62</v>
      </c>
      <c r="E2523" t="str">
        <f t="shared" ca="1" si="891"/>
        <v/>
      </c>
      <c r="F2523" t="str">
        <f t="shared" ca="1" si="892"/>
        <v xml:space="preserve">Enter a 'Cost of Acquiring the Building***' for  building 59 in cell N62.
</v>
      </c>
      <c r="G2523" s="9" t="str">
        <f t="shared" ca="1" si="873"/>
        <v xml:space="preserve">Enter a value for 'Number of Floors in the Tallest Building' in cell B60.
</v>
      </c>
      <c r="H2523" s="52" t="str">
        <f t="shared" ca="1" si="893"/>
        <v>Cost of Acquiring the Building***</v>
      </c>
      <c r="I2523" s="52">
        <v>14</v>
      </c>
    </row>
    <row r="2524" spans="1:10" ht="15" customHeight="1">
      <c r="A2524" t="str">
        <f ca="1">IF(AND(OFFSET(A2524, -I2524 + 2, 4) &gt;  0, E2524="", Calculations!$B$7), F2524, "")</f>
        <v/>
      </c>
      <c r="B2524">
        <f t="shared" si="889"/>
        <v>62</v>
      </c>
      <c r="C2524">
        <f t="shared" ca="1" si="875"/>
        <v>59</v>
      </c>
      <c r="D2524" t="str">
        <f t="shared" si="890"/>
        <v>O62</v>
      </c>
      <c r="E2524" t="str">
        <f t="shared" ca="1" si="891"/>
        <v/>
      </c>
      <c r="F2524" t="str">
        <f t="shared" ca="1" si="892"/>
        <v xml:space="preserve">Enter a 'Higher of Land Purchase Price or Land Appraised Value****' for  building 59 in cell O62.
</v>
      </c>
      <c r="G2524" s="9" t="str">
        <f t="shared" ca="1" si="873"/>
        <v xml:space="preserve">Enter a value for 'Number of Floors in the Tallest Building' in cell B60.
</v>
      </c>
      <c r="H2524" s="52" t="str">
        <f t="shared" ca="1" si="893"/>
        <v>Higher of Land Purchase Price or Land Appraised Value****</v>
      </c>
      <c r="I2524" s="52">
        <v>15</v>
      </c>
    </row>
    <row r="2525" spans="1:10" ht="15" customHeight="1">
      <c r="A2525" t="str">
        <f ca="1">IF(AND(OFFSET(A2525, -I2525 + 2, 4) &gt;  0, E2525="", Calculations!$B$7), F2525, "")</f>
        <v/>
      </c>
      <c r="B2525">
        <f t="shared" si="889"/>
        <v>62</v>
      </c>
      <c r="C2525">
        <f t="shared" ca="1" si="875"/>
        <v>59</v>
      </c>
      <c r="D2525" t="str">
        <f t="shared" si="890"/>
        <v>P62</v>
      </c>
      <c r="E2525" t="str">
        <f t="shared" ca="1" si="891"/>
        <v/>
      </c>
      <c r="F2525" t="str">
        <f t="shared" ca="1" si="892"/>
        <v xml:space="preserve">Enter a 'Acquisition Placed-in-Service Date' for  building 59 in cell P62.
</v>
      </c>
      <c r="G2525" s="9" t="str">
        <f t="shared" ca="1" si="873"/>
        <v xml:space="preserve">Enter a value for 'Number of Floors in the Tallest Building' in cell B60.
</v>
      </c>
      <c r="H2525" s="52" t="str">
        <f t="shared" ca="1" si="893"/>
        <v>Acquisition Placed-in-Service Date</v>
      </c>
      <c r="I2525" s="52">
        <v>16</v>
      </c>
    </row>
    <row r="2526" spans="1:10" ht="15" customHeight="1">
      <c r="A2526" t="str">
        <f ca="1">IF(AND(OFFSET(A2526, -I2526 + 2, 4) &gt;  0, E2526="", Calculations!$B$7), F2526, "")</f>
        <v/>
      </c>
      <c r="B2526">
        <f t="shared" si="889"/>
        <v>62</v>
      </c>
      <c r="C2526">
        <f t="shared" ca="1" si="875"/>
        <v>59</v>
      </c>
      <c r="D2526" t="str">
        <f t="shared" si="890"/>
        <v>Q62</v>
      </c>
      <c r="E2526" t="str">
        <f t="shared" ca="1" si="891"/>
        <v/>
      </c>
      <c r="F2526" t="str">
        <f t="shared" ca="1" si="892"/>
        <v xml:space="preserve">Enter a 'Acquisition APR' for  building 59 in cell Q62.
</v>
      </c>
      <c r="G2526" s="9" t="str">
        <f t="shared" ca="1" si="873"/>
        <v xml:space="preserve">Enter a value for 'Number of Floors in the Tallest Building' in cell B60.
</v>
      </c>
      <c r="H2526" s="52" t="str">
        <f t="shared" ca="1" si="893"/>
        <v>Acquisition APR</v>
      </c>
      <c r="I2526" s="52">
        <v>17</v>
      </c>
    </row>
    <row r="2527" spans="1:10" ht="15" customHeight="1">
      <c r="A2527" t="str">
        <f ca="1">IF(AND(Calculations!$B$4,Calculations!$B$29&gt;=C2527, E2527 &lt;&gt; 13),F2527,"")</f>
        <v/>
      </c>
      <c r="B2527">
        <f>ROW('Final Building Profile'!C63)</f>
        <v>63</v>
      </c>
      <c r="C2527">
        <f t="shared" ca="1" si="875"/>
        <v>60</v>
      </c>
      <c r="D2527" t="str">
        <f>ADDRESS(B2527, 3,4  )</f>
        <v>C63</v>
      </c>
      <c r="E2527" s="52">
        <f ca="1">H2527+I2527</f>
        <v>0</v>
      </c>
      <c r="F2527" t="str">
        <f ca="1">CONCATENATE("Based upon the number of buildings specified, information for  building ", C2527, " required for a final application in row ", B2527, ".", CHAR(10))</f>
        <v xml:space="preserve">Based upon the number of buildings specified, information for  building 60 required for a final application in row 63.
</v>
      </c>
      <c r="G2527" s="9" t="str">
        <f t="shared" ca="1" si="873"/>
        <v xml:space="preserve">Enter a value for 'Number of Floors in the Tallest Building' in cell B60.
</v>
      </c>
      <c r="H2527" s="52">
        <f ca="1">SUMPRODUCT(--ISTEXT(INDIRECT(J2527)))</f>
        <v>0</v>
      </c>
      <c r="I2527" s="52">
        <f ca="1">SUMPRODUCT(--ISNUMBER(INDIRECT(J2527)))</f>
        <v>0</v>
      </c>
      <c r="J2527" s="52" t="str">
        <f>$F$1565&amp; ADDRESS(B2527,3,4) &amp; ":" &amp; ADDRESS(B2527,15,4)</f>
        <v>'Final Building Profile'!C63:O63</v>
      </c>
    </row>
    <row r="2528" spans="1:10" ht="15" customHeight="1">
      <c r="A2528" t="str">
        <f t="shared" ref="A2528:A2537" ca="1" si="894">IF(AND(OFFSET(A2528, -I2528 + 2, 4) &gt;  0, E2528=""), F2528, "")</f>
        <v/>
      </c>
      <c r="B2528">
        <f t="shared" ref="B2528:B2542" si="895">B2527</f>
        <v>63</v>
      </c>
      <c r="C2528">
        <f t="shared" ca="1" si="875"/>
        <v>60</v>
      </c>
      <c r="D2528" t="str">
        <f t="shared" ref="D2528:D2542" si="896">ADDRESS(B2528, I2528,4  )</f>
        <v>C63</v>
      </c>
      <c r="E2528" t="str">
        <f t="shared" ref="E2528:E2542" ca="1" si="897">IF(ISBLANK( INDIRECT($F$1565 &amp; D2528)),"", INDIRECT($F$1565 &amp; D2528))</f>
        <v/>
      </c>
      <c r="F2528" t="str">
        <f t="shared" ref="F2528:F2542" ca="1" si="898">CONCATENATE("Enter a '"&amp; H2528 &amp;"' for  building ", C2528, " in cell ", D2528, ".", CHAR(10))</f>
        <v xml:space="preserve">Enter a 'Building Street Address Only 
(DO NOT ENTER CITY, STATE, OR ZIP)' for  building 60 in cell C63.
</v>
      </c>
      <c r="G2528" s="9" t="str">
        <f t="shared" ref="G2528:G2591" ca="1" si="899">OFFSET(G2528, -1, 0) &amp; A2528</f>
        <v xml:space="preserve">Enter a value for 'Number of Floors in the Tallest Building' in cell B60.
</v>
      </c>
      <c r="H2528" s="52" t="str">
        <f t="shared" ref="H2528:H2542" ca="1" si="900">OFFSET(INDIRECT($F$1565 &amp; D2528), -B2528 + 3, 0)</f>
        <v>Building Street Address Only 
(DO NOT ENTER CITY, STATE, OR ZIP)</v>
      </c>
      <c r="I2528" s="52">
        <v>3</v>
      </c>
    </row>
    <row r="2529" spans="1:10" ht="15" customHeight="1">
      <c r="A2529" t="str">
        <f t="shared" ca="1" si="894"/>
        <v/>
      </c>
      <c r="B2529">
        <f t="shared" si="895"/>
        <v>63</v>
      </c>
      <c r="C2529">
        <f t="shared" ca="1" si="875"/>
        <v>60</v>
      </c>
      <c r="D2529" t="str">
        <f t="shared" si="896"/>
        <v>D63</v>
      </c>
      <c r="E2529" t="str">
        <f t="shared" ca="1" si="897"/>
        <v/>
      </c>
      <c r="F2529" t="str">
        <f t="shared" ca="1" si="898"/>
        <v xml:space="preserve">Enter a 'Total Units in Building*' for  building 60 in cell D63.
</v>
      </c>
      <c r="G2529" s="9" t="str">
        <f t="shared" ca="1" si="899"/>
        <v xml:space="preserve">Enter a value for 'Number of Floors in the Tallest Building' in cell B60.
</v>
      </c>
      <c r="H2529" s="52" t="str">
        <f t="shared" ca="1" si="900"/>
        <v>Total Units in Building*</v>
      </c>
      <c r="I2529" s="52">
        <v>4</v>
      </c>
    </row>
    <row r="2530" spans="1:10" ht="15" customHeight="1">
      <c r="A2530" t="str">
        <f t="shared" ca="1" si="894"/>
        <v/>
      </c>
      <c r="B2530">
        <f t="shared" si="895"/>
        <v>63</v>
      </c>
      <c r="C2530">
        <f t="shared" ca="1" si="875"/>
        <v>60</v>
      </c>
      <c r="D2530" t="str">
        <f t="shared" si="896"/>
        <v>E63</v>
      </c>
      <c r="E2530" t="str">
        <f t="shared" ca="1" si="897"/>
        <v/>
      </c>
      <c r="F2530" t="str">
        <f t="shared" ca="1" si="898"/>
        <v xml:space="preserve">Enter a 'Employee Units' for  building 60 in cell E63.
</v>
      </c>
      <c r="G2530" s="9" t="str">
        <f t="shared" ca="1" si="899"/>
        <v xml:space="preserve">Enter a value for 'Number of Floors in the Tallest Building' in cell B60.
</v>
      </c>
      <c r="H2530" s="52" t="str">
        <f t="shared" ca="1" si="900"/>
        <v>Employee Units</v>
      </c>
      <c r="I2530" s="52">
        <v>5</v>
      </c>
    </row>
    <row r="2531" spans="1:10" ht="15" customHeight="1">
      <c r="A2531" t="str">
        <f t="shared" ca="1" si="894"/>
        <v/>
      </c>
      <c r="B2531">
        <f t="shared" si="895"/>
        <v>63</v>
      </c>
      <c r="C2531">
        <f t="shared" ca="1" si="875"/>
        <v>60</v>
      </c>
      <c r="D2531" t="str">
        <f t="shared" si="896"/>
        <v>F63</v>
      </c>
      <c r="E2531" t="str">
        <f t="shared" ca="1" si="897"/>
        <v/>
      </c>
      <c r="F2531" t="str">
        <f t="shared" ca="1" si="898"/>
        <v xml:space="preserve">Enter a 'Low-Income Units' for  building 60 in cell F63.
</v>
      </c>
      <c r="G2531" s="9" t="str">
        <f t="shared" ca="1" si="899"/>
        <v xml:space="preserve">Enter a value for 'Number of Floors in the Tallest Building' in cell B60.
</v>
      </c>
      <c r="H2531" s="52" t="str">
        <f t="shared" ca="1" si="900"/>
        <v>Low-Income Units</v>
      </c>
      <c r="I2531" s="52">
        <v>6</v>
      </c>
    </row>
    <row r="2532" spans="1:10" ht="15" customHeight="1">
      <c r="A2532" t="str">
        <f t="shared" ca="1" si="894"/>
        <v/>
      </c>
      <c r="B2532">
        <f t="shared" si="895"/>
        <v>63</v>
      </c>
      <c r="C2532">
        <f t="shared" ca="1" si="875"/>
        <v>60</v>
      </c>
      <c r="D2532" t="str">
        <f t="shared" si="896"/>
        <v>G63</v>
      </c>
      <c r="E2532" t="str">
        <f t="shared" ca="1" si="897"/>
        <v/>
      </c>
      <c r="F2532" t="str">
        <f t="shared" ca="1" si="898"/>
        <v xml:space="preserve">Enter a 'Residential Square Footage**' for  building 60 in cell G63.
</v>
      </c>
      <c r="G2532" s="9" t="str">
        <f t="shared" ca="1" si="899"/>
        <v xml:space="preserve">Enter a value for 'Number of Floors in the Tallest Building' in cell B60.
</v>
      </c>
      <c r="H2532" s="52" t="str">
        <f t="shared" ca="1" si="900"/>
        <v>Residential Square Footage**</v>
      </c>
      <c r="I2532" s="52">
        <v>7</v>
      </c>
    </row>
    <row r="2533" spans="1:10" ht="15" customHeight="1">
      <c r="A2533" t="str">
        <f t="shared" ca="1" si="894"/>
        <v/>
      </c>
      <c r="B2533">
        <f t="shared" si="895"/>
        <v>63</v>
      </c>
      <c r="C2533">
        <f t="shared" ca="1" si="875"/>
        <v>60</v>
      </c>
      <c r="D2533" t="str">
        <f t="shared" si="896"/>
        <v>H63</v>
      </c>
      <c r="E2533" t="str">
        <f t="shared" ca="1" si="897"/>
        <v/>
      </c>
      <c r="F2533" t="str">
        <f t="shared" ca="1" si="898"/>
        <v xml:space="preserve">Enter a 'Square Footage of Employee Units' for  building 60 in cell H63.
</v>
      </c>
      <c r="G2533" s="9" t="str">
        <f t="shared" ca="1" si="899"/>
        <v xml:space="preserve">Enter a value for 'Number of Floors in the Tallest Building' in cell B60.
</v>
      </c>
      <c r="H2533" s="52" t="str">
        <f t="shared" ca="1" si="900"/>
        <v>Square Footage of Employee Units</v>
      </c>
      <c r="I2533" s="52">
        <v>8</v>
      </c>
    </row>
    <row r="2534" spans="1:10" ht="15" customHeight="1">
      <c r="A2534" t="str">
        <f t="shared" ca="1" si="894"/>
        <v/>
      </c>
      <c r="B2534">
        <f t="shared" si="895"/>
        <v>63</v>
      </c>
      <c r="C2534">
        <f t="shared" ca="1" si="875"/>
        <v>60</v>
      </c>
      <c r="D2534" t="str">
        <f t="shared" si="896"/>
        <v>I63</v>
      </c>
      <c r="E2534" t="str">
        <f t="shared" ca="1" si="897"/>
        <v/>
      </c>
      <c r="F2534" t="str">
        <f t="shared" ca="1" si="898"/>
        <v xml:space="preserve">Enter a 'Square Footage of Low-Income Units' for  building 60 in cell I63.
</v>
      </c>
      <c r="G2534" s="9" t="str">
        <f t="shared" ca="1" si="899"/>
        <v xml:space="preserve">Enter a value for 'Number of Floors in the Tallest Building' in cell B60.
</v>
      </c>
      <c r="H2534" s="52" t="str">
        <f t="shared" ca="1" si="900"/>
        <v>Square Footage of Low-Income Units</v>
      </c>
      <c r="I2534" s="52">
        <v>9</v>
      </c>
    </row>
    <row r="2535" spans="1:10" ht="15" customHeight="1">
      <c r="A2535" t="str">
        <f t="shared" ca="1" si="894"/>
        <v/>
      </c>
      <c r="B2535">
        <f t="shared" si="895"/>
        <v>63</v>
      </c>
      <c r="C2535">
        <f t="shared" ca="1" si="875"/>
        <v>60</v>
      </c>
      <c r="D2535" t="str">
        <f t="shared" si="896"/>
        <v>J63</v>
      </c>
      <c r="E2535" t="str">
        <f t="shared" ca="1" si="897"/>
        <v/>
      </c>
      <c r="F2535" t="str">
        <f t="shared" ca="1" si="898"/>
        <v xml:space="preserve">Enter a 'Placed-In-Service Date' for  building 60 in cell J63.
</v>
      </c>
      <c r="G2535" s="9" t="str">
        <f t="shared" ca="1" si="899"/>
        <v xml:space="preserve">Enter a value for 'Number of Floors in the Tallest Building' in cell B60.
</v>
      </c>
      <c r="H2535" s="52" t="str">
        <f t="shared" ca="1" si="900"/>
        <v>Placed-In-Service Date</v>
      </c>
      <c r="I2535" s="52">
        <v>10</v>
      </c>
    </row>
    <row r="2536" spans="1:10" ht="15" customHeight="1">
      <c r="A2536" t="str">
        <f t="shared" ca="1" si="894"/>
        <v/>
      </c>
      <c r="B2536">
        <f t="shared" si="895"/>
        <v>63</v>
      </c>
      <c r="C2536">
        <f t="shared" ca="1" si="875"/>
        <v>60</v>
      </c>
      <c r="D2536" t="str">
        <f t="shared" si="896"/>
        <v>K63</v>
      </c>
      <c r="E2536" t="str">
        <f t="shared" ca="1" si="897"/>
        <v/>
      </c>
      <c r="F2536" t="str">
        <f t="shared" ca="1" si="898"/>
        <v xml:space="preserve">Enter a 'New Construction/ Rehab APR' for  building 60 in cell K63.
</v>
      </c>
      <c r="G2536" s="9" t="str">
        <f t="shared" ca="1" si="899"/>
        <v xml:space="preserve">Enter a value for 'Number of Floors in the Tallest Building' in cell B60.
</v>
      </c>
      <c r="H2536" s="52" t="str">
        <f t="shared" ca="1" si="900"/>
        <v>New Construction/ Rehab APR</v>
      </c>
      <c r="I2536" s="52">
        <v>11</v>
      </c>
    </row>
    <row r="2537" spans="1:10" ht="15" customHeight="1">
      <c r="A2537" t="str">
        <f t="shared" ca="1" si="894"/>
        <v/>
      </c>
      <c r="B2537">
        <f t="shared" si="895"/>
        <v>63</v>
      </c>
      <c r="C2537">
        <f t="shared" ca="1" si="875"/>
        <v>60</v>
      </c>
      <c r="D2537" t="str">
        <f t="shared" si="896"/>
        <v>L63</v>
      </c>
      <c r="E2537" t="str">
        <f t="shared" ca="1" si="897"/>
        <v/>
      </c>
      <c r="F2537" t="str">
        <f t="shared" ca="1" si="898"/>
        <v xml:space="preserve">Enter a 'New Construction Eligible Basis' for  building 60 in cell L63.
</v>
      </c>
      <c r="G2537" s="9" t="str">
        <f t="shared" ca="1" si="899"/>
        <v xml:space="preserve">Enter a value for 'Number of Floors in the Tallest Building' in cell B60.
</v>
      </c>
      <c r="H2537" s="52" t="str">
        <f t="shared" ca="1" si="900"/>
        <v>New Construction Eligible Basis</v>
      </c>
      <c r="I2537" s="52">
        <v>12</v>
      </c>
    </row>
    <row r="2538" spans="1:10" ht="15" customHeight="1">
      <c r="A2538" t="str">
        <f ca="1">IF(AND(OFFSET(A2538, -I2538 + 2, 4) &gt;  0, E2538="", Calculations!$B$7), F2538, "")</f>
        <v/>
      </c>
      <c r="B2538">
        <f t="shared" si="895"/>
        <v>63</v>
      </c>
      <c r="C2538">
        <f t="shared" ca="1" si="875"/>
        <v>60</v>
      </c>
      <c r="D2538" t="str">
        <f t="shared" si="896"/>
        <v>M63</v>
      </c>
      <c r="E2538" t="str">
        <f t="shared" ca="1" si="897"/>
        <v/>
      </c>
      <c r="F2538" t="str">
        <f t="shared" ca="1" si="898"/>
        <v xml:space="preserve">Enter a 'Eligible Basis for Rehab' for  building 60 in cell M63.
</v>
      </c>
      <c r="G2538" s="9" t="str">
        <f t="shared" ca="1" si="899"/>
        <v xml:space="preserve">Enter a value for 'Number of Floors in the Tallest Building' in cell B60.
</v>
      </c>
      <c r="H2538" s="52" t="str">
        <f t="shared" ca="1" si="900"/>
        <v>Eligible Basis for Rehab</v>
      </c>
      <c r="I2538" s="52">
        <v>13</v>
      </c>
    </row>
    <row r="2539" spans="1:10" ht="15" customHeight="1">
      <c r="A2539" t="str">
        <f ca="1">IF(AND(OFFSET(A2539, -I2539 + 2, 4) &gt;  0, E2539="", Calculations!$B$7), F2539, "")</f>
        <v/>
      </c>
      <c r="B2539">
        <f t="shared" si="895"/>
        <v>63</v>
      </c>
      <c r="C2539">
        <f t="shared" ca="1" si="875"/>
        <v>60</v>
      </c>
      <c r="D2539" t="str">
        <f t="shared" si="896"/>
        <v>N63</v>
      </c>
      <c r="E2539" t="str">
        <f t="shared" ca="1" si="897"/>
        <v/>
      </c>
      <c r="F2539" t="str">
        <f t="shared" ca="1" si="898"/>
        <v xml:space="preserve">Enter a 'Cost of Acquiring the Building***' for  building 60 in cell N63.
</v>
      </c>
      <c r="G2539" s="9" t="str">
        <f t="shared" ca="1" si="899"/>
        <v xml:space="preserve">Enter a value for 'Number of Floors in the Tallest Building' in cell B60.
</v>
      </c>
      <c r="H2539" s="52" t="str">
        <f t="shared" ca="1" si="900"/>
        <v>Cost of Acquiring the Building***</v>
      </c>
      <c r="I2539" s="52">
        <v>14</v>
      </c>
    </row>
    <row r="2540" spans="1:10" ht="15" customHeight="1">
      <c r="A2540" t="str">
        <f ca="1">IF(AND(OFFSET(A2540, -I2540 + 2, 4) &gt;  0, E2540="", Calculations!$B$7), F2540, "")</f>
        <v/>
      </c>
      <c r="B2540">
        <f t="shared" si="895"/>
        <v>63</v>
      </c>
      <c r="C2540">
        <f t="shared" ca="1" si="875"/>
        <v>60</v>
      </c>
      <c r="D2540" t="str">
        <f t="shared" si="896"/>
        <v>O63</v>
      </c>
      <c r="E2540" t="str">
        <f t="shared" ca="1" si="897"/>
        <v/>
      </c>
      <c r="F2540" t="str">
        <f t="shared" ca="1" si="898"/>
        <v xml:space="preserve">Enter a 'Higher of Land Purchase Price or Land Appraised Value****' for  building 60 in cell O63.
</v>
      </c>
      <c r="G2540" s="9" t="str">
        <f t="shared" ca="1" si="899"/>
        <v xml:space="preserve">Enter a value for 'Number of Floors in the Tallest Building' in cell B60.
</v>
      </c>
      <c r="H2540" s="52" t="str">
        <f t="shared" ca="1" si="900"/>
        <v>Higher of Land Purchase Price or Land Appraised Value****</v>
      </c>
      <c r="I2540" s="52">
        <v>15</v>
      </c>
    </row>
    <row r="2541" spans="1:10" ht="15" customHeight="1">
      <c r="A2541" t="str">
        <f ca="1">IF(AND(OFFSET(A2541, -I2541 + 2, 4) &gt;  0, E2541="", Calculations!$B$7), F2541, "")</f>
        <v/>
      </c>
      <c r="B2541">
        <f t="shared" si="895"/>
        <v>63</v>
      </c>
      <c r="C2541">
        <f t="shared" ca="1" si="875"/>
        <v>60</v>
      </c>
      <c r="D2541" t="str">
        <f t="shared" si="896"/>
        <v>P63</v>
      </c>
      <c r="E2541" t="str">
        <f t="shared" ca="1" si="897"/>
        <v/>
      </c>
      <c r="F2541" t="str">
        <f t="shared" ca="1" si="898"/>
        <v xml:space="preserve">Enter a 'Acquisition Placed-in-Service Date' for  building 60 in cell P63.
</v>
      </c>
      <c r="G2541" s="9" t="str">
        <f t="shared" ca="1" si="899"/>
        <v xml:space="preserve">Enter a value for 'Number of Floors in the Tallest Building' in cell B60.
</v>
      </c>
      <c r="H2541" s="52" t="str">
        <f t="shared" ca="1" si="900"/>
        <v>Acquisition Placed-in-Service Date</v>
      </c>
      <c r="I2541" s="52">
        <v>16</v>
      </c>
    </row>
    <row r="2542" spans="1:10" ht="15" customHeight="1">
      <c r="A2542" t="str">
        <f ca="1">IF(AND(OFFSET(A2542, -I2542 + 2, 4) &gt;  0, E2542="", Calculations!$B$7), F2542, "")</f>
        <v/>
      </c>
      <c r="B2542">
        <f t="shared" si="895"/>
        <v>63</v>
      </c>
      <c r="C2542">
        <f t="shared" ca="1" si="875"/>
        <v>60</v>
      </c>
      <c r="D2542" t="str">
        <f t="shared" si="896"/>
        <v>Q63</v>
      </c>
      <c r="E2542" t="str">
        <f t="shared" ca="1" si="897"/>
        <v/>
      </c>
      <c r="F2542" t="str">
        <f t="shared" ca="1" si="898"/>
        <v xml:space="preserve">Enter a 'Acquisition APR' for  building 60 in cell Q63.
</v>
      </c>
      <c r="G2542" s="9" t="str">
        <f t="shared" ca="1" si="899"/>
        <v xml:space="preserve">Enter a value for 'Number of Floors in the Tallest Building' in cell B60.
</v>
      </c>
      <c r="H2542" s="52" t="str">
        <f t="shared" ca="1" si="900"/>
        <v>Acquisition APR</v>
      </c>
      <c r="I2542" s="52">
        <v>17</v>
      </c>
    </row>
    <row r="2543" spans="1:10" ht="15" customHeight="1">
      <c r="A2543" t="str">
        <f ca="1">IF(AND(Calculations!$B$4,Calculations!$B$29&gt;=C2543, E2543 &lt;&gt; 13),F2543,"")</f>
        <v/>
      </c>
      <c r="B2543">
        <f>ROW('Final Building Profile'!C64)</f>
        <v>64</v>
      </c>
      <c r="C2543">
        <f t="shared" ref="C2543:C2606" ca="1" si="901">INDIRECT($F$1565 &amp; ADDRESS(B2543, 1,4  ))</f>
        <v>61</v>
      </c>
      <c r="D2543" t="str">
        <f>ADDRESS(B2543, 3,4  )</f>
        <v>C64</v>
      </c>
      <c r="E2543" s="52">
        <f ca="1">H2543+I2543</f>
        <v>0</v>
      </c>
      <c r="F2543" t="str">
        <f ca="1">CONCATENATE("Based upon the number of buildings specified, information for  building ", C2543, " required for a final application in row ", B2543, ".", CHAR(10))</f>
        <v xml:space="preserve">Based upon the number of buildings specified, information for  building 61 required for a final application in row 64.
</v>
      </c>
      <c r="G2543" s="9" t="str">
        <f t="shared" ca="1" si="899"/>
        <v xml:space="preserve">Enter a value for 'Number of Floors in the Tallest Building' in cell B60.
</v>
      </c>
      <c r="H2543" s="52">
        <f ca="1">SUMPRODUCT(--ISTEXT(INDIRECT(J2543)))</f>
        <v>0</v>
      </c>
      <c r="I2543" s="52">
        <f ca="1">SUMPRODUCT(--ISNUMBER(INDIRECT(J2543)))</f>
        <v>0</v>
      </c>
      <c r="J2543" s="52" t="str">
        <f>$F$1565&amp; ADDRESS(B2543,3,4) &amp; ":" &amp; ADDRESS(B2543,15,4)</f>
        <v>'Final Building Profile'!C64:O64</v>
      </c>
    </row>
    <row r="2544" spans="1:10" ht="15" customHeight="1">
      <c r="A2544" t="str">
        <f t="shared" ref="A2544:A2553" ca="1" si="902">IF(AND(OFFSET(A2544, -I2544 + 2, 4) &gt;  0, E2544=""), F2544, "")</f>
        <v/>
      </c>
      <c r="B2544">
        <f t="shared" ref="B2544:B2558" si="903">B2543</f>
        <v>64</v>
      </c>
      <c r="C2544">
        <f t="shared" ca="1" si="901"/>
        <v>61</v>
      </c>
      <c r="D2544" t="str">
        <f t="shared" ref="D2544:D2558" si="904">ADDRESS(B2544, I2544,4  )</f>
        <v>C64</v>
      </c>
      <c r="E2544" t="str">
        <f t="shared" ref="E2544:E2558" ca="1" si="905">IF(ISBLANK( INDIRECT($F$1565 &amp; D2544)),"", INDIRECT($F$1565 &amp; D2544))</f>
        <v/>
      </c>
      <c r="F2544" t="str">
        <f t="shared" ref="F2544:F2558" ca="1" si="906">CONCATENATE("Enter a '"&amp; H2544 &amp;"' for  building ", C2544, " in cell ", D2544, ".", CHAR(10))</f>
        <v xml:space="preserve">Enter a 'Building Street Address Only 
(DO NOT ENTER CITY, STATE, OR ZIP)' for  building 61 in cell C64.
</v>
      </c>
      <c r="G2544" s="9" t="str">
        <f t="shared" ca="1" si="899"/>
        <v xml:space="preserve">Enter a value for 'Number of Floors in the Tallest Building' in cell B60.
</v>
      </c>
      <c r="H2544" s="52" t="str">
        <f t="shared" ref="H2544:H2558" ca="1" si="907">OFFSET(INDIRECT($F$1565 &amp; D2544), -B2544 + 3, 0)</f>
        <v>Building Street Address Only 
(DO NOT ENTER CITY, STATE, OR ZIP)</v>
      </c>
      <c r="I2544" s="52">
        <v>3</v>
      </c>
    </row>
    <row r="2545" spans="1:10" ht="15" customHeight="1">
      <c r="A2545" t="str">
        <f t="shared" ca="1" si="902"/>
        <v/>
      </c>
      <c r="B2545">
        <f t="shared" si="903"/>
        <v>64</v>
      </c>
      <c r="C2545">
        <f t="shared" ca="1" si="901"/>
        <v>61</v>
      </c>
      <c r="D2545" t="str">
        <f t="shared" si="904"/>
        <v>D64</v>
      </c>
      <c r="E2545" t="str">
        <f t="shared" ca="1" si="905"/>
        <v/>
      </c>
      <c r="F2545" t="str">
        <f t="shared" ca="1" si="906"/>
        <v xml:space="preserve">Enter a 'Total Units in Building*' for  building 61 in cell D64.
</v>
      </c>
      <c r="G2545" s="9" t="str">
        <f t="shared" ca="1" si="899"/>
        <v xml:space="preserve">Enter a value for 'Number of Floors in the Tallest Building' in cell B60.
</v>
      </c>
      <c r="H2545" s="52" t="str">
        <f t="shared" ca="1" si="907"/>
        <v>Total Units in Building*</v>
      </c>
      <c r="I2545" s="52">
        <v>4</v>
      </c>
    </row>
    <row r="2546" spans="1:10" ht="15" customHeight="1">
      <c r="A2546" t="str">
        <f t="shared" ca="1" si="902"/>
        <v/>
      </c>
      <c r="B2546">
        <f t="shared" si="903"/>
        <v>64</v>
      </c>
      <c r="C2546">
        <f t="shared" ca="1" si="901"/>
        <v>61</v>
      </c>
      <c r="D2546" t="str">
        <f t="shared" si="904"/>
        <v>E64</v>
      </c>
      <c r="E2546" t="str">
        <f t="shared" ca="1" si="905"/>
        <v/>
      </c>
      <c r="F2546" t="str">
        <f t="shared" ca="1" si="906"/>
        <v xml:space="preserve">Enter a 'Employee Units' for  building 61 in cell E64.
</v>
      </c>
      <c r="G2546" s="9" t="str">
        <f t="shared" ca="1" si="899"/>
        <v xml:space="preserve">Enter a value for 'Number of Floors in the Tallest Building' in cell B60.
</v>
      </c>
      <c r="H2546" s="52" t="str">
        <f t="shared" ca="1" si="907"/>
        <v>Employee Units</v>
      </c>
      <c r="I2546" s="52">
        <v>5</v>
      </c>
    </row>
    <row r="2547" spans="1:10" ht="15" customHeight="1">
      <c r="A2547" t="str">
        <f t="shared" ca="1" si="902"/>
        <v/>
      </c>
      <c r="B2547">
        <f t="shared" si="903"/>
        <v>64</v>
      </c>
      <c r="C2547">
        <f t="shared" ca="1" si="901"/>
        <v>61</v>
      </c>
      <c r="D2547" t="str">
        <f t="shared" si="904"/>
        <v>F64</v>
      </c>
      <c r="E2547" t="str">
        <f t="shared" ca="1" si="905"/>
        <v/>
      </c>
      <c r="F2547" t="str">
        <f t="shared" ca="1" si="906"/>
        <v xml:space="preserve">Enter a 'Low-Income Units' for  building 61 in cell F64.
</v>
      </c>
      <c r="G2547" s="9" t="str">
        <f t="shared" ca="1" si="899"/>
        <v xml:space="preserve">Enter a value for 'Number of Floors in the Tallest Building' in cell B60.
</v>
      </c>
      <c r="H2547" s="52" t="str">
        <f t="shared" ca="1" si="907"/>
        <v>Low-Income Units</v>
      </c>
      <c r="I2547" s="52">
        <v>6</v>
      </c>
    </row>
    <row r="2548" spans="1:10" ht="15" customHeight="1">
      <c r="A2548" t="str">
        <f t="shared" ca="1" si="902"/>
        <v/>
      </c>
      <c r="B2548">
        <f t="shared" si="903"/>
        <v>64</v>
      </c>
      <c r="C2548">
        <f t="shared" ca="1" si="901"/>
        <v>61</v>
      </c>
      <c r="D2548" t="str">
        <f t="shared" si="904"/>
        <v>G64</v>
      </c>
      <c r="E2548" t="str">
        <f t="shared" ca="1" si="905"/>
        <v/>
      </c>
      <c r="F2548" t="str">
        <f t="shared" ca="1" si="906"/>
        <v xml:space="preserve">Enter a 'Residential Square Footage**' for  building 61 in cell G64.
</v>
      </c>
      <c r="G2548" s="9" t="str">
        <f t="shared" ca="1" si="899"/>
        <v xml:space="preserve">Enter a value for 'Number of Floors in the Tallest Building' in cell B60.
</v>
      </c>
      <c r="H2548" s="52" t="str">
        <f t="shared" ca="1" si="907"/>
        <v>Residential Square Footage**</v>
      </c>
      <c r="I2548" s="52">
        <v>7</v>
      </c>
    </row>
    <row r="2549" spans="1:10" ht="15" customHeight="1">
      <c r="A2549" t="str">
        <f t="shared" ca="1" si="902"/>
        <v/>
      </c>
      <c r="B2549">
        <f t="shared" si="903"/>
        <v>64</v>
      </c>
      <c r="C2549">
        <f t="shared" ca="1" si="901"/>
        <v>61</v>
      </c>
      <c r="D2549" t="str">
        <f t="shared" si="904"/>
        <v>H64</v>
      </c>
      <c r="E2549" t="str">
        <f t="shared" ca="1" si="905"/>
        <v/>
      </c>
      <c r="F2549" t="str">
        <f t="shared" ca="1" si="906"/>
        <v xml:space="preserve">Enter a 'Square Footage of Employee Units' for  building 61 in cell H64.
</v>
      </c>
      <c r="G2549" s="9" t="str">
        <f t="shared" ca="1" si="899"/>
        <v xml:space="preserve">Enter a value for 'Number of Floors in the Tallest Building' in cell B60.
</v>
      </c>
      <c r="H2549" s="52" t="str">
        <f t="shared" ca="1" si="907"/>
        <v>Square Footage of Employee Units</v>
      </c>
      <c r="I2549" s="52">
        <v>8</v>
      </c>
    </row>
    <row r="2550" spans="1:10" ht="15" customHeight="1">
      <c r="A2550" t="str">
        <f t="shared" ca="1" si="902"/>
        <v/>
      </c>
      <c r="B2550">
        <f t="shared" si="903"/>
        <v>64</v>
      </c>
      <c r="C2550">
        <f t="shared" ca="1" si="901"/>
        <v>61</v>
      </c>
      <c r="D2550" t="str">
        <f t="shared" si="904"/>
        <v>I64</v>
      </c>
      <c r="E2550" t="str">
        <f t="shared" ca="1" si="905"/>
        <v/>
      </c>
      <c r="F2550" t="str">
        <f t="shared" ca="1" si="906"/>
        <v xml:space="preserve">Enter a 'Square Footage of Low-Income Units' for  building 61 in cell I64.
</v>
      </c>
      <c r="G2550" s="9" t="str">
        <f t="shared" ca="1" si="899"/>
        <v xml:space="preserve">Enter a value for 'Number of Floors in the Tallest Building' in cell B60.
</v>
      </c>
      <c r="H2550" s="52" t="str">
        <f t="shared" ca="1" si="907"/>
        <v>Square Footage of Low-Income Units</v>
      </c>
      <c r="I2550" s="52">
        <v>9</v>
      </c>
    </row>
    <row r="2551" spans="1:10" ht="15" customHeight="1">
      <c r="A2551" t="str">
        <f t="shared" ca="1" si="902"/>
        <v/>
      </c>
      <c r="B2551">
        <f t="shared" si="903"/>
        <v>64</v>
      </c>
      <c r="C2551">
        <f t="shared" ca="1" si="901"/>
        <v>61</v>
      </c>
      <c r="D2551" t="str">
        <f t="shared" si="904"/>
        <v>J64</v>
      </c>
      <c r="E2551" t="str">
        <f t="shared" ca="1" si="905"/>
        <v/>
      </c>
      <c r="F2551" t="str">
        <f t="shared" ca="1" si="906"/>
        <v xml:space="preserve">Enter a 'Placed-In-Service Date' for  building 61 in cell J64.
</v>
      </c>
      <c r="G2551" s="9" t="str">
        <f t="shared" ca="1" si="899"/>
        <v xml:space="preserve">Enter a value for 'Number of Floors in the Tallest Building' in cell B60.
</v>
      </c>
      <c r="H2551" s="52" t="str">
        <f t="shared" ca="1" si="907"/>
        <v>Placed-In-Service Date</v>
      </c>
      <c r="I2551" s="52">
        <v>10</v>
      </c>
    </row>
    <row r="2552" spans="1:10" ht="15" customHeight="1">
      <c r="A2552" t="str">
        <f t="shared" ca="1" si="902"/>
        <v/>
      </c>
      <c r="B2552">
        <f t="shared" si="903"/>
        <v>64</v>
      </c>
      <c r="C2552">
        <f t="shared" ca="1" si="901"/>
        <v>61</v>
      </c>
      <c r="D2552" t="str">
        <f t="shared" si="904"/>
        <v>K64</v>
      </c>
      <c r="E2552" t="str">
        <f t="shared" ca="1" si="905"/>
        <v/>
      </c>
      <c r="F2552" t="str">
        <f t="shared" ca="1" si="906"/>
        <v xml:space="preserve">Enter a 'New Construction/ Rehab APR' for  building 61 in cell K64.
</v>
      </c>
      <c r="G2552" s="9" t="str">
        <f t="shared" ca="1" si="899"/>
        <v xml:space="preserve">Enter a value for 'Number of Floors in the Tallest Building' in cell B60.
</v>
      </c>
      <c r="H2552" s="52" t="str">
        <f t="shared" ca="1" si="907"/>
        <v>New Construction/ Rehab APR</v>
      </c>
      <c r="I2552" s="52">
        <v>11</v>
      </c>
    </row>
    <row r="2553" spans="1:10" ht="15" customHeight="1">
      <c r="A2553" t="str">
        <f t="shared" ca="1" si="902"/>
        <v/>
      </c>
      <c r="B2553">
        <f t="shared" si="903"/>
        <v>64</v>
      </c>
      <c r="C2553">
        <f t="shared" ca="1" si="901"/>
        <v>61</v>
      </c>
      <c r="D2553" t="str">
        <f t="shared" si="904"/>
        <v>L64</v>
      </c>
      <c r="E2553" t="str">
        <f t="shared" ca="1" si="905"/>
        <v/>
      </c>
      <c r="F2553" t="str">
        <f t="shared" ca="1" si="906"/>
        <v xml:space="preserve">Enter a 'New Construction Eligible Basis' for  building 61 in cell L64.
</v>
      </c>
      <c r="G2553" s="9" t="str">
        <f t="shared" ca="1" si="899"/>
        <v xml:space="preserve">Enter a value for 'Number of Floors in the Tallest Building' in cell B60.
</v>
      </c>
      <c r="H2553" s="52" t="str">
        <f t="shared" ca="1" si="907"/>
        <v>New Construction Eligible Basis</v>
      </c>
      <c r="I2553" s="52">
        <v>12</v>
      </c>
    </row>
    <row r="2554" spans="1:10" ht="15" customHeight="1">
      <c r="A2554" t="str">
        <f ca="1">IF(AND(OFFSET(A2554, -I2554 + 2, 4) &gt;  0, E2554="", Calculations!$B$7), F2554, "")</f>
        <v/>
      </c>
      <c r="B2554">
        <f t="shared" si="903"/>
        <v>64</v>
      </c>
      <c r="C2554">
        <f t="shared" ca="1" si="901"/>
        <v>61</v>
      </c>
      <c r="D2554" t="str">
        <f t="shared" si="904"/>
        <v>M64</v>
      </c>
      <c r="E2554" t="str">
        <f t="shared" ca="1" si="905"/>
        <v/>
      </c>
      <c r="F2554" t="str">
        <f t="shared" ca="1" si="906"/>
        <v xml:space="preserve">Enter a 'Eligible Basis for Rehab' for  building 61 in cell M64.
</v>
      </c>
      <c r="G2554" s="9" t="str">
        <f t="shared" ca="1" si="899"/>
        <v xml:space="preserve">Enter a value for 'Number of Floors in the Tallest Building' in cell B60.
</v>
      </c>
      <c r="H2554" s="52" t="str">
        <f t="shared" ca="1" si="907"/>
        <v>Eligible Basis for Rehab</v>
      </c>
      <c r="I2554" s="52">
        <v>13</v>
      </c>
    </row>
    <row r="2555" spans="1:10" ht="15" customHeight="1">
      <c r="A2555" t="str">
        <f ca="1">IF(AND(OFFSET(A2555, -I2555 + 2, 4) &gt;  0, E2555="", Calculations!$B$7), F2555, "")</f>
        <v/>
      </c>
      <c r="B2555">
        <f t="shared" si="903"/>
        <v>64</v>
      </c>
      <c r="C2555">
        <f t="shared" ca="1" si="901"/>
        <v>61</v>
      </c>
      <c r="D2555" t="str">
        <f t="shared" si="904"/>
        <v>N64</v>
      </c>
      <c r="E2555" t="str">
        <f t="shared" ca="1" si="905"/>
        <v/>
      </c>
      <c r="F2555" t="str">
        <f t="shared" ca="1" si="906"/>
        <v xml:space="preserve">Enter a 'Cost of Acquiring the Building***' for  building 61 in cell N64.
</v>
      </c>
      <c r="G2555" s="9" t="str">
        <f t="shared" ca="1" si="899"/>
        <v xml:space="preserve">Enter a value for 'Number of Floors in the Tallest Building' in cell B60.
</v>
      </c>
      <c r="H2555" s="52" t="str">
        <f t="shared" ca="1" si="907"/>
        <v>Cost of Acquiring the Building***</v>
      </c>
      <c r="I2555" s="52">
        <v>14</v>
      </c>
    </row>
    <row r="2556" spans="1:10" ht="15" customHeight="1">
      <c r="A2556" t="str">
        <f ca="1">IF(AND(OFFSET(A2556, -I2556 + 2, 4) &gt;  0, E2556="", Calculations!$B$7), F2556, "")</f>
        <v/>
      </c>
      <c r="B2556">
        <f t="shared" si="903"/>
        <v>64</v>
      </c>
      <c r="C2556">
        <f t="shared" ca="1" si="901"/>
        <v>61</v>
      </c>
      <c r="D2556" t="str">
        <f t="shared" si="904"/>
        <v>O64</v>
      </c>
      <c r="E2556" t="str">
        <f t="shared" ca="1" si="905"/>
        <v/>
      </c>
      <c r="F2556" t="str">
        <f t="shared" ca="1" si="906"/>
        <v xml:space="preserve">Enter a 'Higher of Land Purchase Price or Land Appraised Value****' for  building 61 in cell O64.
</v>
      </c>
      <c r="G2556" s="9" t="str">
        <f t="shared" ca="1" si="899"/>
        <v xml:space="preserve">Enter a value for 'Number of Floors in the Tallest Building' in cell B60.
</v>
      </c>
      <c r="H2556" s="52" t="str">
        <f t="shared" ca="1" si="907"/>
        <v>Higher of Land Purchase Price or Land Appraised Value****</v>
      </c>
      <c r="I2556" s="52">
        <v>15</v>
      </c>
    </row>
    <row r="2557" spans="1:10" ht="15" customHeight="1">
      <c r="A2557" t="str">
        <f ca="1">IF(AND(OFFSET(A2557, -I2557 + 2, 4) &gt;  0, E2557="", Calculations!$B$7), F2557, "")</f>
        <v/>
      </c>
      <c r="B2557">
        <f t="shared" si="903"/>
        <v>64</v>
      </c>
      <c r="C2557">
        <f t="shared" ca="1" si="901"/>
        <v>61</v>
      </c>
      <c r="D2557" t="str">
        <f t="shared" si="904"/>
        <v>P64</v>
      </c>
      <c r="E2557" t="str">
        <f t="shared" ca="1" si="905"/>
        <v/>
      </c>
      <c r="F2557" t="str">
        <f t="shared" ca="1" si="906"/>
        <v xml:space="preserve">Enter a 'Acquisition Placed-in-Service Date' for  building 61 in cell P64.
</v>
      </c>
      <c r="G2557" s="9" t="str">
        <f t="shared" ca="1" si="899"/>
        <v xml:space="preserve">Enter a value for 'Number of Floors in the Tallest Building' in cell B60.
</v>
      </c>
      <c r="H2557" s="52" t="str">
        <f t="shared" ca="1" si="907"/>
        <v>Acquisition Placed-in-Service Date</v>
      </c>
      <c r="I2557" s="52">
        <v>16</v>
      </c>
    </row>
    <row r="2558" spans="1:10" ht="15" customHeight="1">
      <c r="A2558" t="str">
        <f ca="1">IF(AND(OFFSET(A2558, -I2558 + 2, 4) &gt;  0, E2558="", Calculations!$B$7), F2558, "")</f>
        <v/>
      </c>
      <c r="B2558">
        <f t="shared" si="903"/>
        <v>64</v>
      </c>
      <c r="C2558">
        <f t="shared" ca="1" si="901"/>
        <v>61</v>
      </c>
      <c r="D2558" t="str">
        <f t="shared" si="904"/>
        <v>Q64</v>
      </c>
      <c r="E2558" t="str">
        <f t="shared" ca="1" si="905"/>
        <v/>
      </c>
      <c r="F2558" t="str">
        <f t="shared" ca="1" si="906"/>
        <v xml:space="preserve">Enter a 'Acquisition APR' for  building 61 in cell Q64.
</v>
      </c>
      <c r="G2558" s="9" t="str">
        <f t="shared" ca="1" si="899"/>
        <v xml:space="preserve">Enter a value for 'Number of Floors in the Tallest Building' in cell B60.
</v>
      </c>
      <c r="H2558" s="52" t="str">
        <f t="shared" ca="1" si="907"/>
        <v>Acquisition APR</v>
      </c>
      <c r="I2558" s="52">
        <v>17</v>
      </c>
    </row>
    <row r="2559" spans="1:10" ht="15" customHeight="1">
      <c r="A2559" t="str">
        <f ca="1">IF(AND(Calculations!$B$4,Calculations!$B$29&gt;=C2559, E2559 &lt;&gt; 13),F2559,"")</f>
        <v/>
      </c>
      <c r="B2559">
        <f>ROW('Final Building Profile'!C65)</f>
        <v>65</v>
      </c>
      <c r="C2559">
        <f t="shared" ca="1" si="901"/>
        <v>62</v>
      </c>
      <c r="D2559" t="str">
        <f>ADDRESS(B2559, 3,4  )</f>
        <v>C65</v>
      </c>
      <c r="E2559" s="52">
        <f ca="1">H2559+I2559</f>
        <v>0</v>
      </c>
      <c r="F2559" t="str">
        <f ca="1">CONCATENATE("Based upon the number of buildings specified, information for  building ", C2559, " required for a final application in row ", B2559, ".", CHAR(10))</f>
        <v xml:space="preserve">Based upon the number of buildings specified, information for  building 62 required for a final application in row 65.
</v>
      </c>
      <c r="G2559" s="9" t="str">
        <f t="shared" ca="1" si="899"/>
        <v xml:space="preserve">Enter a value for 'Number of Floors in the Tallest Building' in cell B60.
</v>
      </c>
      <c r="H2559" s="52">
        <f ca="1">SUMPRODUCT(--ISTEXT(INDIRECT(J2559)))</f>
        <v>0</v>
      </c>
      <c r="I2559" s="52">
        <f ca="1">SUMPRODUCT(--ISNUMBER(INDIRECT(J2559)))</f>
        <v>0</v>
      </c>
      <c r="J2559" s="52" t="str">
        <f>$F$1565&amp; ADDRESS(B2559,3,4) &amp; ":" &amp; ADDRESS(B2559,15,4)</f>
        <v>'Final Building Profile'!C65:O65</v>
      </c>
    </row>
    <row r="2560" spans="1:10" ht="15" customHeight="1">
      <c r="A2560" t="str">
        <f t="shared" ref="A2560:A2569" ca="1" si="908">IF(AND(OFFSET(A2560, -I2560 + 2, 4) &gt;  0, E2560=""), F2560, "")</f>
        <v/>
      </c>
      <c r="B2560">
        <f t="shared" ref="B2560:B2574" si="909">B2559</f>
        <v>65</v>
      </c>
      <c r="C2560">
        <f t="shared" ca="1" si="901"/>
        <v>62</v>
      </c>
      <c r="D2560" t="str">
        <f t="shared" ref="D2560:D2574" si="910">ADDRESS(B2560, I2560,4  )</f>
        <v>C65</v>
      </c>
      <c r="E2560" t="str">
        <f t="shared" ref="E2560:E2574" ca="1" si="911">IF(ISBLANK( INDIRECT($F$1565 &amp; D2560)),"", INDIRECT($F$1565 &amp; D2560))</f>
        <v/>
      </c>
      <c r="F2560" t="str">
        <f t="shared" ref="F2560:F2574" ca="1" si="912">CONCATENATE("Enter a '"&amp; H2560 &amp;"' for  building ", C2560, " in cell ", D2560, ".", CHAR(10))</f>
        <v xml:space="preserve">Enter a 'Building Street Address Only 
(DO NOT ENTER CITY, STATE, OR ZIP)' for  building 62 in cell C65.
</v>
      </c>
      <c r="G2560" s="9" t="str">
        <f t="shared" ca="1" si="899"/>
        <v xml:space="preserve">Enter a value for 'Number of Floors in the Tallest Building' in cell B60.
</v>
      </c>
      <c r="H2560" s="52" t="str">
        <f t="shared" ref="H2560:H2574" ca="1" si="913">OFFSET(INDIRECT($F$1565 &amp; D2560), -B2560 + 3, 0)</f>
        <v>Building Street Address Only 
(DO NOT ENTER CITY, STATE, OR ZIP)</v>
      </c>
      <c r="I2560" s="52">
        <v>3</v>
      </c>
    </row>
    <row r="2561" spans="1:10" ht="15" customHeight="1">
      <c r="A2561" t="str">
        <f t="shared" ca="1" si="908"/>
        <v/>
      </c>
      <c r="B2561">
        <f t="shared" si="909"/>
        <v>65</v>
      </c>
      <c r="C2561">
        <f t="shared" ca="1" si="901"/>
        <v>62</v>
      </c>
      <c r="D2561" t="str">
        <f t="shared" si="910"/>
        <v>D65</v>
      </c>
      <c r="E2561" t="str">
        <f t="shared" ca="1" si="911"/>
        <v/>
      </c>
      <c r="F2561" t="str">
        <f t="shared" ca="1" si="912"/>
        <v xml:space="preserve">Enter a 'Total Units in Building*' for  building 62 in cell D65.
</v>
      </c>
      <c r="G2561" s="9" t="str">
        <f t="shared" ca="1" si="899"/>
        <v xml:space="preserve">Enter a value for 'Number of Floors in the Tallest Building' in cell B60.
</v>
      </c>
      <c r="H2561" s="52" t="str">
        <f t="shared" ca="1" si="913"/>
        <v>Total Units in Building*</v>
      </c>
      <c r="I2561" s="52">
        <v>4</v>
      </c>
    </row>
    <row r="2562" spans="1:10" ht="15" customHeight="1">
      <c r="A2562" t="str">
        <f t="shared" ca="1" si="908"/>
        <v/>
      </c>
      <c r="B2562">
        <f t="shared" si="909"/>
        <v>65</v>
      </c>
      <c r="C2562">
        <f t="shared" ca="1" si="901"/>
        <v>62</v>
      </c>
      <c r="D2562" t="str">
        <f t="shared" si="910"/>
        <v>E65</v>
      </c>
      <c r="E2562" t="str">
        <f t="shared" ca="1" si="911"/>
        <v/>
      </c>
      <c r="F2562" t="str">
        <f t="shared" ca="1" si="912"/>
        <v xml:space="preserve">Enter a 'Employee Units' for  building 62 in cell E65.
</v>
      </c>
      <c r="G2562" s="9" t="str">
        <f t="shared" ca="1" si="899"/>
        <v xml:space="preserve">Enter a value for 'Number of Floors in the Tallest Building' in cell B60.
</v>
      </c>
      <c r="H2562" s="52" t="str">
        <f t="shared" ca="1" si="913"/>
        <v>Employee Units</v>
      </c>
      <c r="I2562" s="52">
        <v>5</v>
      </c>
    </row>
    <row r="2563" spans="1:10" ht="15" customHeight="1">
      <c r="A2563" t="str">
        <f t="shared" ca="1" si="908"/>
        <v/>
      </c>
      <c r="B2563">
        <f t="shared" si="909"/>
        <v>65</v>
      </c>
      <c r="C2563">
        <f t="shared" ca="1" si="901"/>
        <v>62</v>
      </c>
      <c r="D2563" t="str">
        <f t="shared" si="910"/>
        <v>F65</v>
      </c>
      <c r="E2563" t="str">
        <f t="shared" ca="1" si="911"/>
        <v/>
      </c>
      <c r="F2563" t="str">
        <f t="shared" ca="1" si="912"/>
        <v xml:space="preserve">Enter a 'Low-Income Units' for  building 62 in cell F65.
</v>
      </c>
      <c r="G2563" s="9" t="str">
        <f t="shared" ca="1" si="899"/>
        <v xml:space="preserve">Enter a value for 'Number of Floors in the Tallest Building' in cell B60.
</v>
      </c>
      <c r="H2563" s="52" t="str">
        <f t="shared" ca="1" si="913"/>
        <v>Low-Income Units</v>
      </c>
      <c r="I2563" s="52">
        <v>6</v>
      </c>
    </row>
    <row r="2564" spans="1:10" ht="15" customHeight="1">
      <c r="A2564" t="str">
        <f t="shared" ca="1" si="908"/>
        <v/>
      </c>
      <c r="B2564">
        <f t="shared" si="909"/>
        <v>65</v>
      </c>
      <c r="C2564">
        <f t="shared" ca="1" si="901"/>
        <v>62</v>
      </c>
      <c r="D2564" t="str">
        <f t="shared" si="910"/>
        <v>G65</v>
      </c>
      <c r="E2564" t="str">
        <f t="shared" ca="1" si="911"/>
        <v/>
      </c>
      <c r="F2564" t="str">
        <f t="shared" ca="1" si="912"/>
        <v xml:space="preserve">Enter a 'Residential Square Footage**' for  building 62 in cell G65.
</v>
      </c>
      <c r="G2564" s="9" t="str">
        <f t="shared" ca="1" si="899"/>
        <v xml:space="preserve">Enter a value for 'Number of Floors in the Tallest Building' in cell B60.
</v>
      </c>
      <c r="H2564" s="52" t="str">
        <f t="shared" ca="1" si="913"/>
        <v>Residential Square Footage**</v>
      </c>
      <c r="I2564" s="52">
        <v>7</v>
      </c>
    </row>
    <row r="2565" spans="1:10" ht="15" customHeight="1">
      <c r="A2565" t="str">
        <f t="shared" ca="1" si="908"/>
        <v/>
      </c>
      <c r="B2565">
        <f t="shared" si="909"/>
        <v>65</v>
      </c>
      <c r="C2565">
        <f t="shared" ca="1" si="901"/>
        <v>62</v>
      </c>
      <c r="D2565" t="str">
        <f t="shared" si="910"/>
        <v>H65</v>
      </c>
      <c r="E2565" t="str">
        <f t="shared" ca="1" si="911"/>
        <v/>
      </c>
      <c r="F2565" t="str">
        <f t="shared" ca="1" si="912"/>
        <v xml:space="preserve">Enter a 'Square Footage of Employee Units' for  building 62 in cell H65.
</v>
      </c>
      <c r="G2565" s="9" t="str">
        <f t="shared" ca="1" si="899"/>
        <v xml:space="preserve">Enter a value for 'Number of Floors in the Tallest Building' in cell B60.
</v>
      </c>
      <c r="H2565" s="52" t="str">
        <f t="shared" ca="1" si="913"/>
        <v>Square Footage of Employee Units</v>
      </c>
      <c r="I2565" s="52">
        <v>8</v>
      </c>
    </row>
    <row r="2566" spans="1:10" ht="15" customHeight="1">
      <c r="A2566" t="str">
        <f t="shared" ca="1" si="908"/>
        <v/>
      </c>
      <c r="B2566">
        <f t="shared" si="909"/>
        <v>65</v>
      </c>
      <c r="C2566">
        <f t="shared" ca="1" si="901"/>
        <v>62</v>
      </c>
      <c r="D2566" t="str">
        <f t="shared" si="910"/>
        <v>I65</v>
      </c>
      <c r="E2566" t="str">
        <f t="shared" ca="1" si="911"/>
        <v/>
      </c>
      <c r="F2566" t="str">
        <f t="shared" ca="1" si="912"/>
        <v xml:space="preserve">Enter a 'Square Footage of Low-Income Units' for  building 62 in cell I65.
</v>
      </c>
      <c r="G2566" s="9" t="str">
        <f t="shared" ca="1" si="899"/>
        <v xml:space="preserve">Enter a value for 'Number of Floors in the Tallest Building' in cell B60.
</v>
      </c>
      <c r="H2566" s="52" t="str">
        <f t="shared" ca="1" si="913"/>
        <v>Square Footage of Low-Income Units</v>
      </c>
      <c r="I2566" s="52">
        <v>9</v>
      </c>
    </row>
    <row r="2567" spans="1:10" ht="15" customHeight="1">
      <c r="A2567" t="str">
        <f t="shared" ca="1" si="908"/>
        <v/>
      </c>
      <c r="B2567">
        <f t="shared" si="909"/>
        <v>65</v>
      </c>
      <c r="C2567">
        <f t="shared" ca="1" si="901"/>
        <v>62</v>
      </c>
      <c r="D2567" t="str">
        <f t="shared" si="910"/>
        <v>J65</v>
      </c>
      <c r="E2567" t="str">
        <f t="shared" ca="1" si="911"/>
        <v/>
      </c>
      <c r="F2567" t="str">
        <f t="shared" ca="1" si="912"/>
        <v xml:space="preserve">Enter a 'Placed-In-Service Date' for  building 62 in cell J65.
</v>
      </c>
      <c r="G2567" s="9" t="str">
        <f t="shared" ca="1" si="899"/>
        <v xml:space="preserve">Enter a value for 'Number of Floors in the Tallest Building' in cell B60.
</v>
      </c>
      <c r="H2567" s="52" t="str">
        <f t="shared" ca="1" si="913"/>
        <v>Placed-In-Service Date</v>
      </c>
      <c r="I2567" s="52">
        <v>10</v>
      </c>
    </row>
    <row r="2568" spans="1:10" ht="15" customHeight="1">
      <c r="A2568" t="str">
        <f t="shared" ca="1" si="908"/>
        <v/>
      </c>
      <c r="B2568">
        <f t="shared" si="909"/>
        <v>65</v>
      </c>
      <c r="C2568">
        <f t="shared" ca="1" si="901"/>
        <v>62</v>
      </c>
      <c r="D2568" t="str">
        <f t="shared" si="910"/>
        <v>K65</v>
      </c>
      <c r="E2568" t="str">
        <f t="shared" ca="1" si="911"/>
        <v/>
      </c>
      <c r="F2568" t="str">
        <f t="shared" ca="1" si="912"/>
        <v xml:space="preserve">Enter a 'New Construction/ Rehab APR' for  building 62 in cell K65.
</v>
      </c>
      <c r="G2568" s="9" t="str">
        <f t="shared" ca="1" si="899"/>
        <v xml:space="preserve">Enter a value for 'Number of Floors in the Tallest Building' in cell B60.
</v>
      </c>
      <c r="H2568" s="52" t="str">
        <f t="shared" ca="1" si="913"/>
        <v>New Construction/ Rehab APR</v>
      </c>
      <c r="I2568" s="52">
        <v>11</v>
      </c>
    </row>
    <row r="2569" spans="1:10" ht="15" customHeight="1">
      <c r="A2569" t="str">
        <f t="shared" ca="1" si="908"/>
        <v/>
      </c>
      <c r="B2569">
        <f t="shared" si="909"/>
        <v>65</v>
      </c>
      <c r="C2569">
        <f t="shared" ca="1" si="901"/>
        <v>62</v>
      </c>
      <c r="D2569" t="str">
        <f t="shared" si="910"/>
        <v>L65</v>
      </c>
      <c r="E2569" t="str">
        <f t="shared" ca="1" si="911"/>
        <v/>
      </c>
      <c r="F2569" t="str">
        <f t="shared" ca="1" si="912"/>
        <v xml:space="preserve">Enter a 'New Construction Eligible Basis' for  building 62 in cell L65.
</v>
      </c>
      <c r="G2569" s="9" t="str">
        <f t="shared" ca="1" si="899"/>
        <v xml:space="preserve">Enter a value for 'Number of Floors in the Tallest Building' in cell B60.
</v>
      </c>
      <c r="H2569" s="52" t="str">
        <f t="shared" ca="1" si="913"/>
        <v>New Construction Eligible Basis</v>
      </c>
      <c r="I2569" s="52">
        <v>12</v>
      </c>
    </row>
    <row r="2570" spans="1:10" ht="15" customHeight="1">
      <c r="A2570" t="str">
        <f ca="1">IF(AND(OFFSET(A2570, -I2570 + 2, 4) &gt;  0, E2570="", Calculations!$B$7), F2570, "")</f>
        <v/>
      </c>
      <c r="B2570">
        <f t="shared" si="909"/>
        <v>65</v>
      </c>
      <c r="C2570">
        <f t="shared" ca="1" si="901"/>
        <v>62</v>
      </c>
      <c r="D2570" t="str">
        <f t="shared" si="910"/>
        <v>M65</v>
      </c>
      <c r="E2570" t="str">
        <f t="shared" ca="1" si="911"/>
        <v/>
      </c>
      <c r="F2570" t="str">
        <f t="shared" ca="1" si="912"/>
        <v xml:space="preserve">Enter a 'Eligible Basis for Rehab' for  building 62 in cell M65.
</v>
      </c>
      <c r="G2570" s="9" t="str">
        <f t="shared" ca="1" si="899"/>
        <v xml:space="preserve">Enter a value for 'Number of Floors in the Tallest Building' in cell B60.
</v>
      </c>
      <c r="H2570" s="52" t="str">
        <f t="shared" ca="1" si="913"/>
        <v>Eligible Basis for Rehab</v>
      </c>
      <c r="I2570" s="52">
        <v>13</v>
      </c>
    </row>
    <row r="2571" spans="1:10" ht="15" customHeight="1">
      <c r="A2571" t="str">
        <f ca="1">IF(AND(OFFSET(A2571, -I2571 + 2, 4) &gt;  0, E2571="", Calculations!$B$7), F2571, "")</f>
        <v/>
      </c>
      <c r="B2571">
        <f t="shared" si="909"/>
        <v>65</v>
      </c>
      <c r="C2571">
        <f t="shared" ca="1" si="901"/>
        <v>62</v>
      </c>
      <c r="D2571" t="str">
        <f t="shared" si="910"/>
        <v>N65</v>
      </c>
      <c r="E2571" t="str">
        <f t="shared" ca="1" si="911"/>
        <v/>
      </c>
      <c r="F2571" t="str">
        <f t="shared" ca="1" si="912"/>
        <v xml:space="preserve">Enter a 'Cost of Acquiring the Building***' for  building 62 in cell N65.
</v>
      </c>
      <c r="G2571" s="9" t="str">
        <f t="shared" ca="1" si="899"/>
        <v xml:space="preserve">Enter a value for 'Number of Floors in the Tallest Building' in cell B60.
</v>
      </c>
      <c r="H2571" s="52" t="str">
        <f t="shared" ca="1" si="913"/>
        <v>Cost of Acquiring the Building***</v>
      </c>
      <c r="I2571" s="52">
        <v>14</v>
      </c>
    </row>
    <row r="2572" spans="1:10" ht="15" customHeight="1">
      <c r="A2572" t="str">
        <f ca="1">IF(AND(OFFSET(A2572, -I2572 + 2, 4) &gt;  0, E2572="", Calculations!$B$7), F2572, "")</f>
        <v/>
      </c>
      <c r="B2572">
        <f t="shared" si="909"/>
        <v>65</v>
      </c>
      <c r="C2572">
        <f t="shared" ca="1" si="901"/>
        <v>62</v>
      </c>
      <c r="D2572" t="str">
        <f t="shared" si="910"/>
        <v>O65</v>
      </c>
      <c r="E2572" t="str">
        <f t="shared" ca="1" si="911"/>
        <v/>
      </c>
      <c r="F2572" t="str">
        <f t="shared" ca="1" si="912"/>
        <v xml:space="preserve">Enter a 'Higher of Land Purchase Price or Land Appraised Value****' for  building 62 in cell O65.
</v>
      </c>
      <c r="G2572" s="9" t="str">
        <f t="shared" ca="1" si="899"/>
        <v xml:space="preserve">Enter a value for 'Number of Floors in the Tallest Building' in cell B60.
</v>
      </c>
      <c r="H2572" s="52" t="str">
        <f t="shared" ca="1" si="913"/>
        <v>Higher of Land Purchase Price or Land Appraised Value****</v>
      </c>
      <c r="I2572" s="52">
        <v>15</v>
      </c>
    </row>
    <row r="2573" spans="1:10" ht="15" customHeight="1">
      <c r="A2573" t="str">
        <f ca="1">IF(AND(OFFSET(A2573, -I2573 + 2, 4) &gt;  0, E2573="", Calculations!$B$7), F2573, "")</f>
        <v/>
      </c>
      <c r="B2573">
        <f t="shared" si="909"/>
        <v>65</v>
      </c>
      <c r="C2573">
        <f t="shared" ca="1" si="901"/>
        <v>62</v>
      </c>
      <c r="D2573" t="str">
        <f t="shared" si="910"/>
        <v>P65</v>
      </c>
      <c r="E2573" t="str">
        <f t="shared" ca="1" si="911"/>
        <v/>
      </c>
      <c r="F2573" t="str">
        <f t="shared" ca="1" si="912"/>
        <v xml:space="preserve">Enter a 'Acquisition Placed-in-Service Date' for  building 62 in cell P65.
</v>
      </c>
      <c r="G2573" s="9" t="str">
        <f t="shared" ca="1" si="899"/>
        <v xml:space="preserve">Enter a value for 'Number of Floors in the Tallest Building' in cell B60.
</v>
      </c>
      <c r="H2573" s="52" t="str">
        <f t="shared" ca="1" si="913"/>
        <v>Acquisition Placed-in-Service Date</v>
      </c>
      <c r="I2573" s="52">
        <v>16</v>
      </c>
    </row>
    <row r="2574" spans="1:10" ht="15" customHeight="1">
      <c r="A2574" t="str">
        <f ca="1">IF(AND(OFFSET(A2574, -I2574 + 2, 4) &gt;  0, E2574="", Calculations!$B$7), F2574, "")</f>
        <v/>
      </c>
      <c r="B2574">
        <f t="shared" si="909"/>
        <v>65</v>
      </c>
      <c r="C2574">
        <f t="shared" ca="1" si="901"/>
        <v>62</v>
      </c>
      <c r="D2574" t="str">
        <f t="shared" si="910"/>
        <v>Q65</v>
      </c>
      <c r="E2574" t="str">
        <f t="shared" ca="1" si="911"/>
        <v/>
      </c>
      <c r="F2574" t="str">
        <f t="shared" ca="1" si="912"/>
        <v xml:space="preserve">Enter a 'Acquisition APR' for  building 62 in cell Q65.
</v>
      </c>
      <c r="G2574" s="9" t="str">
        <f t="shared" ca="1" si="899"/>
        <v xml:space="preserve">Enter a value for 'Number of Floors in the Tallest Building' in cell B60.
</v>
      </c>
      <c r="H2574" s="52" t="str">
        <f t="shared" ca="1" si="913"/>
        <v>Acquisition APR</v>
      </c>
      <c r="I2574" s="52">
        <v>17</v>
      </c>
    </row>
    <row r="2575" spans="1:10" ht="15" customHeight="1">
      <c r="A2575" t="str">
        <f ca="1">IF(AND(Calculations!$B$4,Calculations!$B$29&gt;=C2575, E2575 &lt;&gt; 13),F2575,"")</f>
        <v/>
      </c>
      <c r="B2575">
        <f>ROW('Final Building Profile'!C66)</f>
        <v>66</v>
      </c>
      <c r="C2575">
        <f t="shared" ca="1" si="901"/>
        <v>63</v>
      </c>
      <c r="D2575" t="str">
        <f>ADDRESS(B2575, 3,4  )</f>
        <v>C66</v>
      </c>
      <c r="E2575" s="52">
        <f ca="1">H2575+I2575</f>
        <v>0</v>
      </c>
      <c r="F2575" t="str">
        <f ca="1">CONCATENATE("Based upon the number of buildings specified, information for  building ", C2575, " required for a final application in row ", B2575, ".", CHAR(10))</f>
        <v xml:space="preserve">Based upon the number of buildings specified, information for  building 63 required for a final application in row 66.
</v>
      </c>
      <c r="G2575" s="9" t="str">
        <f t="shared" ca="1" si="899"/>
        <v xml:space="preserve">Enter a value for 'Number of Floors in the Tallest Building' in cell B60.
</v>
      </c>
      <c r="H2575" s="52">
        <f ca="1">SUMPRODUCT(--ISTEXT(INDIRECT(J2575)))</f>
        <v>0</v>
      </c>
      <c r="I2575" s="52">
        <f ca="1">SUMPRODUCT(--ISNUMBER(INDIRECT(J2575)))</f>
        <v>0</v>
      </c>
      <c r="J2575" s="52" t="str">
        <f>$F$1565&amp; ADDRESS(B2575,3,4) &amp; ":" &amp; ADDRESS(B2575,15,4)</f>
        <v>'Final Building Profile'!C66:O66</v>
      </c>
    </row>
    <row r="2576" spans="1:10" ht="15" customHeight="1">
      <c r="A2576" t="str">
        <f t="shared" ref="A2576:A2585" ca="1" si="914">IF(AND(OFFSET(A2576, -I2576 + 2, 4) &gt;  0, E2576=""), F2576, "")</f>
        <v/>
      </c>
      <c r="B2576">
        <f t="shared" ref="B2576:B2590" si="915">B2575</f>
        <v>66</v>
      </c>
      <c r="C2576">
        <f t="shared" ca="1" si="901"/>
        <v>63</v>
      </c>
      <c r="D2576" t="str">
        <f t="shared" ref="D2576:D2590" si="916">ADDRESS(B2576, I2576,4  )</f>
        <v>C66</v>
      </c>
      <c r="E2576" t="str">
        <f t="shared" ref="E2576:E2590" ca="1" si="917">IF(ISBLANK( INDIRECT($F$1565 &amp; D2576)),"", INDIRECT($F$1565 &amp; D2576))</f>
        <v/>
      </c>
      <c r="F2576" t="str">
        <f t="shared" ref="F2576:F2590" ca="1" si="918">CONCATENATE("Enter a '"&amp; H2576 &amp;"' for  building ", C2576, " in cell ", D2576, ".", CHAR(10))</f>
        <v xml:space="preserve">Enter a 'Building Street Address Only 
(DO NOT ENTER CITY, STATE, OR ZIP)' for  building 63 in cell C66.
</v>
      </c>
      <c r="G2576" s="9" t="str">
        <f t="shared" ca="1" si="899"/>
        <v xml:space="preserve">Enter a value for 'Number of Floors in the Tallest Building' in cell B60.
</v>
      </c>
      <c r="H2576" s="52" t="str">
        <f t="shared" ref="H2576:H2590" ca="1" si="919">OFFSET(INDIRECT($F$1565 &amp; D2576), -B2576 + 3, 0)</f>
        <v>Building Street Address Only 
(DO NOT ENTER CITY, STATE, OR ZIP)</v>
      </c>
      <c r="I2576" s="52">
        <v>3</v>
      </c>
    </row>
    <row r="2577" spans="1:10" ht="15" customHeight="1">
      <c r="A2577" t="str">
        <f t="shared" ca="1" si="914"/>
        <v/>
      </c>
      <c r="B2577">
        <f t="shared" si="915"/>
        <v>66</v>
      </c>
      <c r="C2577">
        <f t="shared" ca="1" si="901"/>
        <v>63</v>
      </c>
      <c r="D2577" t="str">
        <f t="shared" si="916"/>
        <v>D66</v>
      </c>
      <c r="E2577" t="str">
        <f t="shared" ca="1" si="917"/>
        <v/>
      </c>
      <c r="F2577" t="str">
        <f t="shared" ca="1" si="918"/>
        <v xml:space="preserve">Enter a 'Total Units in Building*' for  building 63 in cell D66.
</v>
      </c>
      <c r="G2577" s="9" t="str">
        <f t="shared" ca="1" si="899"/>
        <v xml:space="preserve">Enter a value for 'Number of Floors in the Tallest Building' in cell B60.
</v>
      </c>
      <c r="H2577" s="52" t="str">
        <f t="shared" ca="1" si="919"/>
        <v>Total Units in Building*</v>
      </c>
      <c r="I2577" s="52">
        <v>4</v>
      </c>
    </row>
    <row r="2578" spans="1:10" ht="15" customHeight="1">
      <c r="A2578" t="str">
        <f t="shared" ca="1" si="914"/>
        <v/>
      </c>
      <c r="B2578">
        <f t="shared" si="915"/>
        <v>66</v>
      </c>
      <c r="C2578">
        <f t="shared" ca="1" si="901"/>
        <v>63</v>
      </c>
      <c r="D2578" t="str">
        <f t="shared" si="916"/>
        <v>E66</v>
      </c>
      <c r="E2578" t="str">
        <f t="shared" ca="1" si="917"/>
        <v/>
      </c>
      <c r="F2578" t="str">
        <f t="shared" ca="1" si="918"/>
        <v xml:space="preserve">Enter a 'Employee Units' for  building 63 in cell E66.
</v>
      </c>
      <c r="G2578" s="9" t="str">
        <f t="shared" ca="1" si="899"/>
        <v xml:space="preserve">Enter a value for 'Number of Floors in the Tallest Building' in cell B60.
</v>
      </c>
      <c r="H2578" s="52" t="str">
        <f t="shared" ca="1" si="919"/>
        <v>Employee Units</v>
      </c>
      <c r="I2578" s="52">
        <v>5</v>
      </c>
    </row>
    <row r="2579" spans="1:10" ht="15" customHeight="1">
      <c r="A2579" t="str">
        <f t="shared" ca="1" si="914"/>
        <v/>
      </c>
      <c r="B2579">
        <f t="shared" si="915"/>
        <v>66</v>
      </c>
      <c r="C2579">
        <f t="shared" ca="1" si="901"/>
        <v>63</v>
      </c>
      <c r="D2579" t="str">
        <f t="shared" si="916"/>
        <v>F66</v>
      </c>
      <c r="E2579" t="str">
        <f t="shared" ca="1" si="917"/>
        <v/>
      </c>
      <c r="F2579" t="str">
        <f t="shared" ca="1" si="918"/>
        <v xml:space="preserve">Enter a 'Low-Income Units' for  building 63 in cell F66.
</v>
      </c>
      <c r="G2579" s="9" t="str">
        <f t="shared" ca="1" si="899"/>
        <v xml:space="preserve">Enter a value for 'Number of Floors in the Tallest Building' in cell B60.
</v>
      </c>
      <c r="H2579" s="52" t="str">
        <f t="shared" ca="1" si="919"/>
        <v>Low-Income Units</v>
      </c>
      <c r="I2579" s="52">
        <v>6</v>
      </c>
    </row>
    <row r="2580" spans="1:10" ht="15" customHeight="1">
      <c r="A2580" t="str">
        <f t="shared" ca="1" si="914"/>
        <v/>
      </c>
      <c r="B2580">
        <f t="shared" si="915"/>
        <v>66</v>
      </c>
      <c r="C2580">
        <f t="shared" ca="1" si="901"/>
        <v>63</v>
      </c>
      <c r="D2580" t="str">
        <f t="shared" si="916"/>
        <v>G66</v>
      </c>
      <c r="E2580" t="str">
        <f t="shared" ca="1" si="917"/>
        <v/>
      </c>
      <c r="F2580" t="str">
        <f t="shared" ca="1" si="918"/>
        <v xml:space="preserve">Enter a 'Residential Square Footage**' for  building 63 in cell G66.
</v>
      </c>
      <c r="G2580" s="9" t="str">
        <f t="shared" ca="1" si="899"/>
        <v xml:space="preserve">Enter a value for 'Number of Floors in the Tallest Building' in cell B60.
</v>
      </c>
      <c r="H2580" s="52" t="str">
        <f t="shared" ca="1" si="919"/>
        <v>Residential Square Footage**</v>
      </c>
      <c r="I2580" s="52">
        <v>7</v>
      </c>
    </row>
    <row r="2581" spans="1:10" ht="15" customHeight="1">
      <c r="A2581" t="str">
        <f t="shared" ca="1" si="914"/>
        <v/>
      </c>
      <c r="B2581">
        <f t="shared" si="915"/>
        <v>66</v>
      </c>
      <c r="C2581">
        <f t="shared" ca="1" si="901"/>
        <v>63</v>
      </c>
      <c r="D2581" t="str">
        <f t="shared" si="916"/>
        <v>H66</v>
      </c>
      <c r="E2581" t="str">
        <f t="shared" ca="1" si="917"/>
        <v/>
      </c>
      <c r="F2581" t="str">
        <f t="shared" ca="1" si="918"/>
        <v xml:space="preserve">Enter a 'Square Footage of Employee Units' for  building 63 in cell H66.
</v>
      </c>
      <c r="G2581" s="9" t="str">
        <f t="shared" ca="1" si="899"/>
        <v xml:space="preserve">Enter a value for 'Number of Floors in the Tallest Building' in cell B60.
</v>
      </c>
      <c r="H2581" s="52" t="str">
        <f t="shared" ca="1" si="919"/>
        <v>Square Footage of Employee Units</v>
      </c>
      <c r="I2581" s="52">
        <v>8</v>
      </c>
    </row>
    <row r="2582" spans="1:10" ht="15" customHeight="1">
      <c r="A2582" t="str">
        <f t="shared" ca="1" si="914"/>
        <v/>
      </c>
      <c r="B2582">
        <f t="shared" si="915"/>
        <v>66</v>
      </c>
      <c r="C2582">
        <f t="shared" ca="1" si="901"/>
        <v>63</v>
      </c>
      <c r="D2582" t="str">
        <f t="shared" si="916"/>
        <v>I66</v>
      </c>
      <c r="E2582" t="str">
        <f t="shared" ca="1" si="917"/>
        <v/>
      </c>
      <c r="F2582" t="str">
        <f t="shared" ca="1" si="918"/>
        <v xml:space="preserve">Enter a 'Square Footage of Low-Income Units' for  building 63 in cell I66.
</v>
      </c>
      <c r="G2582" s="9" t="str">
        <f t="shared" ca="1" si="899"/>
        <v xml:space="preserve">Enter a value for 'Number of Floors in the Tallest Building' in cell B60.
</v>
      </c>
      <c r="H2582" s="52" t="str">
        <f t="shared" ca="1" si="919"/>
        <v>Square Footage of Low-Income Units</v>
      </c>
      <c r="I2582" s="52">
        <v>9</v>
      </c>
    </row>
    <row r="2583" spans="1:10" ht="15" customHeight="1">
      <c r="A2583" t="str">
        <f t="shared" ca="1" si="914"/>
        <v/>
      </c>
      <c r="B2583">
        <f t="shared" si="915"/>
        <v>66</v>
      </c>
      <c r="C2583">
        <f t="shared" ca="1" si="901"/>
        <v>63</v>
      </c>
      <c r="D2583" t="str">
        <f t="shared" si="916"/>
        <v>J66</v>
      </c>
      <c r="E2583" t="str">
        <f t="shared" ca="1" si="917"/>
        <v/>
      </c>
      <c r="F2583" t="str">
        <f t="shared" ca="1" si="918"/>
        <v xml:space="preserve">Enter a 'Placed-In-Service Date' for  building 63 in cell J66.
</v>
      </c>
      <c r="G2583" s="9" t="str">
        <f t="shared" ca="1" si="899"/>
        <v xml:space="preserve">Enter a value for 'Number of Floors in the Tallest Building' in cell B60.
</v>
      </c>
      <c r="H2583" s="52" t="str">
        <f t="shared" ca="1" si="919"/>
        <v>Placed-In-Service Date</v>
      </c>
      <c r="I2583" s="52">
        <v>10</v>
      </c>
    </row>
    <row r="2584" spans="1:10" ht="15" customHeight="1">
      <c r="A2584" t="str">
        <f t="shared" ca="1" si="914"/>
        <v/>
      </c>
      <c r="B2584">
        <f t="shared" si="915"/>
        <v>66</v>
      </c>
      <c r="C2584">
        <f t="shared" ca="1" si="901"/>
        <v>63</v>
      </c>
      <c r="D2584" t="str">
        <f t="shared" si="916"/>
        <v>K66</v>
      </c>
      <c r="E2584" t="str">
        <f t="shared" ca="1" si="917"/>
        <v/>
      </c>
      <c r="F2584" t="str">
        <f t="shared" ca="1" si="918"/>
        <v xml:space="preserve">Enter a 'New Construction/ Rehab APR' for  building 63 in cell K66.
</v>
      </c>
      <c r="G2584" s="9" t="str">
        <f t="shared" ca="1" si="899"/>
        <v xml:space="preserve">Enter a value for 'Number of Floors in the Tallest Building' in cell B60.
</v>
      </c>
      <c r="H2584" s="52" t="str">
        <f t="shared" ca="1" si="919"/>
        <v>New Construction/ Rehab APR</v>
      </c>
      <c r="I2584" s="52">
        <v>11</v>
      </c>
    </row>
    <row r="2585" spans="1:10" ht="15" customHeight="1">
      <c r="A2585" t="str">
        <f t="shared" ca="1" si="914"/>
        <v/>
      </c>
      <c r="B2585">
        <f t="shared" si="915"/>
        <v>66</v>
      </c>
      <c r="C2585">
        <f t="shared" ca="1" si="901"/>
        <v>63</v>
      </c>
      <c r="D2585" t="str">
        <f t="shared" si="916"/>
        <v>L66</v>
      </c>
      <c r="E2585" t="str">
        <f t="shared" ca="1" si="917"/>
        <v/>
      </c>
      <c r="F2585" t="str">
        <f t="shared" ca="1" si="918"/>
        <v xml:space="preserve">Enter a 'New Construction Eligible Basis' for  building 63 in cell L66.
</v>
      </c>
      <c r="G2585" s="9" t="str">
        <f t="shared" ca="1" si="899"/>
        <v xml:space="preserve">Enter a value for 'Number of Floors in the Tallest Building' in cell B60.
</v>
      </c>
      <c r="H2585" s="52" t="str">
        <f t="shared" ca="1" si="919"/>
        <v>New Construction Eligible Basis</v>
      </c>
      <c r="I2585" s="52">
        <v>12</v>
      </c>
    </row>
    <row r="2586" spans="1:10" ht="15" customHeight="1">
      <c r="A2586" t="str">
        <f ca="1">IF(AND(OFFSET(A2586, -I2586 + 2, 4) &gt;  0, E2586="", Calculations!$B$7), F2586, "")</f>
        <v/>
      </c>
      <c r="B2586">
        <f t="shared" si="915"/>
        <v>66</v>
      </c>
      <c r="C2586">
        <f t="shared" ca="1" si="901"/>
        <v>63</v>
      </c>
      <c r="D2586" t="str">
        <f t="shared" si="916"/>
        <v>M66</v>
      </c>
      <c r="E2586" t="str">
        <f t="shared" ca="1" si="917"/>
        <v/>
      </c>
      <c r="F2586" t="str">
        <f t="shared" ca="1" si="918"/>
        <v xml:space="preserve">Enter a 'Eligible Basis for Rehab' for  building 63 in cell M66.
</v>
      </c>
      <c r="G2586" s="9" t="str">
        <f t="shared" ca="1" si="899"/>
        <v xml:space="preserve">Enter a value for 'Number of Floors in the Tallest Building' in cell B60.
</v>
      </c>
      <c r="H2586" s="52" t="str">
        <f t="shared" ca="1" si="919"/>
        <v>Eligible Basis for Rehab</v>
      </c>
      <c r="I2586" s="52">
        <v>13</v>
      </c>
    </row>
    <row r="2587" spans="1:10" ht="15" customHeight="1">
      <c r="A2587" t="str">
        <f ca="1">IF(AND(OFFSET(A2587, -I2587 + 2, 4) &gt;  0, E2587="", Calculations!$B$7), F2587, "")</f>
        <v/>
      </c>
      <c r="B2587">
        <f t="shared" si="915"/>
        <v>66</v>
      </c>
      <c r="C2587">
        <f t="shared" ca="1" si="901"/>
        <v>63</v>
      </c>
      <c r="D2587" t="str">
        <f t="shared" si="916"/>
        <v>N66</v>
      </c>
      <c r="E2587" t="str">
        <f t="shared" ca="1" si="917"/>
        <v/>
      </c>
      <c r="F2587" t="str">
        <f t="shared" ca="1" si="918"/>
        <v xml:space="preserve">Enter a 'Cost of Acquiring the Building***' for  building 63 in cell N66.
</v>
      </c>
      <c r="G2587" s="9" t="str">
        <f t="shared" ca="1" si="899"/>
        <v xml:space="preserve">Enter a value for 'Number of Floors in the Tallest Building' in cell B60.
</v>
      </c>
      <c r="H2587" s="52" t="str">
        <f t="shared" ca="1" si="919"/>
        <v>Cost of Acquiring the Building***</v>
      </c>
      <c r="I2587" s="52">
        <v>14</v>
      </c>
    </row>
    <row r="2588" spans="1:10" ht="15" customHeight="1">
      <c r="A2588" t="str">
        <f ca="1">IF(AND(OFFSET(A2588, -I2588 + 2, 4) &gt;  0, E2588="", Calculations!$B$7), F2588, "")</f>
        <v/>
      </c>
      <c r="B2588">
        <f t="shared" si="915"/>
        <v>66</v>
      </c>
      <c r="C2588">
        <f t="shared" ca="1" si="901"/>
        <v>63</v>
      </c>
      <c r="D2588" t="str">
        <f t="shared" si="916"/>
        <v>O66</v>
      </c>
      <c r="E2588" t="str">
        <f t="shared" ca="1" si="917"/>
        <v/>
      </c>
      <c r="F2588" t="str">
        <f t="shared" ca="1" si="918"/>
        <v xml:space="preserve">Enter a 'Higher of Land Purchase Price or Land Appraised Value****' for  building 63 in cell O66.
</v>
      </c>
      <c r="G2588" s="9" t="str">
        <f t="shared" ca="1" si="899"/>
        <v xml:space="preserve">Enter a value for 'Number of Floors in the Tallest Building' in cell B60.
</v>
      </c>
      <c r="H2588" s="52" t="str">
        <f t="shared" ca="1" si="919"/>
        <v>Higher of Land Purchase Price or Land Appraised Value****</v>
      </c>
      <c r="I2588" s="52">
        <v>15</v>
      </c>
    </row>
    <row r="2589" spans="1:10" ht="15" customHeight="1">
      <c r="A2589" t="str">
        <f ca="1">IF(AND(OFFSET(A2589, -I2589 + 2, 4) &gt;  0, E2589="", Calculations!$B$7), F2589, "")</f>
        <v/>
      </c>
      <c r="B2589">
        <f t="shared" si="915"/>
        <v>66</v>
      </c>
      <c r="C2589">
        <f t="shared" ca="1" si="901"/>
        <v>63</v>
      </c>
      <c r="D2589" t="str">
        <f t="shared" si="916"/>
        <v>P66</v>
      </c>
      <c r="E2589" t="str">
        <f t="shared" ca="1" si="917"/>
        <v/>
      </c>
      <c r="F2589" t="str">
        <f t="shared" ca="1" si="918"/>
        <v xml:space="preserve">Enter a 'Acquisition Placed-in-Service Date' for  building 63 in cell P66.
</v>
      </c>
      <c r="G2589" s="9" t="str">
        <f t="shared" ca="1" si="899"/>
        <v xml:space="preserve">Enter a value for 'Number of Floors in the Tallest Building' in cell B60.
</v>
      </c>
      <c r="H2589" s="52" t="str">
        <f t="shared" ca="1" si="919"/>
        <v>Acquisition Placed-in-Service Date</v>
      </c>
      <c r="I2589" s="52">
        <v>16</v>
      </c>
    </row>
    <row r="2590" spans="1:10" ht="15" customHeight="1">
      <c r="A2590" t="str">
        <f ca="1">IF(AND(OFFSET(A2590, -I2590 + 2, 4) &gt;  0, E2590="", Calculations!$B$7), F2590, "")</f>
        <v/>
      </c>
      <c r="B2590">
        <f t="shared" si="915"/>
        <v>66</v>
      </c>
      <c r="C2590">
        <f t="shared" ca="1" si="901"/>
        <v>63</v>
      </c>
      <c r="D2590" t="str">
        <f t="shared" si="916"/>
        <v>Q66</v>
      </c>
      <c r="E2590" t="str">
        <f t="shared" ca="1" si="917"/>
        <v/>
      </c>
      <c r="F2590" t="str">
        <f t="shared" ca="1" si="918"/>
        <v xml:space="preserve">Enter a 'Acquisition APR' for  building 63 in cell Q66.
</v>
      </c>
      <c r="G2590" s="9" t="str">
        <f t="shared" ca="1" si="899"/>
        <v xml:space="preserve">Enter a value for 'Number of Floors in the Tallest Building' in cell B60.
</v>
      </c>
      <c r="H2590" s="52" t="str">
        <f t="shared" ca="1" si="919"/>
        <v>Acquisition APR</v>
      </c>
      <c r="I2590" s="52">
        <v>17</v>
      </c>
    </row>
    <row r="2591" spans="1:10" ht="15" customHeight="1">
      <c r="A2591" t="str">
        <f ca="1">IF(AND(Calculations!$B$4,Calculations!$B$29&gt;=C2591, E2591 &lt;&gt; 13),F2591,"")</f>
        <v/>
      </c>
      <c r="B2591">
        <f>ROW('Final Building Profile'!C67)</f>
        <v>67</v>
      </c>
      <c r="C2591">
        <f t="shared" ca="1" si="901"/>
        <v>64</v>
      </c>
      <c r="D2591" t="str">
        <f>ADDRESS(B2591, 3,4  )</f>
        <v>C67</v>
      </c>
      <c r="E2591" s="52">
        <f ca="1">H2591+I2591</f>
        <v>0</v>
      </c>
      <c r="F2591" t="str">
        <f ca="1">CONCATENATE("Based upon the number of buildings specified, information for  building ", C2591, " required for a final application in row ", B2591, ".", CHAR(10))</f>
        <v xml:space="preserve">Based upon the number of buildings specified, information for  building 64 required for a final application in row 67.
</v>
      </c>
      <c r="G2591" s="9" t="str">
        <f t="shared" ca="1" si="899"/>
        <v xml:space="preserve">Enter a value for 'Number of Floors in the Tallest Building' in cell B60.
</v>
      </c>
      <c r="H2591" s="52">
        <f ca="1">SUMPRODUCT(--ISTEXT(INDIRECT(J2591)))</f>
        <v>0</v>
      </c>
      <c r="I2591" s="52">
        <f ca="1">SUMPRODUCT(--ISNUMBER(INDIRECT(J2591)))</f>
        <v>0</v>
      </c>
      <c r="J2591" s="52" t="str">
        <f>$F$1565&amp; ADDRESS(B2591,3,4) &amp; ":" &amp; ADDRESS(B2591,15,4)</f>
        <v>'Final Building Profile'!C67:O67</v>
      </c>
    </row>
    <row r="2592" spans="1:10" ht="15" customHeight="1">
      <c r="A2592" t="str">
        <f t="shared" ref="A2592:A2601" ca="1" si="920">IF(AND(OFFSET(A2592, -I2592 + 2, 4) &gt;  0, E2592=""), F2592, "")</f>
        <v/>
      </c>
      <c r="B2592">
        <f t="shared" ref="B2592:B2606" si="921">B2591</f>
        <v>67</v>
      </c>
      <c r="C2592">
        <f t="shared" ca="1" si="901"/>
        <v>64</v>
      </c>
      <c r="D2592" t="str">
        <f t="shared" ref="D2592:D2606" si="922">ADDRESS(B2592, I2592,4  )</f>
        <v>C67</v>
      </c>
      <c r="E2592" t="str">
        <f t="shared" ref="E2592:E2606" ca="1" si="923">IF(ISBLANK( INDIRECT($F$1565 &amp; D2592)),"", INDIRECT($F$1565 &amp; D2592))</f>
        <v/>
      </c>
      <c r="F2592" t="str">
        <f t="shared" ref="F2592:F2606" ca="1" si="924">CONCATENATE("Enter a '"&amp; H2592 &amp;"' for  building ", C2592, " in cell ", D2592, ".", CHAR(10))</f>
        <v xml:space="preserve">Enter a 'Building Street Address Only 
(DO NOT ENTER CITY, STATE, OR ZIP)' for  building 64 in cell C67.
</v>
      </c>
      <c r="G2592" s="9" t="str">
        <f t="shared" ref="G2592:G2655" ca="1" si="925">OFFSET(G2592, -1, 0) &amp; A2592</f>
        <v xml:space="preserve">Enter a value for 'Number of Floors in the Tallest Building' in cell B60.
</v>
      </c>
      <c r="H2592" s="52" t="str">
        <f t="shared" ref="H2592:H2606" ca="1" si="926">OFFSET(INDIRECT($F$1565 &amp; D2592), -B2592 + 3, 0)</f>
        <v>Building Street Address Only 
(DO NOT ENTER CITY, STATE, OR ZIP)</v>
      </c>
      <c r="I2592" s="52">
        <v>3</v>
      </c>
    </row>
    <row r="2593" spans="1:10" ht="15" customHeight="1">
      <c r="A2593" t="str">
        <f t="shared" ca="1" si="920"/>
        <v/>
      </c>
      <c r="B2593">
        <f t="shared" si="921"/>
        <v>67</v>
      </c>
      <c r="C2593">
        <f t="shared" ca="1" si="901"/>
        <v>64</v>
      </c>
      <c r="D2593" t="str">
        <f t="shared" si="922"/>
        <v>D67</v>
      </c>
      <c r="E2593" t="str">
        <f t="shared" ca="1" si="923"/>
        <v/>
      </c>
      <c r="F2593" t="str">
        <f t="shared" ca="1" si="924"/>
        <v xml:space="preserve">Enter a 'Total Units in Building*' for  building 64 in cell D67.
</v>
      </c>
      <c r="G2593" s="9" t="str">
        <f t="shared" ca="1" si="925"/>
        <v xml:space="preserve">Enter a value for 'Number of Floors in the Tallest Building' in cell B60.
</v>
      </c>
      <c r="H2593" s="52" t="str">
        <f t="shared" ca="1" si="926"/>
        <v>Total Units in Building*</v>
      </c>
      <c r="I2593" s="52">
        <v>4</v>
      </c>
    </row>
    <row r="2594" spans="1:10" ht="15" customHeight="1">
      <c r="A2594" t="str">
        <f t="shared" ca="1" si="920"/>
        <v/>
      </c>
      <c r="B2594">
        <f t="shared" si="921"/>
        <v>67</v>
      </c>
      <c r="C2594">
        <f t="shared" ca="1" si="901"/>
        <v>64</v>
      </c>
      <c r="D2594" t="str">
        <f t="shared" si="922"/>
        <v>E67</v>
      </c>
      <c r="E2594" t="str">
        <f t="shared" ca="1" si="923"/>
        <v/>
      </c>
      <c r="F2594" t="str">
        <f t="shared" ca="1" si="924"/>
        <v xml:space="preserve">Enter a 'Employee Units' for  building 64 in cell E67.
</v>
      </c>
      <c r="G2594" s="9" t="str">
        <f t="shared" ca="1" si="925"/>
        <v xml:space="preserve">Enter a value for 'Number of Floors in the Tallest Building' in cell B60.
</v>
      </c>
      <c r="H2594" s="52" t="str">
        <f t="shared" ca="1" si="926"/>
        <v>Employee Units</v>
      </c>
      <c r="I2594" s="52">
        <v>5</v>
      </c>
    </row>
    <row r="2595" spans="1:10" ht="15" customHeight="1">
      <c r="A2595" t="str">
        <f t="shared" ca="1" si="920"/>
        <v/>
      </c>
      <c r="B2595">
        <f t="shared" si="921"/>
        <v>67</v>
      </c>
      <c r="C2595">
        <f t="shared" ca="1" si="901"/>
        <v>64</v>
      </c>
      <c r="D2595" t="str">
        <f t="shared" si="922"/>
        <v>F67</v>
      </c>
      <c r="E2595" t="str">
        <f t="shared" ca="1" si="923"/>
        <v/>
      </c>
      <c r="F2595" t="str">
        <f t="shared" ca="1" si="924"/>
        <v xml:space="preserve">Enter a 'Low-Income Units' for  building 64 in cell F67.
</v>
      </c>
      <c r="G2595" s="9" t="str">
        <f t="shared" ca="1" si="925"/>
        <v xml:space="preserve">Enter a value for 'Number of Floors in the Tallest Building' in cell B60.
</v>
      </c>
      <c r="H2595" s="52" t="str">
        <f t="shared" ca="1" si="926"/>
        <v>Low-Income Units</v>
      </c>
      <c r="I2595" s="52">
        <v>6</v>
      </c>
    </row>
    <row r="2596" spans="1:10" ht="15" customHeight="1">
      <c r="A2596" t="str">
        <f t="shared" ca="1" si="920"/>
        <v/>
      </c>
      <c r="B2596">
        <f t="shared" si="921"/>
        <v>67</v>
      </c>
      <c r="C2596">
        <f t="shared" ca="1" si="901"/>
        <v>64</v>
      </c>
      <c r="D2596" t="str">
        <f t="shared" si="922"/>
        <v>G67</v>
      </c>
      <c r="E2596" t="str">
        <f t="shared" ca="1" si="923"/>
        <v/>
      </c>
      <c r="F2596" t="str">
        <f t="shared" ca="1" si="924"/>
        <v xml:space="preserve">Enter a 'Residential Square Footage**' for  building 64 in cell G67.
</v>
      </c>
      <c r="G2596" s="9" t="str">
        <f t="shared" ca="1" si="925"/>
        <v xml:space="preserve">Enter a value for 'Number of Floors in the Tallest Building' in cell B60.
</v>
      </c>
      <c r="H2596" s="52" t="str">
        <f t="shared" ca="1" si="926"/>
        <v>Residential Square Footage**</v>
      </c>
      <c r="I2596" s="52">
        <v>7</v>
      </c>
    </row>
    <row r="2597" spans="1:10" ht="15" customHeight="1">
      <c r="A2597" t="str">
        <f t="shared" ca="1" si="920"/>
        <v/>
      </c>
      <c r="B2597">
        <f t="shared" si="921"/>
        <v>67</v>
      </c>
      <c r="C2597">
        <f t="shared" ca="1" si="901"/>
        <v>64</v>
      </c>
      <c r="D2597" t="str">
        <f t="shared" si="922"/>
        <v>H67</v>
      </c>
      <c r="E2597" t="str">
        <f t="shared" ca="1" si="923"/>
        <v/>
      </c>
      <c r="F2597" t="str">
        <f t="shared" ca="1" si="924"/>
        <v xml:space="preserve">Enter a 'Square Footage of Employee Units' for  building 64 in cell H67.
</v>
      </c>
      <c r="G2597" s="9" t="str">
        <f t="shared" ca="1" si="925"/>
        <v xml:space="preserve">Enter a value for 'Number of Floors in the Tallest Building' in cell B60.
</v>
      </c>
      <c r="H2597" s="52" t="str">
        <f t="shared" ca="1" si="926"/>
        <v>Square Footage of Employee Units</v>
      </c>
      <c r="I2597" s="52">
        <v>8</v>
      </c>
    </row>
    <row r="2598" spans="1:10" ht="15" customHeight="1">
      <c r="A2598" t="str">
        <f t="shared" ca="1" si="920"/>
        <v/>
      </c>
      <c r="B2598">
        <f t="shared" si="921"/>
        <v>67</v>
      </c>
      <c r="C2598">
        <f t="shared" ca="1" si="901"/>
        <v>64</v>
      </c>
      <c r="D2598" t="str">
        <f t="shared" si="922"/>
        <v>I67</v>
      </c>
      <c r="E2598" t="str">
        <f t="shared" ca="1" si="923"/>
        <v/>
      </c>
      <c r="F2598" t="str">
        <f t="shared" ca="1" si="924"/>
        <v xml:space="preserve">Enter a 'Square Footage of Low-Income Units' for  building 64 in cell I67.
</v>
      </c>
      <c r="G2598" s="9" t="str">
        <f t="shared" ca="1" si="925"/>
        <v xml:space="preserve">Enter a value for 'Number of Floors in the Tallest Building' in cell B60.
</v>
      </c>
      <c r="H2598" s="52" t="str">
        <f t="shared" ca="1" si="926"/>
        <v>Square Footage of Low-Income Units</v>
      </c>
      <c r="I2598" s="52">
        <v>9</v>
      </c>
    </row>
    <row r="2599" spans="1:10" ht="15" customHeight="1">
      <c r="A2599" t="str">
        <f t="shared" ca="1" si="920"/>
        <v/>
      </c>
      <c r="B2599">
        <f t="shared" si="921"/>
        <v>67</v>
      </c>
      <c r="C2599">
        <f t="shared" ca="1" si="901"/>
        <v>64</v>
      </c>
      <c r="D2599" t="str">
        <f t="shared" si="922"/>
        <v>J67</v>
      </c>
      <c r="E2599" t="str">
        <f t="shared" ca="1" si="923"/>
        <v/>
      </c>
      <c r="F2599" t="str">
        <f t="shared" ca="1" si="924"/>
        <v xml:space="preserve">Enter a 'Placed-In-Service Date' for  building 64 in cell J67.
</v>
      </c>
      <c r="G2599" s="9" t="str">
        <f t="shared" ca="1" si="925"/>
        <v xml:space="preserve">Enter a value for 'Number of Floors in the Tallest Building' in cell B60.
</v>
      </c>
      <c r="H2599" s="52" t="str">
        <f t="shared" ca="1" si="926"/>
        <v>Placed-In-Service Date</v>
      </c>
      <c r="I2599" s="52">
        <v>10</v>
      </c>
    </row>
    <row r="2600" spans="1:10" ht="15" customHeight="1">
      <c r="A2600" t="str">
        <f t="shared" ca="1" si="920"/>
        <v/>
      </c>
      <c r="B2600">
        <f t="shared" si="921"/>
        <v>67</v>
      </c>
      <c r="C2600">
        <f t="shared" ca="1" si="901"/>
        <v>64</v>
      </c>
      <c r="D2600" t="str">
        <f t="shared" si="922"/>
        <v>K67</v>
      </c>
      <c r="E2600" t="str">
        <f t="shared" ca="1" si="923"/>
        <v/>
      </c>
      <c r="F2600" t="str">
        <f t="shared" ca="1" si="924"/>
        <v xml:space="preserve">Enter a 'New Construction/ Rehab APR' for  building 64 in cell K67.
</v>
      </c>
      <c r="G2600" s="9" t="str">
        <f t="shared" ca="1" si="925"/>
        <v xml:space="preserve">Enter a value for 'Number of Floors in the Tallest Building' in cell B60.
</v>
      </c>
      <c r="H2600" s="52" t="str">
        <f t="shared" ca="1" si="926"/>
        <v>New Construction/ Rehab APR</v>
      </c>
      <c r="I2600" s="52">
        <v>11</v>
      </c>
    </row>
    <row r="2601" spans="1:10" ht="15" customHeight="1">
      <c r="A2601" t="str">
        <f t="shared" ca="1" si="920"/>
        <v/>
      </c>
      <c r="B2601">
        <f t="shared" si="921"/>
        <v>67</v>
      </c>
      <c r="C2601">
        <f t="shared" ca="1" si="901"/>
        <v>64</v>
      </c>
      <c r="D2601" t="str">
        <f t="shared" si="922"/>
        <v>L67</v>
      </c>
      <c r="E2601" t="str">
        <f t="shared" ca="1" si="923"/>
        <v/>
      </c>
      <c r="F2601" t="str">
        <f t="shared" ca="1" si="924"/>
        <v xml:space="preserve">Enter a 'New Construction Eligible Basis' for  building 64 in cell L67.
</v>
      </c>
      <c r="G2601" s="9" t="str">
        <f t="shared" ca="1" si="925"/>
        <v xml:space="preserve">Enter a value for 'Number of Floors in the Tallest Building' in cell B60.
</v>
      </c>
      <c r="H2601" s="52" t="str">
        <f t="shared" ca="1" si="926"/>
        <v>New Construction Eligible Basis</v>
      </c>
      <c r="I2601" s="52">
        <v>12</v>
      </c>
    </row>
    <row r="2602" spans="1:10" ht="15" customHeight="1">
      <c r="A2602" t="str">
        <f ca="1">IF(AND(OFFSET(A2602, -I2602 + 2, 4) &gt;  0, E2602="", Calculations!$B$7), F2602, "")</f>
        <v/>
      </c>
      <c r="B2602">
        <f t="shared" si="921"/>
        <v>67</v>
      </c>
      <c r="C2602">
        <f t="shared" ca="1" si="901"/>
        <v>64</v>
      </c>
      <c r="D2602" t="str">
        <f t="shared" si="922"/>
        <v>M67</v>
      </c>
      <c r="E2602" t="str">
        <f t="shared" ca="1" si="923"/>
        <v/>
      </c>
      <c r="F2602" t="str">
        <f t="shared" ca="1" si="924"/>
        <v xml:space="preserve">Enter a 'Eligible Basis for Rehab' for  building 64 in cell M67.
</v>
      </c>
      <c r="G2602" s="9" t="str">
        <f t="shared" ca="1" si="925"/>
        <v xml:space="preserve">Enter a value for 'Number of Floors in the Tallest Building' in cell B60.
</v>
      </c>
      <c r="H2602" s="52" t="str">
        <f t="shared" ca="1" si="926"/>
        <v>Eligible Basis for Rehab</v>
      </c>
      <c r="I2602" s="52">
        <v>13</v>
      </c>
    </row>
    <row r="2603" spans="1:10" ht="15" customHeight="1">
      <c r="A2603" t="str">
        <f ca="1">IF(AND(OFFSET(A2603, -I2603 + 2, 4) &gt;  0, E2603="", Calculations!$B$7), F2603, "")</f>
        <v/>
      </c>
      <c r="B2603">
        <f t="shared" si="921"/>
        <v>67</v>
      </c>
      <c r="C2603">
        <f t="shared" ca="1" si="901"/>
        <v>64</v>
      </c>
      <c r="D2603" t="str">
        <f t="shared" si="922"/>
        <v>N67</v>
      </c>
      <c r="E2603" t="str">
        <f t="shared" ca="1" si="923"/>
        <v/>
      </c>
      <c r="F2603" t="str">
        <f t="shared" ca="1" si="924"/>
        <v xml:space="preserve">Enter a 'Cost of Acquiring the Building***' for  building 64 in cell N67.
</v>
      </c>
      <c r="G2603" s="9" t="str">
        <f t="shared" ca="1" si="925"/>
        <v xml:space="preserve">Enter a value for 'Number of Floors in the Tallest Building' in cell B60.
</v>
      </c>
      <c r="H2603" s="52" t="str">
        <f t="shared" ca="1" si="926"/>
        <v>Cost of Acquiring the Building***</v>
      </c>
      <c r="I2603" s="52">
        <v>14</v>
      </c>
    </row>
    <row r="2604" spans="1:10" ht="15" customHeight="1">
      <c r="A2604" t="str">
        <f ca="1">IF(AND(OFFSET(A2604, -I2604 + 2, 4) &gt;  0, E2604="", Calculations!$B$7), F2604, "")</f>
        <v/>
      </c>
      <c r="B2604">
        <f t="shared" si="921"/>
        <v>67</v>
      </c>
      <c r="C2604">
        <f t="shared" ca="1" si="901"/>
        <v>64</v>
      </c>
      <c r="D2604" t="str">
        <f t="shared" si="922"/>
        <v>O67</v>
      </c>
      <c r="E2604" t="str">
        <f t="shared" ca="1" si="923"/>
        <v/>
      </c>
      <c r="F2604" t="str">
        <f t="shared" ca="1" si="924"/>
        <v xml:space="preserve">Enter a 'Higher of Land Purchase Price or Land Appraised Value****' for  building 64 in cell O67.
</v>
      </c>
      <c r="G2604" s="9" t="str">
        <f t="shared" ca="1" si="925"/>
        <v xml:space="preserve">Enter a value for 'Number of Floors in the Tallest Building' in cell B60.
</v>
      </c>
      <c r="H2604" s="52" t="str">
        <f t="shared" ca="1" si="926"/>
        <v>Higher of Land Purchase Price or Land Appraised Value****</v>
      </c>
      <c r="I2604" s="52">
        <v>15</v>
      </c>
    </row>
    <row r="2605" spans="1:10" ht="15" customHeight="1">
      <c r="A2605" t="str">
        <f ca="1">IF(AND(OFFSET(A2605, -I2605 + 2, 4) &gt;  0, E2605="", Calculations!$B$7), F2605, "")</f>
        <v/>
      </c>
      <c r="B2605">
        <f t="shared" si="921"/>
        <v>67</v>
      </c>
      <c r="C2605">
        <f t="shared" ca="1" si="901"/>
        <v>64</v>
      </c>
      <c r="D2605" t="str">
        <f t="shared" si="922"/>
        <v>P67</v>
      </c>
      <c r="E2605" t="str">
        <f t="shared" ca="1" si="923"/>
        <v/>
      </c>
      <c r="F2605" t="str">
        <f t="shared" ca="1" si="924"/>
        <v xml:space="preserve">Enter a 'Acquisition Placed-in-Service Date' for  building 64 in cell P67.
</v>
      </c>
      <c r="G2605" s="9" t="str">
        <f t="shared" ca="1" si="925"/>
        <v xml:space="preserve">Enter a value for 'Number of Floors in the Tallest Building' in cell B60.
</v>
      </c>
      <c r="H2605" s="52" t="str">
        <f t="shared" ca="1" si="926"/>
        <v>Acquisition Placed-in-Service Date</v>
      </c>
      <c r="I2605" s="52">
        <v>16</v>
      </c>
    </row>
    <row r="2606" spans="1:10" ht="15" customHeight="1">
      <c r="A2606" t="str">
        <f ca="1">IF(AND(OFFSET(A2606, -I2606 + 2, 4) &gt;  0, E2606="", Calculations!$B$7), F2606, "")</f>
        <v/>
      </c>
      <c r="B2606">
        <f t="shared" si="921"/>
        <v>67</v>
      </c>
      <c r="C2606">
        <f t="shared" ca="1" si="901"/>
        <v>64</v>
      </c>
      <c r="D2606" t="str">
        <f t="shared" si="922"/>
        <v>Q67</v>
      </c>
      <c r="E2606" t="str">
        <f t="shared" ca="1" si="923"/>
        <v/>
      </c>
      <c r="F2606" t="str">
        <f t="shared" ca="1" si="924"/>
        <v xml:space="preserve">Enter a 'Acquisition APR' for  building 64 in cell Q67.
</v>
      </c>
      <c r="G2606" s="9" t="str">
        <f t="shared" ca="1" si="925"/>
        <v xml:space="preserve">Enter a value for 'Number of Floors in the Tallest Building' in cell B60.
</v>
      </c>
      <c r="H2606" s="52" t="str">
        <f t="shared" ca="1" si="926"/>
        <v>Acquisition APR</v>
      </c>
      <c r="I2606" s="52">
        <v>17</v>
      </c>
    </row>
    <row r="2607" spans="1:10" ht="15" customHeight="1">
      <c r="A2607" t="str">
        <f ca="1">IF(AND(Calculations!$B$4,Calculations!$B$29&gt;=C2607, E2607 &lt;&gt; 13),F2607,"")</f>
        <v/>
      </c>
      <c r="B2607">
        <f>ROW('Final Building Profile'!C68)</f>
        <v>68</v>
      </c>
      <c r="C2607">
        <f t="shared" ref="C2607:C2670" ca="1" si="927">INDIRECT($F$1565 &amp; ADDRESS(B2607, 1,4  ))</f>
        <v>65</v>
      </c>
      <c r="D2607" t="str">
        <f>ADDRESS(B2607, 3,4  )</f>
        <v>C68</v>
      </c>
      <c r="E2607" s="52">
        <f ca="1">H2607+I2607</f>
        <v>0</v>
      </c>
      <c r="F2607" t="str">
        <f ca="1">CONCATENATE("Based upon the number of buildings specified, information for  building ", C2607, " required for a final application in row ", B2607, ".", CHAR(10))</f>
        <v xml:space="preserve">Based upon the number of buildings specified, information for  building 65 required for a final application in row 68.
</v>
      </c>
      <c r="G2607" s="9" t="str">
        <f t="shared" ca="1" si="925"/>
        <v xml:space="preserve">Enter a value for 'Number of Floors in the Tallest Building' in cell B60.
</v>
      </c>
      <c r="H2607" s="52">
        <f ca="1">SUMPRODUCT(--ISTEXT(INDIRECT(J2607)))</f>
        <v>0</v>
      </c>
      <c r="I2607" s="52">
        <f ca="1">SUMPRODUCT(--ISNUMBER(INDIRECT(J2607)))</f>
        <v>0</v>
      </c>
      <c r="J2607" s="52" t="str">
        <f>$F$1565&amp; ADDRESS(B2607,3,4) &amp; ":" &amp; ADDRESS(B2607,15,4)</f>
        <v>'Final Building Profile'!C68:O68</v>
      </c>
    </row>
    <row r="2608" spans="1:10" ht="15" customHeight="1">
      <c r="A2608" t="str">
        <f t="shared" ref="A2608:A2617" ca="1" si="928">IF(AND(OFFSET(A2608, -I2608 + 2, 4) &gt;  0, E2608=""), F2608, "")</f>
        <v/>
      </c>
      <c r="B2608">
        <f t="shared" ref="B2608:B2622" si="929">B2607</f>
        <v>68</v>
      </c>
      <c r="C2608">
        <f t="shared" ca="1" si="927"/>
        <v>65</v>
      </c>
      <c r="D2608" t="str">
        <f t="shared" ref="D2608:D2622" si="930">ADDRESS(B2608, I2608,4  )</f>
        <v>C68</v>
      </c>
      <c r="E2608" t="str">
        <f t="shared" ref="E2608:E2622" ca="1" si="931">IF(ISBLANK( INDIRECT($F$1565 &amp; D2608)),"", INDIRECT($F$1565 &amp; D2608))</f>
        <v/>
      </c>
      <c r="F2608" t="str">
        <f t="shared" ref="F2608:F2622" ca="1" si="932">CONCATENATE("Enter a '"&amp; H2608 &amp;"' for  building ", C2608, " in cell ", D2608, ".", CHAR(10))</f>
        <v xml:space="preserve">Enter a 'Building Street Address Only 
(DO NOT ENTER CITY, STATE, OR ZIP)' for  building 65 in cell C68.
</v>
      </c>
      <c r="G2608" s="9" t="str">
        <f t="shared" ca="1" si="925"/>
        <v xml:space="preserve">Enter a value for 'Number of Floors in the Tallest Building' in cell B60.
</v>
      </c>
      <c r="H2608" s="52" t="str">
        <f t="shared" ref="H2608:H2622" ca="1" si="933">OFFSET(INDIRECT($F$1565 &amp; D2608), -B2608 + 3, 0)</f>
        <v>Building Street Address Only 
(DO NOT ENTER CITY, STATE, OR ZIP)</v>
      </c>
      <c r="I2608" s="52">
        <v>3</v>
      </c>
    </row>
    <row r="2609" spans="1:10" ht="15" customHeight="1">
      <c r="A2609" t="str">
        <f t="shared" ca="1" si="928"/>
        <v/>
      </c>
      <c r="B2609">
        <f t="shared" si="929"/>
        <v>68</v>
      </c>
      <c r="C2609">
        <f t="shared" ca="1" si="927"/>
        <v>65</v>
      </c>
      <c r="D2609" t="str">
        <f t="shared" si="930"/>
        <v>D68</v>
      </c>
      <c r="E2609" t="str">
        <f t="shared" ca="1" si="931"/>
        <v/>
      </c>
      <c r="F2609" t="str">
        <f t="shared" ca="1" si="932"/>
        <v xml:space="preserve">Enter a 'Total Units in Building*' for  building 65 in cell D68.
</v>
      </c>
      <c r="G2609" s="9" t="str">
        <f t="shared" ca="1" si="925"/>
        <v xml:space="preserve">Enter a value for 'Number of Floors in the Tallest Building' in cell B60.
</v>
      </c>
      <c r="H2609" s="52" t="str">
        <f t="shared" ca="1" si="933"/>
        <v>Total Units in Building*</v>
      </c>
      <c r="I2609" s="52">
        <v>4</v>
      </c>
    </row>
    <row r="2610" spans="1:10" ht="15" customHeight="1">
      <c r="A2610" t="str">
        <f t="shared" ca="1" si="928"/>
        <v/>
      </c>
      <c r="B2610">
        <f t="shared" si="929"/>
        <v>68</v>
      </c>
      <c r="C2610">
        <f t="shared" ca="1" si="927"/>
        <v>65</v>
      </c>
      <c r="D2610" t="str">
        <f t="shared" si="930"/>
        <v>E68</v>
      </c>
      <c r="E2610" t="str">
        <f t="shared" ca="1" si="931"/>
        <v/>
      </c>
      <c r="F2610" t="str">
        <f t="shared" ca="1" si="932"/>
        <v xml:space="preserve">Enter a 'Employee Units' for  building 65 in cell E68.
</v>
      </c>
      <c r="G2610" s="9" t="str">
        <f t="shared" ca="1" si="925"/>
        <v xml:space="preserve">Enter a value for 'Number of Floors in the Tallest Building' in cell B60.
</v>
      </c>
      <c r="H2610" s="52" t="str">
        <f t="shared" ca="1" si="933"/>
        <v>Employee Units</v>
      </c>
      <c r="I2610" s="52">
        <v>5</v>
      </c>
    </row>
    <row r="2611" spans="1:10" ht="15" customHeight="1">
      <c r="A2611" t="str">
        <f t="shared" ca="1" si="928"/>
        <v/>
      </c>
      <c r="B2611">
        <f t="shared" si="929"/>
        <v>68</v>
      </c>
      <c r="C2611">
        <f t="shared" ca="1" si="927"/>
        <v>65</v>
      </c>
      <c r="D2611" t="str">
        <f t="shared" si="930"/>
        <v>F68</v>
      </c>
      <c r="E2611" t="str">
        <f t="shared" ca="1" si="931"/>
        <v/>
      </c>
      <c r="F2611" t="str">
        <f t="shared" ca="1" si="932"/>
        <v xml:space="preserve">Enter a 'Low-Income Units' for  building 65 in cell F68.
</v>
      </c>
      <c r="G2611" s="9" t="str">
        <f t="shared" ca="1" si="925"/>
        <v xml:space="preserve">Enter a value for 'Number of Floors in the Tallest Building' in cell B60.
</v>
      </c>
      <c r="H2611" s="52" t="str">
        <f t="shared" ca="1" si="933"/>
        <v>Low-Income Units</v>
      </c>
      <c r="I2611" s="52">
        <v>6</v>
      </c>
    </row>
    <row r="2612" spans="1:10" ht="15" customHeight="1">
      <c r="A2612" t="str">
        <f t="shared" ca="1" si="928"/>
        <v/>
      </c>
      <c r="B2612">
        <f t="shared" si="929"/>
        <v>68</v>
      </c>
      <c r="C2612">
        <f t="shared" ca="1" si="927"/>
        <v>65</v>
      </c>
      <c r="D2612" t="str">
        <f t="shared" si="930"/>
        <v>G68</v>
      </c>
      <c r="E2612" t="str">
        <f t="shared" ca="1" si="931"/>
        <v/>
      </c>
      <c r="F2612" t="str">
        <f t="shared" ca="1" si="932"/>
        <v xml:space="preserve">Enter a 'Residential Square Footage**' for  building 65 in cell G68.
</v>
      </c>
      <c r="G2612" s="9" t="str">
        <f t="shared" ca="1" si="925"/>
        <v xml:space="preserve">Enter a value for 'Number of Floors in the Tallest Building' in cell B60.
</v>
      </c>
      <c r="H2612" s="52" t="str">
        <f t="shared" ca="1" si="933"/>
        <v>Residential Square Footage**</v>
      </c>
      <c r="I2612" s="52">
        <v>7</v>
      </c>
    </row>
    <row r="2613" spans="1:10" ht="15" customHeight="1">
      <c r="A2613" t="str">
        <f t="shared" ca="1" si="928"/>
        <v/>
      </c>
      <c r="B2613">
        <f t="shared" si="929"/>
        <v>68</v>
      </c>
      <c r="C2613">
        <f t="shared" ca="1" si="927"/>
        <v>65</v>
      </c>
      <c r="D2613" t="str">
        <f t="shared" si="930"/>
        <v>H68</v>
      </c>
      <c r="E2613" t="str">
        <f t="shared" ca="1" si="931"/>
        <v/>
      </c>
      <c r="F2613" t="str">
        <f t="shared" ca="1" si="932"/>
        <v xml:space="preserve">Enter a 'Square Footage of Employee Units' for  building 65 in cell H68.
</v>
      </c>
      <c r="G2613" s="9" t="str">
        <f t="shared" ca="1" si="925"/>
        <v xml:space="preserve">Enter a value for 'Number of Floors in the Tallest Building' in cell B60.
</v>
      </c>
      <c r="H2613" s="52" t="str">
        <f t="shared" ca="1" si="933"/>
        <v>Square Footage of Employee Units</v>
      </c>
      <c r="I2613" s="52">
        <v>8</v>
      </c>
    </row>
    <row r="2614" spans="1:10" ht="15" customHeight="1">
      <c r="A2614" t="str">
        <f t="shared" ca="1" si="928"/>
        <v/>
      </c>
      <c r="B2614">
        <f t="shared" si="929"/>
        <v>68</v>
      </c>
      <c r="C2614">
        <f t="shared" ca="1" si="927"/>
        <v>65</v>
      </c>
      <c r="D2614" t="str">
        <f t="shared" si="930"/>
        <v>I68</v>
      </c>
      <c r="E2614" t="str">
        <f t="shared" ca="1" si="931"/>
        <v/>
      </c>
      <c r="F2614" t="str">
        <f t="shared" ca="1" si="932"/>
        <v xml:space="preserve">Enter a 'Square Footage of Low-Income Units' for  building 65 in cell I68.
</v>
      </c>
      <c r="G2614" s="9" t="str">
        <f t="shared" ca="1" si="925"/>
        <v xml:space="preserve">Enter a value for 'Number of Floors in the Tallest Building' in cell B60.
</v>
      </c>
      <c r="H2614" s="52" t="str">
        <f t="shared" ca="1" si="933"/>
        <v>Square Footage of Low-Income Units</v>
      </c>
      <c r="I2614" s="52">
        <v>9</v>
      </c>
    </row>
    <row r="2615" spans="1:10" ht="15" customHeight="1">
      <c r="A2615" t="str">
        <f t="shared" ca="1" si="928"/>
        <v/>
      </c>
      <c r="B2615">
        <f t="shared" si="929"/>
        <v>68</v>
      </c>
      <c r="C2615">
        <f t="shared" ca="1" si="927"/>
        <v>65</v>
      </c>
      <c r="D2615" t="str">
        <f t="shared" si="930"/>
        <v>J68</v>
      </c>
      <c r="E2615" t="str">
        <f t="shared" ca="1" si="931"/>
        <v/>
      </c>
      <c r="F2615" t="str">
        <f t="shared" ca="1" si="932"/>
        <v xml:space="preserve">Enter a 'Placed-In-Service Date' for  building 65 in cell J68.
</v>
      </c>
      <c r="G2615" s="9" t="str">
        <f t="shared" ca="1" si="925"/>
        <v xml:space="preserve">Enter a value for 'Number of Floors in the Tallest Building' in cell B60.
</v>
      </c>
      <c r="H2615" s="52" t="str">
        <f t="shared" ca="1" si="933"/>
        <v>Placed-In-Service Date</v>
      </c>
      <c r="I2615" s="52">
        <v>10</v>
      </c>
    </row>
    <row r="2616" spans="1:10" ht="15" customHeight="1">
      <c r="A2616" t="str">
        <f t="shared" ca="1" si="928"/>
        <v/>
      </c>
      <c r="B2616">
        <f t="shared" si="929"/>
        <v>68</v>
      </c>
      <c r="C2616">
        <f t="shared" ca="1" si="927"/>
        <v>65</v>
      </c>
      <c r="D2616" t="str">
        <f t="shared" si="930"/>
        <v>K68</v>
      </c>
      <c r="E2616" t="str">
        <f t="shared" ca="1" si="931"/>
        <v/>
      </c>
      <c r="F2616" t="str">
        <f t="shared" ca="1" si="932"/>
        <v xml:space="preserve">Enter a 'New Construction/ Rehab APR' for  building 65 in cell K68.
</v>
      </c>
      <c r="G2616" s="9" t="str">
        <f t="shared" ca="1" si="925"/>
        <v xml:space="preserve">Enter a value for 'Number of Floors in the Tallest Building' in cell B60.
</v>
      </c>
      <c r="H2616" s="52" t="str">
        <f t="shared" ca="1" si="933"/>
        <v>New Construction/ Rehab APR</v>
      </c>
      <c r="I2616" s="52">
        <v>11</v>
      </c>
    </row>
    <row r="2617" spans="1:10" ht="15" customHeight="1">
      <c r="A2617" t="str">
        <f t="shared" ca="1" si="928"/>
        <v/>
      </c>
      <c r="B2617">
        <f t="shared" si="929"/>
        <v>68</v>
      </c>
      <c r="C2617">
        <f t="shared" ca="1" si="927"/>
        <v>65</v>
      </c>
      <c r="D2617" t="str">
        <f t="shared" si="930"/>
        <v>L68</v>
      </c>
      <c r="E2617" t="str">
        <f t="shared" ca="1" si="931"/>
        <v/>
      </c>
      <c r="F2617" t="str">
        <f t="shared" ca="1" si="932"/>
        <v xml:space="preserve">Enter a 'New Construction Eligible Basis' for  building 65 in cell L68.
</v>
      </c>
      <c r="G2617" s="9" t="str">
        <f t="shared" ca="1" si="925"/>
        <v xml:space="preserve">Enter a value for 'Number of Floors in the Tallest Building' in cell B60.
</v>
      </c>
      <c r="H2617" s="52" t="str">
        <f t="shared" ca="1" si="933"/>
        <v>New Construction Eligible Basis</v>
      </c>
      <c r="I2617" s="52">
        <v>12</v>
      </c>
    </row>
    <row r="2618" spans="1:10" ht="15" customHeight="1">
      <c r="A2618" t="str">
        <f ca="1">IF(AND(OFFSET(A2618, -I2618 + 2, 4) &gt;  0, E2618="", Calculations!$B$7), F2618, "")</f>
        <v/>
      </c>
      <c r="B2618">
        <f t="shared" si="929"/>
        <v>68</v>
      </c>
      <c r="C2618">
        <f t="shared" ca="1" si="927"/>
        <v>65</v>
      </c>
      <c r="D2618" t="str">
        <f t="shared" si="930"/>
        <v>M68</v>
      </c>
      <c r="E2618" t="str">
        <f t="shared" ca="1" si="931"/>
        <v/>
      </c>
      <c r="F2618" t="str">
        <f t="shared" ca="1" si="932"/>
        <v xml:space="preserve">Enter a 'Eligible Basis for Rehab' for  building 65 in cell M68.
</v>
      </c>
      <c r="G2618" s="9" t="str">
        <f t="shared" ca="1" si="925"/>
        <v xml:space="preserve">Enter a value for 'Number of Floors in the Tallest Building' in cell B60.
</v>
      </c>
      <c r="H2618" s="52" t="str">
        <f t="shared" ca="1" si="933"/>
        <v>Eligible Basis for Rehab</v>
      </c>
      <c r="I2618" s="52">
        <v>13</v>
      </c>
    </row>
    <row r="2619" spans="1:10" ht="15" customHeight="1">
      <c r="A2619" t="str">
        <f ca="1">IF(AND(OFFSET(A2619, -I2619 + 2, 4) &gt;  0, E2619="", Calculations!$B$7), F2619, "")</f>
        <v/>
      </c>
      <c r="B2619">
        <f t="shared" si="929"/>
        <v>68</v>
      </c>
      <c r="C2619">
        <f t="shared" ca="1" si="927"/>
        <v>65</v>
      </c>
      <c r="D2619" t="str">
        <f t="shared" si="930"/>
        <v>N68</v>
      </c>
      <c r="E2619" t="str">
        <f t="shared" ca="1" si="931"/>
        <v/>
      </c>
      <c r="F2619" t="str">
        <f t="shared" ca="1" si="932"/>
        <v xml:space="preserve">Enter a 'Cost of Acquiring the Building***' for  building 65 in cell N68.
</v>
      </c>
      <c r="G2619" s="9" t="str">
        <f t="shared" ca="1" si="925"/>
        <v xml:space="preserve">Enter a value for 'Number of Floors in the Tallest Building' in cell B60.
</v>
      </c>
      <c r="H2619" s="52" t="str">
        <f t="shared" ca="1" si="933"/>
        <v>Cost of Acquiring the Building***</v>
      </c>
      <c r="I2619" s="52">
        <v>14</v>
      </c>
    </row>
    <row r="2620" spans="1:10" ht="15" customHeight="1">
      <c r="A2620" t="str">
        <f ca="1">IF(AND(OFFSET(A2620, -I2620 + 2, 4) &gt;  0, E2620="", Calculations!$B$7), F2620, "")</f>
        <v/>
      </c>
      <c r="B2620">
        <f t="shared" si="929"/>
        <v>68</v>
      </c>
      <c r="C2620">
        <f t="shared" ca="1" si="927"/>
        <v>65</v>
      </c>
      <c r="D2620" t="str">
        <f t="shared" si="930"/>
        <v>O68</v>
      </c>
      <c r="E2620" t="str">
        <f t="shared" ca="1" si="931"/>
        <v/>
      </c>
      <c r="F2620" t="str">
        <f t="shared" ca="1" si="932"/>
        <v xml:space="preserve">Enter a 'Higher of Land Purchase Price or Land Appraised Value****' for  building 65 in cell O68.
</v>
      </c>
      <c r="G2620" s="9" t="str">
        <f t="shared" ca="1" si="925"/>
        <v xml:space="preserve">Enter a value for 'Number of Floors in the Tallest Building' in cell B60.
</v>
      </c>
      <c r="H2620" s="52" t="str">
        <f t="shared" ca="1" si="933"/>
        <v>Higher of Land Purchase Price or Land Appraised Value****</v>
      </c>
      <c r="I2620" s="52">
        <v>15</v>
      </c>
    </row>
    <row r="2621" spans="1:10" ht="15" customHeight="1">
      <c r="A2621" t="str">
        <f ca="1">IF(AND(OFFSET(A2621, -I2621 + 2, 4) &gt;  0, E2621="", Calculations!$B$7), F2621, "")</f>
        <v/>
      </c>
      <c r="B2621">
        <f t="shared" si="929"/>
        <v>68</v>
      </c>
      <c r="C2621">
        <f t="shared" ca="1" si="927"/>
        <v>65</v>
      </c>
      <c r="D2621" t="str">
        <f t="shared" si="930"/>
        <v>P68</v>
      </c>
      <c r="E2621" t="str">
        <f t="shared" ca="1" si="931"/>
        <v/>
      </c>
      <c r="F2621" t="str">
        <f t="shared" ca="1" si="932"/>
        <v xml:space="preserve">Enter a 'Acquisition Placed-in-Service Date' for  building 65 in cell P68.
</v>
      </c>
      <c r="G2621" s="9" t="str">
        <f t="shared" ca="1" si="925"/>
        <v xml:space="preserve">Enter a value for 'Number of Floors in the Tallest Building' in cell B60.
</v>
      </c>
      <c r="H2621" s="52" t="str">
        <f t="shared" ca="1" si="933"/>
        <v>Acquisition Placed-in-Service Date</v>
      </c>
      <c r="I2621" s="52">
        <v>16</v>
      </c>
    </row>
    <row r="2622" spans="1:10" ht="15" customHeight="1">
      <c r="A2622" t="str">
        <f ca="1">IF(AND(OFFSET(A2622, -I2622 + 2, 4) &gt;  0, E2622="", Calculations!$B$7), F2622, "")</f>
        <v/>
      </c>
      <c r="B2622">
        <f t="shared" si="929"/>
        <v>68</v>
      </c>
      <c r="C2622">
        <f t="shared" ca="1" si="927"/>
        <v>65</v>
      </c>
      <c r="D2622" t="str">
        <f t="shared" si="930"/>
        <v>Q68</v>
      </c>
      <c r="E2622" t="str">
        <f t="shared" ca="1" si="931"/>
        <v/>
      </c>
      <c r="F2622" t="str">
        <f t="shared" ca="1" si="932"/>
        <v xml:space="preserve">Enter a 'Acquisition APR' for  building 65 in cell Q68.
</v>
      </c>
      <c r="G2622" s="9" t="str">
        <f t="shared" ca="1" si="925"/>
        <v xml:space="preserve">Enter a value for 'Number of Floors in the Tallest Building' in cell B60.
</v>
      </c>
      <c r="H2622" s="52" t="str">
        <f t="shared" ca="1" si="933"/>
        <v>Acquisition APR</v>
      </c>
      <c r="I2622" s="52">
        <v>17</v>
      </c>
    </row>
    <row r="2623" spans="1:10" ht="15" customHeight="1">
      <c r="A2623" t="str">
        <f ca="1">IF(AND(Calculations!$B$4,Calculations!$B$29&gt;=C2623, E2623 &lt;&gt; 13),F2623,"")</f>
        <v/>
      </c>
      <c r="B2623">
        <f>ROW('Final Building Profile'!C69)</f>
        <v>69</v>
      </c>
      <c r="C2623">
        <f t="shared" ca="1" si="927"/>
        <v>66</v>
      </c>
      <c r="D2623" t="str">
        <f>ADDRESS(B2623, 3,4  )</f>
        <v>C69</v>
      </c>
      <c r="E2623" s="52">
        <f ca="1">H2623+I2623</f>
        <v>0</v>
      </c>
      <c r="F2623" t="str">
        <f ca="1">CONCATENATE("Based upon the number of buildings specified, information for  building ", C2623, " required for a final application in row ", B2623, ".", CHAR(10))</f>
        <v xml:space="preserve">Based upon the number of buildings specified, information for  building 66 required for a final application in row 69.
</v>
      </c>
      <c r="G2623" s="9" t="str">
        <f t="shared" ca="1" si="925"/>
        <v xml:space="preserve">Enter a value for 'Number of Floors in the Tallest Building' in cell B60.
</v>
      </c>
      <c r="H2623" s="52">
        <f ca="1">SUMPRODUCT(--ISTEXT(INDIRECT(J2623)))</f>
        <v>0</v>
      </c>
      <c r="I2623" s="52">
        <f ca="1">SUMPRODUCT(--ISNUMBER(INDIRECT(J2623)))</f>
        <v>0</v>
      </c>
      <c r="J2623" s="52" t="str">
        <f>$F$1565&amp; ADDRESS(B2623,3,4) &amp; ":" &amp; ADDRESS(B2623,15,4)</f>
        <v>'Final Building Profile'!C69:O69</v>
      </c>
    </row>
    <row r="2624" spans="1:10" ht="15" customHeight="1">
      <c r="A2624" t="str">
        <f t="shared" ref="A2624:A2633" ca="1" si="934">IF(AND(OFFSET(A2624, -I2624 + 2, 4) &gt;  0, E2624=""), F2624, "")</f>
        <v/>
      </c>
      <c r="B2624">
        <f t="shared" ref="B2624:B2638" si="935">B2623</f>
        <v>69</v>
      </c>
      <c r="C2624">
        <f t="shared" ca="1" si="927"/>
        <v>66</v>
      </c>
      <c r="D2624" t="str">
        <f t="shared" ref="D2624:D2638" si="936">ADDRESS(B2624, I2624,4  )</f>
        <v>C69</v>
      </c>
      <c r="E2624" t="str">
        <f t="shared" ref="E2624:E2638" ca="1" si="937">IF(ISBLANK( INDIRECT($F$1565 &amp; D2624)),"", INDIRECT($F$1565 &amp; D2624))</f>
        <v/>
      </c>
      <c r="F2624" t="str">
        <f t="shared" ref="F2624:F2638" ca="1" si="938">CONCATENATE("Enter a '"&amp; H2624 &amp;"' for  building ", C2624, " in cell ", D2624, ".", CHAR(10))</f>
        <v xml:space="preserve">Enter a 'Building Street Address Only 
(DO NOT ENTER CITY, STATE, OR ZIP)' for  building 66 in cell C69.
</v>
      </c>
      <c r="G2624" s="9" t="str">
        <f t="shared" ca="1" si="925"/>
        <v xml:space="preserve">Enter a value for 'Number of Floors in the Tallest Building' in cell B60.
</v>
      </c>
      <c r="H2624" s="52" t="str">
        <f t="shared" ref="H2624:H2638" ca="1" si="939">OFFSET(INDIRECT($F$1565 &amp; D2624), -B2624 + 3, 0)</f>
        <v>Building Street Address Only 
(DO NOT ENTER CITY, STATE, OR ZIP)</v>
      </c>
      <c r="I2624" s="52">
        <v>3</v>
      </c>
    </row>
    <row r="2625" spans="1:10" ht="15" customHeight="1">
      <c r="A2625" t="str">
        <f t="shared" ca="1" si="934"/>
        <v/>
      </c>
      <c r="B2625">
        <f t="shared" si="935"/>
        <v>69</v>
      </c>
      <c r="C2625">
        <f t="shared" ca="1" si="927"/>
        <v>66</v>
      </c>
      <c r="D2625" t="str">
        <f t="shared" si="936"/>
        <v>D69</v>
      </c>
      <c r="E2625" t="str">
        <f t="shared" ca="1" si="937"/>
        <v/>
      </c>
      <c r="F2625" t="str">
        <f t="shared" ca="1" si="938"/>
        <v xml:space="preserve">Enter a 'Total Units in Building*' for  building 66 in cell D69.
</v>
      </c>
      <c r="G2625" s="9" t="str">
        <f t="shared" ca="1" si="925"/>
        <v xml:space="preserve">Enter a value for 'Number of Floors in the Tallest Building' in cell B60.
</v>
      </c>
      <c r="H2625" s="52" t="str">
        <f t="shared" ca="1" si="939"/>
        <v>Total Units in Building*</v>
      </c>
      <c r="I2625" s="52">
        <v>4</v>
      </c>
    </row>
    <row r="2626" spans="1:10" ht="15" customHeight="1">
      <c r="A2626" t="str">
        <f t="shared" ca="1" si="934"/>
        <v/>
      </c>
      <c r="B2626">
        <f t="shared" si="935"/>
        <v>69</v>
      </c>
      <c r="C2626">
        <f t="shared" ca="1" si="927"/>
        <v>66</v>
      </c>
      <c r="D2626" t="str">
        <f t="shared" si="936"/>
        <v>E69</v>
      </c>
      <c r="E2626" t="str">
        <f t="shared" ca="1" si="937"/>
        <v/>
      </c>
      <c r="F2626" t="str">
        <f t="shared" ca="1" si="938"/>
        <v xml:space="preserve">Enter a 'Employee Units' for  building 66 in cell E69.
</v>
      </c>
      <c r="G2626" s="9" t="str">
        <f t="shared" ca="1" si="925"/>
        <v xml:space="preserve">Enter a value for 'Number of Floors in the Tallest Building' in cell B60.
</v>
      </c>
      <c r="H2626" s="52" t="str">
        <f t="shared" ca="1" si="939"/>
        <v>Employee Units</v>
      </c>
      <c r="I2626" s="52">
        <v>5</v>
      </c>
    </row>
    <row r="2627" spans="1:10" ht="15" customHeight="1">
      <c r="A2627" t="str">
        <f t="shared" ca="1" si="934"/>
        <v/>
      </c>
      <c r="B2627">
        <f t="shared" si="935"/>
        <v>69</v>
      </c>
      <c r="C2627">
        <f t="shared" ca="1" si="927"/>
        <v>66</v>
      </c>
      <c r="D2627" t="str">
        <f t="shared" si="936"/>
        <v>F69</v>
      </c>
      <c r="E2627" t="str">
        <f t="shared" ca="1" si="937"/>
        <v/>
      </c>
      <c r="F2627" t="str">
        <f t="shared" ca="1" si="938"/>
        <v xml:space="preserve">Enter a 'Low-Income Units' for  building 66 in cell F69.
</v>
      </c>
      <c r="G2627" s="9" t="str">
        <f t="shared" ca="1" si="925"/>
        <v xml:space="preserve">Enter a value for 'Number of Floors in the Tallest Building' in cell B60.
</v>
      </c>
      <c r="H2627" s="52" t="str">
        <f t="shared" ca="1" si="939"/>
        <v>Low-Income Units</v>
      </c>
      <c r="I2627" s="52">
        <v>6</v>
      </c>
    </row>
    <row r="2628" spans="1:10" ht="15" customHeight="1">
      <c r="A2628" t="str">
        <f t="shared" ca="1" si="934"/>
        <v/>
      </c>
      <c r="B2628">
        <f t="shared" si="935"/>
        <v>69</v>
      </c>
      <c r="C2628">
        <f t="shared" ca="1" si="927"/>
        <v>66</v>
      </c>
      <c r="D2628" t="str">
        <f t="shared" si="936"/>
        <v>G69</v>
      </c>
      <c r="E2628" t="str">
        <f t="shared" ca="1" si="937"/>
        <v/>
      </c>
      <c r="F2628" t="str">
        <f t="shared" ca="1" si="938"/>
        <v xml:space="preserve">Enter a 'Residential Square Footage**' for  building 66 in cell G69.
</v>
      </c>
      <c r="G2628" s="9" t="str">
        <f t="shared" ca="1" si="925"/>
        <v xml:space="preserve">Enter a value for 'Number of Floors in the Tallest Building' in cell B60.
</v>
      </c>
      <c r="H2628" s="52" t="str">
        <f t="shared" ca="1" si="939"/>
        <v>Residential Square Footage**</v>
      </c>
      <c r="I2628" s="52">
        <v>7</v>
      </c>
    </row>
    <row r="2629" spans="1:10" ht="15" customHeight="1">
      <c r="A2629" t="str">
        <f t="shared" ca="1" si="934"/>
        <v/>
      </c>
      <c r="B2629">
        <f t="shared" si="935"/>
        <v>69</v>
      </c>
      <c r="C2629">
        <f t="shared" ca="1" si="927"/>
        <v>66</v>
      </c>
      <c r="D2629" t="str">
        <f t="shared" si="936"/>
        <v>H69</v>
      </c>
      <c r="E2629" t="str">
        <f t="shared" ca="1" si="937"/>
        <v/>
      </c>
      <c r="F2629" t="str">
        <f t="shared" ca="1" si="938"/>
        <v xml:space="preserve">Enter a 'Square Footage of Employee Units' for  building 66 in cell H69.
</v>
      </c>
      <c r="G2629" s="9" t="str">
        <f t="shared" ca="1" si="925"/>
        <v xml:space="preserve">Enter a value for 'Number of Floors in the Tallest Building' in cell B60.
</v>
      </c>
      <c r="H2629" s="52" t="str">
        <f t="shared" ca="1" si="939"/>
        <v>Square Footage of Employee Units</v>
      </c>
      <c r="I2629" s="52">
        <v>8</v>
      </c>
    </row>
    <row r="2630" spans="1:10" ht="15" customHeight="1">
      <c r="A2630" t="str">
        <f t="shared" ca="1" si="934"/>
        <v/>
      </c>
      <c r="B2630">
        <f t="shared" si="935"/>
        <v>69</v>
      </c>
      <c r="C2630">
        <f t="shared" ca="1" si="927"/>
        <v>66</v>
      </c>
      <c r="D2630" t="str">
        <f t="shared" si="936"/>
        <v>I69</v>
      </c>
      <c r="E2630" t="str">
        <f t="shared" ca="1" si="937"/>
        <v/>
      </c>
      <c r="F2630" t="str">
        <f t="shared" ca="1" si="938"/>
        <v xml:space="preserve">Enter a 'Square Footage of Low-Income Units' for  building 66 in cell I69.
</v>
      </c>
      <c r="G2630" s="9" t="str">
        <f t="shared" ca="1" si="925"/>
        <v xml:space="preserve">Enter a value for 'Number of Floors in the Tallest Building' in cell B60.
</v>
      </c>
      <c r="H2630" s="52" t="str">
        <f t="shared" ca="1" si="939"/>
        <v>Square Footage of Low-Income Units</v>
      </c>
      <c r="I2630" s="52">
        <v>9</v>
      </c>
    </row>
    <row r="2631" spans="1:10" ht="15" customHeight="1">
      <c r="A2631" t="str">
        <f t="shared" ca="1" si="934"/>
        <v/>
      </c>
      <c r="B2631">
        <f t="shared" si="935"/>
        <v>69</v>
      </c>
      <c r="C2631">
        <f t="shared" ca="1" si="927"/>
        <v>66</v>
      </c>
      <c r="D2631" t="str">
        <f t="shared" si="936"/>
        <v>J69</v>
      </c>
      <c r="E2631" t="str">
        <f t="shared" ca="1" si="937"/>
        <v/>
      </c>
      <c r="F2631" t="str">
        <f t="shared" ca="1" si="938"/>
        <v xml:space="preserve">Enter a 'Placed-In-Service Date' for  building 66 in cell J69.
</v>
      </c>
      <c r="G2631" s="9" t="str">
        <f t="shared" ca="1" si="925"/>
        <v xml:space="preserve">Enter a value for 'Number of Floors in the Tallest Building' in cell B60.
</v>
      </c>
      <c r="H2631" s="52" t="str">
        <f t="shared" ca="1" si="939"/>
        <v>Placed-In-Service Date</v>
      </c>
      <c r="I2631" s="52">
        <v>10</v>
      </c>
    </row>
    <row r="2632" spans="1:10" ht="15" customHeight="1">
      <c r="A2632" t="str">
        <f t="shared" ca="1" si="934"/>
        <v/>
      </c>
      <c r="B2632">
        <f t="shared" si="935"/>
        <v>69</v>
      </c>
      <c r="C2632">
        <f t="shared" ca="1" si="927"/>
        <v>66</v>
      </c>
      <c r="D2632" t="str">
        <f t="shared" si="936"/>
        <v>K69</v>
      </c>
      <c r="E2632" t="str">
        <f t="shared" ca="1" si="937"/>
        <v/>
      </c>
      <c r="F2632" t="str">
        <f t="shared" ca="1" si="938"/>
        <v xml:space="preserve">Enter a 'New Construction/ Rehab APR' for  building 66 in cell K69.
</v>
      </c>
      <c r="G2632" s="9" t="str">
        <f t="shared" ca="1" si="925"/>
        <v xml:space="preserve">Enter a value for 'Number of Floors in the Tallest Building' in cell B60.
</v>
      </c>
      <c r="H2632" s="52" t="str">
        <f t="shared" ca="1" si="939"/>
        <v>New Construction/ Rehab APR</v>
      </c>
      <c r="I2632" s="52">
        <v>11</v>
      </c>
    </row>
    <row r="2633" spans="1:10" ht="15" customHeight="1">
      <c r="A2633" t="str">
        <f t="shared" ca="1" si="934"/>
        <v/>
      </c>
      <c r="B2633">
        <f t="shared" si="935"/>
        <v>69</v>
      </c>
      <c r="C2633">
        <f t="shared" ca="1" si="927"/>
        <v>66</v>
      </c>
      <c r="D2633" t="str">
        <f t="shared" si="936"/>
        <v>L69</v>
      </c>
      <c r="E2633" t="str">
        <f t="shared" ca="1" si="937"/>
        <v/>
      </c>
      <c r="F2633" t="str">
        <f t="shared" ca="1" si="938"/>
        <v xml:space="preserve">Enter a 'New Construction Eligible Basis' for  building 66 in cell L69.
</v>
      </c>
      <c r="G2633" s="9" t="str">
        <f t="shared" ca="1" si="925"/>
        <v xml:space="preserve">Enter a value for 'Number of Floors in the Tallest Building' in cell B60.
</v>
      </c>
      <c r="H2633" s="52" t="str">
        <f t="shared" ca="1" si="939"/>
        <v>New Construction Eligible Basis</v>
      </c>
      <c r="I2633" s="52">
        <v>12</v>
      </c>
    </row>
    <row r="2634" spans="1:10" ht="15" customHeight="1">
      <c r="A2634" t="str">
        <f ca="1">IF(AND(OFFSET(A2634, -I2634 + 2, 4) &gt;  0, E2634="", Calculations!$B$7), F2634, "")</f>
        <v/>
      </c>
      <c r="B2634">
        <f t="shared" si="935"/>
        <v>69</v>
      </c>
      <c r="C2634">
        <f t="shared" ca="1" si="927"/>
        <v>66</v>
      </c>
      <c r="D2634" t="str">
        <f t="shared" si="936"/>
        <v>M69</v>
      </c>
      <c r="E2634" t="str">
        <f t="shared" ca="1" si="937"/>
        <v/>
      </c>
      <c r="F2634" t="str">
        <f t="shared" ca="1" si="938"/>
        <v xml:space="preserve">Enter a 'Eligible Basis for Rehab' for  building 66 in cell M69.
</v>
      </c>
      <c r="G2634" s="9" t="str">
        <f t="shared" ca="1" si="925"/>
        <v xml:space="preserve">Enter a value for 'Number of Floors in the Tallest Building' in cell B60.
</v>
      </c>
      <c r="H2634" s="52" t="str">
        <f t="shared" ca="1" si="939"/>
        <v>Eligible Basis for Rehab</v>
      </c>
      <c r="I2634" s="52">
        <v>13</v>
      </c>
    </row>
    <row r="2635" spans="1:10" ht="15" customHeight="1">
      <c r="A2635" t="str">
        <f ca="1">IF(AND(OFFSET(A2635, -I2635 + 2, 4) &gt;  0, E2635="", Calculations!$B$7), F2635, "")</f>
        <v/>
      </c>
      <c r="B2635">
        <f t="shared" si="935"/>
        <v>69</v>
      </c>
      <c r="C2635">
        <f t="shared" ca="1" si="927"/>
        <v>66</v>
      </c>
      <c r="D2635" t="str">
        <f t="shared" si="936"/>
        <v>N69</v>
      </c>
      <c r="E2635" t="str">
        <f t="shared" ca="1" si="937"/>
        <v/>
      </c>
      <c r="F2635" t="str">
        <f t="shared" ca="1" si="938"/>
        <v xml:space="preserve">Enter a 'Cost of Acquiring the Building***' for  building 66 in cell N69.
</v>
      </c>
      <c r="G2635" s="9" t="str">
        <f t="shared" ca="1" si="925"/>
        <v xml:space="preserve">Enter a value for 'Number of Floors in the Tallest Building' in cell B60.
</v>
      </c>
      <c r="H2635" s="52" t="str">
        <f t="shared" ca="1" si="939"/>
        <v>Cost of Acquiring the Building***</v>
      </c>
      <c r="I2635" s="52">
        <v>14</v>
      </c>
    </row>
    <row r="2636" spans="1:10" ht="15" customHeight="1">
      <c r="A2636" t="str">
        <f ca="1">IF(AND(OFFSET(A2636, -I2636 + 2, 4) &gt;  0, E2636="", Calculations!$B$7), F2636, "")</f>
        <v/>
      </c>
      <c r="B2636">
        <f t="shared" si="935"/>
        <v>69</v>
      </c>
      <c r="C2636">
        <f t="shared" ca="1" si="927"/>
        <v>66</v>
      </c>
      <c r="D2636" t="str">
        <f t="shared" si="936"/>
        <v>O69</v>
      </c>
      <c r="E2636" t="str">
        <f t="shared" ca="1" si="937"/>
        <v/>
      </c>
      <c r="F2636" t="str">
        <f t="shared" ca="1" si="938"/>
        <v xml:space="preserve">Enter a 'Higher of Land Purchase Price or Land Appraised Value****' for  building 66 in cell O69.
</v>
      </c>
      <c r="G2636" s="9" t="str">
        <f t="shared" ca="1" si="925"/>
        <v xml:space="preserve">Enter a value for 'Number of Floors in the Tallest Building' in cell B60.
</v>
      </c>
      <c r="H2636" s="52" t="str">
        <f t="shared" ca="1" si="939"/>
        <v>Higher of Land Purchase Price or Land Appraised Value****</v>
      </c>
      <c r="I2636" s="52">
        <v>15</v>
      </c>
    </row>
    <row r="2637" spans="1:10" ht="15" customHeight="1">
      <c r="A2637" t="str">
        <f ca="1">IF(AND(OFFSET(A2637, -I2637 + 2, 4) &gt;  0, E2637="", Calculations!$B$7), F2637, "")</f>
        <v/>
      </c>
      <c r="B2637">
        <f t="shared" si="935"/>
        <v>69</v>
      </c>
      <c r="C2637">
        <f t="shared" ca="1" si="927"/>
        <v>66</v>
      </c>
      <c r="D2637" t="str">
        <f t="shared" si="936"/>
        <v>P69</v>
      </c>
      <c r="E2637" t="str">
        <f t="shared" ca="1" si="937"/>
        <v/>
      </c>
      <c r="F2637" t="str">
        <f t="shared" ca="1" si="938"/>
        <v xml:space="preserve">Enter a 'Acquisition Placed-in-Service Date' for  building 66 in cell P69.
</v>
      </c>
      <c r="G2637" s="9" t="str">
        <f t="shared" ca="1" si="925"/>
        <v xml:space="preserve">Enter a value for 'Number of Floors in the Tallest Building' in cell B60.
</v>
      </c>
      <c r="H2637" s="52" t="str">
        <f t="shared" ca="1" si="939"/>
        <v>Acquisition Placed-in-Service Date</v>
      </c>
      <c r="I2637" s="52">
        <v>16</v>
      </c>
    </row>
    <row r="2638" spans="1:10" ht="15" customHeight="1">
      <c r="A2638" t="str">
        <f ca="1">IF(AND(OFFSET(A2638, -I2638 + 2, 4) &gt;  0, E2638="", Calculations!$B$7), F2638, "")</f>
        <v/>
      </c>
      <c r="B2638">
        <f t="shared" si="935"/>
        <v>69</v>
      </c>
      <c r="C2638">
        <f t="shared" ca="1" si="927"/>
        <v>66</v>
      </c>
      <c r="D2638" t="str">
        <f t="shared" si="936"/>
        <v>Q69</v>
      </c>
      <c r="E2638" t="str">
        <f t="shared" ca="1" si="937"/>
        <v/>
      </c>
      <c r="F2638" t="str">
        <f t="shared" ca="1" si="938"/>
        <v xml:space="preserve">Enter a 'Acquisition APR' for  building 66 in cell Q69.
</v>
      </c>
      <c r="G2638" s="9" t="str">
        <f t="shared" ca="1" si="925"/>
        <v xml:space="preserve">Enter a value for 'Number of Floors in the Tallest Building' in cell B60.
</v>
      </c>
      <c r="H2638" s="52" t="str">
        <f t="shared" ca="1" si="939"/>
        <v>Acquisition APR</v>
      </c>
      <c r="I2638" s="52">
        <v>17</v>
      </c>
    </row>
    <row r="2639" spans="1:10" ht="15" customHeight="1">
      <c r="A2639" t="str">
        <f ca="1">IF(AND(Calculations!$B$4,Calculations!$B$29&gt;=C2639, E2639 &lt;&gt; 13),F2639,"")</f>
        <v/>
      </c>
      <c r="B2639">
        <f>ROW('Final Building Profile'!C70)</f>
        <v>70</v>
      </c>
      <c r="C2639">
        <f t="shared" ca="1" si="927"/>
        <v>67</v>
      </c>
      <c r="D2639" t="str">
        <f>ADDRESS(B2639, 3,4  )</f>
        <v>C70</v>
      </c>
      <c r="E2639" s="52">
        <f ca="1">H2639+I2639</f>
        <v>0</v>
      </c>
      <c r="F2639" t="str">
        <f ca="1">CONCATENATE("Based upon the number of buildings specified, information for  building ", C2639, " required for a final application in row ", B2639, ".", CHAR(10))</f>
        <v xml:space="preserve">Based upon the number of buildings specified, information for  building 67 required for a final application in row 70.
</v>
      </c>
      <c r="G2639" s="9" t="str">
        <f t="shared" ca="1" si="925"/>
        <v xml:space="preserve">Enter a value for 'Number of Floors in the Tallest Building' in cell B60.
</v>
      </c>
      <c r="H2639" s="52">
        <f ca="1">SUMPRODUCT(--ISTEXT(INDIRECT(J2639)))</f>
        <v>0</v>
      </c>
      <c r="I2639" s="52">
        <f ca="1">SUMPRODUCT(--ISNUMBER(INDIRECT(J2639)))</f>
        <v>0</v>
      </c>
      <c r="J2639" s="52" t="str">
        <f>$F$1565&amp; ADDRESS(B2639,3,4) &amp; ":" &amp; ADDRESS(B2639,15,4)</f>
        <v>'Final Building Profile'!C70:O70</v>
      </c>
    </row>
    <row r="2640" spans="1:10" ht="15" customHeight="1">
      <c r="A2640" t="str">
        <f t="shared" ref="A2640:A2649" ca="1" si="940">IF(AND(OFFSET(A2640, -I2640 + 2, 4) &gt;  0, E2640=""), F2640, "")</f>
        <v/>
      </c>
      <c r="B2640">
        <f t="shared" ref="B2640:B2654" si="941">B2639</f>
        <v>70</v>
      </c>
      <c r="C2640">
        <f t="shared" ca="1" si="927"/>
        <v>67</v>
      </c>
      <c r="D2640" t="str">
        <f t="shared" ref="D2640:D2654" si="942">ADDRESS(B2640, I2640,4  )</f>
        <v>C70</v>
      </c>
      <c r="E2640" t="str">
        <f t="shared" ref="E2640:E2654" ca="1" si="943">IF(ISBLANK( INDIRECT($F$1565 &amp; D2640)),"", INDIRECT($F$1565 &amp; D2640))</f>
        <v/>
      </c>
      <c r="F2640" t="str">
        <f t="shared" ref="F2640:F2654" ca="1" si="944">CONCATENATE("Enter a '"&amp; H2640 &amp;"' for  building ", C2640, " in cell ", D2640, ".", CHAR(10))</f>
        <v xml:space="preserve">Enter a 'Building Street Address Only 
(DO NOT ENTER CITY, STATE, OR ZIP)' for  building 67 in cell C70.
</v>
      </c>
      <c r="G2640" s="9" t="str">
        <f t="shared" ca="1" si="925"/>
        <v xml:space="preserve">Enter a value for 'Number of Floors in the Tallest Building' in cell B60.
</v>
      </c>
      <c r="H2640" s="52" t="str">
        <f t="shared" ref="H2640:H2654" ca="1" si="945">OFFSET(INDIRECT($F$1565 &amp; D2640), -B2640 + 3, 0)</f>
        <v>Building Street Address Only 
(DO NOT ENTER CITY, STATE, OR ZIP)</v>
      </c>
      <c r="I2640" s="52">
        <v>3</v>
      </c>
    </row>
    <row r="2641" spans="1:10" ht="15" customHeight="1">
      <c r="A2641" t="str">
        <f t="shared" ca="1" si="940"/>
        <v/>
      </c>
      <c r="B2641">
        <f t="shared" si="941"/>
        <v>70</v>
      </c>
      <c r="C2641">
        <f t="shared" ca="1" si="927"/>
        <v>67</v>
      </c>
      <c r="D2641" t="str">
        <f t="shared" si="942"/>
        <v>D70</v>
      </c>
      <c r="E2641" t="str">
        <f t="shared" ca="1" si="943"/>
        <v/>
      </c>
      <c r="F2641" t="str">
        <f t="shared" ca="1" si="944"/>
        <v xml:space="preserve">Enter a 'Total Units in Building*' for  building 67 in cell D70.
</v>
      </c>
      <c r="G2641" s="9" t="str">
        <f t="shared" ca="1" si="925"/>
        <v xml:space="preserve">Enter a value for 'Number of Floors in the Tallest Building' in cell B60.
</v>
      </c>
      <c r="H2641" s="52" t="str">
        <f t="shared" ca="1" si="945"/>
        <v>Total Units in Building*</v>
      </c>
      <c r="I2641" s="52">
        <v>4</v>
      </c>
    </row>
    <row r="2642" spans="1:10" ht="15" customHeight="1">
      <c r="A2642" t="str">
        <f t="shared" ca="1" si="940"/>
        <v/>
      </c>
      <c r="B2642">
        <f t="shared" si="941"/>
        <v>70</v>
      </c>
      <c r="C2642">
        <f t="shared" ca="1" si="927"/>
        <v>67</v>
      </c>
      <c r="D2642" t="str">
        <f t="shared" si="942"/>
        <v>E70</v>
      </c>
      <c r="E2642" t="str">
        <f t="shared" ca="1" si="943"/>
        <v/>
      </c>
      <c r="F2642" t="str">
        <f t="shared" ca="1" si="944"/>
        <v xml:space="preserve">Enter a 'Employee Units' for  building 67 in cell E70.
</v>
      </c>
      <c r="G2642" s="9" t="str">
        <f t="shared" ca="1" si="925"/>
        <v xml:space="preserve">Enter a value for 'Number of Floors in the Tallest Building' in cell B60.
</v>
      </c>
      <c r="H2642" s="52" t="str">
        <f t="shared" ca="1" si="945"/>
        <v>Employee Units</v>
      </c>
      <c r="I2642" s="52">
        <v>5</v>
      </c>
    </row>
    <row r="2643" spans="1:10" ht="15" customHeight="1">
      <c r="A2643" t="str">
        <f t="shared" ca="1" si="940"/>
        <v/>
      </c>
      <c r="B2643">
        <f t="shared" si="941"/>
        <v>70</v>
      </c>
      <c r="C2643">
        <f t="shared" ca="1" si="927"/>
        <v>67</v>
      </c>
      <c r="D2643" t="str">
        <f t="shared" si="942"/>
        <v>F70</v>
      </c>
      <c r="E2643" t="str">
        <f t="shared" ca="1" si="943"/>
        <v/>
      </c>
      <c r="F2643" t="str">
        <f t="shared" ca="1" si="944"/>
        <v xml:space="preserve">Enter a 'Low-Income Units' for  building 67 in cell F70.
</v>
      </c>
      <c r="G2643" s="9" t="str">
        <f t="shared" ca="1" si="925"/>
        <v xml:space="preserve">Enter a value for 'Number of Floors in the Tallest Building' in cell B60.
</v>
      </c>
      <c r="H2643" s="52" t="str">
        <f t="shared" ca="1" si="945"/>
        <v>Low-Income Units</v>
      </c>
      <c r="I2643" s="52">
        <v>6</v>
      </c>
    </row>
    <row r="2644" spans="1:10" ht="15" customHeight="1">
      <c r="A2644" t="str">
        <f t="shared" ca="1" si="940"/>
        <v/>
      </c>
      <c r="B2644">
        <f t="shared" si="941"/>
        <v>70</v>
      </c>
      <c r="C2644">
        <f t="shared" ca="1" si="927"/>
        <v>67</v>
      </c>
      <c r="D2644" t="str">
        <f t="shared" si="942"/>
        <v>G70</v>
      </c>
      <c r="E2644" t="str">
        <f t="shared" ca="1" si="943"/>
        <v/>
      </c>
      <c r="F2644" t="str">
        <f t="shared" ca="1" si="944"/>
        <v xml:space="preserve">Enter a 'Residential Square Footage**' for  building 67 in cell G70.
</v>
      </c>
      <c r="G2644" s="9" t="str">
        <f t="shared" ca="1" si="925"/>
        <v xml:space="preserve">Enter a value for 'Number of Floors in the Tallest Building' in cell B60.
</v>
      </c>
      <c r="H2644" s="52" t="str">
        <f t="shared" ca="1" si="945"/>
        <v>Residential Square Footage**</v>
      </c>
      <c r="I2644" s="52">
        <v>7</v>
      </c>
    </row>
    <row r="2645" spans="1:10" ht="15" customHeight="1">
      <c r="A2645" t="str">
        <f t="shared" ca="1" si="940"/>
        <v/>
      </c>
      <c r="B2645">
        <f t="shared" si="941"/>
        <v>70</v>
      </c>
      <c r="C2645">
        <f t="shared" ca="1" si="927"/>
        <v>67</v>
      </c>
      <c r="D2645" t="str">
        <f t="shared" si="942"/>
        <v>H70</v>
      </c>
      <c r="E2645" t="str">
        <f t="shared" ca="1" si="943"/>
        <v/>
      </c>
      <c r="F2645" t="str">
        <f t="shared" ca="1" si="944"/>
        <v xml:space="preserve">Enter a 'Square Footage of Employee Units' for  building 67 in cell H70.
</v>
      </c>
      <c r="G2645" s="9" t="str">
        <f t="shared" ca="1" si="925"/>
        <v xml:space="preserve">Enter a value for 'Number of Floors in the Tallest Building' in cell B60.
</v>
      </c>
      <c r="H2645" s="52" t="str">
        <f t="shared" ca="1" si="945"/>
        <v>Square Footage of Employee Units</v>
      </c>
      <c r="I2645" s="52">
        <v>8</v>
      </c>
    </row>
    <row r="2646" spans="1:10" ht="15" customHeight="1">
      <c r="A2646" t="str">
        <f t="shared" ca="1" si="940"/>
        <v/>
      </c>
      <c r="B2646">
        <f t="shared" si="941"/>
        <v>70</v>
      </c>
      <c r="C2646">
        <f t="shared" ca="1" si="927"/>
        <v>67</v>
      </c>
      <c r="D2646" t="str">
        <f t="shared" si="942"/>
        <v>I70</v>
      </c>
      <c r="E2646" t="str">
        <f t="shared" ca="1" si="943"/>
        <v/>
      </c>
      <c r="F2646" t="str">
        <f t="shared" ca="1" si="944"/>
        <v xml:space="preserve">Enter a 'Square Footage of Low-Income Units' for  building 67 in cell I70.
</v>
      </c>
      <c r="G2646" s="9" t="str">
        <f t="shared" ca="1" si="925"/>
        <v xml:space="preserve">Enter a value for 'Number of Floors in the Tallest Building' in cell B60.
</v>
      </c>
      <c r="H2646" s="52" t="str">
        <f t="shared" ca="1" si="945"/>
        <v>Square Footage of Low-Income Units</v>
      </c>
      <c r="I2646" s="52">
        <v>9</v>
      </c>
    </row>
    <row r="2647" spans="1:10" ht="15" customHeight="1">
      <c r="A2647" t="str">
        <f t="shared" ca="1" si="940"/>
        <v/>
      </c>
      <c r="B2647">
        <f t="shared" si="941"/>
        <v>70</v>
      </c>
      <c r="C2647">
        <f t="shared" ca="1" si="927"/>
        <v>67</v>
      </c>
      <c r="D2647" t="str">
        <f t="shared" si="942"/>
        <v>J70</v>
      </c>
      <c r="E2647" t="str">
        <f t="shared" ca="1" si="943"/>
        <v/>
      </c>
      <c r="F2647" t="str">
        <f t="shared" ca="1" si="944"/>
        <v xml:space="preserve">Enter a 'Placed-In-Service Date' for  building 67 in cell J70.
</v>
      </c>
      <c r="G2647" s="9" t="str">
        <f t="shared" ca="1" si="925"/>
        <v xml:space="preserve">Enter a value for 'Number of Floors in the Tallest Building' in cell B60.
</v>
      </c>
      <c r="H2647" s="52" t="str">
        <f t="shared" ca="1" si="945"/>
        <v>Placed-In-Service Date</v>
      </c>
      <c r="I2647" s="52">
        <v>10</v>
      </c>
    </row>
    <row r="2648" spans="1:10" ht="15" customHeight="1">
      <c r="A2648" t="str">
        <f t="shared" ca="1" si="940"/>
        <v/>
      </c>
      <c r="B2648">
        <f t="shared" si="941"/>
        <v>70</v>
      </c>
      <c r="C2648">
        <f t="shared" ca="1" si="927"/>
        <v>67</v>
      </c>
      <c r="D2648" t="str">
        <f t="shared" si="942"/>
        <v>K70</v>
      </c>
      <c r="E2648" t="str">
        <f t="shared" ca="1" si="943"/>
        <v/>
      </c>
      <c r="F2648" t="str">
        <f t="shared" ca="1" si="944"/>
        <v xml:space="preserve">Enter a 'New Construction/ Rehab APR' for  building 67 in cell K70.
</v>
      </c>
      <c r="G2648" s="9" t="str">
        <f t="shared" ca="1" si="925"/>
        <v xml:space="preserve">Enter a value for 'Number of Floors in the Tallest Building' in cell B60.
</v>
      </c>
      <c r="H2648" s="52" t="str">
        <f t="shared" ca="1" si="945"/>
        <v>New Construction/ Rehab APR</v>
      </c>
      <c r="I2648" s="52">
        <v>11</v>
      </c>
    </row>
    <row r="2649" spans="1:10" ht="15" customHeight="1">
      <c r="A2649" t="str">
        <f t="shared" ca="1" si="940"/>
        <v/>
      </c>
      <c r="B2649">
        <f t="shared" si="941"/>
        <v>70</v>
      </c>
      <c r="C2649">
        <f t="shared" ca="1" si="927"/>
        <v>67</v>
      </c>
      <c r="D2649" t="str">
        <f t="shared" si="942"/>
        <v>L70</v>
      </c>
      <c r="E2649" t="str">
        <f t="shared" ca="1" si="943"/>
        <v/>
      </c>
      <c r="F2649" t="str">
        <f t="shared" ca="1" si="944"/>
        <v xml:space="preserve">Enter a 'New Construction Eligible Basis' for  building 67 in cell L70.
</v>
      </c>
      <c r="G2649" s="9" t="str">
        <f t="shared" ca="1" si="925"/>
        <v xml:space="preserve">Enter a value for 'Number of Floors in the Tallest Building' in cell B60.
</v>
      </c>
      <c r="H2649" s="52" t="str">
        <f t="shared" ca="1" si="945"/>
        <v>New Construction Eligible Basis</v>
      </c>
      <c r="I2649" s="52">
        <v>12</v>
      </c>
    </row>
    <row r="2650" spans="1:10" ht="15" customHeight="1">
      <c r="A2650" t="str">
        <f ca="1">IF(AND(OFFSET(A2650, -I2650 + 2, 4) &gt;  0, E2650="", Calculations!$B$7), F2650, "")</f>
        <v/>
      </c>
      <c r="B2650">
        <f t="shared" si="941"/>
        <v>70</v>
      </c>
      <c r="C2650">
        <f t="shared" ca="1" si="927"/>
        <v>67</v>
      </c>
      <c r="D2650" t="str">
        <f t="shared" si="942"/>
        <v>M70</v>
      </c>
      <c r="E2650" t="str">
        <f t="shared" ca="1" si="943"/>
        <v/>
      </c>
      <c r="F2650" t="str">
        <f t="shared" ca="1" si="944"/>
        <v xml:space="preserve">Enter a 'Eligible Basis for Rehab' for  building 67 in cell M70.
</v>
      </c>
      <c r="G2650" s="9" t="str">
        <f t="shared" ca="1" si="925"/>
        <v xml:space="preserve">Enter a value for 'Number of Floors in the Tallest Building' in cell B60.
</v>
      </c>
      <c r="H2650" s="52" t="str">
        <f t="shared" ca="1" si="945"/>
        <v>Eligible Basis for Rehab</v>
      </c>
      <c r="I2650" s="52">
        <v>13</v>
      </c>
    </row>
    <row r="2651" spans="1:10" ht="15" customHeight="1">
      <c r="A2651" t="str">
        <f ca="1">IF(AND(OFFSET(A2651, -I2651 + 2, 4) &gt;  0, E2651="", Calculations!$B$7), F2651, "")</f>
        <v/>
      </c>
      <c r="B2651">
        <f t="shared" si="941"/>
        <v>70</v>
      </c>
      <c r="C2651">
        <f t="shared" ca="1" si="927"/>
        <v>67</v>
      </c>
      <c r="D2651" t="str">
        <f t="shared" si="942"/>
        <v>N70</v>
      </c>
      <c r="E2651" t="str">
        <f t="shared" ca="1" si="943"/>
        <v/>
      </c>
      <c r="F2651" t="str">
        <f t="shared" ca="1" si="944"/>
        <v xml:space="preserve">Enter a 'Cost of Acquiring the Building***' for  building 67 in cell N70.
</v>
      </c>
      <c r="G2651" s="9" t="str">
        <f t="shared" ca="1" si="925"/>
        <v xml:space="preserve">Enter a value for 'Number of Floors in the Tallest Building' in cell B60.
</v>
      </c>
      <c r="H2651" s="52" t="str">
        <f t="shared" ca="1" si="945"/>
        <v>Cost of Acquiring the Building***</v>
      </c>
      <c r="I2651" s="52">
        <v>14</v>
      </c>
    </row>
    <row r="2652" spans="1:10" ht="15" customHeight="1">
      <c r="A2652" t="str">
        <f ca="1">IF(AND(OFFSET(A2652, -I2652 + 2, 4) &gt;  0, E2652="", Calculations!$B$7), F2652, "")</f>
        <v/>
      </c>
      <c r="B2652">
        <f t="shared" si="941"/>
        <v>70</v>
      </c>
      <c r="C2652">
        <f t="shared" ca="1" si="927"/>
        <v>67</v>
      </c>
      <c r="D2652" t="str">
        <f t="shared" si="942"/>
        <v>O70</v>
      </c>
      <c r="E2652" t="str">
        <f t="shared" ca="1" si="943"/>
        <v/>
      </c>
      <c r="F2652" t="str">
        <f t="shared" ca="1" si="944"/>
        <v xml:space="preserve">Enter a 'Higher of Land Purchase Price or Land Appraised Value****' for  building 67 in cell O70.
</v>
      </c>
      <c r="G2652" s="9" t="str">
        <f t="shared" ca="1" si="925"/>
        <v xml:space="preserve">Enter a value for 'Number of Floors in the Tallest Building' in cell B60.
</v>
      </c>
      <c r="H2652" s="52" t="str">
        <f t="shared" ca="1" si="945"/>
        <v>Higher of Land Purchase Price or Land Appraised Value****</v>
      </c>
      <c r="I2652" s="52">
        <v>15</v>
      </c>
    </row>
    <row r="2653" spans="1:10" ht="15" customHeight="1">
      <c r="A2653" t="str">
        <f ca="1">IF(AND(OFFSET(A2653, -I2653 + 2, 4) &gt;  0, E2653="", Calculations!$B$7), F2653, "")</f>
        <v/>
      </c>
      <c r="B2653">
        <f t="shared" si="941"/>
        <v>70</v>
      </c>
      <c r="C2653">
        <f t="shared" ca="1" si="927"/>
        <v>67</v>
      </c>
      <c r="D2653" t="str">
        <f t="shared" si="942"/>
        <v>P70</v>
      </c>
      <c r="E2653" t="str">
        <f t="shared" ca="1" si="943"/>
        <v/>
      </c>
      <c r="F2653" t="str">
        <f t="shared" ca="1" si="944"/>
        <v xml:space="preserve">Enter a 'Acquisition Placed-in-Service Date' for  building 67 in cell P70.
</v>
      </c>
      <c r="G2653" s="9" t="str">
        <f t="shared" ca="1" si="925"/>
        <v xml:space="preserve">Enter a value for 'Number of Floors in the Tallest Building' in cell B60.
</v>
      </c>
      <c r="H2653" s="52" t="str">
        <f t="shared" ca="1" si="945"/>
        <v>Acquisition Placed-in-Service Date</v>
      </c>
      <c r="I2653" s="52">
        <v>16</v>
      </c>
    </row>
    <row r="2654" spans="1:10" ht="15" customHeight="1">
      <c r="A2654" t="str">
        <f ca="1">IF(AND(OFFSET(A2654, -I2654 + 2, 4) &gt;  0, E2654="", Calculations!$B$7), F2654, "")</f>
        <v/>
      </c>
      <c r="B2654">
        <f t="shared" si="941"/>
        <v>70</v>
      </c>
      <c r="C2654">
        <f t="shared" ca="1" si="927"/>
        <v>67</v>
      </c>
      <c r="D2654" t="str">
        <f t="shared" si="942"/>
        <v>Q70</v>
      </c>
      <c r="E2654" t="str">
        <f t="shared" ca="1" si="943"/>
        <v/>
      </c>
      <c r="F2654" t="str">
        <f t="shared" ca="1" si="944"/>
        <v xml:space="preserve">Enter a 'Acquisition APR' for  building 67 in cell Q70.
</v>
      </c>
      <c r="G2654" s="9" t="str">
        <f t="shared" ca="1" si="925"/>
        <v xml:space="preserve">Enter a value for 'Number of Floors in the Tallest Building' in cell B60.
</v>
      </c>
      <c r="H2654" s="52" t="str">
        <f t="shared" ca="1" si="945"/>
        <v>Acquisition APR</v>
      </c>
      <c r="I2654" s="52">
        <v>17</v>
      </c>
    </row>
    <row r="2655" spans="1:10" ht="15" customHeight="1">
      <c r="A2655" t="str">
        <f ca="1">IF(AND(Calculations!$B$4,Calculations!$B$29&gt;=C2655, E2655 &lt;&gt; 13),F2655,"")</f>
        <v/>
      </c>
      <c r="B2655">
        <f>ROW('Final Building Profile'!C71)</f>
        <v>71</v>
      </c>
      <c r="C2655">
        <f t="shared" ca="1" si="927"/>
        <v>68</v>
      </c>
      <c r="D2655" t="str">
        <f>ADDRESS(B2655, 3,4  )</f>
        <v>C71</v>
      </c>
      <c r="E2655" s="52">
        <f ca="1">H2655+I2655</f>
        <v>0</v>
      </c>
      <c r="F2655" t="str">
        <f ca="1">CONCATENATE("Based upon the number of buildings specified, information for  building ", C2655, " required for a final application in row ", B2655, ".", CHAR(10))</f>
        <v xml:space="preserve">Based upon the number of buildings specified, information for  building 68 required for a final application in row 71.
</v>
      </c>
      <c r="G2655" s="9" t="str">
        <f t="shared" ca="1" si="925"/>
        <v xml:space="preserve">Enter a value for 'Number of Floors in the Tallest Building' in cell B60.
</v>
      </c>
      <c r="H2655" s="52">
        <f ca="1">SUMPRODUCT(--ISTEXT(INDIRECT(J2655)))</f>
        <v>0</v>
      </c>
      <c r="I2655" s="52">
        <f ca="1">SUMPRODUCT(--ISNUMBER(INDIRECT(J2655)))</f>
        <v>0</v>
      </c>
      <c r="J2655" s="52" t="str">
        <f>$F$1565&amp; ADDRESS(B2655,3,4) &amp; ":" &amp; ADDRESS(B2655,15,4)</f>
        <v>'Final Building Profile'!C71:O71</v>
      </c>
    </row>
    <row r="2656" spans="1:10" ht="15" customHeight="1">
      <c r="A2656" t="str">
        <f t="shared" ref="A2656:A2665" ca="1" si="946">IF(AND(OFFSET(A2656, -I2656 + 2, 4) &gt;  0, E2656=""), F2656, "")</f>
        <v/>
      </c>
      <c r="B2656">
        <f t="shared" ref="B2656:B2670" si="947">B2655</f>
        <v>71</v>
      </c>
      <c r="C2656">
        <f t="shared" ca="1" si="927"/>
        <v>68</v>
      </c>
      <c r="D2656" t="str">
        <f t="shared" ref="D2656:D2670" si="948">ADDRESS(B2656, I2656,4  )</f>
        <v>C71</v>
      </c>
      <c r="E2656" t="str">
        <f t="shared" ref="E2656:E2670" ca="1" si="949">IF(ISBLANK( INDIRECT($F$1565 &amp; D2656)),"", INDIRECT($F$1565 &amp; D2656))</f>
        <v/>
      </c>
      <c r="F2656" t="str">
        <f t="shared" ref="F2656:F2670" ca="1" si="950">CONCATENATE("Enter a '"&amp; H2656 &amp;"' for  building ", C2656, " in cell ", D2656, ".", CHAR(10))</f>
        <v xml:space="preserve">Enter a 'Building Street Address Only 
(DO NOT ENTER CITY, STATE, OR ZIP)' for  building 68 in cell C71.
</v>
      </c>
      <c r="G2656" s="9" t="str">
        <f t="shared" ref="G2656:G2719" ca="1" si="951">OFFSET(G2656, -1, 0) &amp; A2656</f>
        <v xml:space="preserve">Enter a value for 'Number of Floors in the Tallest Building' in cell B60.
</v>
      </c>
      <c r="H2656" s="52" t="str">
        <f t="shared" ref="H2656:H2670" ca="1" si="952">OFFSET(INDIRECT($F$1565 &amp; D2656), -B2656 + 3, 0)</f>
        <v>Building Street Address Only 
(DO NOT ENTER CITY, STATE, OR ZIP)</v>
      </c>
      <c r="I2656" s="52">
        <v>3</v>
      </c>
    </row>
    <row r="2657" spans="1:10" ht="15" customHeight="1">
      <c r="A2657" t="str">
        <f t="shared" ca="1" si="946"/>
        <v/>
      </c>
      <c r="B2657">
        <f t="shared" si="947"/>
        <v>71</v>
      </c>
      <c r="C2657">
        <f t="shared" ca="1" si="927"/>
        <v>68</v>
      </c>
      <c r="D2657" t="str">
        <f t="shared" si="948"/>
        <v>D71</v>
      </c>
      <c r="E2657" t="str">
        <f t="shared" ca="1" si="949"/>
        <v/>
      </c>
      <c r="F2657" t="str">
        <f t="shared" ca="1" si="950"/>
        <v xml:space="preserve">Enter a 'Total Units in Building*' for  building 68 in cell D71.
</v>
      </c>
      <c r="G2657" s="9" t="str">
        <f t="shared" ca="1" si="951"/>
        <v xml:space="preserve">Enter a value for 'Number of Floors in the Tallest Building' in cell B60.
</v>
      </c>
      <c r="H2657" s="52" t="str">
        <f t="shared" ca="1" si="952"/>
        <v>Total Units in Building*</v>
      </c>
      <c r="I2657" s="52">
        <v>4</v>
      </c>
    </row>
    <row r="2658" spans="1:10" ht="15" customHeight="1">
      <c r="A2658" t="str">
        <f t="shared" ca="1" si="946"/>
        <v/>
      </c>
      <c r="B2658">
        <f t="shared" si="947"/>
        <v>71</v>
      </c>
      <c r="C2658">
        <f t="shared" ca="1" si="927"/>
        <v>68</v>
      </c>
      <c r="D2658" t="str">
        <f t="shared" si="948"/>
        <v>E71</v>
      </c>
      <c r="E2658" t="str">
        <f t="shared" ca="1" si="949"/>
        <v/>
      </c>
      <c r="F2658" t="str">
        <f t="shared" ca="1" si="950"/>
        <v xml:space="preserve">Enter a 'Employee Units' for  building 68 in cell E71.
</v>
      </c>
      <c r="G2658" s="9" t="str">
        <f t="shared" ca="1" si="951"/>
        <v xml:space="preserve">Enter a value for 'Number of Floors in the Tallest Building' in cell B60.
</v>
      </c>
      <c r="H2658" s="52" t="str">
        <f t="shared" ca="1" si="952"/>
        <v>Employee Units</v>
      </c>
      <c r="I2658" s="52">
        <v>5</v>
      </c>
    </row>
    <row r="2659" spans="1:10" ht="15" customHeight="1">
      <c r="A2659" t="str">
        <f t="shared" ca="1" si="946"/>
        <v/>
      </c>
      <c r="B2659">
        <f t="shared" si="947"/>
        <v>71</v>
      </c>
      <c r="C2659">
        <f t="shared" ca="1" si="927"/>
        <v>68</v>
      </c>
      <c r="D2659" t="str">
        <f t="shared" si="948"/>
        <v>F71</v>
      </c>
      <c r="E2659" t="str">
        <f t="shared" ca="1" si="949"/>
        <v/>
      </c>
      <c r="F2659" t="str">
        <f t="shared" ca="1" si="950"/>
        <v xml:space="preserve">Enter a 'Low-Income Units' for  building 68 in cell F71.
</v>
      </c>
      <c r="G2659" s="9" t="str">
        <f t="shared" ca="1" si="951"/>
        <v xml:space="preserve">Enter a value for 'Number of Floors in the Tallest Building' in cell B60.
</v>
      </c>
      <c r="H2659" s="52" t="str">
        <f t="shared" ca="1" si="952"/>
        <v>Low-Income Units</v>
      </c>
      <c r="I2659" s="52">
        <v>6</v>
      </c>
    </row>
    <row r="2660" spans="1:10" ht="15" customHeight="1">
      <c r="A2660" t="str">
        <f t="shared" ca="1" si="946"/>
        <v/>
      </c>
      <c r="B2660">
        <f t="shared" si="947"/>
        <v>71</v>
      </c>
      <c r="C2660">
        <f t="shared" ca="1" si="927"/>
        <v>68</v>
      </c>
      <c r="D2660" t="str">
        <f t="shared" si="948"/>
        <v>G71</v>
      </c>
      <c r="E2660" t="str">
        <f t="shared" ca="1" si="949"/>
        <v/>
      </c>
      <c r="F2660" t="str">
        <f t="shared" ca="1" si="950"/>
        <v xml:space="preserve">Enter a 'Residential Square Footage**' for  building 68 in cell G71.
</v>
      </c>
      <c r="G2660" s="9" t="str">
        <f t="shared" ca="1" si="951"/>
        <v xml:space="preserve">Enter a value for 'Number of Floors in the Tallest Building' in cell B60.
</v>
      </c>
      <c r="H2660" s="52" t="str">
        <f t="shared" ca="1" si="952"/>
        <v>Residential Square Footage**</v>
      </c>
      <c r="I2660" s="52">
        <v>7</v>
      </c>
    </row>
    <row r="2661" spans="1:10" ht="15" customHeight="1">
      <c r="A2661" t="str">
        <f t="shared" ca="1" si="946"/>
        <v/>
      </c>
      <c r="B2661">
        <f t="shared" si="947"/>
        <v>71</v>
      </c>
      <c r="C2661">
        <f t="shared" ca="1" si="927"/>
        <v>68</v>
      </c>
      <c r="D2661" t="str">
        <f t="shared" si="948"/>
        <v>H71</v>
      </c>
      <c r="E2661" t="str">
        <f t="shared" ca="1" si="949"/>
        <v/>
      </c>
      <c r="F2661" t="str">
        <f t="shared" ca="1" si="950"/>
        <v xml:space="preserve">Enter a 'Square Footage of Employee Units' for  building 68 in cell H71.
</v>
      </c>
      <c r="G2661" s="9" t="str">
        <f t="shared" ca="1" si="951"/>
        <v xml:space="preserve">Enter a value for 'Number of Floors in the Tallest Building' in cell B60.
</v>
      </c>
      <c r="H2661" s="52" t="str">
        <f t="shared" ca="1" si="952"/>
        <v>Square Footage of Employee Units</v>
      </c>
      <c r="I2661" s="52">
        <v>8</v>
      </c>
    </row>
    <row r="2662" spans="1:10" ht="15" customHeight="1">
      <c r="A2662" t="str">
        <f t="shared" ca="1" si="946"/>
        <v/>
      </c>
      <c r="B2662">
        <f t="shared" si="947"/>
        <v>71</v>
      </c>
      <c r="C2662">
        <f t="shared" ca="1" si="927"/>
        <v>68</v>
      </c>
      <c r="D2662" t="str">
        <f t="shared" si="948"/>
        <v>I71</v>
      </c>
      <c r="E2662" t="str">
        <f t="shared" ca="1" si="949"/>
        <v/>
      </c>
      <c r="F2662" t="str">
        <f t="shared" ca="1" si="950"/>
        <v xml:space="preserve">Enter a 'Square Footage of Low-Income Units' for  building 68 in cell I71.
</v>
      </c>
      <c r="G2662" s="9" t="str">
        <f t="shared" ca="1" si="951"/>
        <v xml:space="preserve">Enter a value for 'Number of Floors in the Tallest Building' in cell B60.
</v>
      </c>
      <c r="H2662" s="52" t="str">
        <f t="shared" ca="1" si="952"/>
        <v>Square Footage of Low-Income Units</v>
      </c>
      <c r="I2662" s="52">
        <v>9</v>
      </c>
    </row>
    <row r="2663" spans="1:10" ht="15" customHeight="1">
      <c r="A2663" t="str">
        <f t="shared" ca="1" si="946"/>
        <v/>
      </c>
      <c r="B2663">
        <f t="shared" si="947"/>
        <v>71</v>
      </c>
      <c r="C2663">
        <f t="shared" ca="1" si="927"/>
        <v>68</v>
      </c>
      <c r="D2663" t="str">
        <f t="shared" si="948"/>
        <v>J71</v>
      </c>
      <c r="E2663" t="str">
        <f t="shared" ca="1" si="949"/>
        <v/>
      </c>
      <c r="F2663" t="str">
        <f t="shared" ca="1" si="950"/>
        <v xml:space="preserve">Enter a 'Placed-In-Service Date' for  building 68 in cell J71.
</v>
      </c>
      <c r="G2663" s="9" t="str">
        <f t="shared" ca="1" si="951"/>
        <v xml:space="preserve">Enter a value for 'Number of Floors in the Tallest Building' in cell B60.
</v>
      </c>
      <c r="H2663" s="52" t="str">
        <f t="shared" ca="1" si="952"/>
        <v>Placed-In-Service Date</v>
      </c>
      <c r="I2663" s="52">
        <v>10</v>
      </c>
    </row>
    <row r="2664" spans="1:10" ht="15" customHeight="1">
      <c r="A2664" t="str">
        <f t="shared" ca="1" si="946"/>
        <v/>
      </c>
      <c r="B2664">
        <f t="shared" si="947"/>
        <v>71</v>
      </c>
      <c r="C2664">
        <f t="shared" ca="1" si="927"/>
        <v>68</v>
      </c>
      <c r="D2664" t="str">
        <f t="shared" si="948"/>
        <v>K71</v>
      </c>
      <c r="E2664" t="str">
        <f t="shared" ca="1" si="949"/>
        <v/>
      </c>
      <c r="F2664" t="str">
        <f t="shared" ca="1" si="950"/>
        <v xml:space="preserve">Enter a 'New Construction/ Rehab APR' for  building 68 in cell K71.
</v>
      </c>
      <c r="G2664" s="9" t="str">
        <f t="shared" ca="1" si="951"/>
        <v xml:space="preserve">Enter a value for 'Number of Floors in the Tallest Building' in cell B60.
</v>
      </c>
      <c r="H2664" s="52" t="str">
        <f t="shared" ca="1" si="952"/>
        <v>New Construction/ Rehab APR</v>
      </c>
      <c r="I2664" s="52">
        <v>11</v>
      </c>
    </row>
    <row r="2665" spans="1:10" ht="15" customHeight="1">
      <c r="A2665" t="str">
        <f t="shared" ca="1" si="946"/>
        <v/>
      </c>
      <c r="B2665">
        <f t="shared" si="947"/>
        <v>71</v>
      </c>
      <c r="C2665">
        <f t="shared" ca="1" si="927"/>
        <v>68</v>
      </c>
      <c r="D2665" t="str">
        <f t="shared" si="948"/>
        <v>L71</v>
      </c>
      <c r="E2665" t="str">
        <f t="shared" ca="1" si="949"/>
        <v/>
      </c>
      <c r="F2665" t="str">
        <f t="shared" ca="1" si="950"/>
        <v xml:space="preserve">Enter a 'New Construction Eligible Basis' for  building 68 in cell L71.
</v>
      </c>
      <c r="G2665" s="9" t="str">
        <f t="shared" ca="1" si="951"/>
        <v xml:space="preserve">Enter a value for 'Number of Floors in the Tallest Building' in cell B60.
</v>
      </c>
      <c r="H2665" s="52" t="str">
        <f t="shared" ca="1" si="952"/>
        <v>New Construction Eligible Basis</v>
      </c>
      <c r="I2665" s="52">
        <v>12</v>
      </c>
    </row>
    <row r="2666" spans="1:10" ht="15" customHeight="1">
      <c r="A2666" t="str">
        <f ca="1">IF(AND(OFFSET(A2666, -I2666 + 2, 4) &gt;  0, E2666="", Calculations!$B$7), F2666, "")</f>
        <v/>
      </c>
      <c r="B2666">
        <f t="shared" si="947"/>
        <v>71</v>
      </c>
      <c r="C2666">
        <f t="shared" ca="1" si="927"/>
        <v>68</v>
      </c>
      <c r="D2666" t="str">
        <f t="shared" si="948"/>
        <v>M71</v>
      </c>
      <c r="E2666" t="str">
        <f t="shared" ca="1" si="949"/>
        <v/>
      </c>
      <c r="F2666" t="str">
        <f t="shared" ca="1" si="950"/>
        <v xml:space="preserve">Enter a 'Eligible Basis for Rehab' for  building 68 in cell M71.
</v>
      </c>
      <c r="G2666" s="9" t="str">
        <f t="shared" ca="1" si="951"/>
        <v xml:space="preserve">Enter a value for 'Number of Floors in the Tallest Building' in cell B60.
</v>
      </c>
      <c r="H2666" s="52" t="str">
        <f t="shared" ca="1" si="952"/>
        <v>Eligible Basis for Rehab</v>
      </c>
      <c r="I2666" s="52">
        <v>13</v>
      </c>
    </row>
    <row r="2667" spans="1:10" ht="15" customHeight="1">
      <c r="A2667" t="str">
        <f ca="1">IF(AND(OFFSET(A2667, -I2667 + 2, 4) &gt;  0, E2667="", Calculations!$B$7), F2667, "")</f>
        <v/>
      </c>
      <c r="B2667">
        <f t="shared" si="947"/>
        <v>71</v>
      </c>
      <c r="C2667">
        <f t="shared" ca="1" si="927"/>
        <v>68</v>
      </c>
      <c r="D2667" t="str">
        <f t="shared" si="948"/>
        <v>N71</v>
      </c>
      <c r="E2667" t="str">
        <f t="shared" ca="1" si="949"/>
        <v/>
      </c>
      <c r="F2667" t="str">
        <f t="shared" ca="1" si="950"/>
        <v xml:space="preserve">Enter a 'Cost of Acquiring the Building***' for  building 68 in cell N71.
</v>
      </c>
      <c r="G2667" s="9" t="str">
        <f t="shared" ca="1" si="951"/>
        <v xml:space="preserve">Enter a value for 'Number of Floors in the Tallest Building' in cell B60.
</v>
      </c>
      <c r="H2667" s="52" t="str">
        <f t="shared" ca="1" si="952"/>
        <v>Cost of Acquiring the Building***</v>
      </c>
      <c r="I2667" s="52">
        <v>14</v>
      </c>
    </row>
    <row r="2668" spans="1:10" ht="15" customHeight="1">
      <c r="A2668" t="str">
        <f ca="1">IF(AND(OFFSET(A2668, -I2668 + 2, 4) &gt;  0, E2668="", Calculations!$B$7), F2668, "")</f>
        <v/>
      </c>
      <c r="B2668">
        <f t="shared" si="947"/>
        <v>71</v>
      </c>
      <c r="C2668">
        <f t="shared" ca="1" si="927"/>
        <v>68</v>
      </c>
      <c r="D2668" t="str">
        <f t="shared" si="948"/>
        <v>O71</v>
      </c>
      <c r="E2668" t="str">
        <f t="shared" ca="1" si="949"/>
        <v/>
      </c>
      <c r="F2668" t="str">
        <f t="shared" ca="1" si="950"/>
        <v xml:space="preserve">Enter a 'Higher of Land Purchase Price or Land Appraised Value****' for  building 68 in cell O71.
</v>
      </c>
      <c r="G2668" s="9" t="str">
        <f t="shared" ca="1" si="951"/>
        <v xml:space="preserve">Enter a value for 'Number of Floors in the Tallest Building' in cell B60.
</v>
      </c>
      <c r="H2668" s="52" t="str">
        <f t="shared" ca="1" si="952"/>
        <v>Higher of Land Purchase Price or Land Appraised Value****</v>
      </c>
      <c r="I2668" s="52">
        <v>15</v>
      </c>
    </row>
    <row r="2669" spans="1:10" ht="15" customHeight="1">
      <c r="A2669" t="str">
        <f ca="1">IF(AND(OFFSET(A2669, -I2669 + 2, 4) &gt;  0, E2669="", Calculations!$B$7), F2669, "")</f>
        <v/>
      </c>
      <c r="B2669">
        <f t="shared" si="947"/>
        <v>71</v>
      </c>
      <c r="C2669">
        <f t="shared" ca="1" si="927"/>
        <v>68</v>
      </c>
      <c r="D2669" t="str">
        <f t="shared" si="948"/>
        <v>P71</v>
      </c>
      <c r="E2669" t="str">
        <f t="shared" ca="1" si="949"/>
        <v/>
      </c>
      <c r="F2669" t="str">
        <f t="shared" ca="1" si="950"/>
        <v xml:space="preserve">Enter a 'Acquisition Placed-in-Service Date' for  building 68 in cell P71.
</v>
      </c>
      <c r="G2669" s="9" t="str">
        <f t="shared" ca="1" si="951"/>
        <v xml:space="preserve">Enter a value for 'Number of Floors in the Tallest Building' in cell B60.
</v>
      </c>
      <c r="H2669" s="52" t="str">
        <f t="shared" ca="1" si="952"/>
        <v>Acquisition Placed-in-Service Date</v>
      </c>
      <c r="I2669" s="52">
        <v>16</v>
      </c>
    </row>
    <row r="2670" spans="1:10" ht="15" customHeight="1">
      <c r="A2670" t="str">
        <f ca="1">IF(AND(OFFSET(A2670, -I2670 + 2, 4) &gt;  0, E2670="", Calculations!$B$7), F2670, "")</f>
        <v/>
      </c>
      <c r="B2670">
        <f t="shared" si="947"/>
        <v>71</v>
      </c>
      <c r="C2670">
        <f t="shared" ca="1" si="927"/>
        <v>68</v>
      </c>
      <c r="D2670" t="str">
        <f t="shared" si="948"/>
        <v>Q71</v>
      </c>
      <c r="E2670" t="str">
        <f t="shared" ca="1" si="949"/>
        <v/>
      </c>
      <c r="F2670" t="str">
        <f t="shared" ca="1" si="950"/>
        <v xml:space="preserve">Enter a 'Acquisition APR' for  building 68 in cell Q71.
</v>
      </c>
      <c r="G2670" s="9" t="str">
        <f t="shared" ca="1" si="951"/>
        <v xml:space="preserve">Enter a value for 'Number of Floors in the Tallest Building' in cell B60.
</v>
      </c>
      <c r="H2670" s="52" t="str">
        <f t="shared" ca="1" si="952"/>
        <v>Acquisition APR</v>
      </c>
      <c r="I2670" s="52">
        <v>17</v>
      </c>
    </row>
    <row r="2671" spans="1:10" ht="15" customHeight="1">
      <c r="A2671" t="str">
        <f ca="1">IF(AND(Calculations!$B$4,Calculations!$B$29&gt;=C2671, E2671 &lt;&gt; 13),F2671,"")</f>
        <v/>
      </c>
      <c r="B2671">
        <f>ROW('Final Building Profile'!C72)</f>
        <v>72</v>
      </c>
      <c r="C2671">
        <f t="shared" ref="C2671:C2734" ca="1" si="953">INDIRECT($F$1565 &amp; ADDRESS(B2671, 1,4  ))</f>
        <v>69</v>
      </c>
      <c r="D2671" t="str">
        <f>ADDRESS(B2671, 3,4  )</f>
        <v>C72</v>
      </c>
      <c r="E2671" s="52">
        <f ca="1">H2671+I2671</f>
        <v>0</v>
      </c>
      <c r="F2671" t="str">
        <f ca="1">CONCATENATE("Based upon the number of buildings specified, information for  building ", C2671, " required for a final application in row ", B2671, ".", CHAR(10))</f>
        <v xml:space="preserve">Based upon the number of buildings specified, information for  building 69 required for a final application in row 72.
</v>
      </c>
      <c r="G2671" s="9" t="str">
        <f t="shared" ca="1" si="951"/>
        <v xml:space="preserve">Enter a value for 'Number of Floors in the Tallest Building' in cell B60.
</v>
      </c>
      <c r="H2671" s="52">
        <f ca="1">SUMPRODUCT(--ISTEXT(INDIRECT(J2671)))</f>
        <v>0</v>
      </c>
      <c r="I2671" s="52">
        <f ca="1">SUMPRODUCT(--ISNUMBER(INDIRECT(J2671)))</f>
        <v>0</v>
      </c>
      <c r="J2671" s="52" t="str">
        <f>$F$1565&amp; ADDRESS(B2671,3,4) &amp; ":" &amp; ADDRESS(B2671,15,4)</f>
        <v>'Final Building Profile'!C72:O72</v>
      </c>
    </row>
    <row r="2672" spans="1:10" ht="15" customHeight="1">
      <c r="A2672" t="str">
        <f t="shared" ref="A2672:A2681" ca="1" si="954">IF(AND(OFFSET(A2672, -I2672 + 2, 4) &gt;  0, E2672=""), F2672, "")</f>
        <v/>
      </c>
      <c r="B2672">
        <f t="shared" ref="B2672:B2686" si="955">B2671</f>
        <v>72</v>
      </c>
      <c r="C2672">
        <f t="shared" ca="1" si="953"/>
        <v>69</v>
      </c>
      <c r="D2672" t="str">
        <f t="shared" ref="D2672:D2686" si="956">ADDRESS(B2672, I2672,4  )</f>
        <v>C72</v>
      </c>
      <c r="E2672" t="str">
        <f t="shared" ref="E2672:E2686" ca="1" si="957">IF(ISBLANK( INDIRECT($F$1565 &amp; D2672)),"", INDIRECT($F$1565 &amp; D2672))</f>
        <v/>
      </c>
      <c r="F2672" t="str">
        <f t="shared" ref="F2672:F2686" ca="1" si="958">CONCATENATE("Enter a '"&amp; H2672 &amp;"' for  building ", C2672, " in cell ", D2672, ".", CHAR(10))</f>
        <v xml:space="preserve">Enter a 'Building Street Address Only 
(DO NOT ENTER CITY, STATE, OR ZIP)' for  building 69 in cell C72.
</v>
      </c>
      <c r="G2672" s="9" t="str">
        <f t="shared" ca="1" si="951"/>
        <v xml:space="preserve">Enter a value for 'Number of Floors in the Tallest Building' in cell B60.
</v>
      </c>
      <c r="H2672" s="52" t="str">
        <f t="shared" ref="H2672:H2686" ca="1" si="959">OFFSET(INDIRECT($F$1565 &amp; D2672), -B2672 + 3, 0)</f>
        <v>Building Street Address Only 
(DO NOT ENTER CITY, STATE, OR ZIP)</v>
      </c>
      <c r="I2672" s="52">
        <v>3</v>
      </c>
    </row>
    <row r="2673" spans="1:10" ht="15" customHeight="1">
      <c r="A2673" t="str">
        <f t="shared" ca="1" si="954"/>
        <v/>
      </c>
      <c r="B2673">
        <f t="shared" si="955"/>
        <v>72</v>
      </c>
      <c r="C2673">
        <f t="shared" ca="1" si="953"/>
        <v>69</v>
      </c>
      <c r="D2673" t="str">
        <f t="shared" si="956"/>
        <v>D72</v>
      </c>
      <c r="E2673" t="str">
        <f t="shared" ca="1" si="957"/>
        <v/>
      </c>
      <c r="F2673" t="str">
        <f t="shared" ca="1" si="958"/>
        <v xml:space="preserve">Enter a 'Total Units in Building*' for  building 69 in cell D72.
</v>
      </c>
      <c r="G2673" s="9" t="str">
        <f t="shared" ca="1" si="951"/>
        <v xml:space="preserve">Enter a value for 'Number of Floors in the Tallest Building' in cell B60.
</v>
      </c>
      <c r="H2673" s="52" t="str">
        <f t="shared" ca="1" si="959"/>
        <v>Total Units in Building*</v>
      </c>
      <c r="I2673" s="52">
        <v>4</v>
      </c>
    </row>
    <row r="2674" spans="1:10" ht="15" customHeight="1">
      <c r="A2674" t="str">
        <f t="shared" ca="1" si="954"/>
        <v/>
      </c>
      <c r="B2674">
        <f t="shared" si="955"/>
        <v>72</v>
      </c>
      <c r="C2674">
        <f t="shared" ca="1" si="953"/>
        <v>69</v>
      </c>
      <c r="D2674" t="str">
        <f t="shared" si="956"/>
        <v>E72</v>
      </c>
      <c r="E2674" t="str">
        <f t="shared" ca="1" si="957"/>
        <v/>
      </c>
      <c r="F2674" t="str">
        <f t="shared" ca="1" si="958"/>
        <v xml:space="preserve">Enter a 'Employee Units' for  building 69 in cell E72.
</v>
      </c>
      <c r="G2674" s="9" t="str">
        <f t="shared" ca="1" si="951"/>
        <v xml:space="preserve">Enter a value for 'Number of Floors in the Tallest Building' in cell B60.
</v>
      </c>
      <c r="H2674" s="52" t="str">
        <f t="shared" ca="1" si="959"/>
        <v>Employee Units</v>
      </c>
      <c r="I2674" s="52">
        <v>5</v>
      </c>
    </row>
    <row r="2675" spans="1:10" ht="15" customHeight="1">
      <c r="A2675" t="str">
        <f t="shared" ca="1" si="954"/>
        <v/>
      </c>
      <c r="B2675">
        <f t="shared" si="955"/>
        <v>72</v>
      </c>
      <c r="C2675">
        <f t="shared" ca="1" si="953"/>
        <v>69</v>
      </c>
      <c r="D2675" t="str">
        <f t="shared" si="956"/>
        <v>F72</v>
      </c>
      <c r="E2675" t="str">
        <f t="shared" ca="1" si="957"/>
        <v/>
      </c>
      <c r="F2675" t="str">
        <f t="shared" ca="1" si="958"/>
        <v xml:space="preserve">Enter a 'Low-Income Units' for  building 69 in cell F72.
</v>
      </c>
      <c r="G2675" s="9" t="str">
        <f t="shared" ca="1" si="951"/>
        <v xml:space="preserve">Enter a value for 'Number of Floors in the Tallest Building' in cell B60.
</v>
      </c>
      <c r="H2675" s="52" t="str">
        <f t="shared" ca="1" si="959"/>
        <v>Low-Income Units</v>
      </c>
      <c r="I2675" s="52">
        <v>6</v>
      </c>
    </row>
    <row r="2676" spans="1:10" ht="15" customHeight="1">
      <c r="A2676" t="str">
        <f t="shared" ca="1" si="954"/>
        <v/>
      </c>
      <c r="B2676">
        <f t="shared" si="955"/>
        <v>72</v>
      </c>
      <c r="C2676">
        <f t="shared" ca="1" si="953"/>
        <v>69</v>
      </c>
      <c r="D2676" t="str">
        <f t="shared" si="956"/>
        <v>G72</v>
      </c>
      <c r="E2676" t="str">
        <f t="shared" ca="1" si="957"/>
        <v/>
      </c>
      <c r="F2676" t="str">
        <f t="shared" ca="1" si="958"/>
        <v xml:space="preserve">Enter a 'Residential Square Footage**' for  building 69 in cell G72.
</v>
      </c>
      <c r="G2676" s="9" t="str">
        <f t="shared" ca="1" si="951"/>
        <v xml:space="preserve">Enter a value for 'Number of Floors in the Tallest Building' in cell B60.
</v>
      </c>
      <c r="H2676" s="52" t="str">
        <f t="shared" ca="1" si="959"/>
        <v>Residential Square Footage**</v>
      </c>
      <c r="I2676" s="52">
        <v>7</v>
      </c>
    </row>
    <row r="2677" spans="1:10" ht="15" customHeight="1">
      <c r="A2677" t="str">
        <f t="shared" ca="1" si="954"/>
        <v/>
      </c>
      <c r="B2677">
        <f t="shared" si="955"/>
        <v>72</v>
      </c>
      <c r="C2677">
        <f t="shared" ca="1" si="953"/>
        <v>69</v>
      </c>
      <c r="D2677" t="str">
        <f t="shared" si="956"/>
        <v>H72</v>
      </c>
      <c r="E2677" t="str">
        <f t="shared" ca="1" si="957"/>
        <v/>
      </c>
      <c r="F2677" t="str">
        <f t="shared" ca="1" si="958"/>
        <v xml:space="preserve">Enter a 'Square Footage of Employee Units' for  building 69 in cell H72.
</v>
      </c>
      <c r="G2677" s="9" t="str">
        <f t="shared" ca="1" si="951"/>
        <v xml:space="preserve">Enter a value for 'Number of Floors in the Tallest Building' in cell B60.
</v>
      </c>
      <c r="H2677" s="52" t="str">
        <f t="shared" ca="1" si="959"/>
        <v>Square Footage of Employee Units</v>
      </c>
      <c r="I2677" s="52">
        <v>8</v>
      </c>
    </row>
    <row r="2678" spans="1:10" ht="15" customHeight="1">
      <c r="A2678" t="str">
        <f t="shared" ca="1" si="954"/>
        <v/>
      </c>
      <c r="B2678">
        <f t="shared" si="955"/>
        <v>72</v>
      </c>
      <c r="C2678">
        <f t="shared" ca="1" si="953"/>
        <v>69</v>
      </c>
      <c r="D2678" t="str">
        <f t="shared" si="956"/>
        <v>I72</v>
      </c>
      <c r="E2678" t="str">
        <f t="shared" ca="1" si="957"/>
        <v/>
      </c>
      <c r="F2678" t="str">
        <f t="shared" ca="1" si="958"/>
        <v xml:space="preserve">Enter a 'Square Footage of Low-Income Units' for  building 69 in cell I72.
</v>
      </c>
      <c r="G2678" s="9" t="str">
        <f t="shared" ca="1" si="951"/>
        <v xml:space="preserve">Enter a value for 'Number of Floors in the Tallest Building' in cell B60.
</v>
      </c>
      <c r="H2678" s="52" t="str">
        <f t="shared" ca="1" si="959"/>
        <v>Square Footage of Low-Income Units</v>
      </c>
      <c r="I2678" s="52">
        <v>9</v>
      </c>
    </row>
    <row r="2679" spans="1:10" ht="15" customHeight="1">
      <c r="A2679" t="str">
        <f t="shared" ca="1" si="954"/>
        <v/>
      </c>
      <c r="B2679">
        <f t="shared" si="955"/>
        <v>72</v>
      </c>
      <c r="C2679">
        <f t="shared" ca="1" si="953"/>
        <v>69</v>
      </c>
      <c r="D2679" t="str">
        <f t="shared" si="956"/>
        <v>J72</v>
      </c>
      <c r="E2679" t="str">
        <f t="shared" ca="1" si="957"/>
        <v/>
      </c>
      <c r="F2679" t="str">
        <f t="shared" ca="1" si="958"/>
        <v xml:space="preserve">Enter a 'Placed-In-Service Date' for  building 69 in cell J72.
</v>
      </c>
      <c r="G2679" s="9" t="str">
        <f t="shared" ca="1" si="951"/>
        <v xml:space="preserve">Enter a value for 'Number of Floors in the Tallest Building' in cell B60.
</v>
      </c>
      <c r="H2679" s="52" t="str">
        <f t="shared" ca="1" si="959"/>
        <v>Placed-In-Service Date</v>
      </c>
      <c r="I2679" s="52">
        <v>10</v>
      </c>
    </row>
    <row r="2680" spans="1:10" ht="15" customHeight="1">
      <c r="A2680" t="str">
        <f t="shared" ca="1" si="954"/>
        <v/>
      </c>
      <c r="B2680">
        <f t="shared" si="955"/>
        <v>72</v>
      </c>
      <c r="C2680">
        <f t="shared" ca="1" si="953"/>
        <v>69</v>
      </c>
      <c r="D2680" t="str">
        <f t="shared" si="956"/>
        <v>K72</v>
      </c>
      <c r="E2680" t="str">
        <f t="shared" ca="1" si="957"/>
        <v/>
      </c>
      <c r="F2680" t="str">
        <f t="shared" ca="1" si="958"/>
        <v xml:space="preserve">Enter a 'New Construction/ Rehab APR' for  building 69 in cell K72.
</v>
      </c>
      <c r="G2680" s="9" t="str">
        <f t="shared" ca="1" si="951"/>
        <v xml:space="preserve">Enter a value for 'Number of Floors in the Tallest Building' in cell B60.
</v>
      </c>
      <c r="H2680" s="52" t="str">
        <f t="shared" ca="1" si="959"/>
        <v>New Construction/ Rehab APR</v>
      </c>
      <c r="I2680" s="52">
        <v>11</v>
      </c>
    </row>
    <row r="2681" spans="1:10" ht="15" customHeight="1">
      <c r="A2681" t="str">
        <f t="shared" ca="1" si="954"/>
        <v/>
      </c>
      <c r="B2681">
        <f t="shared" si="955"/>
        <v>72</v>
      </c>
      <c r="C2681">
        <f t="shared" ca="1" si="953"/>
        <v>69</v>
      </c>
      <c r="D2681" t="str">
        <f t="shared" si="956"/>
        <v>L72</v>
      </c>
      <c r="E2681" t="str">
        <f t="shared" ca="1" si="957"/>
        <v/>
      </c>
      <c r="F2681" t="str">
        <f t="shared" ca="1" si="958"/>
        <v xml:space="preserve">Enter a 'New Construction Eligible Basis' for  building 69 in cell L72.
</v>
      </c>
      <c r="G2681" s="9" t="str">
        <f t="shared" ca="1" si="951"/>
        <v xml:space="preserve">Enter a value for 'Number of Floors in the Tallest Building' in cell B60.
</v>
      </c>
      <c r="H2681" s="52" t="str">
        <f t="shared" ca="1" si="959"/>
        <v>New Construction Eligible Basis</v>
      </c>
      <c r="I2681" s="52">
        <v>12</v>
      </c>
    </row>
    <row r="2682" spans="1:10" ht="15" customHeight="1">
      <c r="A2682" t="str">
        <f ca="1">IF(AND(OFFSET(A2682, -I2682 + 2, 4) &gt;  0, E2682="", Calculations!$B$7), F2682, "")</f>
        <v/>
      </c>
      <c r="B2682">
        <f t="shared" si="955"/>
        <v>72</v>
      </c>
      <c r="C2682">
        <f t="shared" ca="1" si="953"/>
        <v>69</v>
      </c>
      <c r="D2682" t="str">
        <f t="shared" si="956"/>
        <v>M72</v>
      </c>
      <c r="E2682" t="str">
        <f t="shared" ca="1" si="957"/>
        <v/>
      </c>
      <c r="F2682" t="str">
        <f t="shared" ca="1" si="958"/>
        <v xml:space="preserve">Enter a 'Eligible Basis for Rehab' for  building 69 in cell M72.
</v>
      </c>
      <c r="G2682" s="9" t="str">
        <f t="shared" ca="1" si="951"/>
        <v xml:space="preserve">Enter a value for 'Number of Floors in the Tallest Building' in cell B60.
</v>
      </c>
      <c r="H2682" s="52" t="str">
        <f t="shared" ca="1" si="959"/>
        <v>Eligible Basis for Rehab</v>
      </c>
      <c r="I2682" s="52">
        <v>13</v>
      </c>
    </row>
    <row r="2683" spans="1:10" ht="15" customHeight="1">
      <c r="A2683" t="str">
        <f ca="1">IF(AND(OFFSET(A2683, -I2683 + 2, 4) &gt;  0, E2683="", Calculations!$B$7), F2683, "")</f>
        <v/>
      </c>
      <c r="B2683">
        <f t="shared" si="955"/>
        <v>72</v>
      </c>
      <c r="C2683">
        <f t="shared" ca="1" si="953"/>
        <v>69</v>
      </c>
      <c r="D2683" t="str">
        <f t="shared" si="956"/>
        <v>N72</v>
      </c>
      <c r="E2683" t="str">
        <f t="shared" ca="1" si="957"/>
        <v/>
      </c>
      <c r="F2683" t="str">
        <f t="shared" ca="1" si="958"/>
        <v xml:space="preserve">Enter a 'Cost of Acquiring the Building***' for  building 69 in cell N72.
</v>
      </c>
      <c r="G2683" s="9" t="str">
        <f t="shared" ca="1" si="951"/>
        <v xml:space="preserve">Enter a value for 'Number of Floors in the Tallest Building' in cell B60.
</v>
      </c>
      <c r="H2683" s="52" t="str">
        <f t="shared" ca="1" si="959"/>
        <v>Cost of Acquiring the Building***</v>
      </c>
      <c r="I2683" s="52">
        <v>14</v>
      </c>
    </row>
    <row r="2684" spans="1:10" ht="15" customHeight="1">
      <c r="A2684" t="str">
        <f ca="1">IF(AND(OFFSET(A2684, -I2684 + 2, 4) &gt;  0, E2684="", Calculations!$B$7), F2684, "")</f>
        <v/>
      </c>
      <c r="B2684">
        <f t="shared" si="955"/>
        <v>72</v>
      </c>
      <c r="C2684">
        <f t="shared" ca="1" si="953"/>
        <v>69</v>
      </c>
      <c r="D2684" t="str">
        <f t="shared" si="956"/>
        <v>O72</v>
      </c>
      <c r="E2684" t="str">
        <f t="shared" ca="1" si="957"/>
        <v/>
      </c>
      <c r="F2684" t="str">
        <f t="shared" ca="1" si="958"/>
        <v xml:space="preserve">Enter a 'Higher of Land Purchase Price or Land Appraised Value****' for  building 69 in cell O72.
</v>
      </c>
      <c r="G2684" s="9" t="str">
        <f t="shared" ca="1" si="951"/>
        <v xml:space="preserve">Enter a value for 'Number of Floors in the Tallest Building' in cell B60.
</v>
      </c>
      <c r="H2684" s="52" t="str">
        <f t="shared" ca="1" si="959"/>
        <v>Higher of Land Purchase Price or Land Appraised Value****</v>
      </c>
      <c r="I2684" s="52">
        <v>15</v>
      </c>
    </row>
    <row r="2685" spans="1:10" ht="15" customHeight="1">
      <c r="A2685" t="str">
        <f ca="1">IF(AND(OFFSET(A2685, -I2685 + 2, 4) &gt;  0, E2685="", Calculations!$B$7), F2685, "")</f>
        <v/>
      </c>
      <c r="B2685">
        <f t="shared" si="955"/>
        <v>72</v>
      </c>
      <c r="C2685">
        <f t="shared" ca="1" si="953"/>
        <v>69</v>
      </c>
      <c r="D2685" t="str">
        <f t="shared" si="956"/>
        <v>P72</v>
      </c>
      <c r="E2685" t="str">
        <f t="shared" ca="1" si="957"/>
        <v/>
      </c>
      <c r="F2685" t="str">
        <f t="shared" ca="1" si="958"/>
        <v xml:space="preserve">Enter a 'Acquisition Placed-in-Service Date' for  building 69 in cell P72.
</v>
      </c>
      <c r="G2685" s="9" t="str">
        <f t="shared" ca="1" si="951"/>
        <v xml:space="preserve">Enter a value for 'Number of Floors in the Tallest Building' in cell B60.
</v>
      </c>
      <c r="H2685" s="52" t="str">
        <f t="shared" ca="1" si="959"/>
        <v>Acquisition Placed-in-Service Date</v>
      </c>
      <c r="I2685" s="52">
        <v>16</v>
      </c>
    </row>
    <row r="2686" spans="1:10" ht="15" customHeight="1">
      <c r="A2686" t="str">
        <f ca="1">IF(AND(OFFSET(A2686, -I2686 + 2, 4) &gt;  0, E2686="", Calculations!$B$7), F2686, "")</f>
        <v/>
      </c>
      <c r="B2686">
        <f t="shared" si="955"/>
        <v>72</v>
      </c>
      <c r="C2686">
        <f t="shared" ca="1" si="953"/>
        <v>69</v>
      </c>
      <c r="D2686" t="str">
        <f t="shared" si="956"/>
        <v>Q72</v>
      </c>
      <c r="E2686" t="str">
        <f t="shared" ca="1" si="957"/>
        <v/>
      </c>
      <c r="F2686" t="str">
        <f t="shared" ca="1" si="958"/>
        <v xml:space="preserve">Enter a 'Acquisition APR' for  building 69 in cell Q72.
</v>
      </c>
      <c r="G2686" s="9" t="str">
        <f t="shared" ca="1" si="951"/>
        <v xml:space="preserve">Enter a value for 'Number of Floors in the Tallest Building' in cell B60.
</v>
      </c>
      <c r="H2686" s="52" t="str">
        <f t="shared" ca="1" si="959"/>
        <v>Acquisition APR</v>
      </c>
      <c r="I2686" s="52">
        <v>17</v>
      </c>
    </row>
    <row r="2687" spans="1:10" ht="15" customHeight="1">
      <c r="A2687" t="str">
        <f ca="1">IF(AND(Calculations!$B$4,Calculations!$B$29&gt;=C2687, E2687 &lt;&gt; 13),F2687,"")</f>
        <v/>
      </c>
      <c r="B2687">
        <f>ROW('Final Building Profile'!C73)</f>
        <v>73</v>
      </c>
      <c r="C2687">
        <f t="shared" ca="1" si="953"/>
        <v>70</v>
      </c>
      <c r="D2687" t="str">
        <f>ADDRESS(B2687, 3,4  )</f>
        <v>C73</v>
      </c>
      <c r="E2687" s="52">
        <f ca="1">H2687+I2687</f>
        <v>0</v>
      </c>
      <c r="F2687" t="str">
        <f ca="1">CONCATENATE("Based upon the number of buildings specified, information for  building ", C2687, " required for a final application in row ", B2687, ".", CHAR(10))</f>
        <v xml:space="preserve">Based upon the number of buildings specified, information for  building 70 required for a final application in row 73.
</v>
      </c>
      <c r="G2687" s="9" t="str">
        <f t="shared" ca="1" si="951"/>
        <v xml:space="preserve">Enter a value for 'Number of Floors in the Tallest Building' in cell B60.
</v>
      </c>
      <c r="H2687" s="52">
        <f ca="1">SUMPRODUCT(--ISTEXT(INDIRECT(J2687)))</f>
        <v>0</v>
      </c>
      <c r="I2687" s="52">
        <f ca="1">SUMPRODUCT(--ISNUMBER(INDIRECT(J2687)))</f>
        <v>0</v>
      </c>
      <c r="J2687" s="52" t="str">
        <f>$F$1565&amp; ADDRESS(B2687,3,4) &amp; ":" &amp; ADDRESS(B2687,15,4)</f>
        <v>'Final Building Profile'!C73:O73</v>
      </c>
    </row>
    <row r="2688" spans="1:10" ht="15" customHeight="1">
      <c r="A2688" t="str">
        <f t="shared" ref="A2688:A2697" ca="1" si="960">IF(AND(OFFSET(A2688, -I2688 + 2, 4) &gt;  0, E2688=""), F2688, "")</f>
        <v/>
      </c>
      <c r="B2688">
        <f t="shared" ref="B2688:B2702" si="961">B2687</f>
        <v>73</v>
      </c>
      <c r="C2688">
        <f t="shared" ca="1" si="953"/>
        <v>70</v>
      </c>
      <c r="D2688" t="str">
        <f t="shared" ref="D2688:D2702" si="962">ADDRESS(B2688, I2688,4  )</f>
        <v>C73</v>
      </c>
      <c r="E2688" t="str">
        <f t="shared" ref="E2688:E2702" ca="1" si="963">IF(ISBLANK( INDIRECT($F$1565 &amp; D2688)),"", INDIRECT($F$1565 &amp; D2688))</f>
        <v/>
      </c>
      <c r="F2688" t="str">
        <f t="shared" ref="F2688:F2702" ca="1" si="964">CONCATENATE("Enter a '"&amp; H2688 &amp;"' for  building ", C2688, " in cell ", D2688, ".", CHAR(10))</f>
        <v xml:space="preserve">Enter a 'Building Street Address Only 
(DO NOT ENTER CITY, STATE, OR ZIP)' for  building 70 in cell C73.
</v>
      </c>
      <c r="G2688" s="9" t="str">
        <f t="shared" ca="1" si="951"/>
        <v xml:space="preserve">Enter a value for 'Number of Floors in the Tallest Building' in cell B60.
</v>
      </c>
      <c r="H2688" s="52" t="str">
        <f t="shared" ref="H2688:H2702" ca="1" si="965">OFFSET(INDIRECT($F$1565 &amp; D2688), -B2688 + 3, 0)</f>
        <v>Building Street Address Only 
(DO NOT ENTER CITY, STATE, OR ZIP)</v>
      </c>
      <c r="I2688" s="52">
        <v>3</v>
      </c>
    </row>
    <row r="2689" spans="1:10" ht="15" customHeight="1">
      <c r="A2689" t="str">
        <f t="shared" ca="1" si="960"/>
        <v/>
      </c>
      <c r="B2689">
        <f t="shared" si="961"/>
        <v>73</v>
      </c>
      <c r="C2689">
        <f t="shared" ca="1" si="953"/>
        <v>70</v>
      </c>
      <c r="D2689" t="str">
        <f t="shared" si="962"/>
        <v>D73</v>
      </c>
      <c r="E2689" t="str">
        <f t="shared" ca="1" si="963"/>
        <v/>
      </c>
      <c r="F2689" t="str">
        <f t="shared" ca="1" si="964"/>
        <v xml:space="preserve">Enter a 'Total Units in Building*' for  building 70 in cell D73.
</v>
      </c>
      <c r="G2689" s="9" t="str">
        <f t="shared" ca="1" si="951"/>
        <v xml:space="preserve">Enter a value for 'Number of Floors in the Tallest Building' in cell B60.
</v>
      </c>
      <c r="H2689" s="52" t="str">
        <f t="shared" ca="1" si="965"/>
        <v>Total Units in Building*</v>
      </c>
      <c r="I2689" s="52">
        <v>4</v>
      </c>
    </row>
    <row r="2690" spans="1:10" ht="15" customHeight="1">
      <c r="A2690" t="str">
        <f t="shared" ca="1" si="960"/>
        <v/>
      </c>
      <c r="B2690">
        <f t="shared" si="961"/>
        <v>73</v>
      </c>
      <c r="C2690">
        <f t="shared" ca="1" si="953"/>
        <v>70</v>
      </c>
      <c r="D2690" t="str">
        <f t="shared" si="962"/>
        <v>E73</v>
      </c>
      <c r="E2690" t="str">
        <f t="shared" ca="1" si="963"/>
        <v/>
      </c>
      <c r="F2690" t="str">
        <f t="shared" ca="1" si="964"/>
        <v xml:space="preserve">Enter a 'Employee Units' for  building 70 in cell E73.
</v>
      </c>
      <c r="G2690" s="9" t="str">
        <f t="shared" ca="1" si="951"/>
        <v xml:space="preserve">Enter a value for 'Number of Floors in the Tallest Building' in cell B60.
</v>
      </c>
      <c r="H2690" s="52" t="str">
        <f t="shared" ca="1" si="965"/>
        <v>Employee Units</v>
      </c>
      <c r="I2690" s="52">
        <v>5</v>
      </c>
    </row>
    <row r="2691" spans="1:10" ht="15" customHeight="1">
      <c r="A2691" t="str">
        <f t="shared" ca="1" si="960"/>
        <v/>
      </c>
      <c r="B2691">
        <f t="shared" si="961"/>
        <v>73</v>
      </c>
      <c r="C2691">
        <f t="shared" ca="1" si="953"/>
        <v>70</v>
      </c>
      <c r="D2691" t="str">
        <f t="shared" si="962"/>
        <v>F73</v>
      </c>
      <c r="E2691" t="str">
        <f t="shared" ca="1" si="963"/>
        <v/>
      </c>
      <c r="F2691" t="str">
        <f t="shared" ca="1" si="964"/>
        <v xml:space="preserve">Enter a 'Low-Income Units' for  building 70 in cell F73.
</v>
      </c>
      <c r="G2691" s="9" t="str">
        <f t="shared" ca="1" si="951"/>
        <v xml:space="preserve">Enter a value for 'Number of Floors in the Tallest Building' in cell B60.
</v>
      </c>
      <c r="H2691" s="52" t="str">
        <f t="shared" ca="1" si="965"/>
        <v>Low-Income Units</v>
      </c>
      <c r="I2691" s="52">
        <v>6</v>
      </c>
    </row>
    <row r="2692" spans="1:10" ht="15" customHeight="1">
      <c r="A2692" t="str">
        <f t="shared" ca="1" si="960"/>
        <v/>
      </c>
      <c r="B2692">
        <f t="shared" si="961"/>
        <v>73</v>
      </c>
      <c r="C2692">
        <f t="shared" ca="1" si="953"/>
        <v>70</v>
      </c>
      <c r="D2692" t="str">
        <f t="shared" si="962"/>
        <v>G73</v>
      </c>
      <c r="E2692" t="str">
        <f t="shared" ca="1" si="963"/>
        <v/>
      </c>
      <c r="F2692" t="str">
        <f t="shared" ca="1" si="964"/>
        <v xml:space="preserve">Enter a 'Residential Square Footage**' for  building 70 in cell G73.
</v>
      </c>
      <c r="G2692" s="9" t="str">
        <f t="shared" ca="1" si="951"/>
        <v xml:space="preserve">Enter a value for 'Number of Floors in the Tallest Building' in cell B60.
</v>
      </c>
      <c r="H2692" s="52" t="str">
        <f t="shared" ca="1" si="965"/>
        <v>Residential Square Footage**</v>
      </c>
      <c r="I2692" s="52">
        <v>7</v>
      </c>
    </row>
    <row r="2693" spans="1:10" ht="15" customHeight="1">
      <c r="A2693" t="str">
        <f t="shared" ca="1" si="960"/>
        <v/>
      </c>
      <c r="B2693">
        <f t="shared" si="961"/>
        <v>73</v>
      </c>
      <c r="C2693">
        <f t="shared" ca="1" si="953"/>
        <v>70</v>
      </c>
      <c r="D2693" t="str">
        <f t="shared" si="962"/>
        <v>H73</v>
      </c>
      <c r="E2693" t="str">
        <f t="shared" ca="1" si="963"/>
        <v/>
      </c>
      <c r="F2693" t="str">
        <f t="shared" ca="1" si="964"/>
        <v xml:space="preserve">Enter a 'Square Footage of Employee Units' for  building 70 in cell H73.
</v>
      </c>
      <c r="G2693" s="9" t="str">
        <f t="shared" ca="1" si="951"/>
        <v xml:space="preserve">Enter a value for 'Number of Floors in the Tallest Building' in cell B60.
</v>
      </c>
      <c r="H2693" s="52" t="str">
        <f t="shared" ca="1" si="965"/>
        <v>Square Footage of Employee Units</v>
      </c>
      <c r="I2693" s="52">
        <v>8</v>
      </c>
    </row>
    <row r="2694" spans="1:10" ht="15" customHeight="1">
      <c r="A2694" t="str">
        <f t="shared" ca="1" si="960"/>
        <v/>
      </c>
      <c r="B2694">
        <f t="shared" si="961"/>
        <v>73</v>
      </c>
      <c r="C2694">
        <f t="shared" ca="1" si="953"/>
        <v>70</v>
      </c>
      <c r="D2694" t="str">
        <f t="shared" si="962"/>
        <v>I73</v>
      </c>
      <c r="E2694" t="str">
        <f t="shared" ca="1" si="963"/>
        <v/>
      </c>
      <c r="F2694" t="str">
        <f t="shared" ca="1" si="964"/>
        <v xml:space="preserve">Enter a 'Square Footage of Low-Income Units' for  building 70 in cell I73.
</v>
      </c>
      <c r="G2694" s="9" t="str">
        <f t="shared" ca="1" si="951"/>
        <v xml:space="preserve">Enter a value for 'Number of Floors in the Tallest Building' in cell B60.
</v>
      </c>
      <c r="H2694" s="52" t="str">
        <f t="shared" ca="1" si="965"/>
        <v>Square Footage of Low-Income Units</v>
      </c>
      <c r="I2694" s="52">
        <v>9</v>
      </c>
    </row>
    <row r="2695" spans="1:10" ht="15" customHeight="1">
      <c r="A2695" t="str">
        <f t="shared" ca="1" si="960"/>
        <v/>
      </c>
      <c r="B2695">
        <f t="shared" si="961"/>
        <v>73</v>
      </c>
      <c r="C2695">
        <f t="shared" ca="1" si="953"/>
        <v>70</v>
      </c>
      <c r="D2695" t="str">
        <f t="shared" si="962"/>
        <v>J73</v>
      </c>
      <c r="E2695" t="str">
        <f t="shared" ca="1" si="963"/>
        <v/>
      </c>
      <c r="F2695" t="str">
        <f t="shared" ca="1" si="964"/>
        <v xml:space="preserve">Enter a 'Placed-In-Service Date' for  building 70 in cell J73.
</v>
      </c>
      <c r="G2695" s="9" t="str">
        <f t="shared" ca="1" si="951"/>
        <v xml:space="preserve">Enter a value for 'Number of Floors in the Tallest Building' in cell B60.
</v>
      </c>
      <c r="H2695" s="52" t="str">
        <f t="shared" ca="1" si="965"/>
        <v>Placed-In-Service Date</v>
      </c>
      <c r="I2695" s="52">
        <v>10</v>
      </c>
    </row>
    <row r="2696" spans="1:10" ht="15" customHeight="1">
      <c r="A2696" t="str">
        <f t="shared" ca="1" si="960"/>
        <v/>
      </c>
      <c r="B2696">
        <f t="shared" si="961"/>
        <v>73</v>
      </c>
      <c r="C2696">
        <f t="shared" ca="1" si="953"/>
        <v>70</v>
      </c>
      <c r="D2696" t="str">
        <f t="shared" si="962"/>
        <v>K73</v>
      </c>
      <c r="E2696" t="str">
        <f t="shared" ca="1" si="963"/>
        <v/>
      </c>
      <c r="F2696" t="str">
        <f t="shared" ca="1" si="964"/>
        <v xml:space="preserve">Enter a 'New Construction/ Rehab APR' for  building 70 in cell K73.
</v>
      </c>
      <c r="G2696" s="9" t="str">
        <f t="shared" ca="1" si="951"/>
        <v xml:space="preserve">Enter a value for 'Number of Floors in the Tallest Building' in cell B60.
</v>
      </c>
      <c r="H2696" s="52" t="str">
        <f t="shared" ca="1" si="965"/>
        <v>New Construction/ Rehab APR</v>
      </c>
      <c r="I2696" s="52">
        <v>11</v>
      </c>
    </row>
    <row r="2697" spans="1:10" ht="15" customHeight="1">
      <c r="A2697" t="str">
        <f t="shared" ca="1" si="960"/>
        <v/>
      </c>
      <c r="B2697">
        <f t="shared" si="961"/>
        <v>73</v>
      </c>
      <c r="C2697">
        <f t="shared" ca="1" si="953"/>
        <v>70</v>
      </c>
      <c r="D2697" t="str">
        <f t="shared" si="962"/>
        <v>L73</v>
      </c>
      <c r="E2697" t="str">
        <f t="shared" ca="1" si="963"/>
        <v/>
      </c>
      <c r="F2697" t="str">
        <f t="shared" ca="1" si="964"/>
        <v xml:space="preserve">Enter a 'New Construction Eligible Basis' for  building 70 in cell L73.
</v>
      </c>
      <c r="G2697" s="9" t="str">
        <f t="shared" ca="1" si="951"/>
        <v xml:space="preserve">Enter a value for 'Number of Floors in the Tallest Building' in cell B60.
</v>
      </c>
      <c r="H2697" s="52" t="str">
        <f t="shared" ca="1" si="965"/>
        <v>New Construction Eligible Basis</v>
      </c>
      <c r="I2697" s="52">
        <v>12</v>
      </c>
    </row>
    <row r="2698" spans="1:10" ht="15" customHeight="1">
      <c r="A2698" t="str">
        <f ca="1">IF(AND(OFFSET(A2698, -I2698 + 2, 4) &gt;  0, E2698="", Calculations!$B$7), F2698, "")</f>
        <v/>
      </c>
      <c r="B2698">
        <f t="shared" si="961"/>
        <v>73</v>
      </c>
      <c r="C2698">
        <f t="shared" ca="1" si="953"/>
        <v>70</v>
      </c>
      <c r="D2698" t="str">
        <f t="shared" si="962"/>
        <v>M73</v>
      </c>
      <c r="E2698" t="str">
        <f t="shared" ca="1" si="963"/>
        <v/>
      </c>
      <c r="F2698" t="str">
        <f t="shared" ca="1" si="964"/>
        <v xml:space="preserve">Enter a 'Eligible Basis for Rehab' for  building 70 in cell M73.
</v>
      </c>
      <c r="G2698" s="9" t="str">
        <f t="shared" ca="1" si="951"/>
        <v xml:space="preserve">Enter a value for 'Number of Floors in the Tallest Building' in cell B60.
</v>
      </c>
      <c r="H2698" s="52" t="str">
        <f t="shared" ca="1" si="965"/>
        <v>Eligible Basis for Rehab</v>
      </c>
      <c r="I2698" s="52">
        <v>13</v>
      </c>
    </row>
    <row r="2699" spans="1:10" ht="15" customHeight="1">
      <c r="A2699" t="str">
        <f ca="1">IF(AND(OFFSET(A2699, -I2699 + 2, 4) &gt;  0, E2699="", Calculations!$B$7), F2699, "")</f>
        <v/>
      </c>
      <c r="B2699">
        <f t="shared" si="961"/>
        <v>73</v>
      </c>
      <c r="C2699">
        <f t="shared" ca="1" si="953"/>
        <v>70</v>
      </c>
      <c r="D2699" t="str">
        <f t="shared" si="962"/>
        <v>N73</v>
      </c>
      <c r="E2699" t="str">
        <f t="shared" ca="1" si="963"/>
        <v/>
      </c>
      <c r="F2699" t="str">
        <f t="shared" ca="1" si="964"/>
        <v xml:space="preserve">Enter a 'Cost of Acquiring the Building***' for  building 70 in cell N73.
</v>
      </c>
      <c r="G2699" s="9" t="str">
        <f t="shared" ca="1" si="951"/>
        <v xml:space="preserve">Enter a value for 'Number of Floors in the Tallest Building' in cell B60.
</v>
      </c>
      <c r="H2699" s="52" t="str">
        <f t="shared" ca="1" si="965"/>
        <v>Cost of Acquiring the Building***</v>
      </c>
      <c r="I2699" s="52">
        <v>14</v>
      </c>
    </row>
    <row r="2700" spans="1:10" ht="15" customHeight="1">
      <c r="A2700" t="str">
        <f ca="1">IF(AND(OFFSET(A2700, -I2700 + 2, 4) &gt;  0, E2700="", Calculations!$B$7), F2700, "")</f>
        <v/>
      </c>
      <c r="B2700">
        <f t="shared" si="961"/>
        <v>73</v>
      </c>
      <c r="C2700">
        <f t="shared" ca="1" si="953"/>
        <v>70</v>
      </c>
      <c r="D2700" t="str">
        <f t="shared" si="962"/>
        <v>O73</v>
      </c>
      <c r="E2700" t="str">
        <f t="shared" ca="1" si="963"/>
        <v/>
      </c>
      <c r="F2700" t="str">
        <f t="shared" ca="1" si="964"/>
        <v xml:space="preserve">Enter a 'Higher of Land Purchase Price or Land Appraised Value****' for  building 70 in cell O73.
</v>
      </c>
      <c r="G2700" s="9" t="str">
        <f t="shared" ca="1" si="951"/>
        <v xml:space="preserve">Enter a value for 'Number of Floors in the Tallest Building' in cell B60.
</v>
      </c>
      <c r="H2700" s="52" t="str">
        <f t="shared" ca="1" si="965"/>
        <v>Higher of Land Purchase Price or Land Appraised Value****</v>
      </c>
      <c r="I2700" s="52">
        <v>15</v>
      </c>
    </row>
    <row r="2701" spans="1:10" ht="15" customHeight="1">
      <c r="A2701" t="str">
        <f ca="1">IF(AND(OFFSET(A2701, -I2701 + 2, 4) &gt;  0, E2701="", Calculations!$B$7), F2701, "")</f>
        <v/>
      </c>
      <c r="B2701">
        <f t="shared" si="961"/>
        <v>73</v>
      </c>
      <c r="C2701">
        <f t="shared" ca="1" si="953"/>
        <v>70</v>
      </c>
      <c r="D2701" t="str">
        <f t="shared" si="962"/>
        <v>P73</v>
      </c>
      <c r="E2701" t="str">
        <f t="shared" ca="1" si="963"/>
        <v/>
      </c>
      <c r="F2701" t="str">
        <f t="shared" ca="1" si="964"/>
        <v xml:space="preserve">Enter a 'Acquisition Placed-in-Service Date' for  building 70 in cell P73.
</v>
      </c>
      <c r="G2701" s="9" t="str">
        <f t="shared" ca="1" si="951"/>
        <v xml:space="preserve">Enter a value for 'Number of Floors in the Tallest Building' in cell B60.
</v>
      </c>
      <c r="H2701" s="52" t="str">
        <f t="shared" ca="1" si="965"/>
        <v>Acquisition Placed-in-Service Date</v>
      </c>
      <c r="I2701" s="52">
        <v>16</v>
      </c>
    </row>
    <row r="2702" spans="1:10" ht="15" customHeight="1">
      <c r="A2702" t="str">
        <f ca="1">IF(AND(OFFSET(A2702, -I2702 + 2, 4) &gt;  0, E2702="", Calculations!$B$7), F2702, "")</f>
        <v/>
      </c>
      <c r="B2702">
        <f t="shared" si="961"/>
        <v>73</v>
      </c>
      <c r="C2702">
        <f t="shared" ca="1" si="953"/>
        <v>70</v>
      </c>
      <c r="D2702" t="str">
        <f t="shared" si="962"/>
        <v>Q73</v>
      </c>
      <c r="E2702" t="str">
        <f t="shared" ca="1" si="963"/>
        <v/>
      </c>
      <c r="F2702" t="str">
        <f t="shared" ca="1" si="964"/>
        <v xml:space="preserve">Enter a 'Acquisition APR' for  building 70 in cell Q73.
</v>
      </c>
      <c r="G2702" s="9" t="str">
        <f t="shared" ca="1" si="951"/>
        <v xml:space="preserve">Enter a value for 'Number of Floors in the Tallest Building' in cell B60.
</v>
      </c>
      <c r="H2702" s="52" t="str">
        <f t="shared" ca="1" si="965"/>
        <v>Acquisition APR</v>
      </c>
      <c r="I2702" s="52">
        <v>17</v>
      </c>
    </row>
    <row r="2703" spans="1:10" ht="15" customHeight="1">
      <c r="A2703" t="str">
        <f ca="1">IF(AND(Calculations!$B$4,Calculations!$B$29&gt;=C2703, E2703 &lt;&gt; 13),F2703,"")</f>
        <v/>
      </c>
      <c r="B2703">
        <f>ROW('Final Building Profile'!C74)</f>
        <v>74</v>
      </c>
      <c r="C2703">
        <f t="shared" ca="1" si="953"/>
        <v>71</v>
      </c>
      <c r="D2703" t="str">
        <f>ADDRESS(B2703, 3,4  )</f>
        <v>C74</v>
      </c>
      <c r="E2703" s="52">
        <f ca="1">H2703+I2703</f>
        <v>0</v>
      </c>
      <c r="F2703" t="str">
        <f ca="1">CONCATENATE("Based upon the number of buildings specified, information for  building ", C2703, " required for a final application in row ", B2703, ".", CHAR(10))</f>
        <v xml:space="preserve">Based upon the number of buildings specified, information for  building 71 required for a final application in row 74.
</v>
      </c>
      <c r="G2703" s="9" t="str">
        <f t="shared" ca="1" si="951"/>
        <v xml:space="preserve">Enter a value for 'Number of Floors in the Tallest Building' in cell B60.
</v>
      </c>
      <c r="H2703" s="52">
        <f ca="1">SUMPRODUCT(--ISTEXT(INDIRECT(J2703)))</f>
        <v>0</v>
      </c>
      <c r="I2703" s="52">
        <f ca="1">SUMPRODUCT(--ISNUMBER(INDIRECT(J2703)))</f>
        <v>0</v>
      </c>
      <c r="J2703" s="52" t="str">
        <f>$F$1565&amp; ADDRESS(B2703,3,4) &amp; ":" &amp; ADDRESS(B2703,15,4)</f>
        <v>'Final Building Profile'!C74:O74</v>
      </c>
    </row>
    <row r="2704" spans="1:10" ht="15" customHeight="1">
      <c r="A2704" t="str">
        <f t="shared" ref="A2704:A2713" ca="1" si="966">IF(AND(OFFSET(A2704, -I2704 + 2, 4) &gt;  0, E2704=""), F2704, "")</f>
        <v/>
      </c>
      <c r="B2704">
        <f t="shared" ref="B2704:B2718" si="967">B2703</f>
        <v>74</v>
      </c>
      <c r="C2704">
        <f t="shared" ca="1" si="953"/>
        <v>71</v>
      </c>
      <c r="D2704" t="str">
        <f t="shared" ref="D2704:D2718" si="968">ADDRESS(B2704, I2704,4  )</f>
        <v>C74</v>
      </c>
      <c r="E2704" t="str">
        <f t="shared" ref="E2704:E2718" ca="1" si="969">IF(ISBLANK( INDIRECT($F$1565 &amp; D2704)),"", INDIRECT($F$1565 &amp; D2704))</f>
        <v/>
      </c>
      <c r="F2704" t="str">
        <f t="shared" ref="F2704:F2718" ca="1" si="970">CONCATENATE("Enter a '"&amp; H2704 &amp;"' for  building ", C2704, " in cell ", D2704, ".", CHAR(10))</f>
        <v xml:space="preserve">Enter a 'Building Street Address Only 
(DO NOT ENTER CITY, STATE, OR ZIP)' for  building 71 in cell C74.
</v>
      </c>
      <c r="G2704" s="9" t="str">
        <f t="shared" ca="1" si="951"/>
        <v xml:space="preserve">Enter a value for 'Number of Floors in the Tallest Building' in cell B60.
</v>
      </c>
      <c r="H2704" s="52" t="str">
        <f t="shared" ref="H2704:H2718" ca="1" si="971">OFFSET(INDIRECT($F$1565 &amp; D2704), -B2704 + 3, 0)</f>
        <v>Building Street Address Only 
(DO NOT ENTER CITY, STATE, OR ZIP)</v>
      </c>
      <c r="I2704" s="52">
        <v>3</v>
      </c>
    </row>
    <row r="2705" spans="1:10" ht="15" customHeight="1">
      <c r="A2705" t="str">
        <f t="shared" ca="1" si="966"/>
        <v/>
      </c>
      <c r="B2705">
        <f t="shared" si="967"/>
        <v>74</v>
      </c>
      <c r="C2705">
        <f t="shared" ca="1" si="953"/>
        <v>71</v>
      </c>
      <c r="D2705" t="str">
        <f t="shared" si="968"/>
        <v>D74</v>
      </c>
      <c r="E2705" t="str">
        <f t="shared" ca="1" si="969"/>
        <v/>
      </c>
      <c r="F2705" t="str">
        <f t="shared" ca="1" si="970"/>
        <v xml:space="preserve">Enter a 'Total Units in Building*' for  building 71 in cell D74.
</v>
      </c>
      <c r="G2705" s="9" t="str">
        <f t="shared" ca="1" si="951"/>
        <v xml:space="preserve">Enter a value for 'Number of Floors in the Tallest Building' in cell B60.
</v>
      </c>
      <c r="H2705" s="52" t="str">
        <f t="shared" ca="1" si="971"/>
        <v>Total Units in Building*</v>
      </c>
      <c r="I2705" s="52">
        <v>4</v>
      </c>
    </row>
    <row r="2706" spans="1:10" ht="15" customHeight="1">
      <c r="A2706" t="str">
        <f t="shared" ca="1" si="966"/>
        <v/>
      </c>
      <c r="B2706">
        <f t="shared" si="967"/>
        <v>74</v>
      </c>
      <c r="C2706">
        <f t="shared" ca="1" si="953"/>
        <v>71</v>
      </c>
      <c r="D2706" t="str">
        <f t="shared" si="968"/>
        <v>E74</v>
      </c>
      <c r="E2706" t="str">
        <f t="shared" ca="1" si="969"/>
        <v/>
      </c>
      <c r="F2706" t="str">
        <f t="shared" ca="1" si="970"/>
        <v xml:space="preserve">Enter a 'Employee Units' for  building 71 in cell E74.
</v>
      </c>
      <c r="G2706" s="9" t="str">
        <f t="shared" ca="1" si="951"/>
        <v xml:space="preserve">Enter a value for 'Number of Floors in the Tallest Building' in cell B60.
</v>
      </c>
      <c r="H2706" s="52" t="str">
        <f t="shared" ca="1" si="971"/>
        <v>Employee Units</v>
      </c>
      <c r="I2706" s="52">
        <v>5</v>
      </c>
    </row>
    <row r="2707" spans="1:10" ht="15" customHeight="1">
      <c r="A2707" t="str">
        <f t="shared" ca="1" si="966"/>
        <v/>
      </c>
      <c r="B2707">
        <f t="shared" si="967"/>
        <v>74</v>
      </c>
      <c r="C2707">
        <f t="shared" ca="1" si="953"/>
        <v>71</v>
      </c>
      <c r="D2707" t="str">
        <f t="shared" si="968"/>
        <v>F74</v>
      </c>
      <c r="E2707" t="str">
        <f t="shared" ca="1" si="969"/>
        <v/>
      </c>
      <c r="F2707" t="str">
        <f t="shared" ca="1" si="970"/>
        <v xml:space="preserve">Enter a 'Low-Income Units' for  building 71 in cell F74.
</v>
      </c>
      <c r="G2707" s="9" t="str">
        <f t="shared" ca="1" si="951"/>
        <v xml:space="preserve">Enter a value for 'Number of Floors in the Tallest Building' in cell B60.
</v>
      </c>
      <c r="H2707" s="52" t="str">
        <f t="shared" ca="1" si="971"/>
        <v>Low-Income Units</v>
      </c>
      <c r="I2707" s="52">
        <v>6</v>
      </c>
    </row>
    <row r="2708" spans="1:10" ht="15" customHeight="1">
      <c r="A2708" t="str">
        <f t="shared" ca="1" si="966"/>
        <v/>
      </c>
      <c r="B2708">
        <f t="shared" si="967"/>
        <v>74</v>
      </c>
      <c r="C2708">
        <f t="shared" ca="1" si="953"/>
        <v>71</v>
      </c>
      <c r="D2708" t="str">
        <f t="shared" si="968"/>
        <v>G74</v>
      </c>
      <c r="E2708" t="str">
        <f t="shared" ca="1" si="969"/>
        <v/>
      </c>
      <c r="F2708" t="str">
        <f t="shared" ca="1" si="970"/>
        <v xml:space="preserve">Enter a 'Residential Square Footage**' for  building 71 in cell G74.
</v>
      </c>
      <c r="G2708" s="9" t="str">
        <f t="shared" ca="1" si="951"/>
        <v xml:space="preserve">Enter a value for 'Number of Floors in the Tallest Building' in cell B60.
</v>
      </c>
      <c r="H2708" s="52" t="str">
        <f t="shared" ca="1" si="971"/>
        <v>Residential Square Footage**</v>
      </c>
      <c r="I2708" s="52">
        <v>7</v>
      </c>
    </row>
    <row r="2709" spans="1:10" ht="15" customHeight="1">
      <c r="A2709" t="str">
        <f t="shared" ca="1" si="966"/>
        <v/>
      </c>
      <c r="B2709">
        <f t="shared" si="967"/>
        <v>74</v>
      </c>
      <c r="C2709">
        <f t="shared" ca="1" si="953"/>
        <v>71</v>
      </c>
      <c r="D2709" t="str">
        <f t="shared" si="968"/>
        <v>H74</v>
      </c>
      <c r="E2709" t="str">
        <f t="shared" ca="1" si="969"/>
        <v/>
      </c>
      <c r="F2709" t="str">
        <f t="shared" ca="1" si="970"/>
        <v xml:space="preserve">Enter a 'Square Footage of Employee Units' for  building 71 in cell H74.
</v>
      </c>
      <c r="G2709" s="9" t="str">
        <f t="shared" ca="1" si="951"/>
        <v xml:space="preserve">Enter a value for 'Number of Floors in the Tallest Building' in cell B60.
</v>
      </c>
      <c r="H2709" s="52" t="str">
        <f t="shared" ca="1" si="971"/>
        <v>Square Footage of Employee Units</v>
      </c>
      <c r="I2709" s="52">
        <v>8</v>
      </c>
    </row>
    <row r="2710" spans="1:10" ht="15" customHeight="1">
      <c r="A2710" t="str">
        <f t="shared" ca="1" si="966"/>
        <v/>
      </c>
      <c r="B2710">
        <f t="shared" si="967"/>
        <v>74</v>
      </c>
      <c r="C2710">
        <f t="shared" ca="1" si="953"/>
        <v>71</v>
      </c>
      <c r="D2710" t="str">
        <f t="shared" si="968"/>
        <v>I74</v>
      </c>
      <c r="E2710" t="str">
        <f t="shared" ca="1" si="969"/>
        <v/>
      </c>
      <c r="F2710" t="str">
        <f t="shared" ca="1" si="970"/>
        <v xml:space="preserve">Enter a 'Square Footage of Low-Income Units' for  building 71 in cell I74.
</v>
      </c>
      <c r="G2710" s="9" t="str">
        <f t="shared" ca="1" si="951"/>
        <v xml:space="preserve">Enter a value for 'Number of Floors in the Tallest Building' in cell B60.
</v>
      </c>
      <c r="H2710" s="52" t="str">
        <f t="shared" ca="1" si="971"/>
        <v>Square Footage of Low-Income Units</v>
      </c>
      <c r="I2710" s="52">
        <v>9</v>
      </c>
    </row>
    <row r="2711" spans="1:10" ht="15" customHeight="1">
      <c r="A2711" t="str">
        <f t="shared" ca="1" si="966"/>
        <v/>
      </c>
      <c r="B2711">
        <f t="shared" si="967"/>
        <v>74</v>
      </c>
      <c r="C2711">
        <f t="shared" ca="1" si="953"/>
        <v>71</v>
      </c>
      <c r="D2711" t="str">
        <f t="shared" si="968"/>
        <v>J74</v>
      </c>
      <c r="E2711" t="str">
        <f t="shared" ca="1" si="969"/>
        <v/>
      </c>
      <c r="F2711" t="str">
        <f t="shared" ca="1" si="970"/>
        <v xml:space="preserve">Enter a 'Placed-In-Service Date' for  building 71 in cell J74.
</v>
      </c>
      <c r="G2711" s="9" t="str">
        <f t="shared" ca="1" si="951"/>
        <v xml:space="preserve">Enter a value for 'Number of Floors in the Tallest Building' in cell B60.
</v>
      </c>
      <c r="H2711" s="52" t="str">
        <f t="shared" ca="1" si="971"/>
        <v>Placed-In-Service Date</v>
      </c>
      <c r="I2711" s="52">
        <v>10</v>
      </c>
    </row>
    <row r="2712" spans="1:10" ht="15" customHeight="1">
      <c r="A2712" t="str">
        <f t="shared" ca="1" si="966"/>
        <v/>
      </c>
      <c r="B2712">
        <f t="shared" si="967"/>
        <v>74</v>
      </c>
      <c r="C2712">
        <f t="shared" ca="1" si="953"/>
        <v>71</v>
      </c>
      <c r="D2712" t="str">
        <f t="shared" si="968"/>
        <v>K74</v>
      </c>
      <c r="E2712" t="str">
        <f t="shared" ca="1" si="969"/>
        <v/>
      </c>
      <c r="F2712" t="str">
        <f t="shared" ca="1" si="970"/>
        <v xml:space="preserve">Enter a 'New Construction/ Rehab APR' for  building 71 in cell K74.
</v>
      </c>
      <c r="G2712" s="9" t="str">
        <f t="shared" ca="1" si="951"/>
        <v xml:space="preserve">Enter a value for 'Number of Floors in the Tallest Building' in cell B60.
</v>
      </c>
      <c r="H2712" s="52" t="str">
        <f t="shared" ca="1" si="971"/>
        <v>New Construction/ Rehab APR</v>
      </c>
      <c r="I2712" s="52">
        <v>11</v>
      </c>
    </row>
    <row r="2713" spans="1:10" ht="15" customHeight="1">
      <c r="A2713" t="str">
        <f t="shared" ca="1" si="966"/>
        <v/>
      </c>
      <c r="B2713">
        <f t="shared" si="967"/>
        <v>74</v>
      </c>
      <c r="C2713">
        <f t="shared" ca="1" si="953"/>
        <v>71</v>
      </c>
      <c r="D2713" t="str">
        <f t="shared" si="968"/>
        <v>L74</v>
      </c>
      <c r="E2713" t="str">
        <f t="shared" ca="1" si="969"/>
        <v/>
      </c>
      <c r="F2713" t="str">
        <f t="shared" ca="1" si="970"/>
        <v xml:space="preserve">Enter a 'New Construction Eligible Basis' for  building 71 in cell L74.
</v>
      </c>
      <c r="G2713" s="9" t="str">
        <f t="shared" ca="1" si="951"/>
        <v xml:space="preserve">Enter a value for 'Number of Floors in the Tallest Building' in cell B60.
</v>
      </c>
      <c r="H2713" s="52" t="str">
        <f t="shared" ca="1" si="971"/>
        <v>New Construction Eligible Basis</v>
      </c>
      <c r="I2713" s="52">
        <v>12</v>
      </c>
    </row>
    <row r="2714" spans="1:10" ht="15" customHeight="1">
      <c r="A2714" t="str">
        <f ca="1">IF(AND(OFFSET(A2714, -I2714 + 2, 4) &gt;  0, E2714="", Calculations!$B$7), F2714, "")</f>
        <v/>
      </c>
      <c r="B2714">
        <f t="shared" si="967"/>
        <v>74</v>
      </c>
      <c r="C2714">
        <f t="shared" ca="1" si="953"/>
        <v>71</v>
      </c>
      <c r="D2714" t="str">
        <f t="shared" si="968"/>
        <v>M74</v>
      </c>
      <c r="E2714" t="str">
        <f t="shared" ca="1" si="969"/>
        <v/>
      </c>
      <c r="F2714" t="str">
        <f t="shared" ca="1" si="970"/>
        <v xml:space="preserve">Enter a 'Eligible Basis for Rehab' for  building 71 in cell M74.
</v>
      </c>
      <c r="G2714" s="9" t="str">
        <f t="shared" ca="1" si="951"/>
        <v xml:space="preserve">Enter a value for 'Number of Floors in the Tallest Building' in cell B60.
</v>
      </c>
      <c r="H2714" s="52" t="str">
        <f t="shared" ca="1" si="971"/>
        <v>Eligible Basis for Rehab</v>
      </c>
      <c r="I2714" s="52">
        <v>13</v>
      </c>
    </row>
    <row r="2715" spans="1:10" ht="15" customHeight="1">
      <c r="A2715" t="str">
        <f ca="1">IF(AND(OFFSET(A2715, -I2715 + 2, 4) &gt;  0, E2715="", Calculations!$B$7), F2715, "")</f>
        <v/>
      </c>
      <c r="B2715">
        <f t="shared" si="967"/>
        <v>74</v>
      </c>
      <c r="C2715">
        <f t="shared" ca="1" si="953"/>
        <v>71</v>
      </c>
      <c r="D2715" t="str">
        <f t="shared" si="968"/>
        <v>N74</v>
      </c>
      <c r="E2715" t="str">
        <f t="shared" ca="1" si="969"/>
        <v/>
      </c>
      <c r="F2715" t="str">
        <f t="shared" ca="1" si="970"/>
        <v xml:space="preserve">Enter a 'Cost of Acquiring the Building***' for  building 71 in cell N74.
</v>
      </c>
      <c r="G2715" s="9" t="str">
        <f t="shared" ca="1" si="951"/>
        <v xml:space="preserve">Enter a value for 'Number of Floors in the Tallest Building' in cell B60.
</v>
      </c>
      <c r="H2715" s="52" t="str">
        <f t="shared" ca="1" si="971"/>
        <v>Cost of Acquiring the Building***</v>
      </c>
      <c r="I2715" s="52">
        <v>14</v>
      </c>
    </row>
    <row r="2716" spans="1:10" ht="15" customHeight="1">
      <c r="A2716" t="str">
        <f ca="1">IF(AND(OFFSET(A2716, -I2716 + 2, 4) &gt;  0, E2716="", Calculations!$B$7), F2716, "")</f>
        <v/>
      </c>
      <c r="B2716">
        <f t="shared" si="967"/>
        <v>74</v>
      </c>
      <c r="C2716">
        <f t="shared" ca="1" si="953"/>
        <v>71</v>
      </c>
      <c r="D2716" t="str">
        <f t="shared" si="968"/>
        <v>O74</v>
      </c>
      <c r="E2716" t="str">
        <f t="shared" ca="1" si="969"/>
        <v/>
      </c>
      <c r="F2716" t="str">
        <f t="shared" ca="1" si="970"/>
        <v xml:space="preserve">Enter a 'Higher of Land Purchase Price or Land Appraised Value****' for  building 71 in cell O74.
</v>
      </c>
      <c r="G2716" s="9" t="str">
        <f t="shared" ca="1" si="951"/>
        <v xml:space="preserve">Enter a value for 'Number of Floors in the Tallest Building' in cell B60.
</v>
      </c>
      <c r="H2716" s="52" t="str">
        <f t="shared" ca="1" si="971"/>
        <v>Higher of Land Purchase Price or Land Appraised Value****</v>
      </c>
      <c r="I2716" s="52">
        <v>15</v>
      </c>
    </row>
    <row r="2717" spans="1:10" ht="15" customHeight="1">
      <c r="A2717" t="str">
        <f ca="1">IF(AND(OFFSET(A2717, -I2717 + 2, 4) &gt;  0, E2717="", Calculations!$B$7), F2717, "")</f>
        <v/>
      </c>
      <c r="B2717">
        <f t="shared" si="967"/>
        <v>74</v>
      </c>
      <c r="C2717">
        <f t="shared" ca="1" si="953"/>
        <v>71</v>
      </c>
      <c r="D2717" t="str">
        <f t="shared" si="968"/>
        <v>P74</v>
      </c>
      <c r="E2717" t="str">
        <f t="shared" ca="1" si="969"/>
        <v/>
      </c>
      <c r="F2717" t="str">
        <f t="shared" ca="1" si="970"/>
        <v xml:space="preserve">Enter a 'Acquisition Placed-in-Service Date' for  building 71 in cell P74.
</v>
      </c>
      <c r="G2717" s="9" t="str">
        <f t="shared" ca="1" si="951"/>
        <v xml:space="preserve">Enter a value for 'Number of Floors in the Tallest Building' in cell B60.
</v>
      </c>
      <c r="H2717" s="52" t="str">
        <f t="shared" ca="1" si="971"/>
        <v>Acquisition Placed-in-Service Date</v>
      </c>
      <c r="I2717" s="52">
        <v>16</v>
      </c>
    </row>
    <row r="2718" spans="1:10" ht="15" customHeight="1">
      <c r="A2718" t="str">
        <f ca="1">IF(AND(OFFSET(A2718, -I2718 + 2, 4) &gt;  0, E2718="", Calculations!$B$7), F2718, "")</f>
        <v/>
      </c>
      <c r="B2718">
        <f t="shared" si="967"/>
        <v>74</v>
      </c>
      <c r="C2718">
        <f t="shared" ca="1" si="953"/>
        <v>71</v>
      </c>
      <c r="D2718" t="str">
        <f t="shared" si="968"/>
        <v>Q74</v>
      </c>
      <c r="E2718" t="str">
        <f t="shared" ca="1" si="969"/>
        <v/>
      </c>
      <c r="F2718" t="str">
        <f t="shared" ca="1" si="970"/>
        <v xml:space="preserve">Enter a 'Acquisition APR' for  building 71 in cell Q74.
</v>
      </c>
      <c r="G2718" s="9" t="str">
        <f t="shared" ca="1" si="951"/>
        <v xml:space="preserve">Enter a value for 'Number of Floors in the Tallest Building' in cell B60.
</v>
      </c>
      <c r="H2718" s="52" t="str">
        <f t="shared" ca="1" si="971"/>
        <v>Acquisition APR</v>
      </c>
      <c r="I2718" s="52">
        <v>17</v>
      </c>
    </row>
    <row r="2719" spans="1:10" ht="15" customHeight="1">
      <c r="A2719" t="str">
        <f ca="1">IF(AND(Calculations!$B$4,Calculations!$B$29&gt;=C2719, E2719 &lt;&gt; 13),F2719,"")</f>
        <v/>
      </c>
      <c r="B2719">
        <f>ROW('Final Building Profile'!C75)</f>
        <v>75</v>
      </c>
      <c r="C2719">
        <f t="shared" ca="1" si="953"/>
        <v>72</v>
      </c>
      <c r="D2719" t="str">
        <f>ADDRESS(B2719, 3,4  )</f>
        <v>C75</v>
      </c>
      <c r="E2719" s="52">
        <f ca="1">H2719+I2719</f>
        <v>0</v>
      </c>
      <c r="F2719" t="str">
        <f ca="1">CONCATENATE("Based upon the number of buildings specified, information for  building ", C2719, " required for a final application in row ", B2719, ".", CHAR(10))</f>
        <v xml:space="preserve">Based upon the number of buildings specified, information for  building 72 required for a final application in row 75.
</v>
      </c>
      <c r="G2719" s="9" t="str">
        <f t="shared" ca="1" si="951"/>
        <v xml:space="preserve">Enter a value for 'Number of Floors in the Tallest Building' in cell B60.
</v>
      </c>
      <c r="H2719" s="52">
        <f ca="1">SUMPRODUCT(--ISTEXT(INDIRECT(J2719)))</f>
        <v>0</v>
      </c>
      <c r="I2719" s="52">
        <f ca="1">SUMPRODUCT(--ISNUMBER(INDIRECT(J2719)))</f>
        <v>0</v>
      </c>
      <c r="J2719" s="52" t="str">
        <f>$F$1565&amp; ADDRESS(B2719,3,4) &amp; ":" &amp; ADDRESS(B2719,15,4)</f>
        <v>'Final Building Profile'!C75:O75</v>
      </c>
    </row>
    <row r="2720" spans="1:10" ht="15" customHeight="1">
      <c r="A2720" t="str">
        <f t="shared" ref="A2720:A2729" ca="1" si="972">IF(AND(OFFSET(A2720, -I2720 + 2, 4) &gt;  0, E2720=""), F2720, "")</f>
        <v/>
      </c>
      <c r="B2720">
        <f t="shared" ref="B2720:B2734" si="973">B2719</f>
        <v>75</v>
      </c>
      <c r="C2720">
        <f t="shared" ca="1" si="953"/>
        <v>72</v>
      </c>
      <c r="D2720" t="str">
        <f t="shared" ref="D2720:D2734" si="974">ADDRESS(B2720, I2720,4  )</f>
        <v>C75</v>
      </c>
      <c r="E2720" t="str">
        <f t="shared" ref="E2720:E2734" ca="1" si="975">IF(ISBLANK( INDIRECT($F$1565 &amp; D2720)),"", INDIRECT($F$1565 &amp; D2720))</f>
        <v/>
      </c>
      <c r="F2720" t="str">
        <f t="shared" ref="F2720:F2734" ca="1" si="976">CONCATENATE("Enter a '"&amp; H2720 &amp;"' for  building ", C2720, " in cell ", D2720, ".", CHAR(10))</f>
        <v xml:space="preserve">Enter a 'Building Street Address Only 
(DO NOT ENTER CITY, STATE, OR ZIP)' for  building 72 in cell C75.
</v>
      </c>
      <c r="G2720" s="9" t="str">
        <f t="shared" ref="G2720:G2783" ca="1" si="977">OFFSET(G2720, -1, 0) &amp; A2720</f>
        <v xml:space="preserve">Enter a value for 'Number of Floors in the Tallest Building' in cell B60.
</v>
      </c>
      <c r="H2720" s="52" t="str">
        <f t="shared" ref="H2720:H2734" ca="1" si="978">OFFSET(INDIRECT($F$1565 &amp; D2720), -B2720 + 3, 0)</f>
        <v>Building Street Address Only 
(DO NOT ENTER CITY, STATE, OR ZIP)</v>
      </c>
      <c r="I2720" s="52">
        <v>3</v>
      </c>
    </row>
    <row r="2721" spans="1:10" ht="15" customHeight="1">
      <c r="A2721" t="str">
        <f t="shared" ca="1" si="972"/>
        <v/>
      </c>
      <c r="B2721">
        <f t="shared" si="973"/>
        <v>75</v>
      </c>
      <c r="C2721">
        <f t="shared" ca="1" si="953"/>
        <v>72</v>
      </c>
      <c r="D2721" t="str">
        <f t="shared" si="974"/>
        <v>D75</v>
      </c>
      <c r="E2721" t="str">
        <f t="shared" ca="1" si="975"/>
        <v/>
      </c>
      <c r="F2721" t="str">
        <f t="shared" ca="1" si="976"/>
        <v xml:space="preserve">Enter a 'Total Units in Building*' for  building 72 in cell D75.
</v>
      </c>
      <c r="G2721" s="9" t="str">
        <f t="shared" ca="1" si="977"/>
        <v xml:space="preserve">Enter a value for 'Number of Floors in the Tallest Building' in cell B60.
</v>
      </c>
      <c r="H2721" s="52" t="str">
        <f t="shared" ca="1" si="978"/>
        <v>Total Units in Building*</v>
      </c>
      <c r="I2721" s="52">
        <v>4</v>
      </c>
    </row>
    <row r="2722" spans="1:10" ht="15" customHeight="1">
      <c r="A2722" t="str">
        <f t="shared" ca="1" si="972"/>
        <v/>
      </c>
      <c r="B2722">
        <f t="shared" si="973"/>
        <v>75</v>
      </c>
      <c r="C2722">
        <f t="shared" ca="1" si="953"/>
        <v>72</v>
      </c>
      <c r="D2722" t="str">
        <f t="shared" si="974"/>
        <v>E75</v>
      </c>
      <c r="E2722" t="str">
        <f t="shared" ca="1" si="975"/>
        <v/>
      </c>
      <c r="F2722" t="str">
        <f t="shared" ca="1" si="976"/>
        <v xml:space="preserve">Enter a 'Employee Units' for  building 72 in cell E75.
</v>
      </c>
      <c r="G2722" s="9" t="str">
        <f t="shared" ca="1" si="977"/>
        <v xml:space="preserve">Enter a value for 'Number of Floors in the Tallest Building' in cell B60.
</v>
      </c>
      <c r="H2722" s="52" t="str">
        <f t="shared" ca="1" si="978"/>
        <v>Employee Units</v>
      </c>
      <c r="I2722" s="52">
        <v>5</v>
      </c>
    </row>
    <row r="2723" spans="1:10" ht="15" customHeight="1">
      <c r="A2723" t="str">
        <f t="shared" ca="1" si="972"/>
        <v/>
      </c>
      <c r="B2723">
        <f t="shared" si="973"/>
        <v>75</v>
      </c>
      <c r="C2723">
        <f t="shared" ca="1" si="953"/>
        <v>72</v>
      </c>
      <c r="D2723" t="str">
        <f t="shared" si="974"/>
        <v>F75</v>
      </c>
      <c r="E2723" t="str">
        <f t="shared" ca="1" si="975"/>
        <v/>
      </c>
      <c r="F2723" t="str">
        <f t="shared" ca="1" si="976"/>
        <v xml:space="preserve">Enter a 'Low-Income Units' for  building 72 in cell F75.
</v>
      </c>
      <c r="G2723" s="9" t="str">
        <f t="shared" ca="1" si="977"/>
        <v xml:space="preserve">Enter a value for 'Number of Floors in the Tallest Building' in cell B60.
</v>
      </c>
      <c r="H2723" s="52" t="str">
        <f t="shared" ca="1" si="978"/>
        <v>Low-Income Units</v>
      </c>
      <c r="I2723" s="52">
        <v>6</v>
      </c>
    </row>
    <row r="2724" spans="1:10" ht="15" customHeight="1">
      <c r="A2724" t="str">
        <f t="shared" ca="1" si="972"/>
        <v/>
      </c>
      <c r="B2724">
        <f t="shared" si="973"/>
        <v>75</v>
      </c>
      <c r="C2724">
        <f t="shared" ca="1" si="953"/>
        <v>72</v>
      </c>
      <c r="D2724" t="str">
        <f t="shared" si="974"/>
        <v>G75</v>
      </c>
      <c r="E2724" t="str">
        <f t="shared" ca="1" si="975"/>
        <v/>
      </c>
      <c r="F2724" t="str">
        <f t="shared" ca="1" si="976"/>
        <v xml:space="preserve">Enter a 'Residential Square Footage**' for  building 72 in cell G75.
</v>
      </c>
      <c r="G2724" s="9" t="str">
        <f t="shared" ca="1" si="977"/>
        <v xml:space="preserve">Enter a value for 'Number of Floors in the Tallest Building' in cell B60.
</v>
      </c>
      <c r="H2724" s="52" t="str">
        <f t="shared" ca="1" si="978"/>
        <v>Residential Square Footage**</v>
      </c>
      <c r="I2724" s="52">
        <v>7</v>
      </c>
    </row>
    <row r="2725" spans="1:10" ht="15" customHeight="1">
      <c r="A2725" t="str">
        <f t="shared" ca="1" si="972"/>
        <v/>
      </c>
      <c r="B2725">
        <f t="shared" si="973"/>
        <v>75</v>
      </c>
      <c r="C2725">
        <f t="shared" ca="1" si="953"/>
        <v>72</v>
      </c>
      <c r="D2725" t="str">
        <f t="shared" si="974"/>
        <v>H75</v>
      </c>
      <c r="E2725" t="str">
        <f t="shared" ca="1" si="975"/>
        <v/>
      </c>
      <c r="F2725" t="str">
        <f t="shared" ca="1" si="976"/>
        <v xml:space="preserve">Enter a 'Square Footage of Employee Units' for  building 72 in cell H75.
</v>
      </c>
      <c r="G2725" s="9" t="str">
        <f t="shared" ca="1" si="977"/>
        <v xml:space="preserve">Enter a value for 'Number of Floors in the Tallest Building' in cell B60.
</v>
      </c>
      <c r="H2725" s="52" t="str">
        <f t="shared" ca="1" si="978"/>
        <v>Square Footage of Employee Units</v>
      </c>
      <c r="I2725" s="52">
        <v>8</v>
      </c>
    </row>
    <row r="2726" spans="1:10" ht="15" customHeight="1">
      <c r="A2726" t="str">
        <f t="shared" ca="1" si="972"/>
        <v/>
      </c>
      <c r="B2726">
        <f t="shared" si="973"/>
        <v>75</v>
      </c>
      <c r="C2726">
        <f t="shared" ca="1" si="953"/>
        <v>72</v>
      </c>
      <c r="D2726" t="str">
        <f t="shared" si="974"/>
        <v>I75</v>
      </c>
      <c r="E2726" t="str">
        <f t="shared" ca="1" si="975"/>
        <v/>
      </c>
      <c r="F2726" t="str">
        <f t="shared" ca="1" si="976"/>
        <v xml:space="preserve">Enter a 'Square Footage of Low-Income Units' for  building 72 in cell I75.
</v>
      </c>
      <c r="G2726" s="9" t="str">
        <f t="shared" ca="1" si="977"/>
        <v xml:space="preserve">Enter a value for 'Number of Floors in the Tallest Building' in cell B60.
</v>
      </c>
      <c r="H2726" s="52" t="str">
        <f t="shared" ca="1" si="978"/>
        <v>Square Footage of Low-Income Units</v>
      </c>
      <c r="I2726" s="52">
        <v>9</v>
      </c>
    </row>
    <row r="2727" spans="1:10" ht="15" customHeight="1">
      <c r="A2727" t="str">
        <f t="shared" ca="1" si="972"/>
        <v/>
      </c>
      <c r="B2727">
        <f t="shared" si="973"/>
        <v>75</v>
      </c>
      <c r="C2727">
        <f t="shared" ca="1" si="953"/>
        <v>72</v>
      </c>
      <c r="D2727" t="str">
        <f t="shared" si="974"/>
        <v>J75</v>
      </c>
      <c r="E2727" t="str">
        <f t="shared" ca="1" si="975"/>
        <v/>
      </c>
      <c r="F2727" t="str">
        <f t="shared" ca="1" si="976"/>
        <v xml:space="preserve">Enter a 'Placed-In-Service Date' for  building 72 in cell J75.
</v>
      </c>
      <c r="G2727" s="9" t="str">
        <f t="shared" ca="1" si="977"/>
        <v xml:space="preserve">Enter a value for 'Number of Floors in the Tallest Building' in cell B60.
</v>
      </c>
      <c r="H2727" s="52" t="str">
        <f t="shared" ca="1" si="978"/>
        <v>Placed-In-Service Date</v>
      </c>
      <c r="I2727" s="52">
        <v>10</v>
      </c>
    </row>
    <row r="2728" spans="1:10" ht="15" customHeight="1">
      <c r="A2728" t="str">
        <f t="shared" ca="1" si="972"/>
        <v/>
      </c>
      <c r="B2728">
        <f t="shared" si="973"/>
        <v>75</v>
      </c>
      <c r="C2728">
        <f t="shared" ca="1" si="953"/>
        <v>72</v>
      </c>
      <c r="D2728" t="str">
        <f t="shared" si="974"/>
        <v>K75</v>
      </c>
      <c r="E2728" t="str">
        <f t="shared" ca="1" si="975"/>
        <v/>
      </c>
      <c r="F2728" t="str">
        <f t="shared" ca="1" si="976"/>
        <v xml:space="preserve">Enter a 'New Construction/ Rehab APR' for  building 72 in cell K75.
</v>
      </c>
      <c r="G2728" s="9" t="str">
        <f t="shared" ca="1" si="977"/>
        <v xml:space="preserve">Enter a value for 'Number of Floors in the Tallest Building' in cell B60.
</v>
      </c>
      <c r="H2728" s="52" t="str">
        <f t="shared" ca="1" si="978"/>
        <v>New Construction/ Rehab APR</v>
      </c>
      <c r="I2728" s="52">
        <v>11</v>
      </c>
    </row>
    <row r="2729" spans="1:10" ht="15" customHeight="1">
      <c r="A2729" t="str">
        <f t="shared" ca="1" si="972"/>
        <v/>
      </c>
      <c r="B2729">
        <f t="shared" si="973"/>
        <v>75</v>
      </c>
      <c r="C2729">
        <f t="shared" ca="1" si="953"/>
        <v>72</v>
      </c>
      <c r="D2729" t="str">
        <f t="shared" si="974"/>
        <v>L75</v>
      </c>
      <c r="E2729" t="str">
        <f t="shared" ca="1" si="975"/>
        <v/>
      </c>
      <c r="F2729" t="str">
        <f t="shared" ca="1" si="976"/>
        <v xml:space="preserve">Enter a 'New Construction Eligible Basis' for  building 72 in cell L75.
</v>
      </c>
      <c r="G2729" s="9" t="str">
        <f t="shared" ca="1" si="977"/>
        <v xml:space="preserve">Enter a value for 'Number of Floors in the Tallest Building' in cell B60.
</v>
      </c>
      <c r="H2729" s="52" t="str">
        <f t="shared" ca="1" si="978"/>
        <v>New Construction Eligible Basis</v>
      </c>
      <c r="I2729" s="52">
        <v>12</v>
      </c>
    </row>
    <row r="2730" spans="1:10" ht="15" customHeight="1">
      <c r="A2730" t="str">
        <f ca="1">IF(AND(OFFSET(A2730, -I2730 + 2, 4) &gt;  0, E2730="", Calculations!$B$7), F2730, "")</f>
        <v/>
      </c>
      <c r="B2730">
        <f t="shared" si="973"/>
        <v>75</v>
      </c>
      <c r="C2730">
        <f t="shared" ca="1" si="953"/>
        <v>72</v>
      </c>
      <c r="D2730" t="str">
        <f t="shared" si="974"/>
        <v>M75</v>
      </c>
      <c r="E2730" t="str">
        <f t="shared" ca="1" si="975"/>
        <v/>
      </c>
      <c r="F2730" t="str">
        <f t="shared" ca="1" si="976"/>
        <v xml:space="preserve">Enter a 'Eligible Basis for Rehab' for  building 72 in cell M75.
</v>
      </c>
      <c r="G2730" s="9" t="str">
        <f t="shared" ca="1" si="977"/>
        <v xml:space="preserve">Enter a value for 'Number of Floors in the Tallest Building' in cell B60.
</v>
      </c>
      <c r="H2730" s="52" t="str">
        <f t="shared" ca="1" si="978"/>
        <v>Eligible Basis for Rehab</v>
      </c>
      <c r="I2730" s="52">
        <v>13</v>
      </c>
    </row>
    <row r="2731" spans="1:10" ht="15" customHeight="1">
      <c r="A2731" t="str">
        <f ca="1">IF(AND(OFFSET(A2731, -I2731 + 2, 4) &gt;  0, E2731="", Calculations!$B$7), F2731, "")</f>
        <v/>
      </c>
      <c r="B2731">
        <f t="shared" si="973"/>
        <v>75</v>
      </c>
      <c r="C2731">
        <f t="shared" ca="1" si="953"/>
        <v>72</v>
      </c>
      <c r="D2731" t="str">
        <f t="shared" si="974"/>
        <v>N75</v>
      </c>
      <c r="E2731" t="str">
        <f t="shared" ca="1" si="975"/>
        <v/>
      </c>
      <c r="F2731" t="str">
        <f t="shared" ca="1" si="976"/>
        <v xml:space="preserve">Enter a 'Cost of Acquiring the Building***' for  building 72 in cell N75.
</v>
      </c>
      <c r="G2731" s="9" t="str">
        <f t="shared" ca="1" si="977"/>
        <v xml:space="preserve">Enter a value for 'Number of Floors in the Tallest Building' in cell B60.
</v>
      </c>
      <c r="H2731" s="52" t="str">
        <f t="shared" ca="1" si="978"/>
        <v>Cost of Acquiring the Building***</v>
      </c>
      <c r="I2731" s="52">
        <v>14</v>
      </c>
    </row>
    <row r="2732" spans="1:10" ht="15" customHeight="1">
      <c r="A2732" t="str">
        <f ca="1">IF(AND(OFFSET(A2732, -I2732 + 2, 4) &gt;  0, E2732="", Calculations!$B$7), F2732, "")</f>
        <v/>
      </c>
      <c r="B2732">
        <f t="shared" si="973"/>
        <v>75</v>
      </c>
      <c r="C2732">
        <f t="shared" ca="1" si="953"/>
        <v>72</v>
      </c>
      <c r="D2732" t="str">
        <f t="shared" si="974"/>
        <v>O75</v>
      </c>
      <c r="E2732" t="str">
        <f t="shared" ca="1" si="975"/>
        <v/>
      </c>
      <c r="F2732" t="str">
        <f t="shared" ca="1" si="976"/>
        <v xml:space="preserve">Enter a 'Higher of Land Purchase Price or Land Appraised Value****' for  building 72 in cell O75.
</v>
      </c>
      <c r="G2732" s="9" t="str">
        <f t="shared" ca="1" si="977"/>
        <v xml:space="preserve">Enter a value for 'Number of Floors in the Tallest Building' in cell B60.
</v>
      </c>
      <c r="H2732" s="52" t="str">
        <f t="shared" ca="1" si="978"/>
        <v>Higher of Land Purchase Price or Land Appraised Value****</v>
      </c>
      <c r="I2732" s="52">
        <v>15</v>
      </c>
    </row>
    <row r="2733" spans="1:10" ht="15" customHeight="1">
      <c r="A2733" t="str">
        <f ca="1">IF(AND(OFFSET(A2733, -I2733 + 2, 4) &gt;  0, E2733="", Calculations!$B$7), F2733, "")</f>
        <v/>
      </c>
      <c r="B2733">
        <f t="shared" si="973"/>
        <v>75</v>
      </c>
      <c r="C2733">
        <f t="shared" ca="1" si="953"/>
        <v>72</v>
      </c>
      <c r="D2733" t="str">
        <f t="shared" si="974"/>
        <v>P75</v>
      </c>
      <c r="E2733" t="str">
        <f t="shared" ca="1" si="975"/>
        <v/>
      </c>
      <c r="F2733" t="str">
        <f t="shared" ca="1" si="976"/>
        <v xml:space="preserve">Enter a 'Acquisition Placed-in-Service Date' for  building 72 in cell P75.
</v>
      </c>
      <c r="G2733" s="9" t="str">
        <f t="shared" ca="1" si="977"/>
        <v xml:space="preserve">Enter a value for 'Number of Floors in the Tallest Building' in cell B60.
</v>
      </c>
      <c r="H2733" s="52" t="str">
        <f t="shared" ca="1" si="978"/>
        <v>Acquisition Placed-in-Service Date</v>
      </c>
      <c r="I2733" s="52">
        <v>16</v>
      </c>
    </row>
    <row r="2734" spans="1:10" ht="15" customHeight="1">
      <c r="A2734" t="str">
        <f ca="1">IF(AND(OFFSET(A2734, -I2734 + 2, 4) &gt;  0, E2734="", Calculations!$B$7), F2734, "")</f>
        <v/>
      </c>
      <c r="B2734">
        <f t="shared" si="973"/>
        <v>75</v>
      </c>
      <c r="C2734">
        <f t="shared" ca="1" si="953"/>
        <v>72</v>
      </c>
      <c r="D2734" t="str">
        <f t="shared" si="974"/>
        <v>Q75</v>
      </c>
      <c r="E2734" t="str">
        <f t="shared" ca="1" si="975"/>
        <v/>
      </c>
      <c r="F2734" t="str">
        <f t="shared" ca="1" si="976"/>
        <v xml:space="preserve">Enter a 'Acquisition APR' for  building 72 in cell Q75.
</v>
      </c>
      <c r="G2734" s="9" t="str">
        <f t="shared" ca="1" si="977"/>
        <v xml:space="preserve">Enter a value for 'Number of Floors in the Tallest Building' in cell B60.
</v>
      </c>
      <c r="H2734" s="52" t="str">
        <f t="shared" ca="1" si="978"/>
        <v>Acquisition APR</v>
      </c>
      <c r="I2734" s="52">
        <v>17</v>
      </c>
    </row>
    <row r="2735" spans="1:10" ht="15" customHeight="1">
      <c r="A2735" t="str">
        <f ca="1">IF(AND(Calculations!$B$4,Calculations!$B$29&gt;=C2735, E2735 &lt;&gt; 13),F2735,"")</f>
        <v/>
      </c>
      <c r="B2735">
        <f>ROW('Final Building Profile'!C76)</f>
        <v>76</v>
      </c>
      <c r="C2735">
        <f t="shared" ref="C2735:C2798" ca="1" si="979">INDIRECT($F$1565 &amp; ADDRESS(B2735, 1,4  ))</f>
        <v>73</v>
      </c>
      <c r="D2735" t="str">
        <f>ADDRESS(B2735, 3,4  )</f>
        <v>C76</v>
      </c>
      <c r="E2735" s="52">
        <f ca="1">H2735+I2735</f>
        <v>0</v>
      </c>
      <c r="F2735" t="str">
        <f ca="1">CONCATENATE("Based upon the number of buildings specified, information for  building ", C2735, " required for a final application in row ", B2735, ".", CHAR(10))</f>
        <v xml:space="preserve">Based upon the number of buildings specified, information for  building 73 required for a final application in row 76.
</v>
      </c>
      <c r="G2735" s="9" t="str">
        <f t="shared" ca="1" si="977"/>
        <v xml:space="preserve">Enter a value for 'Number of Floors in the Tallest Building' in cell B60.
</v>
      </c>
      <c r="H2735" s="52">
        <f ca="1">SUMPRODUCT(--ISTEXT(INDIRECT(J2735)))</f>
        <v>0</v>
      </c>
      <c r="I2735" s="52">
        <f ca="1">SUMPRODUCT(--ISNUMBER(INDIRECT(J2735)))</f>
        <v>0</v>
      </c>
      <c r="J2735" s="52" t="str">
        <f>$F$1565&amp; ADDRESS(B2735,3,4) &amp; ":" &amp; ADDRESS(B2735,15,4)</f>
        <v>'Final Building Profile'!C76:O76</v>
      </c>
    </row>
    <row r="2736" spans="1:10" ht="15" customHeight="1">
      <c r="A2736" t="str">
        <f t="shared" ref="A2736:A2745" ca="1" si="980">IF(AND(OFFSET(A2736, -I2736 + 2, 4) &gt;  0, E2736=""), F2736, "")</f>
        <v/>
      </c>
      <c r="B2736">
        <f t="shared" ref="B2736:B2750" si="981">B2735</f>
        <v>76</v>
      </c>
      <c r="C2736">
        <f t="shared" ca="1" si="979"/>
        <v>73</v>
      </c>
      <c r="D2736" t="str">
        <f t="shared" ref="D2736:D2750" si="982">ADDRESS(B2736, I2736,4  )</f>
        <v>C76</v>
      </c>
      <c r="E2736" t="str">
        <f t="shared" ref="E2736:E2750" ca="1" si="983">IF(ISBLANK( INDIRECT($F$1565 &amp; D2736)),"", INDIRECT($F$1565 &amp; D2736))</f>
        <v/>
      </c>
      <c r="F2736" t="str">
        <f t="shared" ref="F2736:F2750" ca="1" si="984">CONCATENATE("Enter a '"&amp; H2736 &amp;"' for  building ", C2736, " in cell ", D2736, ".", CHAR(10))</f>
        <v xml:space="preserve">Enter a 'Building Street Address Only 
(DO NOT ENTER CITY, STATE, OR ZIP)' for  building 73 in cell C76.
</v>
      </c>
      <c r="G2736" s="9" t="str">
        <f t="shared" ca="1" si="977"/>
        <v xml:space="preserve">Enter a value for 'Number of Floors in the Tallest Building' in cell B60.
</v>
      </c>
      <c r="H2736" s="52" t="str">
        <f t="shared" ref="H2736:H2750" ca="1" si="985">OFFSET(INDIRECT($F$1565 &amp; D2736), -B2736 + 3, 0)</f>
        <v>Building Street Address Only 
(DO NOT ENTER CITY, STATE, OR ZIP)</v>
      </c>
      <c r="I2736" s="52">
        <v>3</v>
      </c>
    </row>
    <row r="2737" spans="1:10" ht="15" customHeight="1">
      <c r="A2737" t="str">
        <f t="shared" ca="1" si="980"/>
        <v/>
      </c>
      <c r="B2737">
        <f t="shared" si="981"/>
        <v>76</v>
      </c>
      <c r="C2737">
        <f t="shared" ca="1" si="979"/>
        <v>73</v>
      </c>
      <c r="D2737" t="str">
        <f t="shared" si="982"/>
        <v>D76</v>
      </c>
      <c r="E2737" t="str">
        <f t="shared" ca="1" si="983"/>
        <v/>
      </c>
      <c r="F2737" t="str">
        <f t="shared" ca="1" si="984"/>
        <v xml:space="preserve">Enter a 'Total Units in Building*' for  building 73 in cell D76.
</v>
      </c>
      <c r="G2737" s="9" t="str">
        <f t="shared" ca="1" si="977"/>
        <v xml:space="preserve">Enter a value for 'Number of Floors in the Tallest Building' in cell B60.
</v>
      </c>
      <c r="H2737" s="52" t="str">
        <f t="shared" ca="1" si="985"/>
        <v>Total Units in Building*</v>
      </c>
      <c r="I2737" s="52">
        <v>4</v>
      </c>
    </row>
    <row r="2738" spans="1:10" ht="15" customHeight="1">
      <c r="A2738" t="str">
        <f t="shared" ca="1" si="980"/>
        <v/>
      </c>
      <c r="B2738">
        <f t="shared" si="981"/>
        <v>76</v>
      </c>
      <c r="C2738">
        <f t="shared" ca="1" si="979"/>
        <v>73</v>
      </c>
      <c r="D2738" t="str">
        <f t="shared" si="982"/>
        <v>E76</v>
      </c>
      <c r="E2738" t="str">
        <f t="shared" ca="1" si="983"/>
        <v/>
      </c>
      <c r="F2738" t="str">
        <f t="shared" ca="1" si="984"/>
        <v xml:space="preserve">Enter a 'Employee Units' for  building 73 in cell E76.
</v>
      </c>
      <c r="G2738" s="9" t="str">
        <f t="shared" ca="1" si="977"/>
        <v xml:space="preserve">Enter a value for 'Number of Floors in the Tallest Building' in cell B60.
</v>
      </c>
      <c r="H2738" s="52" t="str">
        <f t="shared" ca="1" si="985"/>
        <v>Employee Units</v>
      </c>
      <c r="I2738" s="52">
        <v>5</v>
      </c>
    </row>
    <row r="2739" spans="1:10" ht="15" customHeight="1">
      <c r="A2739" t="str">
        <f t="shared" ca="1" si="980"/>
        <v/>
      </c>
      <c r="B2739">
        <f t="shared" si="981"/>
        <v>76</v>
      </c>
      <c r="C2739">
        <f t="shared" ca="1" si="979"/>
        <v>73</v>
      </c>
      <c r="D2739" t="str">
        <f t="shared" si="982"/>
        <v>F76</v>
      </c>
      <c r="E2739" t="str">
        <f t="shared" ca="1" si="983"/>
        <v/>
      </c>
      <c r="F2739" t="str">
        <f t="shared" ca="1" si="984"/>
        <v xml:space="preserve">Enter a 'Low-Income Units' for  building 73 in cell F76.
</v>
      </c>
      <c r="G2739" s="9" t="str">
        <f t="shared" ca="1" si="977"/>
        <v xml:space="preserve">Enter a value for 'Number of Floors in the Tallest Building' in cell B60.
</v>
      </c>
      <c r="H2739" s="52" t="str">
        <f t="shared" ca="1" si="985"/>
        <v>Low-Income Units</v>
      </c>
      <c r="I2739" s="52">
        <v>6</v>
      </c>
    </row>
    <row r="2740" spans="1:10" ht="15" customHeight="1">
      <c r="A2740" t="str">
        <f t="shared" ca="1" si="980"/>
        <v/>
      </c>
      <c r="B2740">
        <f t="shared" si="981"/>
        <v>76</v>
      </c>
      <c r="C2740">
        <f t="shared" ca="1" si="979"/>
        <v>73</v>
      </c>
      <c r="D2740" t="str">
        <f t="shared" si="982"/>
        <v>G76</v>
      </c>
      <c r="E2740" t="str">
        <f t="shared" ca="1" si="983"/>
        <v/>
      </c>
      <c r="F2740" t="str">
        <f t="shared" ca="1" si="984"/>
        <v xml:space="preserve">Enter a 'Residential Square Footage**' for  building 73 in cell G76.
</v>
      </c>
      <c r="G2740" s="9" t="str">
        <f t="shared" ca="1" si="977"/>
        <v xml:space="preserve">Enter a value for 'Number of Floors in the Tallest Building' in cell B60.
</v>
      </c>
      <c r="H2740" s="52" t="str">
        <f t="shared" ca="1" si="985"/>
        <v>Residential Square Footage**</v>
      </c>
      <c r="I2740" s="52">
        <v>7</v>
      </c>
    </row>
    <row r="2741" spans="1:10" ht="15" customHeight="1">
      <c r="A2741" t="str">
        <f t="shared" ca="1" si="980"/>
        <v/>
      </c>
      <c r="B2741">
        <f t="shared" si="981"/>
        <v>76</v>
      </c>
      <c r="C2741">
        <f t="shared" ca="1" si="979"/>
        <v>73</v>
      </c>
      <c r="D2741" t="str">
        <f t="shared" si="982"/>
        <v>H76</v>
      </c>
      <c r="E2741" t="str">
        <f t="shared" ca="1" si="983"/>
        <v/>
      </c>
      <c r="F2741" t="str">
        <f t="shared" ca="1" si="984"/>
        <v xml:space="preserve">Enter a 'Square Footage of Employee Units' for  building 73 in cell H76.
</v>
      </c>
      <c r="G2741" s="9" t="str">
        <f t="shared" ca="1" si="977"/>
        <v xml:space="preserve">Enter a value for 'Number of Floors in the Tallest Building' in cell B60.
</v>
      </c>
      <c r="H2741" s="52" t="str">
        <f t="shared" ca="1" si="985"/>
        <v>Square Footage of Employee Units</v>
      </c>
      <c r="I2741" s="52">
        <v>8</v>
      </c>
    </row>
    <row r="2742" spans="1:10" ht="15" customHeight="1">
      <c r="A2742" t="str">
        <f t="shared" ca="1" si="980"/>
        <v/>
      </c>
      <c r="B2742">
        <f t="shared" si="981"/>
        <v>76</v>
      </c>
      <c r="C2742">
        <f t="shared" ca="1" si="979"/>
        <v>73</v>
      </c>
      <c r="D2742" t="str">
        <f t="shared" si="982"/>
        <v>I76</v>
      </c>
      <c r="E2742" t="str">
        <f t="shared" ca="1" si="983"/>
        <v/>
      </c>
      <c r="F2742" t="str">
        <f t="shared" ca="1" si="984"/>
        <v xml:space="preserve">Enter a 'Square Footage of Low-Income Units' for  building 73 in cell I76.
</v>
      </c>
      <c r="G2742" s="9" t="str">
        <f t="shared" ca="1" si="977"/>
        <v xml:space="preserve">Enter a value for 'Number of Floors in the Tallest Building' in cell B60.
</v>
      </c>
      <c r="H2742" s="52" t="str">
        <f t="shared" ca="1" si="985"/>
        <v>Square Footage of Low-Income Units</v>
      </c>
      <c r="I2742" s="52">
        <v>9</v>
      </c>
    </row>
    <row r="2743" spans="1:10" ht="15" customHeight="1">
      <c r="A2743" t="str">
        <f t="shared" ca="1" si="980"/>
        <v/>
      </c>
      <c r="B2743">
        <f t="shared" si="981"/>
        <v>76</v>
      </c>
      <c r="C2743">
        <f t="shared" ca="1" si="979"/>
        <v>73</v>
      </c>
      <c r="D2743" t="str">
        <f t="shared" si="982"/>
        <v>J76</v>
      </c>
      <c r="E2743" t="str">
        <f t="shared" ca="1" si="983"/>
        <v/>
      </c>
      <c r="F2743" t="str">
        <f t="shared" ca="1" si="984"/>
        <v xml:space="preserve">Enter a 'Placed-In-Service Date' for  building 73 in cell J76.
</v>
      </c>
      <c r="G2743" s="9" t="str">
        <f t="shared" ca="1" si="977"/>
        <v xml:space="preserve">Enter a value for 'Number of Floors in the Tallest Building' in cell B60.
</v>
      </c>
      <c r="H2743" s="52" t="str">
        <f t="shared" ca="1" si="985"/>
        <v>Placed-In-Service Date</v>
      </c>
      <c r="I2743" s="52">
        <v>10</v>
      </c>
    </row>
    <row r="2744" spans="1:10" ht="15" customHeight="1">
      <c r="A2744" t="str">
        <f t="shared" ca="1" si="980"/>
        <v/>
      </c>
      <c r="B2744">
        <f t="shared" si="981"/>
        <v>76</v>
      </c>
      <c r="C2744">
        <f t="shared" ca="1" si="979"/>
        <v>73</v>
      </c>
      <c r="D2744" t="str">
        <f t="shared" si="982"/>
        <v>K76</v>
      </c>
      <c r="E2744" t="str">
        <f t="shared" ca="1" si="983"/>
        <v/>
      </c>
      <c r="F2744" t="str">
        <f t="shared" ca="1" si="984"/>
        <v xml:space="preserve">Enter a 'New Construction/ Rehab APR' for  building 73 in cell K76.
</v>
      </c>
      <c r="G2744" s="9" t="str">
        <f t="shared" ca="1" si="977"/>
        <v xml:space="preserve">Enter a value for 'Number of Floors in the Tallest Building' in cell B60.
</v>
      </c>
      <c r="H2744" s="52" t="str">
        <f t="shared" ca="1" si="985"/>
        <v>New Construction/ Rehab APR</v>
      </c>
      <c r="I2744" s="52">
        <v>11</v>
      </c>
    </row>
    <row r="2745" spans="1:10" ht="15" customHeight="1">
      <c r="A2745" t="str">
        <f t="shared" ca="1" si="980"/>
        <v/>
      </c>
      <c r="B2745">
        <f t="shared" si="981"/>
        <v>76</v>
      </c>
      <c r="C2745">
        <f t="shared" ca="1" si="979"/>
        <v>73</v>
      </c>
      <c r="D2745" t="str">
        <f t="shared" si="982"/>
        <v>L76</v>
      </c>
      <c r="E2745" t="str">
        <f t="shared" ca="1" si="983"/>
        <v/>
      </c>
      <c r="F2745" t="str">
        <f t="shared" ca="1" si="984"/>
        <v xml:space="preserve">Enter a 'New Construction Eligible Basis' for  building 73 in cell L76.
</v>
      </c>
      <c r="G2745" s="9" t="str">
        <f t="shared" ca="1" si="977"/>
        <v xml:space="preserve">Enter a value for 'Number of Floors in the Tallest Building' in cell B60.
</v>
      </c>
      <c r="H2745" s="52" t="str">
        <f t="shared" ca="1" si="985"/>
        <v>New Construction Eligible Basis</v>
      </c>
      <c r="I2745" s="52">
        <v>12</v>
      </c>
    </row>
    <row r="2746" spans="1:10" ht="15" customHeight="1">
      <c r="A2746" t="str">
        <f ca="1">IF(AND(OFFSET(A2746, -I2746 + 2, 4) &gt;  0, E2746="", Calculations!$B$7), F2746, "")</f>
        <v/>
      </c>
      <c r="B2746">
        <f t="shared" si="981"/>
        <v>76</v>
      </c>
      <c r="C2746">
        <f t="shared" ca="1" si="979"/>
        <v>73</v>
      </c>
      <c r="D2746" t="str">
        <f t="shared" si="982"/>
        <v>M76</v>
      </c>
      <c r="E2746" t="str">
        <f t="shared" ca="1" si="983"/>
        <v/>
      </c>
      <c r="F2746" t="str">
        <f t="shared" ca="1" si="984"/>
        <v xml:space="preserve">Enter a 'Eligible Basis for Rehab' for  building 73 in cell M76.
</v>
      </c>
      <c r="G2746" s="9" t="str">
        <f t="shared" ca="1" si="977"/>
        <v xml:space="preserve">Enter a value for 'Number of Floors in the Tallest Building' in cell B60.
</v>
      </c>
      <c r="H2746" s="52" t="str">
        <f t="shared" ca="1" si="985"/>
        <v>Eligible Basis for Rehab</v>
      </c>
      <c r="I2746" s="52">
        <v>13</v>
      </c>
    </row>
    <row r="2747" spans="1:10" ht="15" customHeight="1">
      <c r="A2747" t="str">
        <f ca="1">IF(AND(OFFSET(A2747, -I2747 + 2, 4) &gt;  0, E2747="", Calculations!$B$7), F2747, "")</f>
        <v/>
      </c>
      <c r="B2747">
        <f t="shared" si="981"/>
        <v>76</v>
      </c>
      <c r="C2747">
        <f t="shared" ca="1" si="979"/>
        <v>73</v>
      </c>
      <c r="D2747" t="str">
        <f t="shared" si="982"/>
        <v>N76</v>
      </c>
      <c r="E2747" t="str">
        <f t="shared" ca="1" si="983"/>
        <v/>
      </c>
      <c r="F2747" t="str">
        <f t="shared" ca="1" si="984"/>
        <v xml:space="preserve">Enter a 'Cost of Acquiring the Building***' for  building 73 in cell N76.
</v>
      </c>
      <c r="G2747" s="9" t="str">
        <f t="shared" ca="1" si="977"/>
        <v xml:space="preserve">Enter a value for 'Number of Floors in the Tallest Building' in cell B60.
</v>
      </c>
      <c r="H2747" s="52" t="str">
        <f t="shared" ca="1" si="985"/>
        <v>Cost of Acquiring the Building***</v>
      </c>
      <c r="I2747" s="52">
        <v>14</v>
      </c>
    </row>
    <row r="2748" spans="1:10" ht="15" customHeight="1">
      <c r="A2748" t="str">
        <f ca="1">IF(AND(OFFSET(A2748, -I2748 + 2, 4) &gt;  0, E2748="", Calculations!$B$7), F2748, "")</f>
        <v/>
      </c>
      <c r="B2748">
        <f t="shared" si="981"/>
        <v>76</v>
      </c>
      <c r="C2748">
        <f t="shared" ca="1" si="979"/>
        <v>73</v>
      </c>
      <c r="D2748" t="str">
        <f t="shared" si="982"/>
        <v>O76</v>
      </c>
      <c r="E2748" t="str">
        <f t="shared" ca="1" si="983"/>
        <v/>
      </c>
      <c r="F2748" t="str">
        <f t="shared" ca="1" si="984"/>
        <v xml:space="preserve">Enter a 'Higher of Land Purchase Price or Land Appraised Value****' for  building 73 in cell O76.
</v>
      </c>
      <c r="G2748" s="9" t="str">
        <f t="shared" ca="1" si="977"/>
        <v xml:space="preserve">Enter a value for 'Number of Floors in the Tallest Building' in cell B60.
</v>
      </c>
      <c r="H2748" s="52" t="str">
        <f t="shared" ca="1" si="985"/>
        <v>Higher of Land Purchase Price or Land Appraised Value****</v>
      </c>
      <c r="I2748" s="52">
        <v>15</v>
      </c>
    </row>
    <row r="2749" spans="1:10" ht="15" customHeight="1">
      <c r="A2749" t="str">
        <f ca="1">IF(AND(OFFSET(A2749, -I2749 + 2, 4) &gt;  0, E2749="", Calculations!$B$7), F2749, "")</f>
        <v/>
      </c>
      <c r="B2749">
        <f t="shared" si="981"/>
        <v>76</v>
      </c>
      <c r="C2749">
        <f t="shared" ca="1" si="979"/>
        <v>73</v>
      </c>
      <c r="D2749" t="str">
        <f t="shared" si="982"/>
        <v>P76</v>
      </c>
      <c r="E2749" t="str">
        <f t="shared" ca="1" si="983"/>
        <v/>
      </c>
      <c r="F2749" t="str">
        <f t="shared" ca="1" si="984"/>
        <v xml:space="preserve">Enter a 'Acquisition Placed-in-Service Date' for  building 73 in cell P76.
</v>
      </c>
      <c r="G2749" s="9" t="str">
        <f t="shared" ca="1" si="977"/>
        <v xml:space="preserve">Enter a value for 'Number of Floors in the Tallest Building' in cell B60.
</v>
      </c>
      <c r="H2749" s="52" t="str">
        <f t="shared" ca="1" si="985"/>
        <v>Acquisition Placed-in-Service Date</v>
      </c>
      <c r="I2749" s="52">
        <v>16</v>
      </c>
    </row>
    <row r="2750" spans="1:10" ht="15" customHeight="1">
      <c r="A2750" t="str">
        <f ca="1">IF(AND(OFFSET(A2750, -I2750 + 2, 4) &gt;  0, E2750="", Calculations!$B$7), F2750, "")</f>
        <v/>
      </c>
      <c r="B2750">
        <f t="shared" si="981"/>
        <v>76</v>
      </c>
      <c r="C2750">
        <f t="shared" ca="1" si="979"/>
        <v>73</v>
      </c>
      <c r="D2750" t="str">
        <f t="shared" si="982"/>
        <v>Q76</v>
      </c>
      <c r="E2750" t="str">
        <f t="shared" ca="1" si="983"/>
        <v/>
      </c>
      <c r="F2750" t="str">
        <f t="shared" ca="1" si="984"/>
        <v xml:space="preserve">Enter a 'Acquisition APR' for  building 73 in cell Q76.
</v>
      </c>
      <c r="G2750" s="9" t="str">
        <f t="shared" ca="1" si="977"/>
        <v xml:space="preserve">Enter a value for 'Number of Floors in the Tallest Building' in cell B60.
</v>
      </c>
      <c r="H2750" s="52" t="str">
        <f t="shared" ca="1" si="985"/>
        <v>Acquisition APR</v>
      </c>
      <c r="I2750" s="52">
        <v>17</v>
      </c>
    </row>
    <row r="2751" spans="1:10" ht="15" customHeight="1">
      <c r="A2751" t="str">
        <f ca="1">IF(AND(Calculations!$B$4,Calculations!$B$29&gt;=C2751, E2751 &lt;&gt; 13),F2751,"")</f>
        <v/>
      </c>
      <c r="B2751">
        <f>ROW('Final Building Profile'!C77)</f>
        <v>77</v>
      </c>
      <c r="C2751">
        <f t="shared" ca="1" si="979"/>
        <v>74</v>
      </c>
      <c r="D2751" t="str">
        <f>ADDRESS(B2751, 3,4  )</f>
        <v>C77</v>
      </c>
      <c r="E2751" s="52">
        <f ca="1">H2751+I2751</f>
        <v>0</v>
      </c>
      <c r="F2751" t="str">
        <f ca="1">CONCATENATE("Based upon the number of buildings specified, information for  building ", C2751, " required for a final application in row ", B2751, ".", CHAR(10))</f>
        <v xml:space="preserve">Based upon the number of buildings specified, information for  building 74 required for a final application in row 77.
</v>
      </c>
      <c r="G2751" s="9" t="str">
        <f t="shared" ca="1" si="977"/>
        <v xml:space="preserve">Enter a value for 'Number of Floors in the Tallest Building' in cell B60.
</v>
      </c>
      <c r="H2751" s="52">
        <f ca="1">SUMPRODUCT(--ISTEXT(INDIRECT(J2751)))</f>
        <v>0</v>
      </c>
      <c r="I2751" s="52">
        <f ca="1">SUMPRODUCT(--ISNUMBER(INDIRECT(J2751)))</f>
        <v>0</v>
      </c>
      <c r="J2751" s="52" t="str">
        <f>$F$1565&amp; ADDRESS(B2751,3,4) &amp; ":" &amp; ADDRESS(B2751,15,4)</f>
        <v>'Final Building Profile'!C77:O77</v>
      </c>
    </row>
    <row r="2752" spans="1:10" ht="15" customHeight="1">
      <c r="A2752" t="str">
        <f t="shared" ref="A2752:A2761" ca="1" si="986">IF(AND(OFFSET(A2752, -I2752 + 2, 4) &gt;  0, E2752=""), F2752, "")</f>
        <v/>
      </c>
      <c r="B2752">
        <f t="shared" ref="B2752:B2766" si="987">B2751</f>
        <v>77</v>
      </c>
      <c r="C2752">
        <f t="shared" ca="1" si="979"/>
        <v>74</v>
      </c>
      <c r="D2752" t="str">
        <f t="shared" ref="D2752:D2766" si="988">ADDRESS(B2752, I2752,4  )</f>
        <v>C77</v>
      </c>
      <c r="E2752" t="str">
        <f t="shared" ref="E2752:E2766" ca="1" si="989">IF(ISBLANK( INDIRECT($F$1565 &amp; D2752)),"", INDIRECT($F$1565 &amp; D2752))</f>
        <v/>
      </c>
      <c r="F2752" t="str">
        <f t="shared" ref="F2752:F2766" ca="1" si="990">CONCATENATE("Enter a '"&amp; H2752 &amp;"' for  building ", C2752, " in cell ", D2752, ".", CHAR(10))</f>
        <v xml:space="preserve">Enter a 'Building Street Address Only 
(DO NOT ENTER CITY, STATE, OR ZIP)' for  building 74 in cell C77.
</v>
      </c>
      <c r="G2752" s="9" t="str">
        <f t="shared" ca="1" si="977"/>
        <v xml:space="preserve">Enter a value for 'Number of Floors in the Tallest Building' in cell B60.
</v>
      </c>
      <c r="H2752" s="52" t="str">
        <f t="shared" ref="H2752:H2766" ca="1" si="991">OFFSET(INDIRECT($F$1565 &amp; D2752), -B2752 + 3, 0)</f>
        <v>Building Street Address Only 
(DO NOT ENTER CITY, STATE, OR ZIP)</v>
      </c>
      <c r="I2752" s="52">
        <v>3</v>
      </c>
    </row>
    <row r="2753" spans="1:10" ht="15" customHeight="1">
      <c r="A2753" t="str">
        <f t="shared" ca="1" si="986"/>
        <v/>
      </c>
      <c r="B2753">
        <f t="shared" si="987"/>
        <v>77</v>
      </c>
      <c r="C2753">
        <f t="shared" ca="1" si="979"/>
        <v>74</v>
      </c>
      <c r="D2753" t="str">
        <f t="shared" si="988"/>
        <v>D77</v>
      </c>
      <c r="E2753" t="str">
        <f t="shared" ca="1" si="989"/>
        <v/>
      </c>
      <c r="F2753" t="str">
        <f t="shared" ca="1" si="990"/>
        <v xml:space="preserve">Enter a 'Total Units in Building*' for  building 74 in cell D77.
</v>
      </c>
      <c r="G2753" s="9" t="str">
        <f t="shared" ca="1" si="977"/>
        <v xml:space="preserve">Enter a value for 'Number of Floors in the Tallest Building' in cell B60.
</v>
      </c>
      <c r="H2753" s="52" t="str">
        <f t="shared" ca="1" si="991"/>
        <v>Total Units in Building*</v>
      </c>
      <c r="I2753" s="52">
        <v>4</v>
      </c>
    </row>
    <row r="2754" spans="1:10" ht="15" customHeight="1">
      <c r="A2754" t="str">
        <f t="shared" ca="1" si="986"/>
        <v/>
      </c>
      <c r="B2754">
        <f t="shared" si="987"/>
        <v>77</v>
      </c>
      <c r="C2754">
        <f t="shared" ca="1" si="979"/>
        <v>74</v>
      </c>
      <c r="D2754" t="str">
        <f t="shared" si="988"/>
        <v>E77</v>
      </c>
      <c r="E2754" t="str">
        <f t="shared" ca="1" si="989"/>
        <v/>
      </c>
      <c r="F2754" t="str">
        <f t="shared" ca="1" si="990"/>
        <v xml:space="preserve">Enter a 'Employee Units' for  building 74 in cell E77.
</v>
      </c>
      <c r="G2754" s="9" t="str">
        <f t="shared" ca="1" si="977"/>
        <v xml:space="preserve">Enter a value for 'Number of Floors in the Tallest Building' in cell B60.
</v>
      </c>
      <c r="H2754" s="52" t="str">
        <f t="shared" ca="1" si="991"/>
        <v>Employee Units</v>
      </c>
      <c r="I2754" s="52">
        <v>5</v>
      </c>
    </row>
    <row r="2755" spans="1:10" ht="15" customHeight="1">
      <c r="A2755" t="str">
        <f t="shared" ca="1" si="986"/>
        <v/>
      </c>
      <c r="B2755">
        <f t="shared" si="987"/>
        <v>77</v>
      </c>
      <c r="C2755">
        <f t="shared" ca="1" si="979"/>
        <v>74</v>
      </c>
      <c r="D2755" t="str">
        <f t="shared" si="988"/>
        <v>F77</v>
      </c>
      <c r="E2755" t="str">
        <f t="shared" ca="1" si="989"/>
        <v/>
      </c>
      <c r="F2755" t="str">
        <f t="shared" ca="1" si="990"/>
        <v xml:space="preserve">Enter a 'Low-Income Units' for  building 74 in cell F77.
</v>
      </c>
      <c r="G2755" s="9" t="str">
        <f t="shared" ca="1" si="977"/>
        <v xml:space="preserve">Enter a value for 'Number of Floors in the Tallest Building' in cell B60.
</v>
      </c>
      <c r="H2755" s="52" t="str">
        <f t="shared" ca="1" si="991"/>
        <v>Low-Income Units</v>
      </c>
      <c r="I2755" s="52">
        <v>6</v>
      </c>
    </row>
    <row r="2756" spans="1:10" ht="15" customHeight="1">
      <c r="A2756" t="str">
        <f t="shared" ca="1" si="986"/>
        <v/>
      </c>
      <c r="B2756">
        <f t="shared" si="987"/>
        <v>77</v>
      </c>
      <c r="C2756">
        <f t="shared" ca="1" si="979"/>
        <v>74</v>
      </c>
      <c r="D2756" t="str">
        <f t="shared" si="988"/>
        <v>G77</v>
      </c>
      <c r="E2756" t="str">
        <f t="shared" ca="1" si="989"/>
        <v/>
      </c>
      <c r="F2756" t="str">
        <f t="shared" ca="1" si="990"/>
        <v xml:space="preserve">Enter a 'Residential Square Footage**' for  building 74 in cell G77.
</v>
      </c>
      <c r="G2756" s="9" t="str">
        <f t="shared" ca="1" si="977"/>
        <v xml:space="preserve">Enter a value for 'Number of Floors in the Tallest Building' in cell B60.
</v>
      </c>
      <c r="H2756" s="52" t="str">
        <f t="shared" ca="1" si="991"/>
        <v>Residential Square Footage**</v>
      </c>
      <c r="I2756" s="52">
        <v>7</v>
      </c>
    </row>
    <row r="2757" spans="1:10" ht="15" customHeight="1">
      <c r="A2757" t="str">
        <f t="shared" ca="1" si="986"/>
        <v/>
      </c>
      <c r="B2757">
        <f t="shared" si="987"/>
        <v>77</v>
      </c>
      <c r="C2757">
        <f t="shared" ca="1" si="979"/>
        <v>74</v>
      </c>
      <c r="D2757" t="str">
        <f t="shared" si="988"/>
        <v>H77</v>
      </c>
      <c r="E2757" t="str">
        <f t="shared" ca="1" si="989"/>
        <v/>
      </c>
      <c r="F2757" t="str">
        <f t="shared" ca="1" si="990"/>
        <v xml:space="preserve">Enter a 'Square Footage of Employee Units' for  building 74 in cell H77.
</v>
      </c>
      <c r="G2757" s="9" t="str">
        <f t="shared" ca="1" si="977"/>
        <v xml:space="preserve">Enter a value for 'Number of Floors in the Tallest Building' in cell B60.
</v>
      </c>
      <c r="H2757" s="52" t="str">
        <f t="shared" ca="1" si="991"/>
        <v>Square Footage of Employee Units</v>
      </c>
      <c r="I2757" s="52">
        <v>8</v>
      </c>
    </row>
    <row r="2758" spans="1:10" ht="15" customHeight="1">
      <c r="A2758" t="str">
        <f t="shared" ca="1" si="986"/>
        <v/>
      </c>
      <c r="B2758">
        <f t="shared" si="987"/>
        <v>77</v>
      </c>
      <c r="C2758">
        <f t="shared" ca="1" si="979"/>
        <v>74</v>
      </c>
      <c r="D2758" t="str">
        <f t="shared" si="988"/>
        <v>I77</v>
      </c>
      <c r="E2758" t="str">
        <f t="shared" ca="1" si="989"/>
        <v/>
      </c>
      <c r="F2758" t="str">
        <f t="shared" ca="1" si="990"/>
        <v xml:space="preserve">Enter a 'Square Footage of Low-Income Units' for  building 74 in cell I77.
</v>
      </c>
      <c r="G2758" s="9" t="str">
        <f t="shared" ca="1" si="977"/>
        <v xml:space="preserve">Enter a value for 'Number of Floors in the Tallest Building' in cell B60.
</v>
      </c>
      <c r="H2758" s="52" t="str">
        <f t="shared" ca="1" si="991"/>
        <v>Square Footage of Low-Income Units</v>
      </c>
      <c r="I2758" s="52">
        <v>9</v>
      </c>
    </row>
    <row r="2759" spans="1:10" ht="15" customHeight="1">
      <c r="A2759" t="str">
        <f t="shared" ca="1" si="986"/>
        <v/>
      </c>
      <c r="B2759">
        <f t="shared" si="987"/>
        <v>77</v>
      </c>
      <c r="C2759">
        <f t="shared" ca="1" si="979"/>
        <v>74</v>
      </c>
      <c r="D2759" t="str">
        <f t="shared" si="988"/>
        <v>J77</v>
      </c>
      <c r="E2759" t="str">
        <f t="shared" ca="1" si="989"/>
        <v/>
      </c>
      <c r="F2759" t="str">
        <f t="shared" ca="1" si="990"/>
        <v xml:space="preserve">Enter a 'Placed-In-Service Date' for  building 74 in cell J77.
</v>
      </c>
      <c r="G2759" s="9" t="str">
        <f t="shared" ca="1" si="977"/>
        <v xml:space="preserve">Enter a value for 'Number of Floors in the Tallest Building' in cell B60.
</v>
      </c>
      <c r="H2759" s="52" t="str">
        <f t="shared" ca="1" si="991"/>
        <v>Placed-In-Service Date</v>
      </c>
      <c r="I2759" s="52">
        <v>10</v>
      </c>
    </row>
    <row r="2760" spans="1:10" ht="15" customHeight="1">
      <c r="A2760" t="str">
        <f t="shared" ca="1" si="986"/>
        <v/>
      </c>
      <c r="B2760">
        <f t="shared" si="987"/>
        <v>77</v>
      </c>
      <c r="C2760">
        <f t="shared" ca="1" si="979"/>
        <v>74</v>
      </c>
      <c r="D2760" t="str">
        <f t="shared" si="988"/>
        <v>K77</v>
      </c>
      <c r="E2760" t="str">
        <f t="shared" ca="1" si="989"/>
        <v/>
      </c>
      <c r="F2760" t="str">
        <f t="shared" ca="1" si="990"/>
        <v xml:space="preserve">Enter a 'New Construction/ Rehab APR' for  building 74 in cell K77.
</v>
      </c>
      <c r="G2760" s="9" t="str">
        <f t="shared" ca="1" si="977"/>
        <v xml:space="preserve">Enter a value for 'Number of Floors in the Tallest Building' in cell B60.
</v>
      </c>
      <c r="H2760" s="52" t="str">
        <f t="shared" ca="1" si="991"/>
        <v>New Construction/ Rehab APR</v>
      </c>
      <c r="I2760" s="52">
        <v>11</v>
      </c>
    </row>
    <row r="2761" spans="1:10" ht="15" customHeight="1">
      <c r="A2761" t="str">
        <f t="shared" ca="1" si="986"/>
        <v/>
      </c>
      <c r="B2761">
        <f t="shared" si="987"/>
        <v>77</v>
      </c>
      <c r="C2761">
        <f t="shared" ca="1" si="979"/>
        <v>74</v>
      </c>
      <c r="D2761" t="str">
        <f t="shared" si="988"/>
        <v>L77</v>
      </c>
      <c r="E2761" t="str">
        <f t="shared" ca="1" si="989"/>
        <v/>
      </c>
      <c r="F2761" t="str">
        <f t="shared" ca="1" si="990"/>
        <v xml:space="preserve">Enter a 'New Construction Eligible Basis' for  building 74 in cell L77.
</v>
      </c>
      <c r="G2761" s="9" t="str">
        <f t="shared" ca="1" si="977"/>
        <v xml:space="preserve">Enter a value for 'Number of Floors in the Tallest Building' in cell B60.
</v>
      </c>
      <c r="H2761" s="52" t="str">
        <f t="shared" ca="1" si="991"/>
        <v>New Construction Eligible Basis</v>
      </c>
      <c r="I2761" s="52">
        <v>12</v>
      </c>
    </row>
    <row r="2762" spans="1:10" ht="15" customHeight="1">
      <c r="A2762" t="str">
        <f ca="1">IF(AND(OFFSET(A2762, -I2762 + 2, 4) &gt;  0, E2762="", Calculations!$B$7), F2762, "")</f>
        <v/>
      </c>
      <c r="B2762">
        <f t="shared" si="987"/>
        <v>77</v>
      </c>
      <c r="C2762">
        <f t="shared" ca="1" si="979"/>
        <v>74</v>
      </c>
      <c r="D2762" t="str">
        <f t="shared" si="988"/>
        <v>M77</v>
      </c>
      <c r="E2762" t="str">
        <f t="shared" ca="1" si="989"/>
        <v/>
      </c>
      <c r="F2762" t="str">
        <f t="shared" ca="1" si="990"/>
        <v xml:space="preserve">Enter a 'Eligible Basis for Rehab' for  building 74 in cell M77.
</v>
      </c>
      <c r="G2762" s="9" t="str">
        <f t="shared" ca="1" si="977"/>
        <v xml:space="preserve">Enter a value for 'Number of Floors in the Tallest Building' in cell B60.
</v>
      </c>
      <c r="H2762" s="52" t="str">
        <f t="shared" ca="1" si="991"/>
        <v>Eligible Basis for Rehab</v>
      </c>
      <c r="I2762" s="52">
        <v>13</v>
      </c>
    </row>
    <row r="2763" spans="1:10" ht="15" customHeight="1">
      <c r="A2763" t="str">
        <f ca="1">IF(AND(OFFSET(A2763, -I2763 + 2, 4) &gt;  0, E2763="", Calculations!$B$7), F2763, "")</f>
        <v/>
      </c>
      <c r="B2763">
        <f t="shared" si="987"/>
        <v>77</v>
      </c>
      <c r="C2763">
        <f t="shared" ca="1" si="979"/>
        <v>74</v>
      </c>
      <c r="D2763" t="str">
        <f t="shared" si="988"/>
        <v>N77</v>
      </c>
      <c r="E2763" t="str">
        <f t="shared" ca="1" si="989"/>
        <v/>
      </c>
      <c r="F2763" t="str">
        <f t="shared" ca="1" si="990"/>
        <v xml:space="preserve">Enter a 'Cost of Acquiring the Building***' for  building 74 in cell N77.
</v>
      </c>
      <c r="G2763" s="9" t="str">
        <f t="shared" ca="1" si="977"/>
        <v xml:space="preserve">Enter a value for 'Number of Floors in the Tallest Building' in cell B60.
</v>
      </c>
      <c r="H2763" s="52" t="str">
        <f t="shared" ca="1" si="991"/>
        <v>Cost of Acquiring the Building***</v>
      </c>
      <c r="I2763" s="52">
        <v>14</v>
      </c>
    </row>
    <row r="2764" spans="1:10" ht="15" customHeight="1">
      <c r="A2764" t="str">
        <f ca="1">IF(AND(OFFSET(A2764, -I2764 + 2, 4) &gt;  0, E2764="", Calculations!$B$7), F2764, "")</f>
        <v/>
      </c>
      <c r="B2764">
        <f t="shared" si="987"/>
        <v>77</v>
      </c>
      <c r="C2764">
        <f t="shared" ca="1" si="979"/>
        <v>74</v>
      </c>
      <c r="D2764" t="str">
        <f t="shared" si="988"/>
        <v>O77</v>
      </c>
      <c r="E2764" t="str">
        <f t="shared" ca="1" si="989"/>
        <v/>
      </c>
      <c r="F2764" t="str">
        <f t="shared" ca="1" si="990"/>
        <v xml:space="preserve">Enter a 'Higher of Land Purchase Price or Land Appraised Value****' for  building 74 in cell O77.
</v>
      </c>
      <c r="G2764" s="9" t="str">
        <f t="shared" ca="1" si="977"/>
        <v xml:space="preserve">Enter a value for 'Number of Floors in the Tallest Building' in cell B60.
</v>
      </c>
      <c r="H2764" s="52" t="str">
        <f t="shared" ca="1" si="991"/>
        <v>Higher of Land Purchase Price or Land Appraised Value****</v>
      </c>
      <c r="I2764" s="52">
        <v>15</v>
      </c>
    </row>
    <row r="2765" spans="1:10" ht="15" customHeight="1">
      <c r="A2765" t="str">
        <f ca="1">IF(AND(OFFSET(A2765, -I2765 + 2, 4) &gt;  0, E2765="", Calculations!$B$7), F2765, "")</f>
        <v/>
      </c>
      <c r="B2765">
        <f t="shared" si="987"/>
        <v>77</v>
      </c>
      <c r="C2765">
        <f t="shared" ca="1" si="979"/>
        <v>74</v>
      </c>
      <c r="D2765" t="str">
        <f t="shared" si="988"/>
        <v>P77</v>
      </c>
      <c r="E2765" t="str">
        <f t="shared" ca="1" si="989"/>
        <v/>
      </c>
      <c r="F2765" t="str">
        <f t="shared" ca="1" si="990"/>
        <v xml:space="preserve">Enter a 'Acquisition Placed-in-Service Date' for  building 74 in cell P77.
</v>
      </c>
      <c r="G2765" s="9" t="str">
        <f t="shared" ca="1" si="977"/>
        <v xml:space="preserve">Enter a value for 'Number of Floors in the Tallest Building' in cell B60.
</v>
      </c>
      <c r="H2765" s="52" t="str">
        <f t="shared" ca="1" si="991"/>
        <v>Acquisition Placed-in-Service Date</v>
      </c>
      <c r="I2765" s="52">
        <v>16</v>
      </c>
    </row>
    <row r="2766" spans="1:10" ht="15" customHeight="1">
      <c r="A2766" t="str">
        <f ca="1">IF(AND(OFFSET(A2766, -I2766 + 2, 4) &gt;  0, E2766="", Calculations!$B$7), F2766, "")</f>
        <v/>
      </c>
      <c r="B2766">
        <f t="shared" si="987"/>
        <v>77</v>
      </c>
      <c r="C2766">
        <f t="shared" ca="1" si="979"/>
        <v>74</v>
      </c>
      <c r="D2766" t="str">
        <f t="shared" si="988"/>
        <v>Q77</v>
      </c>
      <c r="E2766" t="str">
        <f t="shared" ca="1" si="989"/>
        <v/>
      </c>
      <c r="F2766" t="str">
        <f t="shared" ca="1" si="990"/>
        <v xml:space="preserve">Enter a 'Acquisition APR' for  building 74 in cell Q77.
</v>
      </c>
      <c r="G2766" s="9" t="str">
        <f t="shared" ca="1" si="977"/>
        <v xml:space="preserve">Enter a value for 'Number of Floors in the Tallest Building' in cell B60.
</v>
      </c>
      <c r="H2766" s="52" t="str">
        <f t="shared" ca="1" si="991"/>
        <v>Acquisition APR</v>
      </c>
      <c r="I2766" s="52">
        <v>17</v>
      </c>
    </row>
    <row r="2767" spans="1:10" ht="15" customHeight="1">
      <c r="A2767" t="str">
        <f ca="1">IF(AND(Calculations!$B$4,Calculations!$B$29&gt;=C2767, E2767 &lt;&gt; 13),F2767,"")</f>
        <v/>
      </c>
      <c r="B2767">
        <f>ROW('Final Building Profile'!C78)</f>
        <v>78</v>
      </c>
      <c r="C2767">
        <f t="shared" ca="1" si="979"/>
        <v>75</v>
      </c>
      <c r="D2767" t="str">
        <f>ADDRESS(B2767, 3,4  )</f>
        <v>C78</v>
      </c>
      <c r="E2767" s="52">
        <f ca="1">H2767+I2767</f>
        <v>0</v>
      </c>
      <c r="F2767" t="str">
        <f ca="1">CONCATENATE("Based upon the number of buildings specified, information for  building ", C2767, " required for a final application in row ", B2767, ".", CHAR(10))</f>
        <v xml:space="preserve">Based upon the number of buildings specified, information for  building 75 required for a final application in row 78.
</v>
      </c>
      <c r="G2767" s="9" t="str">
        <f t="shared" ca="1" si="977"/>
        <v xml:space="preserve">Enter a value for 'Number of Floors in the Tallest Building' in cell B60.
</v>
      </c>
      <c r="H2767" s="52">
        <f ca="1">SUMPRODUCT(--ISTEXT(INDIRECT(J2767)))</f>
        <v>0</v>
      </c>
      <c r="I2767" s="52">
        <f ca="1">SUMPRODUCT(--ISNUMBER(INDIRECT(J2767)))</f>
        <v>0</v>
      </c>
      <c r="J2767" s="52" t="str">
        <f>$F$1565&amp; ADDRESS(B2767,3,4) &amp; ":" &amp; ADDRESS(B2767,15,4)</f>
        <v>'Final Building Profile'!C78:O78</v>
      </c>
    </row>
    <row r="2768" spans="1:10" ht="15" customHeight="1">
      <c r="A2768" t="str">
        <f t="shared" ref="A2768:A2777" ca="1" si="992">IF(AND(OFFSET(A2768, -I2768 + 2, 4) &gt;  0, E2768=""), F2768, "")</f>
        <v/>
      </c>
      <c r="B2768">
        <f t="shared" ref="B2768:B2782" si="993">B2767</f>
        <v>78</v>
      </c>
      <c r="C2768">
        <f t="shared" ca="1" si="979"/>
        <v>75</v>
      </c>
      <c r="D2768" t="str">
        <f t="shared" ref="D2768:D2782" si="994">ADDRESS(B2768, I2768,4  )</f>
        <v>C78</v>
      </c>
      <c r="E2768" t="str">
        <f t="shared" ref="E2768:E2782" ca="1" si="995">IF(ISBLANK( INDIRECT($F$1565 &amp; D2768)),"", INDIRECT($F$1565 &amp; D2768))</f>
        <v/>
      </c>
      <c r="F2768" t="str">
        <f t="shared" ref="F2768:F2782" ca="1" si="996">CONCATENATE("Enter a '"&amp; H2768 &amp;"' for  building ", C2768, " in cell ", D2768, ".", CHAR(10))</f>
        <v xml:space="preserve">Enter a 'Building Street Address Only 
(DO NOT ENTER CITY, STATE, OR ZIP)' for  building 75 in cell C78.
</v>
      </c>
      <c r="G2768" s="9" t="str">
        <f t="shared" ca="1" si="977"/>
        <v xml:space="preserve">Enter a value for 'Number of Floors in the Tallest Building' in cell B60.
</v>
      </c>
      <c r="H2768" s="52" t="str">
        <f t="shared" ref="H2768:H2782" ca="1" si="997">OFFSET(INDIRECT($F$1565 &amp; D2768), -B2768 + 3, 0)</f>
        <v>Building Street Address Only 
(DO NOT ENTER CITY, STATE, OR ZIP)</v>
      </c>
      <c r="I2768" s="52">
        <v>3</v>
      </c>
    </row>
    <row r="2769" spans="1:10" ht="15" customHeight="1">
      <c r="A2769" t="str">
        <f t="shared" ca="1" si="992"/>
        <v/>
      </c>
      <c r="B2769">
        <f t="shared" si="993"/>
        <v>78</v>
      </c>
      <c r="C2769">
        <f t="shared" ca="1" si="979"/>
        <v>75</v>
      </c>
      <c r="D2769" t="str">
        <f t="shared" si="994"/>
        <v>D78</v>
      </c>
      <c r="E2769" t="str">
        <f t="shared" ca="1" si="995"/>
        <v/>
      </c>
      <c r="F2769" t="str">
        <f t="shared" ca="1" si="996"/>
        <v xml:space="preserve">Enter a 'Total Units in Building*' for  building 75 in cell D78.
</v>
      </c>
      <c r="G2769" s="9" t="str">
        <f t="shared" ca="1" si="977"/>
        <v xml:space="preserve">Enter a value for 'Number of Floors in the Tallest Building' in cell B60.
</v>
      </c>
      <c r="H2769" s="52" t="str">
        <f t="shared" ca="1" si="997"/>
        <v>Total Units in Building*</v>
      </c>
      <c r="I2769" s="52">
        <v>4</v>
      </c>
    </row>
    <row r="2770" spans="1:10" ht="15" customHeight="1">
      <c r="A2770" t="str">
        <f t="shared" ca="1" si="992"/>
        <v/>
      </c>
      <c r="B2770">
        <f t="shared" si="993"/>
        <v>78</v>
      </c>
      <c r="C2770">
        <f t="shared" ca="1" si="979"/>
        <v>75</v>
      </c>
      <c r="D2770" t="str">
        <f t="shared" si="994"/>
        <v>E78</v>
      </c>
      <c r="E2770" t="str">
        <f t="shared" ca="1" si="995"/>
        <v/>
      </c>
      <c r="F2770" t="str">
        <f t="shared" ca="1" si="996"/>
        <v xml:space="preserve">Enter a 'Employee Units' for  building 75 in cell E78.
</v>
      </c>
      <c r="G2770" s="9" t="str">
        <f t="shared" ca="1" si="977"/>
        <v xml:space="preserve">Enter a value for 'Number of Floors in the Tallest Building' in cell B60.
</v>
      </c>
      <c r="H2770" s="52" t="str">
        <f t="shared" ca="1" si="997"/>
        <v>Employee Units</v>
      </c>
      <c r="I2770" s="52">
        <v>5</v>
      </c>
    </row>
    <row r="2771" spans="1:10" ht="15" customHeight="1">
      <c r="A2771" t="str">
        <f t="shared" ca="1" si="992"/>
        <v/>
      </c>
      <c r="B2771">
        <f t="shared" si="993"/>
        <v>78</v>
      </c>
      <c r="C2771">
        <f t="shared" ca="1" si="979"/>
        <v>75</v>
      </c>
      <c r="D2771" t="str">
        <f t="shared" si="994"/>
        <v>F78</v>
      </c>
      <c r="E2771" t="str">
        <f t="shared" ca="1" si="995"/>
        <v/>
      </c>
      <c r="F2771" t="str">
        <f t="shared" ca="1" si="996"/>
        <v xml:space="preserve">Enter a 'Low-Income Units' for  building 75 in cell F78.
</v>
      </c>
      <c r="G2771" s="9" t="str">
        <f t="shared" ca="1" si="977"/>
        <v xml:space="preserve">Enter a value for 'Number of Floors in the Tallest Building' in cell B60.
</v>
      </c>
      <c r="H2771" s="52" t="str">
        <f t="shared" ca="1" si="997"/>
        <v>Low-Income Units</v>
      </c>
      <c r="I2771" s="52">
        <v>6</v>
      </c>
    </row>
    <row r="2772" spans="1:10" ht="15" customHeight="1">
      <c r="A2772" t="str">
        <f t="shared" ca="1" si="992"/>
        <v/>
      </c>
      <c r="B2772">
        <f t="shared" si="993"/>
        <v>78</v>
      </c>
      <c r="C2772">
        <f t="shared" ca="1" si="979"/>
        <v>75</v>
      </c>
      <c r="D2772" t="str">
        <f t="shared" si="994"/>
        <v>G78</v>
      </c>
      <c r="E2772" t="str">
        <f t="shared" ca="1" si="995"/>
        <v/>
      </c>
      <c r="F2772" t="str">
        <f t="shared" ca="1" si="996"/>
        <v xml:space="preserve">Enter a 'Residential Square Footage**' for  building 75 in cell G78.
</v>
      </c>
      <c r="G2772" s="9" t="str">
        <f t="shared" ca="1" si="977"/>
        <v xml:space="preserve">Enter a value for 'Number of Floors in the Tallest Building' in cell B60.
</v>
      </c>
      <c r="H2772" s="52" t="str">
        <f t="shared" ca="1" si="997"/>
        <v>Residential Square Footage**</v>
      </c>
      <c r="I2772" s="52">
        <v>7</v>
      </c>
    </row>
    <row r="2773" spans="1:10" ht="15" customHeight="1">
      <c r="A2773" t="str">
        <f t="shared" ca="1" si="992"/>
        <v/>
      </c>
      <c r="B2773">
        <f t="shared" si="993"/>
        <v>78</v>
      </c>
      <c r="C2773">
        <f t="shared" ca="1" si="979"/>
        <v>75</v>
      </c>
      <c r="D2773" t="str">
        <f t="shared" si="994"/>
        <v>H78</v>
      </c>
      <c r="E2773" t="str">
        <f t="shared" ca="1" si="995"/>
        <v/>
      </c>
      <c r="F2773" t="str">
        <f t="shared" ca="1" si="996"/>
        <v xml:space="preserve">Enter a 'Square Footage of Employee Units' for  building 75 in cell H78.
</v>
      </c>
      <c r="G2773" s="9" t="str">
        <f t="shared" ca="1" si="977"/>
        <v xml:space="preserve">Enter a value for 'Number of Floors in the Tallest Building' in cell B60.
</v>
      </c>
      <c r="H2773" s="52" t="str">
        <f t="shared" ca="1" si="997"/>
        <v>Square Footage of Employee Units</v>
      </c>
      <c r="I2773" s="52">
        <v>8</v>
      </c>
    </row>
    <row r="2774" spans="1:10" ht="15" customHeight="1">
      <c r="A2774" t="str">
        <f t="shared" ca="1" si="992"/>
        <v/>
      </c>
      <c r="B2774">
        <f t="shared" si="993"/>
        <v>78</v>
      </c>
      <c r="C2774">
        <f t="shared" ca="1" si="979"/>
        <v>75</v>
      </c>
      <c r="D2774" t="str">
        <f t="shared" si="994"/>
        <v>I78</v>
      </c>
      <c r="E2774" t="str">
        <f t="shared" ca="1" si="995"/>
        <v/>
      </c>
      <c r="F2774" t="str">
        <f t="shared" ca="1" si="996"/>
        <v xml:space="preserve">Enter a 'Square Footage of Low-Income Units' for  building 75 in cell I78.
</v>
      </c>
      <c r="G2774" s="9" t="str">
        <f t="shared" ca="1" si="977"/>
        <v xml:space="preserve">Enter a value for 'Number of Floors in the Tallest Building' in cell B60.
</v>
      </c>
      <c r="H2774" s="52" t="str">
        <f t="shared" ca="1" si="997"/>
        <v>Square Footage of Low-Income Units</v>
      </c>
      <c r="I2774" s="52">
        <v>9</v>
      </c>
    </row>
    <row r="2775" spans="1:10" ht="15" customHeight="1">
      <c r="A2775" t="str">
        <f t="shared" ca="1" si="992"/>
        <v/>
      </c>
      <c r="B2775">
        <f t="shared" si="993"/>
        <v>78</v>
      </c>
      <c r="C2775">
        <f t="shared" ca="1" si="979"/>
        <v>75</v>
      </c>
      <c r="D2775" t="str">
        <f t="shared" si="994"/>
        <v>J78</v>
      </c>
      <c r="E2775" t="str">
        <f t="shared" ca="1" si="995"/>
        <v/>
      </c>
      <c r="F2775" t="str">
        <f t="shared" ca="1" si="996"/>
        <v xml:space="preserve">Enter a 'Placed-In-Service Date' for  building 75 in cell J78.
</v>
      </c>
      <c r="G2775" s="9" t="str">
        <f t="shared" ca="1" si="977"/>
        <v xml:space="preserve">Enter a value for 'Number of Floors in the Tallest Building' in cell B60.
</v>
      </c>
      <c r="H2775" s="52" t="str">
        <f t="shared" ca="1" si="997"/>
        <v>Placed-In-Service Date</v>
      </c>
      <c r="I2775" s="52">
        <v>10</v>
      </c>
    </row>
    <row r="2776" spans="1:10" ht="15" customHeight="1">
      <c r="A2776" t="str">
        <f t="shared" ca="1" si="992"/>
        <v/>
      </c>
      <c r="B2776">
        <f t="shared" si="993"/>
        <v>78</v>
      </c>
      <c r="C2776">
        <f t="shared" ca="1" si="979"/>
        <v>75</v>
      </c>
      <c r="D2776" t="str">
        <f t="shared" si="994"/>
        <v>K78</v>
      </c>
      <c r="E2776" t="str">
        <f t="shared" ca="1" si="995"/>
        <v/>
      </c>
      <c r="F2776" t="str">
        <f t="shared" ca="1" si="996"/>
        <v xml:space="preserve">Enter a 'New Construction/ Rehab APR' for  building 75 in cell K78.
</v>
      </c>
      <c r="G2776" s="9" t="str">
        <f t="shared" ca="1" si="977"/>
        <v xml:space="preserve">Enter a value for 'Number of Floors in the Tallest Building' in cell B60.
</v>
      </c>
      <c r="H2776" s="52" t="str">
        <f t="shared" ca="1" si="997"/>
        <v>New Construction/ Rehab APR</v>
      </c>
      <c r="I2776" s="52">
        <v>11</v>
      </c>
    </row>
    <row r="2777" spans="1:10" ht="15" customHeight="1">
      <c r="A2777" t="str">
        <f t="shared" ca="1" si="992"/>
        <v/>
      </c>
      <c r="B2777">
        <f t="shared" si="993"/>
        <v>78</v>
      </c>
      <c r="C2777">
        <f t="shared" ca="1" si="979"/>
        <v>75</v>
      </c>
      <c r="D2777" t="str">
        <f t="shared" si="994"/>
        <v>L78</v>
      </c>
      <c r="E2777" t="str">
        <f t="shared" ca="1" si="995"/>
        <v/>
      </c>
      <c r="F2777" t="str">
        <f t="shared" ca="1" si="996"/>
        <v xml:space="preserve">Enter a 'New Construction Eligible Basis' for  building 75 in cell L78.
</v>
      </c>
      <c r="G2777" s="9" t="str">
        <f t="shared" ca="1" si="977"/>
        <v xml:space="preserve">Enter a value for 'Number of Floors in the Tallest Building' in cell B60.
</v>
      </c>
      <c r="H2777" s="52" t="str">
        <f t="shared" ca="1" si="997"/>
        <v>New Construction Eligible Basis</v>
      </c>
      <c r="I2777" s="52">
        <v>12</v>
      </c>
    </row>
    <row r="2778" spans="1:10" ht="15" customHeight="1">
      <c r="A2778" t="str">
        <f ca="1">IF(AND(OFFSET(A2778, -I2778 + 2, 4) &gt;  0, E2778="", Calculations!$B$7), F2778, "")</f>
        <v/>
      </c>
      <c r="B2778">
        <f t="shared" si="993"/>
        <v>78</v>
      </c>
      <c r="C2778">
        <f t="shared" ca="1" si="979"/>
        <v>75</v>
      </c>
      <c r="D2778" t="str">
        <f t="shared" si="994"/>
        <v>M78</v>
      </c>
      <c r="E2778" t="str">
        <f t="shared" ca="1" si="995"/>
        <v/>
      </c>
      <c r="F2778" t="str">
        <f t="shared" ca="1" si="996"/>
        <v xml:space="preserve">Enter a 'Eligible Basis for Rehab' for  building 75 in cell M78.
</v>
      </c>
      <c r="G2778" s="9" t="str">
        <f t="shared" ca="1" si="977"/>
        <v xml:space="preserve">Enter a value for 'Number of Floors in the Tallest Building' in cell B60.
</v>
      </c>
      <c r="H2778" s="52" t="str">
        <f t="shared" ca="1" si="997"/>
        <v>Eligible Basis for Rehab</v>
      </c>
      <c r="I2778" s="52">
        <v>13</v>
      </c>
    </row>
    <row r="2779" spans="1:10" ht="15" customHeight="1">
      <c r="A2779" t="str">
        <f ca="1">IF(AND(OFFSET(A2779, -I2779 + 2, 4) &gt;  0, E2779="", Calculations!$B$7), F2779, "")</f>
        <v/>
      </c>
      <c r="B2779">
        <f t="shared" si="993"/>
        <v>78</v>
      </c>
      <c r="C2779">
        <f t="shared" ca="1" si="979"/>
        <v>75</v>
      </c>
      <c r="D2779" t="str">
        <f t="shared" si="994"/>
        <v>N78</v>
      </c>
      <c r="E2779" t="str">
        <f t="shared" ca="1" si="995"/>
        <v/>
      </c>
      <c r="F2779" t="str">
        <f t="shared" ca="1" si="996"/>
        <v xml:space="preserve">Enter a 'Cost of Acquiring the Building***' for  building 75 in cell N78.
</v>
      </c>
      <c r="G2779" s="9" t="str">
        <f t="shared" ca="1" si="977"/>
        <v xml:space="preserve">Enter a value for 'Number of Floors in the Tallest Building' in cell B60.
</v>
      </c>
      <c r="H2779" s="52" t="str">
        <f t="shared" ca="1" si="997"/>
        <v>Cost of Acquiring the Building***</v>
      </c>
      <c r="I2779" s="52">
        <v>14</v>
      </c>
    </row>
    <row r="2780" spans="1:10" ht="15" customHeight="1">
      <c r="A2780" t="str">
        <f ca="1">IF(AND(OFFSET(A2780, -I2780 + 2, 4) &gt;  0, E2780="", Calculations!$B$7), F2780, "")</f>
        <v/>
      </c>
      <c r="B2780">
        <f t="shared" si="993"/>
        <v>78</v>
      </c>
      <c r="C2780">
        <f t="shared" ca="1" si="979"/>
        <v>75</v>
      </c>
      <c r="D2780" t="str">
        <f t="shared" si="994"/>
        <v>O78</v>
      </c>
      <c r="E2780" t="str">
        <f t="shared" ca="1" si="995"/>
        <v/>
      </c>
      <c r="F2780" t="str">
        <f t="shared" ca="1" si="996"/>
        <v xml:space="preserve">Enter a 'Higher of Land Purchase Price or Land Appraised Value****' for  building 75 in cell O78.
</v>
      </c>
      <c r="G2780" s="9" t="str">
        <f t="shared" ca="1" si="977"/>
        <v xml:space="preserve">Enter a value for 'Number of Floors in the Tallest Building' in cell B60.
</v>
      </c>
      <c r="H2780" s="52" t="str">
        <f t="shared" ca="1" si="997"/>
        <v>Higher of Land Purchase Price or Land Appraised Value****</v>
      </c>
      <c r="I2780" s="52">
        <v>15</v>
      </c>
    </row>
    <row r="2781" spans="1:10" ht="15" customHeight="1">
      <c r="A2781" t="str">
        <f ca="1">IF(AND(OFFSET(A2781, -I2781 + 2, 4) &gt;  0, E2781="", Calculations!$B$7), F2781, "")</f>
        <v/>
      </c>
      <c r="B2781">
        <f t="shared" si="993"/>
        <v>78</v>
      </c>
      <c r="C2781">
        <f t="shared" ca="1" si="979"/>
        <v>75</v>
      </c>
      <c r="D2781" t="str">
        <f t="shared" si="994"/>
        <v>P78</v>
      </c>
      <c r="E2781" t="str">
        <f t="shared" ca="1" si="995"/>
        <v/>
      </c>
      <c r="F2781" t="str">
        <f t="shared" ca="1" si="996"/>
        <v xml:space="preserve">Enter a 'Acquisition Placed-in-Service Date' for  building 75 in cell P78.
</v>
      </c>
      <c r="G2781" s="9" t="str">
        <f t="shared" ca="1" si="977"/>
        <v xml:space="preserve">Enter a value for 'Number of Floors in the Tallest Building' in cell B60.
</v>
      </c>
      <c r="H2781" s="52" t="str">
        <f t="shared" ca="1" si="997"/>
        <v>Acquisition Placed-in-Service Date</v>
      </c>
      <c r="I2781" s="52">
        <v>16</v>
      </c>
    </row>
    <row r="2782" spans="1:10" ht="15" customHeight="1">
      <c r="A2782" t="str">
        <f ca="1">IF(AND(OFFSET(A2782, -I2782 + 2, 4) &gt;  0, E2782="", Calculations!$B$7), F2782, "")</f>
        <v/>
      </c>
      <c r="B2782">
        <f t="shared" si="993"/>
        <v>78</v>
      </c>
      <c r="C2782">
        <f t="shared" ca="1" si="979"/>
        <v>75</v>
      </c>
      <c r="D2782" t="str">
        <f t="shared" si="994"/>
        <v>Q78</v>
      </c>
      <c r="E2782" t="str">
        <f t="shared" ca="1" si="995"/>
        <v/>
      </c>
      <c r="F2782" t="str">
        <f t="shared" ca="1" si="996"/>
        <v xml:space="preserve">Enter a 'Acquisition APR' for  building 75 in cell Q78.
</v>
      </c>
      <c r="G2782" s="9" t="str">
        <f t="shared" ca="1" si="977"/>
        <v xml:space="preserve">Enter a value for 'Number of Floors in the Tallest Building' in cell B60.
</v>
      </c>
      <c r="H2782" s="52" t="str">
        <f t="shared" ca="1" si="997"/>
        <v>Acquisition APR</v>
      </c>
      <c r="I2782" s="52">
        <v>17</v>
      </c>
    </row>
    <row r="2783" spans="1:10" ht="15" customHeight="1">
      <c r="A2783" t="str">
        <f ca="1">IF(AND(Calculations!$B$4,Calculations!$B$29&gt;=C2783, E2783 &lt;&gt; 13),F2783,"")</f>
        <v/>
      </c>
      <c r="B2783">
        <f>ROW('Final Building Profile'!C79)</f>
        <v>79</v>
      </c>
      <c r="C2783">
        <f t="shared" ca="1" si="979"/>
        <v>76</v>
      </c>
      <c r="D2783" t="str">
        <f>ADDRESS(B2783, 3,4  )</f>
        <v>C79</v>
      </c>
      <c r="E2783" s="52">
        <f ca="1">H2783+I2783</f>
        <v>0</v>
      </c>
      <c r="F2783" t="str">
        <f ca="1">CONCATENATE("Based upon the number of buildings specified, information for  building ", C2783, " required for a final application in row ", B2783, ".", CHAR(10))</f>
        <v xml:space="preserve">Based upon the number of buildings specified, information for  building 76 required for a final application in row 79.
</v>
      </c>
      <c r="G2783" s="9" t="str">
        <f t="shared" ca="1" si="977"/>
        <v xml:space="preserve">Enter a value for 'Number of Floors in the Tallest Building' in cell B60.
</v>
      </c>
      <c r="H2783" s="52">
        <f ca="1">SUMPRODUCT(--ISTEXT(INDIRECT(J2783)))</f>
        <v>0</v>
      </c>
      <c r="I2783" s="52">
        <f ca="1">SUMPRODUCT(--ISNUMBER(INDIRECT(J2783)))</f>
        <v>0</v>
      </c>
      <c r="J2783" s="52" t="str">
        <f>$F$1565&amp; ADDRESS(B2783,3,4) &amp; ":" &amp; ADDRESS(B2783,15,4)</f>
        <v>'Final Building Profile'!C79:O79</v>
      </c>
    </row>
    <row r="2784" spans="1:10" ht="15" customHeight="1">
      <c r="A2784" t="str">
        <f t="shared" ref="A2784:A2793" ca="1" si="998">IF(AND(OFFSET(A2784, -I2784 + 2, 4) &gt;  0, E2784=""), F2784, "")</f>
        <v/>
      </c>
      <c r="B2784">
        <f t="shared" ref="B2784:B2798" si="999">B2783</f>
        <v>79</v>
      </c>
      <c r="C2784">
        <f t="shared" ca="1" si="979"/>
        <v>76</v>
      </c>
      <c r="D2784" t="str">
        <f t="shared" ref="D2784:D2798" si="1000">ADDRESS(B2784, I2784,4  )</f>
        <v>C79</v>
      </c>
      <c r="E2784" t="str">
        <f t="shared" ref="E2784:E2798" ca="1" si="1001">IF(ISBLANK( INDIRECT($F$1565 &amp; D2784)),"", INDIRECT($F$1565 &amp; D2784))</f>
        <v/>
      </c>
      <c r="F2784" t="str">
        <f t="shared" ref="F2784:F2798" ca="1" si="1002">CONCATENATE("Enter a '"&amp; H2784 &amp;"' for  building ", C2784, " in cell ", D2784, ".", CHAR(10))</f>
        <v xml:space="preserve">Enter a 'Building Street Address Only 
(DO NOT ENTER CITY, STATE, OR ZIP)' for  building 76 in cell C79.
</v>
      </c>
      <c r="G2784" s="9" t="str">
        <f t="shared" ref="G2784:G2847" ca="1" si="1003">OFFSET(G2784, -1, 0) &amp; A2784</f>
        <v xml:space="preserve">Enter a value for 'Number of Floors in the Tallest Building' in cell B60.
</v>
      </c>
      <c r="H2784" s="52" t="str">
        <f t="shared" ref="H2784:H2798" ca="1" si="1004">OFFSET(INDIRECT($F$1565 &amp; D2784), -B2784 + 3, 0)</f>
        <v>Building Street Address Only 
(DO NOT ENTER CITY, STATE, OR ZIP)</v>
      </c>
      <c r="I2784" s="52">
        <v>3</v>
      </c>
    </row>
    <row r="2785" spans="1:10" ht="15" customHeight="1">
      <c r="A2785" t="str">
        <f t="shared" ca="1" si="998"/>
        <v/>
      </c>
      <c r="B2785">
        <f t="shared" si="999"/>
        <v>79</v>
      </c>
      <c r="C2785">
        <f t="shared" ca="1" si="979"/>
        <v>76</v>
      </c>
      <c r="D2785" t="str">
        <f t="shared" si="1000"/>
        <v>D79</v>
      </c>
      <c r="E2785" t="str">
        <f t="shared" ca="1" si="1001"/>
        <v/>
      </c>
      <c r="F2785" t="str">
        <f t="shared" ca="1" si="1002"/>
        <v xml:space="preserve">Enter a 'Total Units in Building*' for  building 76 in cell D79.
</v>
      </c>
      <c r="G2785" s="9" t="str">
        <f t="shared" ca="1" si="1003"/>
        <v xml:space="preserve">Enter a value for 'Number of Floors in the Tallest Building' in cell B60.
</v>
      </c>
      <c r="H2785" s="52" t="str">
        <f t="shared" ca="1" si="1004"/>
        <v>Total Units in Building*</v>
      </c>
      <c r="I2785" s="52">
        <v>4</v>
      </c>
    </row>
    <row r="2786" spans="1:10" ht="15" customHeight="1">
      <c r="A2786" t="str">
        <f t="shared" ca="1" si="998"/>
        <v/>
      </c>
      <c r="B2786">
        <f t="shared" si="999"/>
        <v>79</v>
      </c>
      <c r="C2786">
        <f t="shared" ca="1" si="979"/>
        <v>76</v>
      </c>
      <c r="D2786" t="str">
        <f t="shared" si="1000"/>
        <v>E79</v>
      </c>
      <c r="E2786" t="str">
        <f t="shared" ca="1" si="1001"/>
        <v/>
      </c>
      <c r="F2786" t="str">
        <f t="shared" ca="1" si="1002"/>
        <v xml:space="preserve">Enter a 'Employee Units' for  building 76 in cell E79.
</v>
      </c>
      <c r="G2786" s="9" t="str">
        <f t="shared" ca="1" si="1003"/>
        <v xml:space="preserve">Enter a value for 'Number of Floors in the Tallest Building' in cell B60.
</v>
      </c>
      <c r="H2786" s="52" t="str">
        <f t="shared" ca="1" si="1004"/>
        <v>Employee Units</v>
      </c>
      <c r="I2786" s="52">
        <v>5</v>
      </c>
    </row>
    <row r="2787" spans="1:10" ht="15" customHeight="1">
      <c r="A2787" t="str">
        <f t="shared" ca="1" si="998"/>
        <v/>
      </c>
      <c r="B2787">
        <f t="shared" si="999"/>
        <v>79</v>
      </c>
      <c r="C2787">
        <f t="shared" ca="1" si="979"/>
        <v>76</v>
      </c>
      <c r="D2787" t="str">
        <f t="shared" si="1000"/>
        <v>F79</v>
      </c>
      <c r="E2787" t="str">
        <f t="shared" ca="1" si="1001"/>
        <v/>
      </c>
      <c r="F2787" t="str">
        <f t="shared" ca="1" si="1002"/>
        <v xml:space="preserve">Enter a 'Low-Income Units' for  building 76 in cell F79.
</v>
      </c>
      <c r="G2787" s="9" t="str">
        <f t="shared" ca="1" si="1003"/>
        <v xml:space="preserve">Enter a value for 'Number of Floors in the Tallest Building' in cell B60.
</v>
      </c>
      <c r="H2787" s="52" t="str">
        <f t="shared" ca="1" si="1004"/>
        <v>Low-Income Units</v>
      </c>
      <c r="I2787" s="52">
        <v>6</v>
      </c>
    </row>
    <row r="2788" spans="1:10" ht="15" customHeight="1">
      <c r="A2788" t="str">
        <f t="shared" ca="1" si="998"/>
        <v/>
      </c>
      <c r="B2788">
        <f t="shared" si="999"/>
        <v>79</v>
      </c>
      <c r="C2788">
        <f t="shared" ca="1" si="979"/>
        <v>76</v>
      </c>
      <c r="D2788" t="str">
        <f t="shared" si="1000"/>
        <v>G79</v>
      </c>
      <c r="E2788" t="str">
        <f t="shared" ca="1" si="1001"/>
        <v/>
      </c>
      <c r="F2788" t="str">
        <f t="shared" ca="1" si="1002"/>
        <v xml:space="preserve">Enter a 'Residential Square Footage**' for  building 76 in cell G79.
</v>
      </c>
      <c r="G2788" s="9" t="str">
        <f t="shared" ca="1" si="1003"/>
        <v xml:space="preserve">Enter a value for 'Number of Floors in the Tallest Building' in cell B60.
</v>
      </c>
      <c r="H2788" s="52" t="str">
        <f t="shared" ca="1" si="1004"/>
        <v>Residential Square Footage**</v>
      </c>
      <c r="I2788" s="52">
        <v>7</v>
      </c>
    </row>
    <row r="2789" spans="1:10" ht="15" customHeight="1">
      <c r="A2789" t="str">
        <f t="shared" ca="1" si="998"/>
        <v/>
      </c>
      <c r="B2789">
        <f t="shared" si="999"/>
        <v>79</v>
      </c>
      <c r="C2789">
        <f t="shared" ca="1" si="979"/>
        <v>76</v>
      </c>
      <c r="D2789" t="str">
        <f t="shared" si="1000"/>
        <v>H79</v>
      </c>
      <c r="E2789" t="str">
        <f t="shared" ca="1" si="1001"/>
        <v/>
      </c>
      <c r="F2789" t="str">
        <f t="shared" ca="1" si="1002"/>
        <v xml:space="preserve">Enter a 'Square Footage of Employee Units' for  building 76 in cell H79.
</v>
      </c>
      <c r="G2789" s="9" t="str">
        <f t="shared" ca="1" si="1003"/>
        <v xml:space="preserve">Enter a value for 'Number of Floors in the Tallest Building' in cell B60.
</v>
      </c>
      <c r="H2789" s="52" t="str">
        <f t="shared" ca="1" si="1004"/>
        <v>Square Footage of Employee Units</v>
      </c>
      <c r="I2789" s="52">
        <v>8</v>
      </c>
    </row>
    <row r="2790" spans="1:10" ht="15" customHeight="1">
      <c r="A2790" t="str">
        <f t="shared" ca="1" si="998"/>
        <v/>
      </c>
      <c r="B2790">
        <f t="shared" si="999"/>
        <v>79</v>
      </c>
      <c r="C2790">
        <f t="shared" ca="1" si="979"/>
        <v>76</v>
      </c>
      <c r="D2790" t="str">
        <f t="shared" si="1000"/>
        <v>I79</v>
      </c>
      <c r="E2790" t="str">
        <f t="shared" ca="1" si="1001"/>
        <v/>
      </c>
      <c r="F2790" t="str">
        <f t="shared" ca="1" si="1002"/>
        <v xml:space="preserve">Enter a 'Square Footage of Low-Income Units' for  building 76 in cell I79.
</v>
      </c>
      <c r="G2790" s="9" t="str">
        <f t="shared" ca="1" si="1003"/>
        <v xml:space="preserve">Enter a value for 'Number of Floors in the Tallest Building' in cell B60.
</v>
      </c>
      <c r="H2790" s="52" t="str">
        <f t="shared" ca="1" si="1004"/>
        <v>Square Footage of Low-Income Units</v>
      </c>
      <c r="I2790" s="52">
        <v>9</v>
      </c>
    </row>
    <row r="2791" spans="1:10" ht="15" customHeight="1">
      <c r="A2791" t="str">
        <f t="shared" ca="1" si="998"/>
        <v/>
      </c>
      <c r="B2791">
        <f t="shared" si="999"/>
        <v>79</v>
      </c>
      <c r="C2791">
        <f t="shared" ca="1" si="979"/>
        <v>76</v>
      </c>
      <c r="D2791" t="str">
        <f t="shared" si="1000"/>
        <v>J79</v>
      </c>
      <c r="E2791" t="str">
        <f t="shared" ca="1" si="1001"/>
        <v/>
      </c>
      <c r="F2791" t="str">
        <f t="shared" ca="1" si="1002"/>
        <v xml:space="preserve">Enter a 'Placed-In-Service Date' for  building 76 in cell J79.
</v>
      </c>
      <c r="G2791" s="9" t="str">
        <f t="shared" ca="1" si="1003"/>
        <v xml:space="preserve">Enter a value for 'Number of Floors in the Tallest Building' in cell B60.
</v>
      </c>
      <c r="H2791" s="52" t="str">
        <f t="shared" ca="1" si="1004"/>
        <v>Placed-In-Service Date</v>
      </c>
      <c r="I2791" s="52">
        <v>10</v>
      </c>
    </row>
    <row r="2792" spans="1:10" ht="15" customHeight="1">
      <c r="A2792" t="str">
        <f t="shared" ca="1" si="998"/>
        <v/>
      </c>
      <c r="B2792">
        <f t="shared" si="999"/>
        <v>79</v>
      </c>
      <c r="C2792">
        <f t="shared" ca="1" si="979"/>
        <v>76</v>
      </c>
      <c r="D2792" t="str">
        <f t="shared" si="1000"/>
        <v>K79</v>
      </c>
      <c r="E2792" t="str">
        <f t="shared" ca="1" si="1001"/>
        <v/>
      </c>
      <c r="F2792" t="str">
        <f t="shared" ca="1" si="1002"/>
        <v xml:space="preserve">Enter a 'New Construction/ Rehab APR' for  building 76 in cell K79.
</v>
      </c>
      <c r="G2792" s="9" t="str">
        <f t="shared" ca="1" si="1003"/>
        <v xml:space="preserve">Enter a value for 'Number of Floors in the Tallest Building' in cell B60.
</v>
      </c>
      <c r="H2792" s="52" t="str">
        <f t="shared" ca="1" si="1004"/>
        <v>New Construction/ Rehab APR</v>
      </c>
      <c r="I2792" s="52">
        <v>11</v>
      </c>
    </row>
    <row r="2793" spans="1:10" ht="15" customHeight="1">
      <c r="A2793" t="str">
        <f t="shared" ca="1" si="998"/>
        <v/>
      </c>
      <c r="B2793">
        <f t="shared" si="999"/>
        <v>79</v>
      </c>
      <c r="C2793">
        <f t="shared" ca="1" si="979"/>
        <v>76</v>
      </c>
      <c r="D2793" t="str">
        <f t="shared" si="1000"/>
        <v>L79</v>
      </c>
      <c r="E2793" t="str">
        <f t="shared" ca="1" si="1001"/>
        <v/>
      </c>
      <c r="F2793" t="str">
        <f t="shared" ca="1" si="1002"/>
        <v xml:space="preserve">Enter a 'New Construction Eligible Basis' for  building 76 in cell L79.
</v>
      </c>
      <c r="G2793" s="9" t="str">
        <f t="shared" ca="1" si="1003"/>
        <v xml:space="preserve">Enter a value for 'Number of Floors in the Tallest Building' in cell B60.
</v>
      </c>
      <c r="H2793" s="52" t="str">
        <f t="shared" ca="1" si="1004"/>
        <v>New Construction Eligible Basis</v>
      </c>
      <c r="I2793" s="52">
        <v>12</v>
      </c>
    </row>
    <row r="2794" spans="1:10" ht="15" customHeight="1">
      <c r="A2794" t="str">
        <f ca="1">IF(AND(OFFSET(A2794, -I2794 + 2, 4) &gt;  0, E2794="", Calculations!$B$7), F2794, "")</f>
        <v/>
      </c>
      <c r="B2794">
        <f t="shared" si="999"/>
        <v>79</v>
      </c>
      <c r="C2794">
        <f t="shared" ca="1" si="979"/>
        <v>76</v>
      </c>
      <c r="D2794" t="str">
        <f t="shared" si="1000"/>
        <v>M79</v>
      </c>
      <c r="E2794" t="str">
        <f t="shared" ca="1" si="1001"/>
        <v/>
      </c>
      <c r="F2794" t="str">
        <f t="shared" ca="1" si="1002"/>
        <v xml:space="preserve">Enter a 'Eligible Basis for Rehab' for  building 76 in cell M79.
</v>
      </c>
      <c r="G2794" s="9" t="str">
        <f t="shared" ca="1" si="1003"/>
        <v xml:space="preserve">Enter a value for 'Number of Floors in the Tallest Building' in cell B60.
</v>
      </c>
      <c r="H2794" s="52" t="str">
        <f t="shared" ca="1" si="1004"/>
        <v>Eligible Basis for Rehab</v>
      </c>
      <c r="I2794" s="52">
        <v>13</v>
      </c>
    </row>
    <row r="2795" spans="1:10" ht="15" customHeight="1">
      <c r="A2795" t="str">
        <f ca="1">IF(AND(OFFSET(A2795, -I2795 + 2, 4) &gt;  0, E2795="", Calculations!$B$7), F2795, "")</f>
        <v/>
      </c>
      <c r="B2795">
        <f t="shared" si="999"/>
        <v>79</v>
      </c>
      <c r="C2795">
        <f t="shared" ca="1" si="979"/>
        <v>76</v>
      </c>
      <c r="D2795" t="str">
        <f t="shared" si="1000"/>
        <v>N79</v>
      </c>
      <c r="E2795" t="str">
        <f t="shared" ca="1" si="1001"/>
        <v/>
      </c>
      <c r="F2795" t="str">
        <f t="shared" ca="1" si="1002"/>
        <v xml:space="preserve">Enter a 'Cost of Acquiring the Building***' for  building 76 in cell N79.
</v>
      </c>
      <c r="G2795" s="9" t="str">
        <f t="shared" ca="1" si="1003"/>
        <v xml:space="preserve">Enter a value for 'Number of Floors in the Tallest Building' in cell B60.
</v>
      </c>
      <c r="H2795" s="52" t="str">
        <f t="shared" ca="1" si="1004"/>
        <v>Cost of Acquiring the Building***</v>
      </c>
      <c r="I2795" s="52">
        <v>14</v>
      </c>
    </row>
    <row r="2796" spans="1:10" ht="15" customHeight="1">
      <c r="A2796" t="str">
        <f ca="1">IF(AND(OFFSET(A2796, -I2796 + 2, 4) &gt;  0, E2796="", Calculations!$B$7), F2796, "")</f>
        <v/>
      </c>
      <c r="B2796">
        <f t="shared" si="999"/>
        <v>79</v>
      </c>
      <c r="C2796">
        <f t="shared" ca="1" si="979"/>
        <v>76</v>
      </c>
      <c r="D2796" t="str">
        <f t="shared" si="1000"/>
        <v>O79</v>
      </c>
      <c r="E2796" t="str">
        <f t="shared" ca="1" si="1001"/>
        <v/>
      </c>
      <c r="F2796" t="str">
        <f t="shared" ca="1" si="1002"/>
        <v xml:space="preserve">Enter a 'Higher of Land Purchase Price or Land Appraised Value****' for  building 76 in cell O79.
</v>
      </c>
      <c r="G2796" s="9" t="str">
        <f t="shared" ca="1" si="1003"/>
        <v xml:space="preserve">Enter a value for 'Number of Floors in the Tallest Building' in cell B60.
</v>
      </c>
      <c r="H2796" s="52" t="str">
        <f t="shared" ca="1" si="1004"/>
        <v>Higher of Land Purchase Price or Land Appraised Value****</v>
      </c>
      <c r="I2796" s="52">
        <v>15</v>
      </c>
    </row>
    <row r="2797" spans="1:10" ht="15" customHeight="1">
      <c r="A2797" t="str">
        <f ca="1">IF(AND(OFFSET(A2797, -I2797 + 2, 4) &gt;  0, E2797="", Calculations!$B$7), F2797, "")</f>
        <v/>
      </c>
      <c r="B2797">
        <f t="shared" si="999"/>
        <v>79</v>
      </c>
      <c r="C2797">
        <f t="shared" ca="1" si="979"/>
        <v>76</v>
      </c>
      <c r="D2797" t="str">
        <f t="shared" si="1000"/>
        <v>P79</v>
      </c>
      <c r="E2797" t="str">
        <f t="shared" ca="1" si="1001"/>
        <v/>
      </c>
      <c r="F2797" t="str">
        <f t="shared" ca="1" si="1002"/>
        <v xml:space="preserve">Enter a 'Acquisition Placed-in-Service Date' for  building 76 in cell P79.
</v>
      </c>
      <c r="G2797" s="9" t="str">
        <f t="shared" ca="1" si="1003"/>
        <v xml:space="preserve">Enter a value for 'Number of Floors in the Tallest Building' in cell B60.
</v>
      </c>
      <c r="H2797" s="52" t="str">
        <f t="shared" ca="1" si="1004"/>
        <v>Acquisition Placed-in-Service Date</v>
      </c>
      <c r="I2797" s="52">
        <v>16</v>
      </c>
    </row>
    <row r="2798" spans="1:10" ht="15" customHeight="1">
      <c r="A2798" t="str">
        <f ca="1">IF(AND(OFFSET(A2798, -I2798 + 2, 4) &gt;  0, E2798="", Calculations!$B$7), F2798, "")</f>
        <v/>
      </c>
      <c r="B2798">
        <f t="shared" si="999"/>
        <v>79</v>
      </c>
      <c r="C2798">
        <f t="shared" ca="1" si="979"/>
        <v>76</v>
      </c>
      <c r="D2798" t="str">
        <f t="shared" si="1000"/>
        <v>Q79</v>
      </c>
      <c r="E2798" t="str">
        <f t="shared" ca="1" si="1001"/>
        <v/>
      </c>
      <c r="F2798" t="str">
        <f t="shared" ca="1" si="1002"/>
        <v xml:space="preserve">Enter a 'Acquisition APR' for  building 76 in cell Q79.
</v>
      </c>
      <c r="G2798" s="9" t="str">
        <f t="shared" ca="1" si="1003"/>
        <v xml:space="preserve">Enter a value for 'Number of Floors in the Tallest Building' in cell B60.
</v>
      </c>
      <c r="H2798" s="52" t="str">
        <f t="shared" ca="1" si="1004"/>
        <v>Acquisition APR</v>
      </c>
      <c r="I2798" s="52">
        <v>17</v>
      </c>
    </row>
    <row r="2799" spans="1:10" ht="15" customHeight="1">
      <c r="A2799" t="str">
        <f ca="1">IF(AND(Calculations!$B$4,Calculations!$B$29&gt;=C2799, E2799 &lt;&gt; 13),F2799,"")</f>
        <v/>
      </c>
      <c r="B2799">
        <f>ROW('Final Building Profile'!C80)</f>
        <v>80</v>
      </c>
      <c r="C2799">
        <f t="shared" ref="C2799:C2862" ca="1" si="1005">INDIRECT($F$1565 &amp; ADDRESS(B2799, 1,4  ))</f>
        <v>77</v>
      </c>
      <c r="D2799" t="str">
        <f>ADDRESS(B2799, 3,4  )</f>
        <v>C80</v>
      </c>
      <c r="E2799" s="52">
        <f ca="1">H2799+I2799</f>
        <v>0</v>
      </c>
      <c r="F2799" t="str">
        <f ca="1">CONCATENATE("Based upon the number of buildings specified, information for  building ", C2799, " required for a final application in row ", B2799, ".", CHAR(10))</f>
        <v xml:space="preserve">Based upon the number of buildings specified, information for  building 77 required for a final application in row 80.
</v>
      </c>
      <c r="G2799" s="9" t="str">
        <f t="shared" ca="1" si="1003"/>
        <v xml:space="preserve">Enter a value for 'Number of Floors in the Tallest Building' in cell B60.
</v>
      </c>
      <c r="H2799" s="52">
        <f ca="1">SUMPRODUCT(--ISTEXT(INDIRECT(J2799)))</f>
        <v>0</v>
      </c>
      <c r="I2799" s="52">
        <f ca="1">SUMPRODUCT(--ISNUMBER(INDIRECT(J2799)))</f>
        <v>0</v>
      </c>
      <c r="J2799" s="52" t="str">
        <f>$F$1565&amp; ADDRESS(B2799,3,4) &amp; ":" &amp; ADDRESS(B2799,15,4)</f>
        <v>'Final Building Profile'!C80:O80</v>
      </c>
    </row>
    <row r="2800" spans="1:10" ht="15" customHeight="1">
      <c r="A2800" t="str">
        <f t="shared" ref="A2800:A2809" ca="1" si="1006">IF(AND(OFFSET(A2800, -I2800 + 2, 4) &gt;  0, E2800=""), F2800, "")</f>
        <v/>
      </c>
      <c r="B2800">
        <f t="shared" ref="B2800:B2814" si="1007">B2799</f>
        <v>80</v>
      </c>
      <c r="C2800">
        <f t="shared" ca="1" si="1005"/>
        <v>77</v>
      </c>
      <c r="D2800" t="str">
        <f t="shared" ref="D2800:D2814" si="1008">ADDRESS(B2800, I2800,4  )</f>
        <v>C80</v>
      </c>
      <c r="E2800" t="str">
        <f t="shared" ref="E2800:E2814" ca="1" si="1009">IF(ISBLANK( INDIRECT($F$1565 &amp; D2800)),"", INDIRECT($F$1565 &amp; D2800))</f>
        <v/>
      </c>
      <c r="F2800" t="str">
        <f t="shared" ref="F2800:F2814" ca="1" si="1010">CONCATENATE("Enter a '"&amp; H2800 &amp;"' for  building ", C2800, " in cell ", D2800, ".", CHAR(10))</f>
        <v xml:space="preserve">Enter a 'Building Street Address Only 
(DO NOT ENTER CITY, STATE, OR ZIP)' for  building 77 in cell C80.
</v>
      </c>
      <c r="G2800" s="9" t="str">
        <f t="shared" ca="1" si="1003"/>
        <v xml:space="preserve">Enter a value for 'Number of Floors in the Tallest Building' in cell B60.
</v>
      </c>
      <c r="H2800" s="52" t="str">
        <f t="shared" ref="H2800:H2814" ca="1" si="1011">OFFSET(INDIRECT($F$1565 &amp; D2800), -B2800 + 3, 0)</f>
        <v>Building Street Address Only 
(DO NOT ENTER CITY, STATE, OR ZIP)</v>
      </c>
      <c r="I2800" s="52">
        <v>3</v>
      </c>
    </row>
    <row r="2801" spans="1:10" ht="15" customHeight="1">
      <c r="A2801" t="str">
        <f t="shared" ca="1" si="1006"/>
        <v/>
      </c>
      <c r="B2801">
        <f t="shared" si="1007"/>
        <v>80</v>
      </c>
      <c r="C2801">
        <f t="shared" ca="1" si="1005"/>
        <v>77</v>
      </c>
      <c r="D2801" t="str">
        <f t="shared" si="1008"/>
        <v>D80</v>
      </c>
      <c r="E2801" t="str">
        <f t="shared" ca="1" si="1009"/>
        <v/>
      </c>
      <c r="F2801" t="str">
        <f t="shared" ca="1" si="1010"/>
        <v xml:space="preserve">Enter a 'Total Units in Building*' for  building 77 in cell D80.
</v>
      </c>
      <c r="G2801" s="9" t="str">
        <f t="shared" ca="1" si="1003"/>
        <v xml:space="preserve">Enter a value for 'Number of Floors in the Tallest Building' in cell B60.
</v>
      </c>
      <c r="H2801" s="52" t="str">
        <f t="shared" ca="1" si="1011"/>
        <v>Total Units in Building*</v>
      </c>
      <c r="I2801" s="52">
        <v>4</v>
      </c>
    </row>
    <row r="2802" spans="1:10" ht="15" customHeight="1">
      <c r="A2802" t="str">
        <f t="shared" ca="1" si="1006"/>
        <v/>
      </c>
      <c r="B2802">
        <f t="shared" si="1007"/>
        <v>80</v>
      </c>
      <c r="C2802">
        <f t="shared" ca="1" si="1005"/>
        <v>77</v>
      </c>
      <c r="D2802" t="str">
        <f t="shared" si="1008"/>
        <v>E80</v>
      </c>
      <c r="E2802" t="str">
        <f t="shared" ca="1" si="1009"/>
        <v/>
      </c>
      <c r="F2802" t="str">
        <f t="shared" ca="1" si="1010"/>
        <v xml:space="preserve">Enter a 'Employee Units' for  building 77 in cell E80.
</v>
      </c>
      <c r="G2802" s="9" t="str">
        <f t="shared" ca="1" si="1003"/>
        <v xml:space="preserve">Enter a value for 'Number of Floors in the Tallest Building' in cell B60.
</v>
      </c>
      <c r="H2802" s="52" t="str">
        <f t="shared" ca="1" si="1011"/>
        <v>Employee Units</v>
      </c>
      <c r="I2802" s="52">
        <v>5</v>
      </c>
    </row>
    <row r="2803" spans="1:10" ht="15" customHeight="1">
      <c r="A2803" t="str">
        <f t="shared" ca="1" si="1006"/>
        <v/>
      </c>
      <c r="B2803">
        <f t="shared" si="1007"/>
        <v>80</v>
      </c>
      <c r="C2803">
        <f t="shared" ca="1" si="1005"/>
        <v>77</v>
      </c>
      <c r="D2803" t="str">
        <f t="shared" si="1008"/>
        <v>F80</v>
      </c>
      <c r="E2803" t="str">
        <f t="shared" ca="1" si="1009"/>
        <v/>
      </c>
      <c r="F2803" t="str">
        <f t="shared" ca="1" si="1010"/>
        <v xml:space="preserve">Enter a 'Low-Income Units' for  building 77 in cell F80.
</v>
      </c>
      <c r="G2803" s="9" t="str">
        <f t="shared" ca="1" si="1003"/>
        <v xml:space="preserve">Enter a value for 'Number of Floors in the Tallest Building' in cell B60.
</v>
      </c>
      <c r="H2803" s="52" t="str">
        <f t="shared" ca="1" si="1011"/>
        <v>Low-Income Units</v>
      </c>
      <c r="I2803" s="52">
        <v>6</v>
      </c>
    </row>
    <row r="2804" spans="1:10" ht="15" customHeight="1">
      <c r="A2804" t="str">
        <f t="shared" ca="1" si="1006"/>
        <v/>
      </c>
      <c r="B2804">
        <f t="shared" si="1007"/>
        <v>80</v>
      </c>
      <c r="C2804">
        <f t="shared" ca="1" si="1005"/>
        <v>77</v>
      </c>
      <c r="D2804" t="str">
        <f t="shared" si="1008"/>
        <v>G80</v>
      </c>
      <c r="E2804" t="str">
        <f t="shared" ca="1" si="1009"/>
        <v/>
      </c>
      <c r="F2804" t="str">
        <f t="shared" ca="1" si="1010"/>
        <v xml:space="preserve">Enter a 'Residential Square Footage**' for  building 77 in cell G80.
</v>
      </c>
      <c r="G2804" s="9" t="str">
        <f t="shared" ca="1" si="1003"/>
        <v xml:space="preserve">Enter a value for 'Number of Floors in the Tallest Building' in cell B60.
</v>
      </c>
      <c r="H2804" s="52" t="str">
        <f t="shared" ca="1" si="1011"/>
        <v>Residential Square Footage**</v>
      </c>
      <c r="I2804" s="52">
        <v>7</v>
      </c>
    </row>
    <row r="2805" spans="1:10" ht="15" customHeight="1">
      <c r="A2805" t="str">
        <f t="shared" ca="1" si="1006"/>
        <v/>
      </c>
      <c r="B2805">
        <f t="shared" si="1007"/>
        <v>80</v>
      </c>
      <c r="C2805">
        <f t="shared" ca="1" si="1005"/>
        <v>77</v>
      </c>
      <c r="D2805" t="str">
        <f t="shared" si="1008"/>
        <v>H80</v>
      </c>
      <c r="E2805" t="str">
        <f t="shared" ca="1" si="1009"/>
        <v/>
      </c>
      <c r="F2805" t="str">
        <f t="shared" ca="1" si="1010"/>
        <v xml:space="preserve">Enter a 'Square Footage of Employee Units' for  building 77 in cell H80.
</v>
      </c>
      <c r="G2805" s="9" t="str">
        <f t="shared" ca="1" si="1003"/>
        <v xml:space="preserve">Enter a value for 'Number of Floors in the Tallest Building' in cell B60.
</v>
      </c>
      <c r="H2805" s="52" t="str">
        <f t="shared" ca="1" si="1011"/>
        <v>Square Footage of Employee Units</v>
      </c>
      <c r="I2805" s="52">
        <v>8</v>
      </c>
    </row>
    <row r="2806" spans="1:10" ht="15" customHeight="1">
      <c r="A2806" t="str">
        <f t="shared" ca="1" si="1006"/>
        <v/>
      </c>
      <c r="B2806">
        <f t="shared" si="1007"/>
        <v>80</v>
      </c>
      <c r="C2806">
        <f t="shared" ca="1" si="1005"/>
        <v>77</v>
      </c>
      <c r="D2806" t="str">
        <f t="shared" si="1008"/>
        <v>I80</v>
      </c>
      <c r="E2806" t="str">
        <f t="shared" ca="1" si="1009"/>
        <v/>
      </c>
      <c r="F2806" t="str">
        <f t="shared" ca="1" si="1010"/>
        <v xml:space="preserve">Enter a 'Square Footage of Low-Income Units' for  building 77 in cell I80.
</v>
      </c>
      <c r="G2806" s="9" t="str">
        <f t="shared" ca="1" si="1003"/>
        <v xml:space="preserve">Enter a value for 'Number of Floors in the Tallest Building' in cell B60.
</v>
      </c>
      <c r="H2806" s="52" t="str">
        <f t="shared" ca="1" si="1011"/>
        <v>Square Footage of Low-Income Units</v>
      </c>
      <c r="I2806" s="52">
        <v>9</v>
      </c>
    </row>
    <row r="2807" spans="1:10" ht="15" customHeight="1">
      <c r="A2807" t="str">
        <f t="shared" ca="1" si="1006"/>
        <v/>
      </c>
      <c r="B2807">
        <f t="shared" si="1007"/>
        <v>80</v>
      </c>
      <c r="C2807">
        <f t="shared" ca="1" si="1005"/>
        <v>77</v>
      </c>
      <c r="D2807" t="str">
        <f t="shared" si="1008"/>
        <v>J80</v>
      </c>
      <c r="E2807" t="str">
        <f t="shared" ca="1" si="1009"/>
        <v/>
      </c>
      <c r="F2807" t="str">
        <f t="shared" ca="1" si="1010"/>
        <v xml:space="preserve">Enter a 'Placed-In-Service Date' for  building 77 in cell J80.
</v>
      </c>
      <c r="G2807" s="9" t="str">
        <f t="shared" ca="1" si="1003"/>
        <v xml:space="preserve">Enter a value for 'Number of Floors in the Tallest Building' in cell B60.
</v>
      </c>
      <c r="H2807" s="52" t="str">
        <f t="shared" ca="1" si="1011"/>
        <v>Placed-In-Service Date</v>
      </c>
      <c r="I2807" s="52">
        <v>10</v>
      </c>
    </row>
    <row r="2808" spans="1:10" ht="15" customHeight="1">
      <c r="A2808" t="str">
        <f t="shared" ca="1" si="1006"/>
        <v/>
      </c>
      <c r="B2808">
        <f t="shared" si="1007"/>
        <v>80</v>
      </c>
      <c r="C2808">
        <f t="shared" ca="1" si="1005"/>
        <v>77</v>
      </c>
      <c r="D2808" t="str">
        <f t="shared" si="1008"/>
        <v>K80</v>
      </c>
      <c r="E2808" t="str">
        <f t="shared" ca="1" si="1009"/>
        <v/>
      </c>
      <c r="F2808" t="str">
        <f t="shared" ca="1" si="1010"/>
        <v xml:space="preserve">Enter a 'New Construction/ Rehab APR' for  building 77 in cell K80.
</v>
      </c>
      <c r="G2808" s="9" t="str">
        <f t="shared" ca="1" si="1003"/>
        <v xml:space="preserve">Enter a value for 'Number of Floors in the Tallest Building' in cell B60.
</v>
      </c>
      <c r="H2808" s="52" t="str">
        <f t="shared" ca="1" si="1011"/>
        <v>New Construction/ Rehab APR</v>
      </c>
      <c r="I2808" s="52">
        <v>11</v>
      </c>
    </row>
    <row r="2809" spans="1:10" ht="15" customHeight="1">
      <c r="A2809" t="str">
        <f t="shared" ca="1" si="1006"/>
        <v/>
      </c>
      <c r="B2809">
        <f t="shared" si="1007"/>
        <v>80</v>
      </c>
      <c r="C2809">
        <f t="shared" ca="1" si="1005"/>
        <v>77</v>
      </c>
      <c r="D2809" t="str">
        <f t="shared" si="1008"/>
        <v>L80</v>
      </c>
      <c r="E2809" t="str">
        <f t="shared" ca="1" si="1009"/>
        <v/>
      </c>
      <c r="F2809" t="str">
        <f t="shared" ca="1" si="1010"/>
        <v xml:space="preserve">Enter a 'New Construction Eligible Basis' for  building 77 in cell L80.
</v>
      </c>
      <c r="G2809" s="9" t="str">
        <f t="shared" ca="1" si="1003"/>
        <v xml:space="preserve">Enter a value for 'Number of Floors in the Tallest Building' in cell B60.
</v>
      </c>
      <c r="H2809" s="52" t="str">
        <f t="shared" ca="1" si="1011"/>
        <v>New Construction Eligible Basis</v>
      </c>
      <c r="I2809" s="52">
        <v>12</v>
      </c>
    </row>
    <row r="2810" spans="1:10" ht="15" customHeight="1">
      <c r="A2810" t="str">
        <f ca="1">IF(AND(OFFSET(A2810, -I2810 + 2, 4) &gt;  0, E2810="", Calculations!$B$7), F2810, "")</f>
        <v/>
      </c>
      <c r="B2810">
        <f t="shared" si="1007"/>
        <v>80</v>
      </c>
      <c r="C2810">
        <f t="shared" ca="1" si="1005"/>
        <v>77</v>
      </c>
      <c r="D2810" t="str">
        <f t="shared" si="1008"/>
        <v>M80</v>
      </c>
      <c r="E2810" t="str">
        <f t="shared" ca="1" si="1009"/>
        <v/>
      </c>
      <c r="F2810" t="str">
        <f t="shared" ca="1" si="1010"/>
        <v xml:space="preserve">Enter a 'Eligible Basis for Rehab' for  building 77 in cell M80.
</v>
      </c>
      <c r="G2810" s="9" t="str">
        <f t="shared" ca="1" si="1003"/>
        <v xml:space="preserve">Enter a value for 'Number of Floors in the Tallest Building' in cell B60.
</v>
      </c>
      <c r="H2810" s="52" t="str">
        <f t="shared" ca="1" si="1011"/>
        <v>Eligible Basis for Rehab</v>
      </c>
      <c r="I2810" s="52">
        <v>13</v>
      </c>
    </row>
    <row r="2811" spans="1:10" ht="15" customHeight="1">
      <c r="A2811" t="str">
        <f ca="1">IF(AND(OFFSET(A2811, -I2811 + 2, 4) &gt;  0, E2811="", Calculations!$B$7), F2811, "")</f>
        <v/>
      </c>
      <c r="B2811">
        <f t="shared" si="1007"/>
        <v>80</v>
      </c>
      <c r="C2811">
        <f t="shared" ca="1" si="1005"/>
        <v>77</v>
      </c>
      <c r="D2811" t="str">
        <f t="shared" si="1008"/>
        <v>N80</v>
      </c>
      <c r="E2811" t="str">
        <f t="shared" ca="1" si="1009"/>
        <v/>
      </c>
      <c r="F2811" t="str">
        <f t="shared" ca="1" si="1010"/>
        <v xml:space="preserve">Enter a 'Cost of Acquiring the Building***' for  building 77 in cell N80.
</v>
      </c>
      <c r="G2811" s="9" t="str">
        <f t="shared" ca="1" si="1003"/>
        <v xml:space="preserve">Enter a value for 'Number of Floors in the Tallest Building' in cell B60.
</v>
      </c>
      <c r="H2811" s="52" t="str">
        <f t="shared" ca="1" si="1011"/>
        <v>Cost of Acquiring the Building***</v>
      </c>
      <c r="I2811" s="52">
        <v>14</v>
      </c>
    </row>
    <row r="2812" spans="1:10" ht="15" customHeight="1">
      <c r="A2812" t="str">
        <f ca="1">IF(AND(OFFSET(A2812, -I2812 + 2, 4) &gt;  0, E2812="", Calculations!$B$7), F2812, "")</f>
        <v/>
      </c>
      <c r="B2812">
        <f t="shared" si="1007"/>
        <v>80</v>
      </c>
      <c r="C2812">
        <f t="shared" ca="1" si="1005"/>
        <v>77</v>
      </c>
      <c r="D2812" t="str">
        <f t="shared" si="1008"/>
        <v>O80</v>
      </c>
      <c r="E2812" t="str">
        <f t="shared" ca="1" si="1009"/>
        <v/>
      </c>
      <c r="F2812" t="str">
        <f t="shared" ca="1" si="1010"/>
        <v xml:space="preserve">Enter a 'Higher of Land Purchase Price or Land Appraised Value****' for  building 77 in cell O80.
</v>
      </c>
      <c r="G2812" s="9" t="str">
        <f t="shared" ca="1" si="1003"/>
        <v xml:space="preserve">Enter a value for 'Number of Floors in the Tallest Building' in cell B60.
</v>
      </c>
      <c r="H2812" s="52" t="str">
        <f t="shared" ca="1" si="1011"/>
        <v>Higher of Land Purchase Price or Land Appraised Value****</v>
      </c>
      <c r="I2812" s="52">
        <v>15</v>
      </c>
    </row>
    <row r="2813" spans="1:10" ht="15" customHeight="1">
      <c r="A2813" t="str">
        <f ca="1">IF(AND(OFFSET(A2813, -I2813 + 2, 4) &gt;  0, E2813="", Calculations!$B$7), F2813, "")</f>
        <v/>
      </c>
      <c r="B2813">
        <f t="shared" si="1007"/>
        <v>80</v>
      </c>
      <c r="C2813">
        <f t="shared" ca="1" si="1005"/>
        <v>77</v>
      </c>
      <c r="D2813" t="str">
        <f t="shared" si="1008"/>
        <v>P80</v>
      </c>
      <c r="E2813" t="str">
        <f t="shared" ca="1" si="1009"/>
        <v/>
      </c>
      <c r="F2813" t="str">
        <f t="shared" ca="1" si="1010"/>
        <v xml:space="preserve">Enter a 'Acquisition Placed-in-Service Date' for  building 77 in cell P80.
</v>
      </c>
      <c r="G2813" s="9" t="str">
        <f t="shared" ca="1" si="1003"/>
        <v xml:space="preserve">Enter a value for 'Number of Floors in the Tallest Building' in cell B60.
</v>
      </c>
      <c r="H2813" s="52" t="str">
        <f t="shared" ca="1" si="1011"/>
        <v>Acquisition Placed-in-Service Date</v>
      </c>
      <c r="I2813" s="52">
        <v>16</v>
      </c>
    </row>
    <row r="2814" spans="1:10" ht="15" customHeight="1">
      <c r="A2814" t="str">
        <f ca="1">IF(AND(OFFSET(A2814, -I2814 + 2, 4) &gt;  0, E2814="", Calculations!$B$7), F2814, "")</f>
        <v/>
      </c>
      <c r="B2814">
        <f t="shared" si="1007"/>
        <v>80</v>
      </c>
      <c r="C2814">
        <f t="shared" ca="1" si="1005"/>
        <v>77</v>
      </c>
      <c r="D2814" t="str">
        <f t="shared" si="1008"/>
        <v>Q80</v>
      </c>
      <c r="E2814" t="str">
        <f t="shared" ca="1" si="1009"/>
        <v/>
      </c>
      <c r="F2814" t="str">
        <f t="shared" ca="1" si="1010"/>
        <v xml:space="preserve">Enter a 'Acquisition APR' for  building 77 in cell Q80.
</v>
      </c>
      <c r="G2814" s="9" t="str">
        <f t="shared" ca="1" si="1003"/>
        <v xml:space="preserve">Enter a value for 'Number of Floors in the Tallest Building' in cell B60.
</v>
      </c>
      <c r="H2814" s="52" t="str">
        <f t="shared" ca="1" si="1011"/>
        <v>Acquisition APR</v>
      </c>
      <c r="I2814" s="52">
        <v>17</v>
      </c>
    </row>
    <row r="2815" spans="1:10" ht="15" customHeight="1">
      <c r="A2815" t="str">
        <f ca="1">IF(AND(Calculations!$B$4,Calculations!$B$29&gt;=C2815, E2815 &lt;&gt; 13),F2815,"")</f>
        <v/>
      </c>
      <c r="B2815">
        <f>ROW('Final Building Profile'!C81)</f>
        <v>81</v>
      </c>
      <c r="C2815">
        <f t="shared" ca="1" si="1005"/>
        <v>78</v>
      </c>
      <c r="D2815" t="str">
        <f>ADDRESS(B2815, 3,4  )</f>
        <v>C81</v>
      </c>
      <c r="E2815" s="52">
        <f ca="1">H2815+I2815</f>
        <v>0</v>
      </c>
      <c r="F2815" t="str">
        <f ca="1">CONCATENATE("Based upon the number of buildings specified, information for  building ", C2815, " required for a final application in row ", B2815, ".", CHAR(10))</f>
        <v xml:space="preserve">Based upon the number of buildings specified, information for  building 78 required for a final application in row 81.
</v>
      </c>
      <c r="G2815" s="9" t="str">
        <f t="shared" ca="1" si="1003"/>
        <v xml:space="preserve">Enter a value for 'Number of Floors in the Tallest Building' in cell B60.
</v>
      </c>
      <c r="H2815" s="52">
        <f ca="1">SUMPRODUCT(--ISTEXT(INDIRECT(J2815)))</f>
        <v>0</v>
      </c>
      <c r="I2815" s="52">
        <f ca="1">SUMPRODUCT(--ISNUMBER(INDIRECT(J2815)))</f>
        <v>0</v>
      </c>
      <c r="J2815" s="52" t="str">
        <f>$F$1565&amp; ADDRESS(B2815,3,4) &amp; ":" &amp; ADDRESS(B2815,15,4)</f>
        <v>'Final Building Profile'!C81:O81</v>
      </c>
    </row>
    <row r="2816" spans="1:10" ht="15" customHeight="1">
      <c r="A2816" t="str">
        <f t="shared" ref="A2816:A2825" ca="1" si="1012">IF(AND(OFFSET(A2816, -I2816 + 2, 4) &gt;  0, E2816=""), F2816, "")</f>
        <v/>
      </c>
      <c r="B2816">
        <f t="shared" ref="B2816:B2830" si="1013">B2815</f>
        <v>81</v>
      </c>
      <c r="C2816">
        <f t="shared" ca="1" si="1005"/>
        <v>78</v>
      </c>
      <c r="D2816" t="str">
        <f t="shared" ref="D2816:D2830" si="1014">ADDRESS(B2816, I2816,4  )</f>
        <v>C81</v>
      </c>
      <c r="E2816" t="str">
        <f t="shared" ref="E2816:E2830" ca="1" si="1015">IF(ISBLANK( INDIRECT($F$1565 &amp; D2816)),"", INDIRECT($F$1565 &amp; D2816))</f>
        <v/>
      </c>
      <c r="F2816" t="str">
        <f t="shared" ref="F2816:F2830" ca="1" si="1016">CONCATENATE("Enter a '"&amp; H2816 &amp;"' for  building ", C2816, " in cell ", D2816, ".", CHAR(10))</f>
        <v xml:space="preserve">Enter a 'Building Street Address Only 
(DO NOT ENTER CITY, STATE, OR ZIP)' for  building 78 in cell C81.
</v>
      </c>
      <c r="G2816" s="9" t="str">
        <f t="shared" ca="1" si="1003"/>
        <v xml:space="preserve">Enter a value for 'Number of Floors in the Tallest Building' in cell B60.
</v>
      </c>
      <c r="H2816" s="52" t="str">
        <f t="shared" ref="H2816:H2830" ca="1" si="1017">OFFSET(INDIRECT($F$1565 &amp; D2816), -B2816 + 3, 0)</f>
        <v>Building Street Address Only 
(DO NOT ENTER CITY, STATE, OR ZIP)</v>
      </c>
      <c r="I2816" s="52">
        <v>3</v>
      </c>
    </row>
    <row r="2817" spans="1:10" ht="15" customHeight="1">
      <c r="A2817" t="str">
        <f t="shared" ca="1" si="1012"/>
        <v/>
      </c>
      <c r="B2817">
        <f t="shared" si="1013"/>
        <v>81</v>
      </c>
      <c r="C2817">
        <f t="shared" ca="1" si="1005"/>
        <v>78</v>
      </c>
      <c r="D2817" t="str">
        <f t="shared" si="1014"/>
        <v>D81</v>
      </c>
      <c r="E2817" t="str">
        <f t="shared" ca="1" si="1015"/>
        <v/>
      </c>
      <c r="F2817" t="str">
        <f t="shared" ca="1" si="1016"/>
        <v xml:space="preserve">Enter a 'Total Units in Building*' for  building 78 in cell D81.
</v>
      </c>
      <c r="G2817" s="9" t="str">
        <f t="shared" ca="1" si="1003"/>
        <v xml:space="preserve">Enter a value for 'Number of Floors in the Tallest Building' in cell B60.
</v>
      </c>
      <c r="H2817" s="52" t="str">
        <f t="shared" ca="1" si="1017"/>
        <v>Total Units in Building*</v>
      </c>
      <c r="I2817" s="52">
        <v>4</v>
      </c>
    </row>
    <row r="2818" spans="1:10" ht="15" customHeight="1">
      <c r="A2818" t="str">
        <f t="shared" ca="1" si="1012"/>
        <v/>
      </c>
      <c r="B2818">
        <f t="shared" si="1013"/>
        <v>81</v>
      </c>
      <c r="C2818">
        <f t="shared" ca="1" si="1005"/>
        <v>78</v>
      </c>
      <c r="D2818" t="str">
        <f t="shared" si="1014"/>
        <v>E81</v>
      </c>
      <c r="E2818" t="str">
        <f t="shared" ca="1" si="1015"/>
        <v/>
      </c>
      <c r="F2818" t="str">
        <f t="shared" ca="1" si="1016"/>
        <v xml:space="preserve">Enter a 'Employee Units' for  building 78 in cell E81.
</v>
      </c>
      <c r="G2818" s="9" t="str">
        <f t="shared" ca="1" si="1003"/>
        <v xml:space="preserve">Enter a value for 'Number of Floors in the Tallest Building' in cell B60.
</v>
      </c>
      <c r="H2818" s="52" t="str">
        <f t="shared" ca="1" si="1017"/>
        <v>Employee Units</v>
      </c>
      <c r="I2818" s="52">
        <v>5</v>
      </c>
    </row>
    <row r="2819" spans="1:10" ht="15" customHeight="1">
      <c r="A2819" t="str">
        <f t="shared" ca="1" si="1012"/>
        <v/>
      </c>
      <c r="B2819">
        <f t="shared" si="1013"/>
        <v>81</v>
      </c>
      <c r="C2819">
        <f t="shared" ca="1" si="1005"/>
        <v>78</v>
      </c>
      <c r="D2819" t="str">
        <f t="shared" si="1014"/>
        <v>F81</v>
      </c>
      <c r="E2819" t="str">
        <f t="shared" ca="1" si="1015"/>
        <v/>
      </c>
      <c r="F2819" t="str">
        <f t="shared" ca="1" si="1016"/>
        <v xml:space="preserve">Enter a 'Low-Income Units' for  building 78 in cell F81.
</v>
      </c>
      <c r="G2819" s="9" t="str">
        <f t="shared" ca="1" si="1003"/>
        <v xml:space="preserve">Enter a value for 'Number of Floors in the Tallest Building' in cell B60.
</v>
      </c>
      <c r="H2819" s="52" t="str">
        <f t="shared" ca="1" si="1017"/>
        <v>Low-Income Units</v>
      </c>
      <c r="I2819" s="52">
        <v>6</v>
      </c>
    </row>
    <row r="2820" spans="1:10" ht="15" customHeight="1">
      <c r="A2820" t="str">
        <f t="shared" ca="1" si="1012"/>
        <v/>
      </c>
      <c r="B2820">
        <f t="shared" si="1013"/>
        <v>81</v>
      </c>
      <c r="C2820">
        <f t="shared" ca="1" si="1005"/>
        <v>78</v>
      </c>
      <c r="D2820" t="str">
        <f t="shared" si="1014"/>
        <v>G81</v>
      </c>
      <c r="E2820" t="str">
        <f t="shared" ca="1" si="1015"/>
        <v/>
      </c>
      <c r="F2820" t="str">
        <f t="shared" ca="1" si="1016"/>
        <v xml:space="preserve">Enter a 'Residential Square Footage**' for  building 78 in cell G81.
</v>
      </c>
      <c r="G2820" s="9" t="str">
        <f t="shared" ca="1" si="1003"/>
        <v xml:space="preserve">Enter a value for 'Number of Floors in the Tallest Building' in cell B60.
</v>
      </c>
      <c r="H2820" s="52" t="str">
        <f t="shared" ca="1" si="1017"/>
        <v>Residential Square Footage**</v>
      </c>
      <c r="I2820" s="52">
        <v>7</v>
      </c>
    </row>
    <row r="2821" spans="1:10" ht="15" customHeight="1">
      <c r="A2821" t="str">
        <f t="shared" ca="1" si="1012"/>
        <v/>
      </c>
      <c r="B2821">
        <f t="shared" si="1013"/>
        <v>81</v>
      </c>
      <c r="C2821">
        <f t="shared" ca="1" si="1005"/>
        <v>78</v>
      </c>
      <c r="D2821" t="str">
        <f t="shared" si="1014"/>
        <v>H81</v>
      </c>
      <c r="E2821" t="str">
        <f t="shared" ca="1" si="1015"/>
        <v/>
      </c>
      <c r="F2821" t="str">
        <f t="shared" ca="1" si="1016"/>
        <v xml:space="preserve">Enter a 'Square Footage of Employee Units' for  building 78 in cell H81.
</v>
      </c>
      <c r="G2821" s="9" t="str">
        <f t="shared" ca="1" si="1003"/>
        <v xml:space="preserve">Enter a value for 'Number of Floors in the Tallest Building' in cell B60.
</v>
      </c>
      <c r="H2821" s="52" t="str">
        <f t="shared" ca="1" si="1017"/>
        <v>Square Footage of Employee Units</v>
      </c>
      <c r="I2821" s="52">
        <v>8</v>
      </c>
    </row>
    <row r="2822" spans="1:10" ht="15" customHeight="1">
      <c r="A2822" t="str">
        <f t="shared" ca="1" si="1012"/>
        <v/>
      </c>
      <c r="B2822">
        <f t="shared" si="1013"/>
        <v>81</v>
      </c>
      <c r="C2822">
        <f t="shared" ca="1" si="1005"/>
        <v>78</v>
      </c>
      <c r="D2822" t="str">
        <f t="shared" si="1014"/>
        <v>I81</v>
      </c>
      <c r="E2822" t="str">
        <f t="shared" ca="1" si="1015"/>
        <v/>
      </c>
      <c r="F2822" t="str">
        <f t="shared" ca="1" si="1016"/>
        <v xml:space="preserve">Enter a 'Square Footage of Low-Income Units' for  building 78 in cell I81.
</v>
      </c>
      <c r="G2822" s="9" t="str">
        <f t="shared" ca="1" si="1003"/>
        <v xml:space="preserve">Enter a value for 'Number of Floors in the Tallest Building' in cell B60.
</v>
      </c>
      <c r="H2822" s="52" t="str">
        <f t="shared" ca="1" si="1017"/>
        <v>Square Footage of Low-Income Units</v>
      </c>
      <c r="I2822" s="52">
        <v>9</v>
      </c>
    </row>
    <row r="2823" spans="1:10" ht="15" customHeight="1">
      <c r="A2823" t="str">
        <f t="shared" ca="1" si="1012"/>
        <v/>
      </c>
      <c r="B2823">
        <f t="shared" si="1013"/>
        <v>81</v>
      </c>
      <c r="C2823">
        <f t="shared" ca="1" si="1005"/>
        <v>78</v>
      </c>
      <c r="D2823" t="str">
        <f t="shared" si="1014"/>
        <v>J81</v>
      </c>
      <c r="E2823" t="str">
        <f t="shared" ca="1" si="1015"/>
        <v/>
      </c>
      <c r="F2823" t="str">
        <f t="shared" ca="1" si="1016"/>
        <v xml:space="preserve">Enter a 'Placed-In-Service Date' for  building 78 in cell J81.
</v>
      </c>
      <c r="G2823" s="9" t="str">
        <f t="shared" ca="1" si="1003"/>
        <v xml:space="preserve">Enter a value for 'Number of Floors in the Tallest Building' in cell B60.
</v>
      </c>
      <c r="H2823" s="52" t="str">
        <f t="shared" ca="1" si="1017"/>
        <v>Placed-In-Service Date</v>
      </c>
      <c r="I2823" s="52">
        <v>10</v>
      </c>
    </row>
    <row r="2824" spans="1:10" ht="15" customHeight="1">
      <c r="A2824" t="str">
        <f t="shared" ca="1" si="1012"/>
        <v/>
      </c>
      <c r="B2824">
        <f t="shared" si="1013"/>
        <v>81</v>
      </c>
      <c r="C2824">
        <f t="shared" ca="1" si="1005"/>
        <v>78</v>
      </c>
      <c r="D2824" t="str">
        <f t="shared" si="1014"/>
        <v>K81</v>
      </c>
      <c r="E2824" t="str">
        <f t="shared" ca="1" si="1015"/>
        <v/>
      </c>
      <c r="F2824" t="str">
        <f t="shared" ca="1" si="1016"/>
        <v xml:space="preserve">Enter a 'New Construction/ Rehab APR' for  building 78 in cell K81.
</v>
      </c>
      <c r="G2824" s="9" t="str">
        <f t="shared" ca="1" si="1003"/>
        <v xml:space="preserve">Enter a value for 'Number of Floors in the Tallest Building' in cell B60.
</v>
      </c>
      <c r="H2824" s="52" t="str">
        <f t="shared" ca="1" si="1017"/>
        <v>New Construction/ Rehab APR</v>
      </c>
      <c r="I2824" s="52">
        <v>11</v>
      </c>
    </row>
    <row r="2825" spans="1:10" ht="15" customHeight="1">
      <c r="A2825" t="str">
        <f t="shared" ca="1" si="1012"/>
        <v/>
      </c>
      <c r="B2825">
        <f t="shared" si="1013"/>
        <v>81</v>
      </c>
      <c r="C2825">
        <f t="shared" ca="1" si="1005"/>
        <v>78</v>
      </c>
      <c r="D2825" t="str">
        <f t="shared" si="1014"/>
        <v>L81</v>
      </c>
      <c r="E2825" t="str">
        <f t="shared" ca="1" si="1015"/>
        <v/>
      </c>
      <c r="F2825" t="str">
        <f t="shared" ca="1" si="1016"/>
        <v xml:space="preserve">Enter a 'New Construction Eligible Basis' for  building 78 in cell L81.
</v>
      </c>
      <c r="G2825" s="9" t="str">
        <f t="shared" ca="1" si="1003"/>
        <v xml:space="preserve">Enter a value for 'Number of Floors in the Tallest Building' in cell B60.
</v>
      </c>
      <c r="H2825" s="52" t="str">
        <f t="shared" ca="1" si="1017"/>
        <v>New Construction Eligible Basis</v>
      </c>
      <c r="I2825" s="52">
        <v>12</v>
      </c>
    </row>
    <row r="2826" spans="1:10" ht="15" customHeight="1">
      <c r="A2826" t="str">
        <f ca="1">IF(AND(OFFSET(A2826, -I2826 + 2, 4) &gt;  0, E2826="", Calculations!$B$7), F2826, "")</f>
        <v/>
      </c>
      <c r="B2826">
        <f t="shared" si="1013"/>
        <v>81</v>
      </c>
      <c r="C2826">
        <f t="shared" ca="1" si="1005"/>
        <v>78</v>
      </c>
      <c r="D2826" t="str">
        <f t="shared" si="1014"/>
        <v>M81</v>
      </c>
      <c r="E2826" t="str">
        <f t="shared" ca="1" si="1015"/>
        <v/>
      </c>
      <c r="F2826" t="str">
        <f t="shared" ca="1" si="1016"/>
        <v xml:space="preserve">Enter a 'Eligible Basis for Rehab' for  building 78 in cell M81.
</v>
      </c>
      <c r="G2826" s="9" t="str">
        <f t="shared" ca="1" si="1003"/>
        <v xml:space="preserve">Enter a value for 'Number of Floors in the Tallest Building' in cell B60.
</v>
      </c>
      <c r="H2826" s="52" t="str">
        <f t="shared" ca="1" si="1017"/>
        <v>Eligible Basis for Rehab</v>
      </c>
      <c r="I2826" s="52">
        <v>13</v>
      </c>
    </row>
    <row r="2827" spans="1:10" ht="15" customHeight="1">
      <c r="A2827" t="str">
        <f ca="1">IF(AND(OFFSET(A2827, -I2827 + 2, 4) &gt;  0, E2827="", Calculations!$B$7), F2827, "")</f>
        <v/>
      </c>
      <c r="B2827">
        <f t="shared" si="1013"/>
        <v>81</v>
      </c>
      <c r="C2827">
        <f t="shared" ca="1" si="1005"/>
        <v>78</v>
      </c>
      <c r="D2827" t="str">
        <f t="shared" si="1014"/>
        <v>N81</v>
      </c>
      <c r="E2827" t="str">
        <f t="shared" ca="1" si="1015"/>
        <v/>
      </c>
      <c r="F2827" t="str">
        <f t="shared" ca="1" si="1016"/>
        <v xml:space="preserve">Enter a 'Cost of Acquiring the Building***' for  building 78 in cell N81.
</v>
      </c>
      <c r="G2827" s="9" t="str">
        <f t="shared" ca="1" si="1003"/>
        <v xml:space="preserve">Enter a value for 'Number of Floors in the Tallest Building' in cell B60.
</v>
      </c>
      <c r="H2827" s="52" t="str">
        <f t="shared" ca="1" si="1017"/>
        <v>Cost of Acquiring the Building***</v>
      </c>
      <c r="I2827" s="52">
        <v>14</v>
      </c>
    </row>
    <row r="2828" spans="1:10" ht="15" customHeight="1">
      <c r="A2828" t="str">
        <f ca="1">IF(AND(OFFSET(A2828, -I2828 + 2, 4) &gt;  0, E2828="", Calculations!$B$7), F2828, "")</f>
        <v/>
      </c>
      <c r="B2828">
        <f t="shared" si="1013"/>
        <v>81</v>
      </c>
      <c r="C2828">
        <f t="shared" ca="1" si="1005"/>
        <v>78</v>
      </c>
      <c r="D2828" t="str">
        <f t="shared" si="1014"/>
        <v>O81</v>
      </c>
      <c r="E2828" t="str">
        <f t="shared" ca="1" si="1015"/>
        <v/>
      </c>
      <c r="F2828" t="str">
        <f t="shared" ca="1" si="1016"/>
        <v xml:space="preserve">Enter a 'Higher of Land Purchase Price or Land Appraised Value****' for  building 78 in cell O81.
</v>
      </c>
      <c r="G2828" s="9" t="str">
        <f t="shared" ca="1" si="1003"/>
        <v xml:space="preserve">Enter a value for 'Number of Floors in the Tallest Building' in cell B60.
</v>
      </c>
      <c r="H2828" s="52" t="str">
        <f t="shared" ca="1" si="1017"/>
        <v>Higher of Land Purchase Price or Land Appraised Value****</v>
      </c>
      <c r="I2828" s="52">
        <v>15</v>
      </c>
    </row>
    <row r="2829" spans="1:10" ht="15" customHeight="1">
      <c r="A2829" t="str">
        <f ca="1">IF(AND(OFFSET(A2829, -I2829 + 2, 4) &gt;  0, E2829="", Calculations!$B$7), F2829, "")</f>
        <v/>
      </c>
      <c r="B2829">
        <f t="shared" si="1013"/>
        <v>81</v>
      </c>
      <c r="C2829">
        <f t="shared" ca="1" si="1005"/>
        <v>78</v>
      </c>
      <c r="D2829" t="str">
        <f t="shared" si="1014"/>
        <v>P81</v>
      </c>
      <c r="E2829" t="str">
        <f t="shared" ca="1" si="1015"/>
        <v/>
      </c>
      <c r="F2829" t="str">
        <f t="shared" ca="1" si="1016"/>
        <v xml:space="preserve">Enter a 'Acquisition Placed-in-Service Date' for  building 78 in cell P81.
</v>
      </c>
      <c r="G2829" s="9" t="str">
        <f t="shared" ca="1" si="1003"/>
        <v xml:space="preserve">Enter a value for 'Number of Floors in the Tallest Building' in cell B60.
</v>
      </c>
      <c r="H2829" s="52" t="str">
        <f t="shared" ca="1" si="1017"/>
        <v>Acquisition Placed-in-Service Date</v>
      </c>
      <c r="I2829" s="52">
        <v>16</v>
      </c>
    </row>
    <row r="2830" spans="1:10" ht="15" customHeight="1">
      <c r="A2830" t="str">
        <f ca="1">IF(AND(OFFSET(A2830, -I2830 + 2, 4) &gt;  0, E2830="", Calculations!$B$7), F2830, "")</f>
        <v/>
      </c>
      <c r="B2830">
        <f t="shared" si="1013"/>
        <v>81</v>
      </c>
      <c r="C2830">
        <f t="shared" ca="1" si="1005"/>
        <v>78</v>
      </c>
      <c r="D2830" t="str">
        <f t="shared" si="1014"/>
        <v>Q81</v>
      </c>
      <c r="E2830" t="str">
        <f t="shared" ca="1" si="1015"/>
        <v/>
      </c>
      <c r="F2830" t="str">
        <f t="shared" ca="1" si="1016"/>
        <v xml:space="preserve">Enter a 'Acquisition APR' for  building 78 in cell Q81.
</v>
      </c>
      <c r="G2830" s="9" t="str">
        <f t="shared" ca="1" si="1003"/>
        <v xml:space="preserve">Enter a value for 'Number of Floors in the Tallest Building' in cell B60.
</v>
      </c>
      <c r="H2830" s="52" t="str">
        <f t="shared" ca="1" si="1017"/>
        <v>Acquisition APR</v>
      </c>
      <c r="I2830" s="52">
        <v>17</v>
      </c>
    </row>
    <row r="2831" spans="1:10" ht="15" customHeight="1">
      <c r="A2831" t="str">
        <f ca="1">IF(AND(Calculations!$B$4,Calculations!$B$29&gt;=C2831, E2831 &lt;&gt; 13),F2831,"")</f>
        <v/>
      </c>
      <c r="B2831">
        <f>ROW('Final Building Profile'!C82)</f>
        <v>82</v>
      </c>
      <c r="C2831">
        <f t="shared" ca="1" si="1005"/>
        <v>79</v>
      </c>
      <c r="D2831" t="str">
        <f>ADDRESS(B2831, 3,4  )</f>
        <v>C82</v>
      </c>
      <c r="E2831" s="52">
        <f ca="1">H2831+I2831</f>
        <v>0</v>
      </c>
      <c r="F2831" t="str">
        <f ca="1">CONCATENATE("Based upon the number of buildings specified, information for  building ", C2831, " required for a final application in row ", B2831, ".", CHAR(10))</f>
        <v xml:space="preserve">Based upon the number of buildings specified, information for  building 79 required for a final application in row 82.
</v>
      </c>
      <c r="G2831" s="9" t="str">
        <f t="shared" ca="1" si="1003"/>
        <v xml:space="preserve">Enter a value for 'Number of Floors in the Tallest Building' in cell B60.
</v>
      </c>
      <c r="H2831" s="52">
        <f ca="1">SUMPRODUCT(--ISTEXT(INDIRECT(J2831)))</f>
        <v>0</v>
      </c>
      <c r="I2831" s="52">
        <f ca="1">SUMPRODUCT(--ISNUMBER(INDIRECT(J2831)))</f>
        <v>0</v>
      </c>
      <c r="J2831" s="52" t="str">
        <f>$F$1565&amp; ADDRESS(B2831,3,4) &amp; ":" &amp; ADDRESS(B2831,15,4)</f>
        <v>'Final Building Profile'!C82:O82</v>
      </c>
    </row>
    <row r="2832" spans="1:10" ht="15" customHeight="1">
      <c r="A2832" t="str">
        <f t="shared" ref="A2832:A2841" ca="1" si="1018">IF(AND(OFFSET(A2832, -I2832 + 2, 4) &gt;  0, E2832=""), F2832, "")</f>
        <v/>
      </c>
      <c r="B2832">
        <f t="shared" ref="B2832:B2846" si="1019">B2831</f>
        <v>82</v>
      </c>
      <c r="C2832">
        <f t="shared" ca="1" si="1005"/>
        <v>79</v>
      </c>
      <c r="D2832" t="str">
        <f t="shared" ref="D2832:D2846" si="1020">ADDRESS(B2832, I2832,4  )</f>
        <v>C82</v>
      </c>
      <c r="E2832" t="str">
        <f t="shared" ref="E2832:E2846" ca="1" si="1021">IF(ISBLANK( INDIRECT($F$1565 &amp; D2832)),"", INDIRECT($F$1565 &amp; D2832))</f>
        <v/>
      </c>
      <c r="F2832" t="str">
        <f t="shared" ref="F2832:F2846" ca="1" si="1022">CONCATENATE("Enter a '"&amp; H2832 &amp;"' for  building ", C2832, " in cell ", D2832, ".", CHAR(10))</f>
        <v xml:space="preserve">Enter a 'Building Street Address Only 
(DO NOT ENTER CITY, STATE, OR ZIP)' for  building 79 in cell C82.
</v>
      </c>
      <c r="G2832" s="9" t="str">
        <f t="shared" ca="1" si="1003"/>
        <v xml:space="preserve">Enter a value for 'Number of Floors in the Tallest Building' in cell B60.
</v>
      </c>
      <c r="H2832" s="52" t="str">
        <f t="shared" ref="H2832:H2846" ca="1" si="1023">OFFSET(INDIRECT($F$1565 &amp; D2832), -B2832 + 3, 0)</f>
        <v>Building Street Address Only 
(DO NOT ENTER CITY, STATE, OR ZIP)</v>
      </c>
      <c r="I2832" s="52">
        <v>3</v>
      </c>
    </row>
    <row r="2833" spans="1:10" ht="15" customHeight="1">
      <c r="A2833" t="str">
        <f t="shared" ca="1" si="1018"/>
        <v/>
      </c>
      <c r="B2833">
        <f t="shared" si="1019"/>
        <v>82</v>
      </c>
      <c r="C2833">
        <f t="shared" ca="1" si="1005"/>
        <v>79</v>
      </c>
      <c r="D2833" t="str">
        <f t="shared" si="1020"/>
        <v>D82</v>
      </c>
      <c r="E2833" t="str">
        <f t="shared" ca="1" si="1021"/>
        <v/>
      </c>
      <c r="F2833" t="str">
        <f t="shared" ca="1" si="1022"/>
        <v xml:space="preserve">Enter a 'Total Units in Building*' for  building 79 in cell D82.
</v>
      </c>
      <c r="G2833" s="9" t="str">
        <f t="shared" ca="1" si="1003"/>
        <v xml:space="preserve">Enter a value for 'Number of Floors in the Tallest Building' in cell B60.
</v>
      </c>
      <c r="H2833" s="52" t="str">
        <f t="shared" ca="1" si="1023"/>
        <v>Total Units in Building*</v>
      </c>
      <c r="I2833" s="52">
        <v>4</v>
      </c>
    </row>
    <row r="2834" spans="1:10" ht="15" customHeight="1">
      <c r="A2834" t="str">
        <f t="shared" ca="1" si="1018"/>
        <v/>
      </c>
      <c r="B2834">
        <f t="shared" si="1019"/>
        <v>82</v>
      </c>
      <c r="C2834">
        <f t="shared" ca="1" si="1005"/>
        <v>79</v>
      </c>
      <c r="D2834" t="str">
        <f t="shared" si="1020"/>
        <v>E82</v>
      </c>
      <c r="E2834" t="str">
        <f t="shared" ca="1" si="1021"/>
        <v/>
      </c>
      <c r="F2834" t="str">
        <f t="shared" ca="1" si="1022"/>
        <v xml:space="preserve">Enter a 'Employee Units' for  building 79 in cell E82.
</v>
      </c>
      <c r="G2834" s="9" t="str">
        <f t="shared" ca="1" si="1003"/>
        <v xml:space="preserve">Enter a value for 'Number of Floors in the Tallest Building' in cell B60.
</v>
      </c>
      <c r="H2834" s="52" t="str">
        <f t="shared" ca="1" si="1023"/>
        <v>Employee Units</v>
      </c>
      <c r="I2834" s="52">
        <v>5</v>
      </c>
    </row>
    <row r="2835" spans="1:10" ht="15" customHeight="1">
      <c r="A2835" t="str">
        <f t="shared" ca="1" si="1018"/>
        <v/>
      </c>
      <c r="B2835">
        <f t="shared" si="1019"/>
        <v>82</v>
      </c>
      <c r="C2835">
        <f t="shared" ca="1" si="1005"/>
        <v>79</v>
      </c>
      <c r="D2835" t="str">
        <f t="shared" si="1020"/>
        <v>F82</v>
      </c>
      <c r="E2835" t="str">
        <f t="shared" ca="1" si="1021"/>
        <v/>
      </c>
      <c r="F2835" t="str">
        <f t="shared" ca="1" si="1022"/>
        <v xml:space="preserve">Enter a 'Low-Income Units' for  building 79 in cell F82.
</v>
      </c>
      <c r="G2835" s="9" t="str">
        <f t="shared" ca="1" si="1003"/>
        <v xml:space="preserve">Enter a value for 'Number of Floors in the Tallest Building' in cell B60.
</v>
      </c>
      <c r="H2835" s="52" t="str">
        <f t="shared" ca="1" si="1023"/>
        <v>Low-Income Units</v>
      </c>
      <c r="I2835" s="52">
        <v>6</v>
      </c>
    </row>
    <row r="2836" spans="1:10" ht="15" customHeight="1">
      <c r="A2836" t="str">
        <f t="shared" ca="1" si="1018"/>
        <v/>
      </c>
      <c r="B2836">
        <f t="shared" si="1019"/>
        <v>82</v>
      </c>
      <c r="C2836">
        <f t="shared" ca="1" si="1005"/>
        <v>79</v>
      </c>
      <c r="D2836" t="str">
        <f t="shared" si="1020"/>
        <v>G82</v>
      </c>
      <c r="E2836" t="str">
        <f t="shared" ca="1" si="1021"/>
        <v/>
      </c>
      <c r="F2836" t="str">
        <f t="shared" ca="1" si="1022"/>
        <v xml:space="preserve">Enter a 'Residential Square Footage**' for  building 79 in cell G82.
</v>
      </c>
      <c r="G2836" s="9" t="str">
        <f t="shared" ca="1" si="1003"/>
        <v xml:space="preserve">Enter a value for 'Number of Floors in the Tallest Building' in cell B60.
</v>
      </c>
      <c r="H2836" s="52" t="str">
        <f t="shared" ca="1" si="1023"/>
        <v>Residential Square Footage**</v>
      </c>
      <c r="I2836" s="52">
        <v>7</v>
      </c>
    </row>
    <row r="2837" spans="1:10" ht="15" customHeight="1">
      <c r="A2837" t="str">
        <f t="shared" ca="1" si="1018"/>
        <v/>
      </c>
      <c r="B2837">
        <f t="shared" si="1019"/>
        <v>82</v>
      </c>
      <c r="C2837">
        <f t="shared" ca="1" si="1005"/>
        <v>79</v>
      </c>
      <c r="D2837" t="str">
        <f t="shared" si="1020"/>
        <v>H82</v>
      </c>
      <c r="E2837" t="str">
        <f t="shared" ca="1" si="1021"/>
        <v/>
      </c>
      <c r="F2837" t="str">
        <f t="shared" ca="1" si="1022"/>
        <v xml:space="preserve">Enter a 'Square Footage of Employee Units' for  building 79 in cell H82.
</v>
      </c>
      <c r="G2837" s="9" t="str">
        <f t="shared" ca="1" si="1003"/>
        <v xml:space="preserve">Enter a value for 'Number of Floors in the Tallest Building' in cell B60.
</v>
      </c>
      <c r="H2837" s="52" t="str">
        <f t="shared" ca="1" si="1023"/>
        <v>Square Footage of Employee Units</v>
      </c>
      <c r="I2837" s="52">
        <v>8</v>
      </c>
    </row>
    <row r="2838" spans="1:10" ht="15" customHeight="1">
      <c r="A2838" t="str">
        <f t="shared" ca="1" si="1018"/>
        <v/>
      </c>
      <c r="B2838">
        <f t="shared" si="1019"/>
        <v>82</v>
      </c>
      <c r="C2838">
        <f t="shared" ca="1" si="1005"/>
        <v>79</v>
      </c>
      <c r="D2838" t="str">
        <f t="shared" si="1020"/>
        <v>I82</v>
      </c>
      <c r="E2838" t="str">
        <f t="shared" ca="1" si="1021"/>
        <v/>
      </c>
      <c r="F2838" t="str">
        <f t="shared" ca="1" si="1022"/>
        <v xml:space="preserve">Enter a 'Square Footage of Low-Income Units' for  building 79 in cell I82.
</v>
      </c>
      <c r="G2838" s="9" t="str">
        <f t="shared" ca="1" si="1003"/>
        <v xml:space="preserve">Enter a value for 'Number of Floors in the Tallest Building' in cell B60.
</v>
      </c>
      <c r="H2838" s="52" t="str">
        <f t="shared" ca="1" si="1023"/>
        <v>Square Footage of Low-Income Units</v>
      </c>
      <c r="I2838" s="52">
        <v>9</v>
      </c>
    </row>
    <row r="2839" spans="1:10" ht="15" customHeight="1">
      <c r="A2839" t="str">
        <f t="shared" ca="1" si="1018"/>
        <v/>
      </c>
      <c r="B2839">
        <f t="shared" si="1019"/>
        <v>82</v>
      </c>
      <c r="C2839">
        <f t="shared" ca="1" si="1005"/>
        <v>79</v>
      </c>
      <c r="D2839" t="str">
        <f t="shared" si="1020"/>
        <v>J82</v>
      </c>
      <c r="E2839" t="str">
        <f t="shared" ca="1" si="1021"/>
        <v/>
      </c>
      <c r="F2839" t="str">
        <f t="shared" ca="1" si="1022"/>
        <v xml:space="preserve">Enter a 'Placed-In-Service Date' for  building 79 in cell J82.
</v>
      </c>
      <c r="G2839" s="9" t="str">
        <f t="shared" ca="1" si="1003"/>
        <v xml:space="preserve">Enter a value for 'Number of Floors in the Tallest Building' in cell B60.
</v>
      </c>
      <c r="H2839" s="52" t="str">
        <f t="shared" ca="1" si="1023"/>
        <v>Placed-In-Service Date</v>
      </c>
      <c r="I2839" s="52">
        <v>10</v>
      </c>
    </row>
    <row r="2840" spans="1:10" ht="15" customHeight="1">
      <c r="A2840" t="str">
        <f t="shared" ca="1" si="1018"/>
        <v/>
      </c>
      <c r="B2840">
        <f t="shared" si="1019"/>
        <v>82</v>
      </c>
      <c r="C2840">
        <f t="shared" ca="1" si="1005"/>
        <v>79</v>
      </c>
      <c r="D2840" t="str">
        <f t="shared" si="1020"/>
        <v>K82</v>
      </c>
      <c r="E2840" t="str">
        <f t="shared" ca="1" si="1021"/>
        <v/>
      </c>
      <c r="F2840" t="str">
        <f t="shared" ca="1" si="1022"/>
        <v xml:space="preserve">Enter a 'New Construction/ Rehab APR' for  building 79 in cell K82.
</v>
      </c>
      <c r="G2840" s="9" t="str">
        <f t="shared" ca="1" si="1003"/>
        <v xml:space="preserve">Enter a value for 'Number of Floors in the Tallest Building' in cell B60.
</v>
      </c>
      <c r="H2840" s="52" t="str">
        <f t="shared" ca="1" si="1023"/>
        <v>New Construction/ Rehab APR</v>
      </c>
      <c r="I2840" s="52">
        <v>11</v>
      </c>
    </row>
    <row r="2841" spans="1:10" ht="15" customHeight="1">
      <c r="A2841" t="str">
        <f t="shared" ca="1" si="1018"/>
        <v/>
      </c>
      <c r="B2841">
        <f t="shared" si="1019"/>
        <v>82</v>
      </c>
      <c r="C2841">
        <f t="shared" ca="1" si="1005"/>
        <v>79</v>
      </c>
      <c r="D2841" t="str">
        <f t="shared" si="1020"/>
        <v>L82</v>
      </c>
      <c r="E2841" t="str">
        <f t="shared" ca="1" si="1021"/>
        <v/>
      </c>
      <c r="F2841" t="str">
        <f t="shared" ca="1" si="1022"/>
        <v xml:space="preserve">Enter a 'New Construction Eligible Basis' for  building 79 in cell L82.
</v>
      </c>
      <c r="G2841" s="9" t="str">
        <f t="shared" ca="1" si="1003"/>
        <v xml:space="preserve">Enter a value for 'Number of Floors in the Tallest Building' in cell B60.
</v>
      </c>
      <c r="H2841" s="52" t="str">
        <f t="shared" ca="1" si="1023"/>
        <v>New Construction Eligible Basis</v>
      </c>
      <c r="I2841" s="52">
        <v>12</v>
      </c>
    </row>
    <row r="2842" spans="1:10" ht="15" customHeight="1">
      <c r="A2842" t="str">
        <f ca="1">IF(AND(OFFSET(A2842, -I2842 + 2, 4) &gt;  0, E2842="", Calculations!$B$7), F2842, "")</f>
        <v/>
      </c>
      <c r="B2842">
        <f t="shared" si="1019"/>
        <v>82</v>
      </c>
      <c r="C2842">
        <f t="shared" ca="1" si="1005"/>
        <v>79</v>
      </c>
      <c r="D2842" t="str">
        <f t="shared" si="1020"/>
        <v>M82</v>
      </c>
      <c r="E2842" t="str">
        <f t="shared" ca="1" si="1021"/>
        <v/>
      </c>
      <c r="F2842" t="str">
        <f t="shared" ca="1" si="1022"/>
        <v xml:space="preserve">Enter a 'Eligible Basis for Rehab' for  building 79 in cell M82.
</v>
      </c>
      <c r="G2842" s="9" t="str">
        <f t="shared" ca="1" si="1003"/>
        <v xml:space="preserve">Enter a value for 'Number of Floors in the Tallest Building' in cell B60.
</v>
      </c>
      <c r="H2842" s="52" t="str">
        <f t="shared" ca="1" si="1023"/>
        <v>Eligible Basis for Rehab</v>
      </c>
      <c r="I2842" s="52">
        <v>13</v>
      </c>
    </row>
    <row r="2843" spans="1:10" ht="15" customHeight="1">
      <c r="A2843" t="str">
        <f ca="1">IF(AND(OFFSET(A2843, -I2843 + 2, 4) &gt;  0, E2843="", Calculations!$B$7), F2843, "")</f>
        <v/>
      </c>
      <c r="B2843">
        <f t="shared" si="1019"/>
        <v>82</v>
      </c>
      <c r="C2843">
        <f t="shared" ca="1" si="1005"/>
        <v>79</v>
      </c>
      <c r="D2843" t="str">
        <f t="shared" si="1020"/>
        <v>N82</v>
      </c>
      <c r="E2843" t="str">
        <f t="shared" ca="1" si="1021"/>
        <v/>
      </c>
      <c r="F2843" t="str">
        <f t="shared" ca="1" si="1022"/>
        <v xml:space="preserve">Enter a 'Cost of Acquiring the Building***' for  building 79 in cell N82.
</v>
      </c>
      <c r="G2843" s="9" t="str">
        <f t="shared" ca="1" si="1003"/>
        <v xml:space="preserve">Enter a value for 'Number of Floors in the Tallest Building' in cell B60.
</v>
      </c>
      <c r="H2843" s="52" t="str">
        <f t="shared" ca="1" si="1023"/>
        <v>Cost of Acquiring the Building***</v>
      </c>
      <c r="I2843" s="52">
        <v>14</v>
      </c>
    </row>
    <row r="2844" spans="1:10" ht="15" customHeight="1">
      <c r="A2844" t="str">
        <f ca="1">IF(AND(OFFSET(A2844, -I2844 + 2, 4) &gt;  0, E2844="", Calculations!$B$7), F2844, "")</f>
        <v/>
      </c>
      <c r="B2844">
        <f t="shared" si="1019"/>
        <v>82</v>
      </c>
      <c r="C2844">
        <f t="shared" ca="1" si="1005"/>
        <v>79</v>
      </c>
      <c r="D2844" t="str">
        <f t="shared" si="1020"/>
        <v>O82</v>
      </c>
      <c r="E2844" t="str">
        <f t="shared" ca="1" si="1021"/>
        <v/>
      </c>
      <c r="F2844" t="str">
        <f t="shared" ca="1" si="1022"/>
        <v xml:space="preserve">Enter a 'Higher of Land Purchase Price or Land Appraised Value****' for  building 79 in cell O82.
</v>
      </c>
      <c r="G2844" s="9" t="str">
        <f t="shared" ca="1" si="1003"/>
        <v xml:space="preserve">Enter a value for 'Number of Floors in the Tallest Building' in cell B60.
</v>
      </c>
      <c r="H2844" s="52" t="str">
        <f t="shared" ca="1" si="1023"/>
        <v>Higher of Land Purchase Price or Land Appraised Value****</v>
      </c>
      <c r="I2844" s="52">
        <v>15</v>
      </c>
    </row>
    <row r="2845" spans="1:10" ht="15" customHeight="1">
      <c r="A2845" t="str">
        <f ca="1">IF(AND(OFFSET(A2845, -I2845 + 2, 4) &gt;  0, E2845="", Calculations!$B$7), F2845, "")</f>
        <v/>
      </c>
      <c r="B2845">
        <f t="shared" si="1019"/>
        <v>82</v>
      </c>
      <c r="C2845">
        <f t="shared" ca="1" si="1005"/>
        <v>79</v>
      </c>
      <c r="D2845" t="str">
        <f t="shared" si="1020"/>
        <v>P82</v>
      </c>
      <c r="E2845" t="str">
        <f t="shared" ca="1" si="1021"/>
        <v/>
      </c>
      <c r="F2845" t="str">
        <f t="shared" ca="1" si="1022"/>
        <v xml:space="preserve">Enter a 'Acquisition Placed-in-Service Date' for  building 79 in cell P82.
</v>
      </c>
      <c r="G2845" s="9" t="str">
        <f t="shared" ca="1" si="1003"/>
        <v xml:space="preserve">Enter a value for 'Number of Floors in the Tallest Building' in cell B60.
</v>
      </c>
      <c r="H2845" s="52" t="str">
        <f t="shared" ca="1" si="1023"/>
        <v>Acquisition Placed-in-Service Date</v>
      </c>
      <c r="I2845" s="52">
        <v>16</v>
      </c>
    </row>
    <row r="2846" spans="1:10" ht="15" customHeight="1">
      <c r="A2846" t="str">
        <f ca="1">IF(AND(OFFSET(A2846, -I2846 + 2, 4) &gt;  0, E2846="", Calculations!$B$7), F2846, "")</f>
        <v/>
      </c>
      <c r="B2846">
        <f t="shared" si="1019"/>
        <v>82</v>
      </c>
      <c r="C2846">
        <f t="shared" ca="1" si="1005"/>
        <v>79</v>
      </c>
      <c r="D2846" t="str">
        <f t="shared" si="1020"/>
        <v>Q82</v>
      </c>
      <c r="E2846" t="str">
        <f t="shared" ca="1" si="1021"/>
        <v/>
      </c>
      <c r="F2846" t="str">
        <f t="shared" ca="1" si="1022"/>
        <v xml:space="preserve">Enter a 'Acquisition APR' for  building 79 in cell Q82.
</v>
      </c>
      <c r="G2846" s="9" t="str">
        <f t="shared" ca="1" si="1003"/>
        <v xml:space="preserve">Enter a value for 'Number of Floors in the Tallest Building' in cell B60.
</v>
      </c>
      <c r="H2846" s="52" t="str">
        <f t="shared" ca="1" si="1023"/>
        <v>Acquisition APR</v>
      </c>
      <c r="I2846" s="52">
        <v>17</v>
      </c>
    </row>
    <row r="2847" spans="1:10" ht="15" customHeight="1">
      <c r="A2847" t="str">
        <f ca="1">IF(AND(Calculations!$B$4,Calculations!$B$29&gt;=C2847, E2847 &lt;&gt; 13),F2847,"")</f>
        <v/>
      </c>
      <c r="B2847">
        <f>ROW('Final Building Profile'!C83)</f>
        <v>83</v>
      </c>
      <c r="C2847">
        <f t="shared" ca="1" si="1005"/>
        <v>80</v>
      </c>
      <c r="D2847" t="str">
        <f>ADDRESS(B2847, 3,4  )</f>
        <v>C83</v>
      </c>
      <c r="E2847" s="52">
        <f ca="1">H2847+I2847</f>
        <v>0</v>
      </c>
      <c r="F2847" t="str">
        <f ca="1">CONCATENATE("Based upon the number of buildings specified, information for  building ", C2847, " required for a final application in row ", B2847, ".", CHAR(10))</f>
        <v xml:space="preserve">Based upon the number of buildings specified, information for  building 80 required for a final application in row 83.
</v>
      </c>
      <c r="G2847" s="9" t="str">
        <f t="shared" ca="1" si="1003"/>
        <v xml:space="preserve">Enter a value for 'Number of Floors in the Tallest Building' in cell B60.
</v>
      </c>
      <c r="H2847" s="52">
        <f ca="1">SUMPRODUCT(--ISTEXT(INDIRECT(J2847)))</f>
        <v>0</v>
      </c>
      <c r="I2847" s="52">
        <f ca="1">SUMPRODUCT(--ISNUMBER(INDIRECT(J2847)))</f>
        <v>0</v>
      </c>
      <c r="J2847" s="52" t="str">
        <f>$F$1565&amp; ADDRESS(B2847,3,4) &amp; ":" &amp; ADDRESS(B2847,15,4)</f>
        <v>'Final Building Profile'!C83:O83</v>
      </c>
    </row>
    <row r="2848" spans="1:10" ht="15" customHeight="1">
      <c r="A2848" t="str">
        <f t="shared" ref="A2848:A2857" ca="1" si="1024">IF(AND(OFFSET(A2848, -I2848 + 2, 4) &gt;  0, E2848=""), F2848, "")</f>
        <v/>
      </c>
      <c r="B2848">
        <f t="shared" ref="B2848:B2862" si="1025">B2847</f>
        <v>83</v>
      </c>
      <c r="C2848">
        <f t="shared" ca="1" si="1005"/>
        <v>80</v>
      </c>
      <c r="D2848" t="str">
        <f t="shared" ref="D2848:D2862" si="1026">ADDRESS(B2848, I2848,4  )</f>
        <v>C83</v>
      </c>
      <c r="E2848" t="str">
        <f t="shared" ref="E2848:E2862" ca="1" si="1027">IF(ISBLANK( INDIRECT($F$1565 &amp; D2848)),"", INDIRECT($F$1565 &amp; D2848))</f>
        <v/>
      </c>
      <c r="F2848" t="str">
        <f t="shared" ref="F2848:F2862" ca="1" si="1028">CONCATENATE("Enter a '"&amp; H2848 &amp;"' for  building ", C2848, " in cell ", D2848, ".", CHAR(10))</f>
        <v xml:space="preserve">Enter a 'Building Street Address Only 
(DO NOT ENTER CITY, STATE, OR ZIP)' for  building 80 in cell C83.
</v>
      </c>
      <c r="G2848" s="9" t="str">
        <f t="shared" ref="G2848:G2911" ca="1" si="1029">OFFSET(G2848, -1, 0) &amp; A2848</f>
        <v xml:space="preserve">Enter a value for 'Number of Floors in the Tallest Building' in cell B60.
</v>
      </c>
      <c r="H2848" s="52" t="str">
        <f t="shared" ref="H2848:H2862" ca="1" si="1030">OFFSET(INDIRECT($F$1565 &amp; D2848), -B2848 + 3, 0)</f>
        <v>Building Street Address Only 
(DO NOT ENTER CITY, STATE, OR ZIP)</v>
      </c>
      <c r="I2848" s="52">
        <v>3</v>
      </c>
    </row>
    <row r="2849" spans="1:10" ht="15" customHeight="1">
      <c r="A2849" t="str">
        <f t="shared" ca="1" si="1024"/>
        <v/>
      </c>
      <c r="B2849">
        <f t="shared" si="1025"/>
        <v>83</v>
      </c>
      <c r="C2849">
        <f t="shared" ca="1" si="1005"/>
        <v>80</v>
      </c>
      <c r="D2849" t="str">
        <f t="shared" si="1026"/>
        <v>D83</v>
      </c>
      <c r="E2849" t="str">
        <f t="shared" ca="1" si="1027"/>
        <v/>
      </c>
      <c r="F2849" t="str">
        <f t="shared" ca="1" si="1028"/>
        <v xml:space="preserve">Enter a 'Total Units in Building*' for  building 80 in cell D83.
</v>
      </c>
      <c r="G2849" s="9" t="str">
        <f t="shared" ca="1" si="1029"/>
        <v xml:space="preserve">Enter a value for 'Number of Floors in the Tallest Building' in cell B60.
</v>
      </c>
      <c r="H2849" s="52" t="str">
        <f t="shared" ca="1" si="1030"/>
        <v>Total Units in Building*</v>
      </c>
      <c r="I2849" s="52">
        <v>4</v>
      </c>
    </row>
    <row r="2850" spans="1:10" ht="15" customHeight="1">
      <c r="A2850" t="str">
        <f t="shared" ca="1" si="1024"/>
        <v/>
      </c>
      <c r="B2850">
        <f t="shared" si="1025"/>
        <v>83</v>
      </c>
      <c r="C2850">
        <f t="shared" ca="1" si="1005"/>
        <v>80</v>
      </c>
      <c r="D2850" t="str">
        <f t="shared" si="1026"/>
        <v>E83</v>
      </c>
      <c r="E2850" t="str">
        <f t="shared" ca="1" si="1027"/>
        <v/>
      </c>
      <c r="F2850" t="str">
        <f t="shared" ca="1" si="1028"/>
        <v xml:space="preserve">Enter a 'Employee Units' for  building 80 in cell E83.
</v>
      </c>
      <c r="G2850" s="9" t="str">
        <f t="shared" ca="1" si="1029"/>
        <v xml:space="preserve">Enter a value for 'Number of Floors in the Tallest Building' in cell B60.
</v>
      </c>
      <c r="H2850" s="52" t="str">
        <f t="shared" ca="1" si="1030"/>
        <v>Employee Units</v>
      </c>
      <c r="I2850" s="52">
        <v>5</v>
      </c>
    </row>
    <row r="2851" spans="1:10" ht="15" customHeight="1">
      <c r="A2851" t="str">
        <f t="shared" ca="1" si="1024"/>
        <v/>
      </c>
      <c r="B2851">
        <f t="shared" si="1025"/>
        <v>83</v>
      </c>
      <c r="C2851">
        <f t="shared" ca="1" si="1005"/>
        <v>80</v>
      </c>
      <c r="D2851" t="str">
        <f t="shared" si="1026"/>
        <v>F83</v>
      </c>
      <c r="E2851" t="str">
        <f t="shared" ca="1" si="1027"/>
        <v/>
      </c>
      <c r="F2851" t="str">
        <f t="shared" ca="1" si="1028"/>
        <v xml:space="preserve">Enter a 'Low-Income Units' for  building 80 in cell F83.
</v>
      </c>
      <c r="G2851" s="9" t="str">
        <f t="shared" ca="1" si="1029"/>
        <v xml:space="preserve">Enter a value for 'Number of Floors in the Tallest Building' in cell B60.
</v>
      </c>
      <c r="H2851" s="52" t="str">
        <f t="shared" ca="1" si="1030"/>
        <v>Low-Income Units</v>
      </c>
      <c r="I2851" s="52">
        <v>6</v>
      </c>
    </row>
    <row r="2852" spans="1:10" ht="15" customHeight="1">
      <c r="A2852" t="str">
        <f t="shared" ca="1" si="1024"/>
        <v/>
      </c>
      <c r="B2852">
        <f t="shared" si="1025"/>
        <v>83</v>
      </c>
      <c r="C2852">
        <f t="shared" ca="1" si="1005"/>
        <v>80</v>
      </c>
      <c r="D2852" t="str">
        <f t="shared" si="1026"/>
        <v>G83</v>
      </c>
      <c r="E2852" t="str">
        <f t="shared" ca="1" si="1027"/>
        <v/>
      </c>
      <c r="F2852" t="str">
        <f t="shared" ca="1" si="1028"/>
        <v xml:space="preserve">Enter a 'Residential Square Footage**' for  building 80 in cell G83.
</v>
      </c>
      <c r="G2852" s="9" t="str">
        <f t="shared" ca="1" si="1029"/>
        <v xml:space="preserve">Enter a value for 'Number of Floors in the Tallest Building' in cell B60.
</v>
      </c>
      <c r="H2852" s="52" t="str">
        <f t="shared" ca="1" si="1030"/>
        <v>Residential Square Footage**</v>
      </c>
      <c r="I2852" s="52">
        <v>7</v>
      </c>
    </row>
    <row r="2853" spans="1:10" ht="15" customHeight="1">
      <c r="A2853" t="str">
        <f t="shared" ca="1" si="1024"/>
        <v/>
      </c>
      <c r="B2853">
        <f t="shared" si="1025"/>
        <v>83</v>
      </c>
      <c r="C2853">
        <f t="shared" ca="1" si="1005"/>
        <v>80</v>
      </c>
      <c r="D2853" t="str">
        <f t="shared" si="1026"/>
        <v>H83</v>
      </c>
      <c r="E2853" t="str">
        <f t="shared" ca="1" si="1027"/>
        <v/>
      </c>
      <c r="F2853" t="str">
        <f t="shared" ca="1" si="1028"/>
        <v xml:space="preserve">Enter a 'Square Footage of Employee Units' for  building 80 in cell H83.
</v>
      </c>
      <c r="G2853" s="9" t="str">
        <f t="shared" ca="1" si="1029"/>
        <v xml:space="preserve">Enter a value for 'Number of Floors in the Tallest Building' in cell B60.
</v>
      </c>
      <c r="H2853" s="52" t="str">
        <f t="shared" ca="1" si="1030"/>
        <v>Square Footage of Employee Units</v>
      </c>
      <c r="I2853" s="52">
        <v>8</v>
      </c>
    </row>
    <row r="2854" spans="1:10" ht="15" customHeight="1">
      <c r="A2854" t="str">
        <f t="shared" ca="1" si="1024"/>
        <v/>
      </c>
      <c r="B2854">
        <f t="shared" si="1025"/>
        <v>83</v>
      </c>
      <c r="C2854">
        <f t="shared" ca="1" si="1005"/>
        <v>80</v>
      </c>
      <c r="D2854" t="str">
        <f t="shared" si="1026"/>
        <v>I83</v>
      </c>
      <c r="E2854" t="str">
        <f t="shared" ca="1" si="1027"/>
        <v/>
      </c>
      <c r="F2854" t="str">
        <f t="shared" ca="1" si="1028"/>
        <v xml:space="preserve">Enter a 'Square Footage of Low-Income Units' for  building 80 in cell I83.
</v>
      </c>
      <c r="G2854" s="9" t="str">
        <f t="shared" ca="1" si="1029"/>
        <v xml:space="preserve">Enter a value for 'Number of Floors in the Tallest Building' in cell B60.
</v>
      </c>
      <c r="H2854" s="52" t="str">
        <f t="shared" ca="1" si="1030"/>
        <v>Square Footage of Low-Income Units</v>
      </c>
      <c r="I2854" s="52">
        <v>9</v>
      </c>
    </row>
    <row r="2855" spans="1:10" ht="15" customHeight="1">
      <c r="A2855" t="str">
        <f t="shared" ca="1" si="1024"/>
        <v/>
      </c>
      <c r="B2855">
        <f t="shared" si="1025"/>
        <v>83</v>
      </c>
      <c r="C2855">
        <f t="shared" ca="1" si="1005"/>
        <v>80</v>
      </c>
      <c r="D2855" t="str">
        <f t="shared" si="1026"/>
        <v>J83</v>
      </c>
      <c r="E2855" t="str">
        <f t="shared" ca="1" si="1027"/>
        <v/>
      </c>
      <c r="F2855" t="str">
        <f t="shared" ca="1" si="1028"/>
        <v xml:space="preserve">Enter a 'Placed-In-Service Date' for  building 80 in cell J83.
</v>
      </c>
      <c r="G2855" s="9" t="str">
        <f t="shared" ca="1" si="1029"/>
        <v xml:space="preserve">Enter a value for 'Number of Floors in the Tallest Building' in cell B60.
</v>
      </c>
      <c r="H2855" s="52" t="str">
        <f t="shared" ca="1" si="1030"/>
        <v>Placed-In-Service Date</v>
      </c>
      <c r="I2855" s="52">
        <v>10</v>
      </c>
    </row>
    <row r="2856" spans="1:10" ht="15" customHeight="1">
      <c r="A2856" t="str">
        <f t="shared" ca="1" si="1024"/>
        <v/>
      </c>
      <c r="B2856">
        <f t="shared" si="1025"/>
        <v>83</v>
      </c>
      <c r="C2856">
        <f t="shared" ca="1" si="1005"/>
        <v>80</v>
      </c>
      <c r="D2856" t="str">
        <f t="shared" si="1026"/>
        <v>K83</v>
      </c>
      <c r="E2856" t="str">
        <f t="shared" ca="1" si="1027"/>
        <v/>
      </c>
      <c r="F2856" t="str">
        <f t="shared" ca="1" si="1028"/>
        <v xml:space="preserve">Enter a 'New Construction/ Rehab APR' for  building 80 in cell K83.
</v>
      </c>
      <c r="G2856" s="9" t="str">
        <f t="shared" ca="1" si="1029"/>
        <v xml:space="preserve">Enter a value for 'Number of Floors in the Tallest Building' in cell B60.
</v>
      </c>
      <c r="H2856" s="52" t="str">
        <f t="shared" ca="1" si="1030"/>
        <v>New Construction/ Rehab APR</v>
      </c>
      <c r="I2856" s="52">
        <v>11</v>
      </c>
    </row>
    <row r="2857" spans="1:10" ht="15" customHeight="1">
      <c r="A2857" t="str">
        <f t="shared" ca="1" si="1024"/>
        <v/>
      </c>
      <c r="B2857">
        <f t="shared" si="1025"/>
        <v>83</v>
      </c>
      <c r="C2857">
        <f t="shared" ca="1" si="1005"/>
        <v>80</v>
      </c>
      <c r="D2857" t="str">
        <f t="shared" si="1026"/>
        <v>L83</v>
      </c>
      <c r="E2857" t="str">
        <f t="shared" ca="1" si="1027"/>
        <v/>
      </c>
      <c r="F2857" t="str">
        <f t="shared" ca="1" si="1028"/>
        <v xml:space="preserve">Enter a 'New Construction Eligible Basis' for  building 80 in cell L83.
</v>
      </c>
      <c r="G2857" s="9" t="str">
        <f t="shared" ca="1" si="1029"/>
        <v xml:space="preserve">Enter a value for 'Number of Floors in the Tallest Building' in cell B60.
</v>
      </c>
      <c r="H2857" s="52" t="str">
        <f t="shared" ca="1" si="1030"/>
        <v>New Construction Eligible Basis</v>
      </c>
      <c r="I2857" s="52">
        <v>12</v>
      </c>
    </row>
    <row r="2858" spans="1:10" ht="15" customHeight="1">
      <c r="A2858" t="str">
        <f ca="1">IF(AND(OFFSET(A2858, -I2858 + 2, 4) &gt;  0, E2858="", Calculations!$B$7), F2858, "")</f>
        <v/>
      </c>
      <c r="B2858">
        <f t="shared" si="1025"/>
        <v>83</v>
      </c>
      <c r="C2858">
        <f t="shared" ca="1" si="1005"/>
        <v>80</v>
      </c>
      <c r="D2858" t="str">
        <f t="shared" si="1026"/>
        <v>M83</v>
      </c>
      <c r="E2858" t="str">
        <f t="shared" ca="1" si="1027"/>
        <v/>
      </c>
      <c r="F2858" t="str">
        <f t="shared" ca="1" si="1028"/>
        <v xml:space="preserve">Enter a 'Eligible Basis for Rehab' for  building 80 in cell M83.
</v>
      </c>
      <c r="G2858" s="9" t="str">
        <f t="shared" ca="1" si="1029"/>
        <v xml:space="preserve">Enter a value for 'Number of Floors in the Tallest Building' in cell B60.
</v>
      </c>
      <c r="H2858" s="52" t="str">
        <f t="shared" ca="1" si="1030"/>
        <v>Eligible Basis for Rehab</v>
      </c>
      <c r="I2858" s="52">
        <v>13</v>
      </c>
    </row>
    <row r="2859" spans="1:10" ht="15" customHeight="1">
      <c r="A2859" t="str">
        <f ca="1">IF(AND(OFFSET(A2859, -I2859 + 2, 4) &gt;  0, E2859="", Calculations!$B$7), F2859, "")</f>
        <v/>
      </c>
      <c r="B2859">
        <f t="shared" si="1025"/>
        <v>83</v>
      </c>
      <c r="C2859">
        <f t="shared" ca="1" si="1005"/>
        <v>80</v>
      </c>
      <c r="D2859" t="str">
        <f t="shared" si="1026"/>
        <v>N83</v>
      </c>
      <c r="E2859" t="str">
        <f t="shared" ca="1" si="1027"/>
        <v/>
      </c>
      <c r="F2859" t="str">
        <f t="shared" ca="1" si="1028"/>
        <v xml:space="preserve">Enter a 'Cost of Acquiring the Building***' for  building 80 in cell N83.
</v>
      </c>
      <c r="G2859" s="9" t="str">
        <f t="shared" ca="1" si="1029"/>
        <v xml:space="preserve">Enter a value for 'Number of Floors in the Tallest Building' in cell B60.
</v>
      </c>
      <c r="H2859" s="52" t="str">
        <f t="shared" ca="1" si="1030"/>
        <v>Cost of Acquiring the Building***</v>
      </c>
      <c r="I2859" s="52">
        <v>14</v>
      </c>
    </row>
    <row r="2860" spans="1:10" ht="15" customHeight="1">
      <c r="A2860" t="str">
        <f ca="1">IF(AND(OFFSET(A2860, -I2860 + 2, 4) &gt;  0, E2860="", Calculations!$B$7), F2860, "")</f>
        <v/>
      </c>
      <c r="B2860">
        <f t="shared" si="1025"/>
        <v>83</v>
      </c>
      <c r="C2860">
        <f t="shared" ca="1" si="1005"/>
        <v>80</v>
      </c>
      <c r="D2860" t="str">
        <f t="shared" si="1026"/>
        <v>O83</v>
      </c>
      <c r="E2860" t="str">
        <f t="shared" ca="1" si="1027"/>
        <v/>
      </c>
      <c r="F2860" t="str">
        <f t="shared" ca="1" si="1028"/>
        <v xml:space="preserve">Enter a 'Higher of Land Purchase Price or Land Appraised Value****' for  building 80 in cell O83.
</v>
      </c>
      <c r="G2860" s="9" t="str">
        <f t="shared" ca="1" si="1029"/>
        <v xml:space="preserve">Enter a value for 'Number of Floors in the Tallest Building' in cell B60.
</v>
      </c>
      <c r="H2860" s="52" t="str">
        <f t="shared" ca="1" si="1030"/>
        <v>Higher of Land Purchase Price or Land Appraised Value****</v>
      </c>
      <c r="I2860" s="52">
        <v>15</v>
      </c>
    </row>
    <row r="2861" spans="1:10" ht="15" customHeight="1">
      <c r="A2861" t="str">
        <f ca="1">IF(AND(OFFSET(A2861, -I2861 + 2, 4) &gt;  0, E2861="", Calculations!$B$7), F2861, "")</f>
        <v/>
      </c>
      <c r="B2861">
        <f t="shared" si="1025"/>
        <v>83</v>
      </c>
      <c r="C2861">
        <f t="shared" ca="1" si="1005"/>
        <v>80</v>
      </c>
      <c r="D2861" t="str">
        <f t="shared" si="1026"/>
        <v>P83</v>
      </c>
      <c r="E2861" t="str">
        <f t="shared" ca="1" si="1027"/>
        <v/>
      </c>
      <c r="F2861" t="str">
        <f t="shared" ca="1" si="1028"/>
        <v xml:space="preserve">Enter a 'Acquisition Placed-in-Service Date' for  building 80 in cell P83.
</v>
      </c>
      <c r="G2861" s="9" t="str">
        <f t="shared" ca="1" si="1029"/>
        <v xml:space="preserve">Enter a value for 'Number of Floors in the Tallest Building' in cell B60.
</v>
      </c>
      <c r="H2861" s="52" t="str">
        <f t="shared" ca="1" si="1030"/>
        <v>Acquisition Placed-in-Service Date</v>
      </c>
      <c r="I2861" s="52">
        <v>16</v>
      </c>
    </row>
    <row r="2862" spans="1:10" ht="15" customHeight="1">
      <c r="A2862" t="str">
        <f ca="1">IF(AND(OFFSET(A2862, -I2862 + 2, 4) &gt;  0, E2862="", Calculations!$B$7), F2862, "")</f>
        <v/>
      </c>
      <c r="B2862">
        <f t="shared" si="1025"/>
        <v>83</v>
      </c>
      <c r="C2862">
        <f t="shared" ca="1" si="1005"/>
        <v>80</v>
      </c>
      <c r="D2862" t="str">
        <f t="shared" si="1026"/>
        <v>Q83</v>
      </c>
      <c r="E2862" t="str">
        <f t="shared" ca="1" si="1027"/>
        <v/>
      </c>
      <c r="F2862" t="str">
        <f t="shared" ca="1" si="1028"/>
        <v xml:space="preserve">Enter a 'Acquisition APR' for  building 80 in cell Q83.
</v>
      </c>
      <c r="G2862" s="9" t="str">
        <f t="shared" ca="1" si="1029"/>
        <v xml:space="preserve">Enter a value for 'Number of Floors in the Tallest Building' in cell B60.
</v>
      </c>
      <c r="H2862" s="52" t="str">
        <f t="shared" ca="1" si="1030"/>
        <v>Acquisition APR</v>
      </c>
      <c r="I2862" s="52">
        <v>17</v>
      </c>
    </row>
    <row r="2863" spans="1:10" ht="15" customHeight="1">
      <c r="A2863" t="str">
        <f ca="1">IF(AND(Calculations!$B$4,Calculations!$B$29&gt;=C2863, E2863 &lt;&gt; 13),F2863,"")</f>
        <v/>
      </c>
      <c r="B2863">
        <f>ROW('Final Building Profile'!C84)</f>
        <v>84</v>
      </c>
      <c r="C2863">
        <f t="shared" ref="C2863:C2926" ca="1" si="1031">INDIRECT($F$1565 &amp; ADDRESS(B2863, 1,4  ))</f>
        <v>81</v>
      </c>
      <c r="D2863" t="str">
        <f>ADDRESS(B2863, 3,4  )</f>
        <v>C84</v>
      </c>
      <c r="E2863" s="52">
        <f ca="1">H2863+I2863</f>
        <v>0</v>
      </c>
      <c r="F2863" t="str">
        <f ca="1">CONCATENATE("Based upon the number of buildings specified, information for  building ", C2863, " required for a final application in row ", B2863, ".", CHAR(10))</f>
        <v xml:space="preserve">Based upon the number of buildings specified, information for  building 81 required for a final application in row 84.
</v>
      </c>
      <c r="G2863" s="9" t="str">
        <f t="shared" ca="1" si="1029"/>
        <v xml:space="preserve">Enter a value for 'Number of Floors in the Tallest Building' in cell B60.
</v>
      </c>
      <c r="H2863" s="52">
        <f ca="1">SUMPRODUCT(--ISTEXT(INDIRECT(J2863)))</f>
        <v>0</v>
      </c>
      <c r="I2863" s="52">
        <f ca="1">SUMPRODUCT(--ISNUMBER(INDIRECT(J2863)))</f>
        <v>0</v>
      </c>
      <c r="J2863" s="52" t="str">
        <f>$F$1565&amp; ADDRESS(B2863,3,4) &amp; ":" &amp; ADDRESS(B2863,15,4)</f>
        <v>'Final Building Profile'!C84:O84</v>
      </c>
    </row>
    <row r="2864" spans="1:10" ht="15" customHeight="1">
      <c r="A2864" t="str">
        <f t="shared" ref="A2864:A2873" ca="1" si="1032">IF(AND(OFFSET(A2864, -I2864 + 2, 4) &gt;  0, E2864=""), F2864, "")</f>
        <v/>
      </c>
      <c r="B2864">
        <f t="shared" ref="B2864:B2878" si="1033">B2863</f>
        <v>84</v>
      </c>
      <c r="C2864">
        <f t="shared" ca="1" si="1031"/>
        <v>81</v>
      </c>
      <c r="D2864" t="str">
        <f t="shared" ref="D2864:D2878" si="1034">ADDRESS(B2864, I2864,4  )</f>
        <v>C84</v>
      </c>
      <c r="E2864" t="str">
        <f t="shared" ref="E2864:E2878" ca="1" si="1035">IF(ISBLANK( INDIRECT($F$1565 &amp; D2864)),"", INDIRECT($F$1565 &amp; D2864))</f>
        <v/>
      </c>
      <c r="F2864" t="str">
        <f t="shared" ref="F2864:F2878" ca="1" si="1036">CONCATENATE("Enter a '"&amp; H2864 &amp;"' for  building ", C2864, " in cell ", D2864, ".", CHAR(10))</f>
        <v xml:space="preserve">Enter a 'Building Street Address Only 
(DO NOT ENTER CITY, STATE, OR ZIP)' for  building 81 in cell C84.
</v>
      </c>
      <c r="G2864" s="9" t="str">
        <f t="shared" ca="1" si="1029"/>
        <v xml:space="preserve">Enter a value for 'Number of Floors in the Tallest Building' in cell B60.
</v>
      </c>
      <c r="H2864" s="52" t="str">
        <f t="shared" ref="H2864:H2878" ca="1" si="1037">OFFSET(INDIRECT($F$1565 &amp; D2864), -B2864 + 3, 0)</f>
        <v>Building Street Address Only 
(DO NOT ENTER CITY, STATE, OR ZIP)</v>
      </c>
      <c r="I2864" s="52">
        <v>3</v>
      </c>
    </row>
    <row r="2865" spans="1:10" ht="15" customHeight="1">
      <c r="A2865" t="str">
        <f t="shared" ca="1" si="1032"/>
        <v/>
      </c>
      <c r="B2865">
        <f t="shared" si="1033"/>
        <v>84</v>
      </c>
      <c r="C2865">
        <f t="shared" ca="1" si="1031"/>
        <v>81</v>
      </c>
      <c r="D2865" t="str">
        <f t="shared" si="1034"/>
        <v>D84</v>
      </c>
      <c r="E2865" t="str">
        <f t="shared" ca="1" si="1035"/>
        <v/>
      </c>
      <c r="F2865" t="str">
        <f t="shared" ca="1" si="1036"/>
        <v xml:space="preserve">Enter a 'Total Units in Building*' for  building 81 in cell D84.
</v>
      </c>
      <c r="G2865" s="9" t="str">
        <f t="shared" ca="1" si="1029"/>
        <v xml:space="preserve">Enter a value for 'Number of Floors in the Tallest Building' in cell B60.
</v>
      </c>
      <c r="H2865" s="52" t="str">
        <f t="shared" ca="1" si="1037"/>
        <v>Total Units in Building*</v>
      </c>
      <c r="I2865" s="52">
        <v>4</v>
      </c>
    </row>
    <row r="2866" spans="1:10" ht="15" customHeight="1">
      <c r="A2866" t="str">
        <f t="shared" ca="1" si="1032"/>
        <v/>
      </c>
      <c r="B2866">
        <f t="shared" si="1033"/>
        <v>84</v>
      </c>
      <c r="C2866">
        <f t="shared" ca="1" si="1031"/>
        <v>81</v>
      </c>
      <c r="D2866" t="str">
        <f t="shared" si="1034"/>
        <v>E84</v>
      </c>
      <c r="E2866" t="str">
        <f t="shared" ca="1" si="1035"/>
        <v/>
      </c>
      <c r="F2866" t="str">
        <f t="shared" ca="1" si="1036"/>
        <v xml:space="preserve">Enter a 'Employee Units' for  building 81 in cell E84.
</v>
      </c>
      <c r="G2866" s="9" t="str">
        <f t="shared" ca="1" si="1029"/>
        <v xml:space="preserve">Enter a value for 'Number of Floors in the Tallest Building' in cell B60.
</v>
      </c>
      <c r="H2866" s="52" t="str">
        <f t="shared" ca="1" si="1037"/>
        <v>Employee Units</v>
      </c>
      <c r="I2866" s="52">
        <v>5</v>
      </c>
    </row>
    <row r="2867" spans="1:10" ht="15" customHeight="1">
      <c r="A2867" t="str">
        <f t="shared" ca="1" si="1032"/>
        <v/>
      </c>
      <c r="B2867">
        <f t="shared" si="1033"/>
        <v>84</v>
      </c>
      <c r="C2867">
        <f t="shared" ca="1" si="1031"/>
        <v>81</v>
      </c>
      <c r="D2867" t="str">
        <f t="shared" si="1034"/>
        <v>F84</v>
      </c>
      <c r="E2867" t="str">
        <f t="shared" ca="1" si="1035"/>
        <v/>
      </c>
      <c r="F2867" t="str">
        <f t="shared" ca="1" si="1036"/>
        <v xml:space="preserve">Enter a 'Low-Income Units' for  building 81 in cell F84.
</v>
      </c>
      <c r="G2867" s="9" t="str">
        <f t="shared" ca="1" si="1029"/>
        <v xml:space="preserve">Enter a value for 'Number of Floors in the Tallest Building' in cell B60.
</v>
      </c>
      <c r="H2867" s="52" t="str">
        <f t="shared" ca="1" si="1037"/>
        <v>Low-Income Units</v>
      </c>
      <c r="I2867" s="52">
        <v>6</v>
      </c>
    </row>
    <row r="2868" spans="1:10" ht="15" customHeight="1">
      <c r="A2868" t="str">
        <f t="shared" ca="1" si="1032"/>
        <v/>
      </c>
      <c r="B2868">
        <f t="shared" si="1033"/>
        <v>84</v>
      </c>
      <c r="C2868">
        <f t="shared" ca="1" si="1031"/>
        <v>81</v>
      </c>
      <c r="D2868" t="str">
        <f t="shared" si="1034"/>
        <v>G84</v>
      </c>
      <c r="E2868" t="str">
        <f t="shared" ca="1" si="1035"/>
        <v/>
      </c>
      <c r="F2868" t="str">
        <f t="shared" ca="1" si="1036"/>
        <v xml:space="preserve">Enter a 'Residential Square Footage**' for  building 81 in cell G84.
</v>
      </c>
      <c r="G2868" s="9" t="str">
        <f t="shared" ca="1" si="1029"/>
        <v xml:space="preserve">Enter a value for 'Number of Floors in the Tallest Building' in cell B60.
</v>
      </c>
      <c r="H2868" s="52" t="str">
        <f t="shared" ca="1" si="1037"/>
        <v>Residential Square Footage**</v>
      </c>
      <c r="I2868" s="52">
        <v>7</v>
      </c>
    </row>
    <row r="2869" spans="1:10" ht="15" customHeight="1">
      <c r="A2869" t="str">
        <f t="shared" ca="1" si="1032"/>
        <v/>
      </c>
      <c r="B2869">
        <f t="shared" si="1033"/>
        <v>84</v>
      </c>
      <c r="C2869">
        <f t="shared" ca="1" si="1031"/>
        <v>81</v>
      </c>
      <c r="D2869" t="str">
        <f t="shared" si="1034"/>
        <v>H84</v>
      </c>
      <c r="E2869" t="str">
        <f t="shared" ca="1" si="1035"/>
        <v/>
      </c>
      <c r="F2869" t="str">
        <f t="shared" ca="1" si="1036"/>
        <v xml:space="preserve">Enter a 'Square Footage of Employee Units' for  building 81 in cell H84.
</v>
      </c>
      <c r="G2869" s="9" t="str">
        <f t="shared" ca="1" si="1029"/>
        <v xml:space="preserve">Enter a value for 'Number of Floors in the Tallest Building' in cell B60.
</v>
      </c>
      <c r="H2869" s="52" t="str">
        <f t="shared" ca="1" si="1037"/>
        <v>Square Footage of Employee Units</v>
      </c>
      <c r="I2869" s="52">
        <v>8</v>
      </c>
    </row>
    <row r="2870" spans="1:10" ht="15" customHeight="1">
      <c r="A2870" t="str">
        <f t="shared" ca="1" si="1032"/>
        <v/>
      </c>
      <c r="B2870">
        <f t="shared" si="1033"/>
        <v>84</v>
      </c>
      <c r="C2870">
        <f t="shared" ca="1" si="1031"/>
        <v>81</v>
      </c>
      <c r="D2870" t="str">
        <f t="shared" si="1034"/>
        <v>I84</v>
      </c>
      <c r="E2870" t="str">
        <f t="shared" ca="1" si="1035"/>
        <v/>
      </c>
      <c r="F2870" t="str">
        <f t="shared" ca="1" si="1036"/>
        <v xml:space="preserve">Enter a 'Square Footage of Low-Income Units' for  building 81 in cell I84.
</v>
      </c>
      <c r="G2870" s="9" t="str">
        <f t="shared" ca="1" si="1029"/>
        <v xml:space="preserve">Enter a value for 'Number of Floors in the Tallest Building' in cell B60.
</v>
      </c>
      <c r="H2870" s="52" t="str">
        <f t="shared" ca="1" si="1037"/>
        <v>Square Footage of Low-Income Units</v>
      </c>
      <c r="I2870" s="52">
        <v>9</v>
      </c>
    </row>
    <row r="2871" spans="1:10" ht="15" customHeight="1">
      <c r="A2871" t="str">
        <f t="shared" ca="1" si="1032"/>
        <v/>
      </c>
      <c r="B2871">
        <f t="shared" si="1033"/>
        <v>84</v>
      </c>
      <c r="C2871">
        <f t="shared" ca="1" si="1031"/>
        <v>81</v>
      </c>
      <c r="D2871" t="str">
        <f t="shared" si="1034"/>
        <v>J84</v>
      </c>
      <c r="E2871" t="str">
        <f t="shared" ca="1" si="1035"/>
        <v/>
      </c>
      <c r="F2871" t="str">
        <f t="shared" ca="1" si="1036"/>
        <v xml:space="preserve">Enter a 'Placed-In-Service Date' for  building 81 in cell J84.
</v>
      </c>
      <c r="G2871" s="9" t="str">
        <f t="shared" ca="1" si="1029"/>
        <v xml:space="preserve">Enter a value for 'Number of Floors in the Tallest Building' in cell B60.
</v>
      </c>
      <c r="H2871" s="52" t="str">
        <f t="shared" ca="1" si="1037"/>
        <v>Placed-In-Service Date</v>
      </c>
      <c r="I2871" s="52">
        <v>10</v>
      </c>
    </row>
    <row r="2872" spans="1:10" ht="15" customHeight="1">
      <c r="A2872" t="str">
        <f t="shared" ca="1" si="1032"/>
        <v/>
      </c>
      <c r="B2872">
        <f t="shared" si="1033"/>
        <v>84</v>
      </c>
      <c r="C2872">
        <f t="shared" ca="1" si="1031"/>
        <v>81</v>
      </c>
      <c r="D2872" t="str">
        <f t="shared" si="1034"/>
        <v>K84</v>
      </c>
      <c r="E2872" t="str">
        <f t="shared" ca="1" si="1035"/>
        <v/>
      </c>
      <c r="F2872" t="str">
        <f t="shared" ca="1" si="1036"/>
        <v xml:space="preserve">Enter a 'New Construction/ Rehab APR' for  building 81 in cell K84.
</v>
      </c>
      <c r="G2872" s="9" t="str">
        <f t="shared" ca="1" si="1029"/>
        <v xml:space="preserve">Enter a value for 'Number of Floors in the Tallest Building' in cell B60.
</v>
      </c>
      <c r="H2872" s="52" t="str">
        <f t="shared" ca="1" si="1037"/>
        <v>New Construction/ Rehab APR</v>
      </c>
      <c r="I2872" s="52">
        <v>11</v>
      </c>
    </row>
    <row r="2873" spans="1:10" ht="15" customHeight="1">
      <c r="A2873" t="str">
        <f t="shared" ca="1" si="1032"/>
        <v/>
      </c>
      <c r="B2873">
        <f t="shared" si="1033"/>
        <v>84</v>
      </c>
      <c r="C2873">
        <f t="shared" ca="1" si="1031"/>
        <v>81</v>
      </c>
      <c r="D2873" t="str">
        <f t="shared" si="1034"/>
        <v>L84</v>
      </c>
      <c r="E2873" t="str">
        <f t="shared" ca="1" si="1035"/>
        <v/>
      </c>
      <c r="F2873" t="str">
        <f t="shared" ca="1" si="1036"/>
        <v xml:space="preserve">Enter a 'New Construction Eligible Basis' for  building 81 in cell L84.
</v>
      </c>
      <c r="G2873" s="9" t="str">
        <f t="shared" ca="1" si="1029"/>
        <v xml:space="preserve">Enter a value for 'Number of Floors in the Tallest Building' in cell B60.
</v>
      </c>
      <c r="H2873" s="52" t="str">
        <f t="shared" ca="1" si="1037"/>
        <v>New Construction Eligible Basis</v>
      </c>
      <c r="I2873" s="52">
        <v>12</v>
      </c>
    </row>
    <row r="2874" spans="1:10" ht="15" customHeight="1">
      <c r="A2874" t="str">
        <f ca="1">IF(AND(OFFSET(A2874, -I2874 + 2, 4) &gt;  0, E2874="", Calculations!$B$7), F2874, "")</f>
        <v/>
      </c>
      <c r="B2874">
        <f t="shared" si="1033"/>
        <v>84</v>
      </c>
      <c r="C2874">
        <f t="shared" ca="1" si="1031"/>
        <v>81</v>
      </c>
      <c r="D2874" t="str">
        <f t="shared" si="1034"/>
        <v>M84</v>
      </c>
      <c r="E2874" t="str">
        <f t="shared" ca="1" si="1035"/>
        <v/>
      </c>
      <c r="F2874" t="str">
        <f t="shared" ca="1" si="1036"/>
        <v xml:space="preserve">Enter a 'Eligible Basis for Rehab' for  building 81 in cell M84.
</v>
      </c>
      <c r="G2874" s="9" t="str">
        <f t="shared" ca="1" si="1029"/>
        <v xml:space="preserve">Enter a value for 'Number of Floors in the Tallest Building' in cell B60.
</v>
      </c>
      <c r="H2874" s="52" t="str">
        <f t="shared" ca="1" si="1037"/>
        <v>Eligible Basis for Rehab</v>
      </c>
      <c r="I2874" s="52">
        <v>13</v>
      </c>
    </row>
    <row r="2875" spans="1:10" ht="15" customHeight="1">
      <c r="A2875" t="str">
        <f ca="1">IF(AND(OFFSET(A2875, -I2875 + 2, 4) &gt;  0, E2875="", Calculations!$B$7), F2875, "")</f>
        <v/>
      </c>
      <c r="B2875">
        <f t="shared" si="1033"/>
        <v>84</v>
      </c>
      <c r="C2875">
        <f t="shared" ca="1" si="1031"/>
        <v>81</v>
      </c>
      <c r="D2875" t="str">
        <f t="shared" si="1034"/>
        <v>N84</v>
      </c>
      <c r="E2875" t="str">
        <f t="shared" ca="1" si="1035"/>
        <v/>
      </c>
      <c r="F2875" t="str">
        <f t="shared" ca="1" si="1036"/>
        <v xml:space="preserve">Enter a 'Cost of Acquiring the Building***' for  building 81 in cell N84.
</v>
      </c>
      <c r="G2875" s="9" t="str">
        <f t="shared" ca="1" si="1029"/>
        <v xml:space="preserve">Enter a value for 'Number of Floors in the Tallest Building' in cell B60.
</v>
      </c>
      <c r="H2875" s="52" t="str">
        <f t="shared" ca="1" si="1037"/>
        <v>Cost of Acquiring the Building***</v>
      </c>
      <c r="I2875" s="52">
        <v>14</v>
      </c>
    </row>
    <row r="2876" spans="1:10" ht="15" customHeight="1">
      <c r="A2876" t="str">
        <f ca="1">IF(AND(OFFSET(A2876, -I2876 + 2, 4) &gt;  0, E2876="", Calculations!$B$7), F2876, "")</f>
        <v/>
      </c>
      <c r="B2876">
        <f t="shared" si="1033"/>
        <v>84</v>
      </c>
      <c r="C2876">
        <f t="shared" ca="1" si="1031"/>
        <v>81</v>
      </c>
      <c r="D2876" t="str">
        <f t="shared" si="1034"/>
        <v>O84</v>
      </c>
      <c r="E2876" t="str">
        <f t="shared" ca="1" si="1035"/>
        <v/>
      </c>
      <c r="F2876" t="str">
        <f t="shared" ca="1" si="1036"/>
        <v xml:space="preserve">Enter a 'Higher of Land Purchase Price or Land Appraised Value****' for  building 81 in cell O84.
</v>
      </c>
      <c r="G2876" s="9" t="str">
        <f t="shared" ca="1" si="1029"/>
        <v xml:space="preserve">Enter a value for 'Number of Floors in the Tallest Building' in cell B60.
</v>
      </c>
      <c r="H2876" s="52" t="str">
        <f t="shared" ca="1" si="1037"/>
        <v>Higher of Land Purchase Price or Land Appraised Value****</v>
      </c>
      <c r="I2876" s="52">
        <v>15</v>
      </c>
    </row>
    <row r="2877" spans="1:10" ht="15" customHeight="1">
      <c r="A2877" t="str">
        <f ca="1">IF(AND(OFFSET(A2877, -I2877 + 2, 4) &gt;  0, E2877="", Calculations!$B$7), F2877, "")</f>
        <v/>
      </c>
      <c r="B2877">
        <f t="shared" si="1033"/>
        <v>84</v>
      </c>
      <c r="C2877">
        <f t="shared" ca="1" si="1031"/>
        <v>81</v>
      </c>
      <c r="D2877" t="str">
        <f t="shared" si="1034"/>
        <v>P84</v>
      </c>
      <c r="E2877" t="str">
        <f t="shared" ca="1" si="1035"/>
        <v/>
      </c>
      <c r="F2877" t="str">
        <f t="shared" ca="1" si="1036"/>
        <v xml:space="preserve">Enter a 'Acquisition Placed-in-Service Date' for  building 81 in cell P84.
</v>
      </c>
      <c r="G2877" s="9" t="str">
        <f t="shared" ca="1" si="1029"/>
        <v xml:space="preserve">Enter a value for 'Number of Floors in the Tallest Building' in cell B60.
</v>
      </c>
      <c r="H2877" s="52" t="str">
        <f t="shared" ca="1" si="1037"/>
        <v>Acquisition Placed-in-Service Date</v>
      </c>
      <c r="I2877" s="52">
        <v>16</v>
      </c>
    </row>
    <row r="2878" spans="1:10" ht="15" customHeight="1">
      <c r="A2878" t="str">
        <f ca="1">IF(AND(OFFSET(A2878, -I2878 + 2, 4) &gt;  0, E2878="", Calculations!$B$7), F2878, "")</f>
        <v/>
      </c>
      <c r="B2878">
        <f t="shared" si="1033"/>
        <v>84</v>
      </c>
      <c r="C2878">
        <f t="shared" ca="1" si="1031"/>
        <v>81</v>
      </c>
      <c r="D2878" t="str">
        <f t="shared" si="1034"/>
        <v>Q84</v>
      </c>
      <c r="E2878" t="str">
        <f t="shared" ca="1" si="1035"/>
        <v/>
      </c>
      <c r="F2878" t="str">
        <f t="shared" ca="1" si="1036"/>
        <v xml:space="preserve">Enter a 'Acquisition APR' for  building 81 in cell Q84.
</v>
      </c>
      <c r="G2878" s="9" t="str">
        <f t="shared" ca="1" si="1029"/>
        <v xml:space="preserve">Enter a value for 'Number of Floors in the Tallest Building' in cell B60.
</v>
      </c>
      <c r="H2878" s="52" t="str">
        <f t="shared" ca="1" si="1037"/>
        <v>Acquisition APR</v>
      </c>
      <c r="I2878" s="52">
        <v>17</v>
      </c>
    </row>
    <row r="2879" spans="1:10" ht="15" customHeight="1">
      <c r="A2879" t="str">
        <f ca="1">IF(AND(Calculations!$B$4,Calculations!$B$29&gt;=C2879, E2879 &lt;&gt; 13),F2879,"")</f>
        <v/>
      </c>
      <c r="B2879">
        <f>ROW('Final Building Profile'!C85)</f>
        <v>85</v>
      </c>
      <c r="C2879">
        <f t="shared" ca="1" si="1031"/>
        <v>82</v>
      </c>
      <c r="D2879" t="str">
        <f>ADDRESS(B2879, 3,4  )</f>
        <v>C85</v>
      </c>
      <c r="E2879" s="52">
        <f ca="1">H2879+I2879</f>
        <v>0</v>
      </c>
      <c r="F2879" t="str">
        <f ca="1">CONCATENATE("Based upon the number of buildings specified, information for  building ", C2879, " required for a final application in row ", B2879, ".", CHAR(10))</f>
        <v xml:space="preserve">Based upon the number of buildings specified, information for  building 82 required for a final application in row 85.
</v>
      </c>
      <c r="G2879" s="9" t="str">
        <f t="shared" ca="1" si="1029"/>
        <v xml:space="preserve">Enter a value for 'Number of Floors in the Tallest Building' in cell B60.
</v>
      </c>
      <c r="H2879" s="52">
        <f ca="1">SUMPRODUCT(--ISTEXT(INDIRECT(J2879)))</f>
        <v>0</v>
      </c>
      <c r="I2879" s="52">
        <f ca="1">SUMPRODUCT(--ISNUMBER(INDIRECT(J2879)))</f>
        <v>0</v>
      </c>
      <c r="J2879" s="52" t="str">
        <f>$F$1565&amp; ADDRESS(B2879,3,4) &amp; ":" &amp; ADDRESS(B2879,15,4)</f>
        <v>'Final Building Profile'!C85:O85</v>
      </c>
    </row>
    <row r="2880" spans="1:10" ht="15" customHeight="1">
      <c r="A2880" t="str">
        <f t="shared" ref="A2880:A2889" ca="1" si="1038">IF(AND(OFFSET(A2880, -I2880 + 2, 4) &gt;  0, E2880=""), F2880, "")</f>
        <v/>
      </c>
      <c r="B2880">
        <f t="shared" ref="B2880:B2894" si="1039">B2879</f>
        <v>85</v>
      </c>
      <c r="C2880">
        <f t="shared" ca="1" si="1031"/>
        <v>82</v>
      </c>
      <c r="D2880" t="str">
        <f t="shared" ref="D2880:D2894" si="1040">ADDRESS(B2880, I2880,4  )</f>
        <v>C85</v>
      </c>
      <c r="E2880" t="str">
        <f t="shared" ref="E2880:E2894" ca="1" si="1041">IF(ISBLANK( INDIRECT($F$1565 &amp; D2880)),"", INDIRECT($F$1565 &amp; D2880))</f>
        <v/>
      </c>
      <c r="F2880" t="str">
        <f t="shared" ref="F2880:F2894" ca="1" si="1042">CONCATENATE("Enter a '"&amp; H2880 &amp;"' for  building ", C2880, " in cell ", D2880, ".", CHAR(10))</f>
        <v xml:space="preserve">Enter a 'Building Street Address Only 
(DO NOT ENTER CITY, STATE, OR ZIP)' for  building 82 in cell C85.
</v>
      </c>
      <c r="G2880" s="9" t="str">
        <f t="shared" ca="1" si="1029"/>
        <v xml:space="preserve">Enter a value for 'Number of Floors in the Tallest Building' in cell B60.
</v>
      </c>
      <c r="H2880" s="52" t="str">
        <f t="shared" ref="H2880:H2894" ca="1" si="1043">OFFSET(INDIRECT($F$1565 &amp; D2880), -B2880 + 3, 0)</f>
        <v>Building Street Address Only 
(DO NOT ENTER CITY, STATE, OR ZIP)</v>
      </c>
      <c r="I2880" s="52">
        <v>3</v>
      </c>
    </row>
    <row r="2881" spans="1:10" ht="15" customHeight="1">
      <c r="A2881" t="str">
        <f t="shared" ca="1" si="1038"/>
        <v/>
      </c>
      <c r="B2881">
        <f t="shared" si="1039"/>
        <v>85</v>
      </c>
      <c r="C2881">
        <f t="shared" ca="1" si="1031"/>
        <v>82</v>
      </c>
      <c r="D2881" t="str">
        <f t="shared" si="1040"/>
        <v>D85</v>
      </c>
      <c r="E2881" t="str">
        <f t="shared" ca="1" si="1041"/>
        <v/>
      </c>
      <c r="F2881" t="str">
        <f t="shared" ca="1" si="1042"/>
        <v xml:space="preserve">Enter a 'Total Units in Building*' for  building 82 in cell D85.
</v>
      </c>
      <c r="G2881" s="9" t="str">
        <f t="shared" ca="1" si="1029"/>
        <v xml:space="preserve">Enter a value for 'Number of Floors in the Tallest Building' in cell B60.
</v>
      </c>
      <c r="H2881" s="52" t="str">
        <f t="shared" ca="1" si="1043"/>
        <v>Total Units in Building*</v>
      </c>
      <c r="I2881" s="52">
        <v>4</v>
      </c>
    </row>
    <row r="2882" spans="1:10" ht="15" customHeight="1">
      <c r="A2882" t="str">
        <f t="shared" ca="1" si="1038"/>
        <v/>
      </c>
      <c r="B2882">
        <f t="shared" si="1039"/>
        <v>85</v>
      </c>
      <c r="C2882">
        <f t="shared" ca="1" si="1031"/>
        <v>82</v>
      </c>
      <c r="D2882" t="str">
        <f t="shared" si="1040"/>
        <v>E85</v>
      </c>
      <c r="E2882" t="str">
        <f t="shared" ca="1" si="1041"/>
        <v/>
      </c>
      <c r="F2882" t="str">
        <f t="shared" ca="1" si="1042"/>
        <v xml:space="preserve">Enter a 'Employee Units' for  building 82 in cell E85.
</v>
      </c>
      <c r="G2882" s="9" t="str">
        <f t="shared" ca="1" si="1029"/>
        <v xml:space="preserve">Enter a value for 'Number of Floors in the Tallest Building' in cell B60.
</v>
      </c>
      <c r="H2882" s="52" t="str">
        <f t="shared" ca="1" si="1043"/>
        <v>Employee Units</v>
      </c>
      <c r="I2882" s="52">
        <v>5</v>
      </c>
    </row>
    <row r="2883" spans="1:10" ht="15" customHeight="1">
      <c r="A2883" t="str">
        <f t="shared" ca="1" si="1038"/>
        <v/>
      </c>
      <c r="B2883">
        <f t="shared" si="1039"/>
        <v>85</v>
      </c>
      <c r="C2883">
        <f t="shared" ca="1" si="1031"/>
        <v>82</v>
      </c>
      <c r="D2883" t="str">
        <f t="shared" si="1040"/>
        <v>F85</v>
      </c>
      <c r="E2883" t="str">
        <f t="shared" ca="1" si="1041"/>
        <v/>
      </c>
      <c r="F2883" t="str">
        <f t="shared" ca="1" si="1042"/>
        <v xml:space="preserve">Enter a 'Low-Income Units' for  building 82 in cell F85.
</v>
      </c>
      <c r="G2883" s="9" t="str">
        <f t="shared" ca="1" si="1029"/>
        <v xml:space="preserve">Enter a value for 'Number of Floors in the Tallest Building' in cell B60.
</v>
      </c>
      <c r="H2883" s="52" t="str">
        <f t="shared" ca="1" si="1043"/>
        <v>Low-Income Units</v>
      </c>
      <c r="I2883" s="52">
        <v>6</v>
      </c>
    </row>
    <row r="2884" spans="1:10" ht="15" customHeight="1">
      <c r="A2884" t="str">
        <f t="shared" ca="1" si="1038"/>
        <v/>
      </c>
      <c r="B2884">
        <f t="shared" si="1039"/>
        <v>85</v>
      </c>
      <c r="C2884">
        <f t="shared" ca="1" si="1031"/>
        <v>82</v>
      </c>
      <c r="D2884" t="str">
        <f t="shared" si="1040"/>
        <v>G85</v>
      </c>
      <c r="E2884" t="str">
        <f t="shared" ca="1" si="1041"/>
        <v/>
      </c>
      <c r="F2884" t="str">
        <f t="shared" ca="1" si="1042"/>
        <v xml:space="preserve">Enter a 'Residential Square Footage**' for  building 82 in cell G85.
</v>
      </c>
      <c r="G2884" s="9" t="str">
        <f t="shared" ca="1" si="1029"/>
        <v xml:space="preserve">Enter a value for 'Number of Floors in the Tallest Building' in cell B60.
</v>
      </c>
      <c r="H2884" s="52" t="str">
        <f t="shared" ca="1" si="1043"/>
        <v>Residential Square Footage**</v>
      </c>
      <c r="I2884" s="52">
        <v>7</v>
      </c>
    </row>
    <row r="2885" spans="1:10" ht="15" customHeight="1">
      <c r="A2885" t="str">
        <f t="shared" ca="1" si="1038"/>
        <v/>
      </c>
      <c r="B2885">
        <f t="shared" si="1039"/>
        <v>85</v>
      </c>
      <c r="C2885">
        <f t="shared" ca="1" si="1031"/>
        <v>82</v>
      </c>
      <c r="D2885" t="str">
        <f t="shared" si="1040"/>
        <v>H85</v>
      </c>
      <c r="E2885" t="str">
        <f t="shared" ca="1" si="1041"/>
        <v/>
      </c>
      <c r="F2885" t="str">
        <f t="shared" ca="1" si="1042"/>
        <v xml:space="preserve">Enter a 'Square Footage of Employee Units' for  building 82 in cell H85.
</v>
      </c>
      <c r="G2885" s="9" t="str">
        <f t="shared" ca="1" si="1029"/>
        <v xml:space="preserve">Enter a value for 'Number of Floors in the Tallest Building' in cell B60.
</v>
      </c>
      <c r="H2885" s="52" t="str">
        <f t="shared" ca="1" si="1043"/>
        <v>Square Footage of Employee Units</v>
      </c>
      <c r="I2885" s="52">
        <v>8</v>
      </c>
    </row>
    <row r="2886" spans="1:10" ht="15" customHeight="1">
      <c r="A2886" t="str">
        <f t="shared" ca="1" si="1038"/>
        <v/>
      </c>
      <c r="B2886">
        <f t="shared" si="1039"/>
        <v>85</v>
      </c>
      <c r="C2886">
        <f t="shared" ca="1" si="1031"/>
        <v>82</v>
      </c>
      <c r="D2886" t="str">
        <f t="shared" si="1040"/>
        <v>I85</v>
      </c>
      <c r="E2886" t="str">
        <f t="shared" ca="1" si="1041"/>
        <v/>
      </c>
      <c r="F2886" t="str">
        <f t="shared" ca="1" si="1042"/>
        <v xml:space="preserve">Enter a 'Square Footage of Low-Income Units' for  building 82 in cell I85.
</v>
      </c>
      <c r="G2886" s="9" t="str">
        <f t="shared" ca="1" si="1029"/>
        <v xml:space="preserve">Enter a value for 'Number of Floors in the Tallest Building' in cell B60.
</v>
      </c>
      <c r="H2886" s="52" t="str">
        <f t="shared" ca="1" si="1043"/>
        <v>Square Footage of Low-Income Units</v>
      </c>
      <c r="I2886" s="52">
        <v>9</v>
      </c>
    </row>
    <row r="2887" spans="1:10" ht="15" customHeight="1">
      <c r="A2887" t="str">
        <f t="shared" ca="1" si="1038"/>
        <v/>
      </c>
      <c r="B2887">
        <f t="shared" si="1039"/>
        <v>85</v>
      </c>
      <c r="C2887">
        <f t="shared" ca="1" si="1031"/>
        <v>82</v>
      </c>
      <c r="D2887" t="str">
        <f t="shared" si="1040"/>
        <v>J85</v>
      </c>
      <c r="E2887" t="str">
        <f t="shared" ca="1" si="1041"/>
        <v/>
      </c>
      <c r="F2887" t="str">
        <f t="shared" ca="1" si="1042"/>
        <v xml:space="preserve">Enter a 'Placed-In-Service Date' for  building 82 in cell J85.
</v>
      </c>
      <c r="G2887" s="9" t="str">
        <f t="shared" ca="1" si="1029"/>
        <v xml:space="preserve">Enter a value for 'Number of Floors in the Tallest Building' in cell B60.
</v>
      </c>
      <c r="H2887" s="52" t="str">
        <f t="shared" ca="1" si="1043"/>
        <v>Placed-In-Service Date</v>
      </c>
      <c r="I2887" s="52">
        <v>10</v>
      </c>
    </row>
    <row r="2888" spans="1:10" ht="15" customHeight="1">
      <c r="A2888" t="str">
        <f t="shared" ca="1" si="1038"/>
        <v/>
      </c>
      <c r="B2888">
        <f t="shared" si="1039"/>
        <v>85</v>
      </c>
      <c r="C2888">
        <f t="shared" ca="1" si="1031"/>
        <v>82</v>
      </c>
      <c r="D2888" t="str">
        <f t="shared" si="1040"/>
        <v>K85</v>
      </c>
      <c r="E2888" t="str">
        <f t="shared" ca="1" si="1041"/>
        <v/>
      </c>
      <c r="F2888" t="str">
        <f t="shared" ca="1" si="1042"/>
        <v xml:space="preserve">Enter a 'New Construction/ Rehab APR' for  building 82 in cell K85.
</v>
      </c>
      <c r="G2888" s="9" t="str">
        <f t="shared" ca="1" si="1029"/>
        <v xml:space="preserve">Enter a value for 'Number of Floors in the Tallest Building' in cell B60.
</v>
      </c>
      <c r="H2888" s="52" t="str">
        <f t="shared" ca="1" si="1043"/>
        <v>New Construction/ Rehab APR</v>
      </c>
      <c r="I2888" s="52">
        <v>11</v>
      </c>
    </row>
    <row r="2889" spans="1:10" ht="15" customHeight="1">
      <c r="A2889" t="str">
        <f t="shared" ca="1" si="1038"/>
        <v/>
      </c>
      <c r="B2889">
        <f t="shared" si="1039"/>
        <v>85</v>
      </c>
      <c r="C2889">
        <f t="shared" ca="1" si="1031"/>
        <v>82</v>
      </c>
      <c r="D2889" t="str">
        <f t="shared" si="1040"/>
        <v>L85</v>
      </c>
      <c r="E2889" t="str">
        <f t="shared" ca="1" si="1041"/>
        <v/>
      </c>
      <c r="F2889" t="str">
        <f t="shared" ca="1" si="1042"/>
        <v xml:space="preserve">Enter a 'New Construction Eligible Basis' for  building 82 in cell L85.
</v>
      </c>
      <c r="G2889" s="9" t="str">
        <f t="shared" ca="1" si="1029"/>
        <v xml:space="preserve">Enter a value for 'Number of Floors in the Tallest Building' in cell B60.
</v>
      </c>
      <c r="H2889" s="52" t="str">
        <f t="shared" ca="1" si="1043"/>
        <v>New Construction Eligible Basis</v>
      </c>
      <c r="I2889" s="52">
        <v>12</v>
      </c>
    </row>
    <row r="2890" spans="1:10" ht="15" customHeight="1">
      <c r="A2890" t="str">
        <f ca="1">IF(AND(OFFSET(A2890, -I2890 + 2, 4) &gt;  0, E2890="", Calculations!$B$7), F2890, "")</f>
        <v/>
      </c>
      <c r="B2890">
        <f t="shared" si="1039"/>
        <v>85</v>
      </c>
      <c r="C2890">
        <f t="shared" ca="1" si="1031"/>
        <v>82</v>
      </c>
      <c r="D2890" t="str">
        <f t="shared" si="1040"/>
        <v>M85</v>
      </c>
      <c r="E2890" t="str">
        <f t="shared" ca="1" si="1041"/>
        <v/>
      </c>
      <c r="F2890" t="str">
        <f t="shared" ca="1" si="1042"/>
        <v xml:space="preserve">Enter a 'Eligible Basis for Rehab' for  building 82 in cell M85.
</v>
      </c>
      <c r="G2890" s="9" t="str">
        <f t="shared" ca="1" si="1029"/>
        <v xml:space="preserve">Enter a value for 'Number of Floors in the Tallest Building' in cell B60.
</v>
      </c>
      <c r="H2890" s="52" t="str">
        <f t="shared" ca="1" si="1043"/>
        <v>Eligible Basis for Rehab</v>
      </c>
      <c r="I2890" s="52">
        <v>13</v>
      </c>
    </row>
    <row r="2891" spans="1:10" ht="15" customHeight="1">
      <c r="A2891" t="str">
        <f ca="1">IF(AND(OFFSET(A2891, -I2891 + 2, 4) &gt;  0, E2891="", Calculations!$B$7), F2891, "")</f>
        <v/>
      </c>
      <c r="B2891">
        <f t="shared" si="1039"/>
        <v>85</v>
      </c>
      <c r="C2891">
        <f t="shared" ca="1" si="1031"/>
        <v>82</v>
      </c>
      <c r="D2891" t="str">
        <f t="shared" si="1040"/>
        <v>N85</v>
      </c>
      <c r="E2891" t="str">
        <f t="shared" ca="1" si="1041"/>
        <v/>
      </c>
      <c r="F2891" t="str">
        <f t="shared" ca="1" si="1042"/>
        <v xml:space="preserve">Enter a 'Cost of Acquiring the Building***' for  building 82 in cell N85.
</v>
      </c>
      <c r="G2891" s="9" t="str">
        <f t="shared" ca="1" si="1029"/>
        <v xml:space="preserve">Enter a value for 'Number of Floors in the Tallest Building' in cell B60.
</v>
      </c>
      <c r="H2891" s="52" t="str">
        <f t="shared" ca="1" si="1043"/>
        <v>Cost of Acquiring the Building***</v>
      </c>
      <c r="I2891" s="52">
        <v>14</v>
      </c>
    </row>
    <row r="2892" spans="1:10" ht="15" customHeight="1">
      <c r="A2892" t="str">
        <f ca="1">IF(AND(OFFSET(A2892, -I2892 + 2, 4) &gt;  0, E2892="", Calculations!$B$7), F2892, "")</f>
        <v/>
      </c>
      <c r="B2892">
        <f t="shared" si="1039"/>
        <v>85</v>
      </c>
      <c r="C2892">
        <f t="shared" ca="1" si="1031"/>
        <v>82</v>
      </c>
      <c r="D2892" t="str">
        <f t="shared" si="1040"/>
        <v>O85</v>
      </c>
      <c r="E2892" t="str">
        <f t="shared" ca="1" si="1041"/>
        <v/>
      </c>
      <c r="F2892" t="str">
        <f t="shared" ca="1" si="1042"/>
        <v xml:space="preserve">Enter a 'Higher of Land Purchase Price or Land Appraised Value****' for  building 82 in cell O85.
</v>
      </c>
      <c r="G2892" s="9" t="str">
        <f t="shared" ca="1" si="1029"/>
        <v xml:space="preserve">Enter a value for 'Number of Floors in the Tallest Building' in cell B60.
</v>
      </c>
      <c r="H2892" s="52" t="str">
        <f t="shared" ca="1" si="1043"/>
        <v>Higher of Land Purchase Price or Land Appraised Value****</v>
      </c>
      <c r="I2892" s="52">
        <v>15</v>
      </c>
    </row>
    <row r="2893" spans="1:10" ht="15" customHeight="1">
      <c r="A2893" t="str">
        <f ca="1">IF(AND(OFFSET(A2893, -I2893 + 2, 4) &gt;  0, E2893="", Calculations!$B$7), F2893, "")</f>
        <v/>
      </c>
      <c r="B2893">
        <f t="shared" si="1039"/>
        <v>85</v>
      </c>
      <c r="C2893">
        <f t="shared" ca="1" si="1031"/>
        <v>82</v>
      </c>
      <c r="D2893" t="str">
        <f t="shared" si="1040"/>
        <v>P85</v>
      </c>
      <c r="E2893" t="str">
        <f t="shared" ca="1" si="1041"/>
        <v/>
      </c>
      <c r="F2893" t="str">
        <f t="shared" ca="1" si="1042"/>
        <v xml:space="preserve">Enter a 'Acquisition Placed-in-Service Date' for  building 82 in cell P85.
</v>
      </c>
      <c r="G2893" s="9" t="str">
        <f t="shared" ca="1" si="1029"/>
        <v xml:space="preserve">Enter a value for 'Number of Floors in the Tallest Building' in cell B60.
</v>
      </c>
      <c r="H2893" s="52" t="str">
        <f t="shared" ca="1" si="1043"/>
        <v>Acquisition Placed-in-Service Date</v>
      </c>
      <c r="I2893" s="52">
        <v>16</v>
      </c>
    </row>
    <row r="2894" spans="1:10" ht="15" customHeight="1">
      <c r="A2894" t="str">
        <f ca="1">IF(AND(OFFSET(A2894, -I2894 + 2, 4) &gt;  0, E2894="", Calculations!$B$7), F2894, "")</f>
        <v/>
      </c>
      <c r="B2894">
        <f t="shared" si="1039"/>
        <v>85</v>
      </c>
      <c r="C2894">
        <f t="shared" ca="1" si="1031"/>
        <v>82</v>
      </c>
      <c r="D2894" t="str">
        <f t="shared" si="1040"/>
        <v>Q85</v>
      </c>
      <c r="E2894" t="str">
        <f t="shared" ca="1" si="1041"/>
        <v/>
      </c>
      <c r="F2894" t="str">
        <f t="shared" ca="1" si="1042"/>
        <v xml:space="preserve">Enter a 'Acquisition APR' for  building 82 in cell Q85.
</v>
      </c>
      <c r="G2894" s="9" t="str">
        <f t="shared" ca="1" si="1029"/>
        <v xml:space="preserve">Enter a value for 'Number of Floors in the Tallest Building' in cell B60.
</v>
      </c>
      <c r="H2894" s="52" t="str">
        <f t="shared" ca="1" si="1043"/>
        <v>Acquisition APR</v>
      </c>
      <c r="I2894" s="52">
        <v>17</v>
      </c>
    </row>
    <row r="2895" spans="1:10" ht="15" customHeight="1">
      <c r="A2895" t="str">
        <f ca="1">IF(AND(Calculations!$B$4,Calculations!$B$29&gt;=C2895, E2895 &lt;&gt; 13),F2895,"")</f>
        <v/>
      </c>
      <c r="B2895">
        <f>ROW('Final Building Profile'!C86)</f>
        <v>86</v>
      </c>
      <c r="C2895">
        <f t="shared" ca="1" si="1031"/>
        <v>83</v>
      </c>
      <c r="D2895" t="str">
        <f>ADDRESS(B2895, 3,4  )</f>
        <v>C86</v>
      </c>
      <c r="E2895" s="52">
        <f ca="1">H2895+I2895</f>
        <v>0</v>
      </c>
      <c r="F2895" t="str">
        <f ca="1">CONCATENATE("Based upon the number of buildings specified, information for  building ", C2895, " required for a final application in row ", B2895, ".", CHAR(10))</f>
        <v xml:space="preserve">Based upon the number of buildings specified, information for  building 83 required for a final application in row 86.
</v>
      </c>
      <c r="G2895" s="9" t="str">
        <f t="shared" ca="1" si="1029"/>
        <v xml:space="preserve">Enter a value for 'Number of Floors in the Tallest Building' in cell B60.
</v>
      </c>
      <c r="H2895" s="52">
        <f ca="1">SUMPRODUCT(--ISTEXT(INDIRECT(J2895)))</f>
        <v>0</v>
      </c>
      <c r="I2895" s="52">
        <f ca="1">SUMPRODUCT(--ISNUMBER(INDIRECT(J2895)))</f>
        <v>0</v>
      </c>
      <c r="J2895" s="52" t="str">
        <f>$F$1565&amp; ADDRESS(B2895,3,4) &amp; ":" &amp; ADDRESS(B2895,15,4)</f>
        <v>'Final Building Profile'!C86:O86</v>
      </c>
    </row>
    <row r="2896" spans="1:10" ht="15" customHeight="1">
      <c r="A2896" t="str">
        <f t="shared" ref="A2896:A2905" ca="1" si="1044">IF(AND(OFFSET(A2896, -I2896 + 2, 4) &gt;  0, E2896=""), F2896, "")</f>
        <v/>
      </c>
      <c r="B2896">
        <f t="shared" ref="B2896:B2910" si="1045">B2895</f>
        <v>86</v>
      </c>
      <c r="C2896">
        <f t="shared" ca="1" si="1031"/>
        <v>83</v>
      </c>
      <c r="D2896" t="str">
        <f t="shared" ref="D2896:D2910" si="1046">ADDRESS(B2896, I2896,4  )</f>
        <v>C86</v>
      </c>
      <c r="E2896" t="str">
        <f t="shared" ref="E2896:E2910" ca="1" si="1047">IF(ISBLANK( INDIRECT($F$1565 &amp; D2896)),"", INDIRECT($F$1565 &amp; D2896))</f>
        <v/>
      </c>
      <c r="F2896" t="str">
        <f t="shared" ref="F2896:F2910" ca="1" si="1048">CONCATENATE("Enter a '"&amp; H2896 &amp;"' for  building ", C2896, " in cell ", D2896, ".", CHAR(10))</f>
        <v xml:space="preserve">Enter a 'Building Street Address Only 
(DO NOT ENTER CITY, STATE, OR ZIP)' for  building 83 in cell C86.
</v>
      </c>
      <c r="G2896" s="9" t="str">
        <f t="shared" ca="1" si="1029"/>
        <v xml:space="preserve">Enter a value for 'Number of Floors in the Tallest Building' in cell B60.
</v>
      </c>
      <c r="H2896" s="52" t="str">
        <f t="shared" ref="H2896:H2910" ca="1" si="1049">OFFSET(INDIRECT($F$1565 &amp; D2896), -B2896 + 3, 0)</f>
        <v>Building Street Address Only 
(DO NOT ENTER CITY, STATE, OR ZIP)</v>
      </c>
      <c r="I2896" s="52">
        <v>3</v>
      </c>
    </row>
    <row r="2897" spans="1:10" ht="15" customHeight="1">
      <c r="A2897" t="str">
        <f t="shared" ca="1" si="1044"/>
        <v/>
      </c>
      <c r="B2897">
        <f t="shared" si="1045"/>
        <v>86</v>
      </c>
      <c r="C2897">
        <f t="shared" ca="1" si="1031"/>
        <v>83</v>
      </c>
      <c r="D2897" t="str">
        <f t="shared" si="1046"/>
        <v>D86</v>
      </c>
      <c r="E2897" t="str">
        <f t="shared" ca="1" si="1047"/>
        <v/>
      </c>
      <c r="F2897" t="str">
        <f t="shared" ca="1" si="1048"/>
        <v xml:space="preserve">Enter a 'Total Units in Building*' for  building 83 in cell D86.
</v>
      </c>
      <c r="G2897" s="9" t="str">
        <f t="shared" ca="1" si="1029"/>
        <v xml:space="preserve">Enter a value for 'Number of Floors in the Tallest Building' in cell B60.
</v>
      </c>
      <c r="H2897" s="52" t="str">
        <f t="shared" ca="1" si="1049"/>
        <v>Total Units in Building*</v>
      </c>
      <c r="I2897" s="52">
        <v>4</v>
      </c>
    </row>
    <row r="2898" spans="1:10" ht="15" customHeight="1">
      <c r="A2898" t="str">
        <f t="shared" ca="1" si="1044"/>
        <v/>
      </c>
      <c r="B2898">
        <f t="shared" si="1045"/>
        <v>86</v>
      </c>
      <c r="C2898">
        <f t="shared" ca="1" si="1031"/>
        <v>83</v>
      </c>
      <c r="D2898" t="str">
        <f t="shared" si="1046"/>
        <v>E86</v>
      </c>
      <c r="E2898" t="str">
        <f t="shared" ca="1" si="1047"/>
        <v/>
      </c>
      <c r="F2898" t="str">
        <f t="shared" ca="1" si="1048"/>
        <v xml:space="preserve">Enter a 'Employee Units' for  building 83 in cell E86.
</v>
      </c>
      <c r="G2898" s="9" t="str">
        <f t="shared" ca="1" si="1029"/>
        <v xml:space="preserve">Enter a value for 'Number of Floors in the Tallest Building' in cell B60.
</v>
      </c>
      <c r="H2898" s="52" t="str">
        <f t="shared" ca="1" si="1049"/>
        <v>Employee Units</v>
      </c>
      <c r="I2898" s="52">
        <v>5</v>
      </c>
    </row>
    <row r="2899" spans="1:10" ht="15" customHeight="1">
      <c r="A2899" t="str">
        <f t="shared" ca="1" si="1044"/>
        <v/>
      </c>
      <c r="B2899">
        <f t="shared" si="1045"/>
        <v>86</v>
      </c>
      <c r="C2899">
        <f t="shared" ca="1" si="1031"/>
        <v>83</v>
      </c>
      <c r="D2899" t="str">
        <f t="shared" si="1046"/>
        <v>F86</v>
      </c>
      <c r="E2899" t="str">
        <f t="shared" ca="1" si="1047"/>
        <v/>
      </c>
      <c r="F2899" t="str">
        <f t="shared" ca="1" si="1048"/>
        <v xml:space="preserve">Enter a 'Low-Income Units' for  building 83 in cell F86.
</v>
      </c>
      <c r="G2899" s="9" t="str">
        <f t="shared" ca="1" si="1029"/>
        <v xml:space="preserve">Enter a value for 'Number of Floors in the Tallest Building' in cell B60.
</v>
      </c>
      <c r="H2899" s="52" t="str">
        <f t="shared" ca="1" si="1049"/>
        <v>Low-Income Units</v>
      </c>
      <c r="I2899" s="52">
        <v>6</v>
      </c>
    </row>
    <row r="2900" spans="1:10" ht="15" customHeight="1">
      <c r="A2900" t="str">
        <f t="shared" ca="1" si="1044"/>
        <v/>
      </c>
      <c r="B2900">
        <f t="shared" si="1045"/>
        <v>86</v>
      </c>
      <c r="C2900">
        <f t="shared" ca="1" si="1031"/>
        <v>83</v>
      </c>
      <c r="D2900" t="str">
        <f t="shared" si="1046"/>
        <v>G86</v>
      </c>
      <c r="E2900" t="str">
        <f t="shared" ca="1" si="1047"/>
        <v/>
      </c>
      <c r="F2900" t="str">
        <f t="shared" ca="1" si="1048"/>
        <v xml:space="preserve">Enter a 'Residential Square Footage**' for  building 83 in cell G86.
</v>
      </c>
      <c r="G2900" s="9" t="str">
        <f t="shared" ca="1" si="1029"/>
        <v xml:space="preserve">Enter a value for 'Number of Floors in the Tallest Building' in cell B60.
</v>
      </c>
      <c r="H2900" s="52" t="str">
        <f t="shared" ca="1" si="1049"/>
        <v>Residential Square Footage**</v>
      </c>
      <c r="I2900" s="52">
        <v>7</v>
      </c>
    </row>
    <row r="2901" spans="1:10" ht="15" customHeight="1">
      <c r="A2901" t="str">
        <f t="shared" ca="1" si="1044"/>
        <v/>
      </c>
      <c r="B2901">
        <f t="shared" si="1045"/>
        <v>86</v>
      </c>
      <c r="C2901">
        <f t="shared" ca="1" si="1031"/>
        <v>83</v>
      </c>
      <c r="D2901" t="str">
        <f t="shared" si="1046"/>
        <v>H86</v>
      </c>
      <c r="E2901" t="str">
        <f t="shared" ca="1" si="1047"/>
        <v/>
      </c>
      <c r="F2901" t="str">
        <f t="shared" ca="1" si="1048"/>
        <v xml:space="preserve">Enter a 'Square Footage of Employee Units' for  building 83 in cell H86.
</v>
      </c>
      <c r="G2901" s="9" t="str">
        <f t="shared" ca="1" si="1029"/>
        <v xml:space="preserve">Enter a value for 'Number of Floors in the Tallest Building' in cell B60.
</v>
      </c>
      <c r="H2901" s="52" t="str">
        <f t="shared" ca="1" si="1049"/>
        <v>Square Footage of Employee Units</v>
      </c>
      <c r="I2901" s="52">
        <v>8</v>
      </c>
    </row>
    <row r="2902" spans="1:10" ht="15" customHeight="1">
      <c r="A2902" t="str">
        <f t="shared" ca="1" si="1044"/>
        <v/>
      </c>
      <c r="B2902">
        <f t="shared" si="1045"/>
        <v>86</v>
      </c>
      <c r="C2902">
        <f t="shared" ca="1" si="1031"/>
        <v>83</v>
      </c>
      <c r="D2902" t="str">
        <f t="shared" si="1046"/>
        <v>I86</v>
      </c>
      <c r="E2902" t="str">
        <f t="shared" ca="1" si="1047"/>
        <v/>
      </c>
      <c r="F2902" t="str">
        <f t="shared" ca="1" si="1048"/>
        <v xml:space="preserve">Enter a 'Square Footage of Low-Income Units' for  building 83 in cell I86.
</v>
      </c>
      <c r="G2902" s="9" t="str">
        <f t="shared" ca="1" si="1029"/>
        <v xml:space="preserve">Enter a value for 'Number of Floors in the Tallest Building' in cell B60.
</v>
      </c>
      <c r="H2902" s="52" t="str">
        <f t="shared" ca="1" si="1049"/>
        <v>Square Footage of Low-Income Units</v>
      </c>
      <c r="I2902" s="52">
        <v>9</v>
      </c>
    </row>
    <row r="2903" spans="1:10" ht="15" customHeight="1">
      <c r="A2903" t="str">
        <f t="shared" ca="1" si="1044"/>
        <v/>
      </c>
      <c r="B2903">
        <f t="shared" si="1045"/>
        <v>86</v>
      </c>
      <c r="C2903">
        <f t="shared" ca="1" si="1031"/>
        <v>83</v>
      </c>
      <c r="D2903" t="str">
        <f t="shared" si="1046"/>
        <v>J86</v>
      </c>
      <c r="E2903" t="str">
        <f t="shared" ca="1" si="1047"/>
        <v/>
      </c>
      <c r="F2903" t="str">
        <f t="shared" ca="1" si="1048"/>
        <v xml:space="preserve">Enter a 'Placed-In-Service Date' for  building 83 in cell J86.
</v>
      </c>
      <c r="G2903" s="9" t="str">
        <f t="shared" ca="1" si="1029"/>
        <v xml:space="preserve">Enter a value for 'Number of Floors in the Tallest Building' in cell B60.
</v>
      </c>
      <c r="H2903" s="52" t="str">
        <f t="shared" ca="1" si="1049"/>
        <v>Placed-In-Service Date</v>
      </c>
      <c r="I2903" s="52">
        <v>10</v>
      </c>
    </row>
    <row r="2904" spans="1:10" ht="15" customHeight="1">
      <c r="A2904" t="str">
        <f t="shared" ca="1" si="1044"/>
        <v/>
      </c>
      <c r="B2904">
        <f t="shared" si="1045"/>
        <v>86</v>
      </c>
      <c r="C2904">
        <f t="shared" ca="1" si="1031"/>
        <v>83</v>
      </c>
      <c r="D2904" t="str">
        <f t="shared" si="1046"/>
        <v>K86</v>
      </c>
      <c r="E2904" t="str">
        <f t="shared" ca="1" si="1047"/>
        <v/>
      </c>
      <c r="F2904" t="str">
        <f t="shared" ca="1" si="1048"/>
        <v xml:space="preserve">Enter a 'New Construction/ Rehab APR' for  building 83 in cell K86.
</v>
      </c>
      <c r="G2904" s="9" t="str">
        <f t="shared" ca="1" si="1029"/>
        <v xml:space="preserve">Enter a value for 'Number of Floors in the Tallest Building' in cell B60.
</v>
      </c>
      <c r="H2904" s="52" t="str">
        <f t="shared" ca="1" si="1049"/>
        <v>New Construction/ Rehab APR</v>
      </c>
      <c r="I2904" s="52">
        <v>11</v>
      </c>
    </row>
    <row r="2905" spans="1:10" ht="15" customHeight="1">
      <c r="A2905" t="str">
        <f t="shared" ca="1" si="1044"/>
        <v/>
      </c>
      <c r="B2905">
        <f t="shared" si="1045"/>
        <v>86</v>
      </c>
      <c r="C2905">
        <f t="shared" ca="1" si="1031"/>
        <v>83</v>
      </c>
      <c r="D2905" t="str">
        <f t="shared" si="1046"/>
        <v>L86</v>
      </c>
      <c r="E2905" t="str">
        <f t="shared" ca="1" si="1047"/>
        <v/>
      </c>
      <c r="F2905" t="str">
        <f t="shared" ca="1" si="1048"/>
        <v xml:space="preserve">Enter a 'New Construction Eligible Basis' for  building 83 in cell L86.
</v>
      </c>
      <c r="G2905" s="9" t="str">
        <f t="shared" ca="1" si="1029"/>
        <v xml:space="preserve">Enter a value for 'Number of Floors in the Tallest Building' in cell B60.
</v>
      </c>
      <c r="H2905" s="52" t="str">
        <f t="shared" ca="1" si="1049"/>
        <v>New Construction Eligible Basis</v>
      </c>
      <c r="I2905" s="52">
        <v>12</v>
      </c>
    </row>
    <row r="2906" spans="1:10" ht="15" customHeight="1">
      <c r="A2906" t="str">
        <f ca="1">IF(AND(OFFSET(A2906, -I2906 + 2, 4) &gt;  0, E2906="", Calculations!$B$7), F2906, "")</f>
        <v/>
      </c>
      <c r="B2906">
        <f t="shared" si="1045"/>
        <v>86</v>
      </c>
      <c r="C2906">
        <f t="shared" ca="1" si="1031"/>
        <v>83</v>
      </c>
      <c r="D2906" t="str">
        <f t="shared" si="1046"/>
        <v>M86</v>
      </c>
      <c r="E2906" t="str">
        <f t="shared" ca="1" si="1047"/>
        <v/>
      </c>
      <c r="F2906" t="str">
        <f t="shared" ca="1" si="1048"/>
        <v xml:space="preserve">Enter a 'Eligible Basis for Rehab' for  building 83 in cell M86.
</v>
      </c>
      <c r="G2906" s="9" t="str">
        <f t="shared" ca="1" si="1029"/>
        <v xml:space="preserve">Enter a value for 'Number of Floors in the Tallest Building' in cell B60.
</v>
      </c>
      <c r="H2906" s="52" t="str">
        <f t="shared" ca="1" si="1049"/>
        <v>Eligible Basis for Rehab</v>
      </c>
      <c r="I2906" s="52">
        <v>13</v>
      </c>
    </row>
    <row r="2907" spans="1:10" ht="15" customHeight="1">
      <c r="A2907" t="str">
        <f ca="1">IF(AND(OFFSET(A2907, -I2907 + 2, 4) &gt;  0, E2907="", Calculations!$B$7), F2907, "")</f>
        <v/>
      </c>
      <c r="B2907">
        <f t="shared" si="1045"/>
        <v>86</v>
      </c>
      <c r="C2907">
        <f t="shared" ca="1" si="1031"/>
        <v>83</v>
      </c>
      <c r="D2907" t="str">
        <f t="shared" si="1046"/>
        <v>N86</v>
      </c>
      <c r="E2907" t="str">
        <f t="shared" ca="1" si="1047"/>
        <v/>
      </c>
      <c r="F2907" t="str">
        <f t="shared" ca="1" si="1048"/>
        <v xml:space="preserve">Enter a 'Cost of Acquiring the Building***' for  building 83 in cell N86.
</v>
      </c>
      <c r="G2907" s="9" t="str">
        <f t="shared" ca="1" si="1029"/>
        <v xml:space="preserve">Enter a value for 'Number of Floors in the Tallest Building' in cell B60.
</v>
      </c>
      <c r="H2907" s="52" t="str">
        <f t="shared" ca="1" si="1049"/>
        <v>Cost of Acquiring the Building***</v>
      </c>
      <c r="I2907" s="52">
        <v>14</v>
      </c>
    </row>
    <row r="2908" spans="1:10" ht="15" customHeight="1">
      <c r="A2908" t="str">
        <f ca="1">IF(AND(OFFSET(A2908, -I2908 + 2, 4) &gt;  0, E2908="", Calculations!$B$7), F2908, "")</f>
        <v/>
      </c>
      <c r="B2908">
        <f t="shared" si="1045"/>
        <v>86</v>
      </c>
      <c r="C2908">
        <f t="shared" ca="1" si="1031"/>
        <v>83</v>
      </c>
      <c r="D2908" t="str">
        <f t="shared" si="1046"/>
        <v>O86</v>
      </c>
      <c r="E2908" t="str">
        <f t="shared" ca="1" si="1047"/>
        <v/>
      </c>
      <c r="F2908" t="str">
        <f t="shared" ca="1" si="1048"/>
        <v xml:space="preserve">Enter a 'Higher of Land Purchase Price or Land Appraised Value****' for  building 83 in cell O86.
</v>
      </c>
      <c r="G2908" s="9" t="str">
        <f t="shared" ca="1" si="1029"/>
        <v xml:space="preserve">Enter a value for 'Number of Floors in the Tallest Building' in cell B60.
</v>
      </c>
      <c r="H2908" s="52" t="str">
        <f t="shared" ca="1" si="1049"/>
        <v>Higher of Land Purchase Price or Land Appraised Value****</v>
      </c>
      <c r="I2908" s="52">
        <v>15</v>
      </c>
    </row>
    <row r="2909" spans="1:10" ht="15" customHeight="1">
      <c r="A2909" t="str">
        <f ca="1">IF(AND(OFFSET(A2909, -I2909 + 2, 4) &gt;  0, E2909="", Calculations!$B$7), F2909, "")</f>
        <v/>
      </c>
      <c r="B2909">
        <f t="shared" si="1045"/>
        <v>86</v>
      </c>
      <c r="C2909">
        <f t="shared" ca="1" si="1031"/>
        <v>83</v>
      </c>
      <c r="D2909" t="str">
        <f t="shared" si="1046"/>
        <v>P86</v>
      </c>
      <c r="E2909" t="str">
        <f t="shared" ca="1" si="1047"/>
        <v/>
      </c>
      <c r="F2909" t="str">
        <f t="shared" ca="1" si="1048"/>
        <v xml:space="preserve">Enter a 'Acquisition Placed-in-Service Date' for  building 83 in cell P86.
</v>
      </c>
      <c r="G2909" s="9" t="str">
        <f t="shared" ca="1" si="1029"/>
        <v xml:space="preserve">Enter a value for 'Number of Floors in the Tallest Building' in cell B60.
</v>
      </c>
      <c r="H2909" s="52" t="str">
        <f t="shared" ca="1" si="1049"/>
        <v>Acquisition Placed-in-Service Date</v>
      </c>
      <c r="I2909" s="52">
        <v>16</v>
      </c>
    </row>
    <row r="2910" spans="1:10" ht="15" customHeight="1">
      <c r="A2910" t="str">
        <f ca="1">IF(AND(OFFSET(A2910, -I2910 + 2, 4) &gt;  0, E2910="", Calculations!$B$7), F2910, "")</f>
        <v/>
      </c>
      <c r="B2910">
        <f t="shared" si="1045"/>
        <v>86</v>
      </c>
      <c r="C2910">
        <f t="shared" ca="1" si="1031"/>
        <v>83</v>
      </c>
      <c r="D2910" t="str">
        <f t="shared" si="1046"/>
        <v>Q86</v>
      </c>
      <c r="E2910" t="str">
        <f t="shared" ca="1" si="1047"/>
        <v/>
      </c>
      <c r="F2910" t="str">
        <f t="shared" ca="1" si="1048"/>
        <v xml:space="preserve">Enter a 'Acquisition APR' for  building 83 in cell Q86.
</v>
      </c>
      <c r="G2910" s="9" t="str">
        <f t="shared" ca="1" si="1029"/>
        <v xml:space="preserve">Enter a value for 'Number of Floors in the Tallest Building' in cell B60.
</v>
      </c>
      <c r="H2910" s="52" t="str">
        <f t="shared" ca="1" si="1049"/>
        <v>Acquisition APR</v>
      </c>
      <c r="I2910" s="52">
        <v>17</v>
      </c>
    </row>
    <row r="2911" spans="1:10" ht="15" customHeight="1">
      <c r="A2911" t="str">
        <f ca="1">IF(AND(Calculations!$B$4,Calculations!$B$29&gt;=C2911, E2911 &lt;&gt; 13),F2911,"")</f>
        <v/>
      </c>
      <c r="B2911">
        <f>ROW('Final Building Profile'!C87)</f>
        <v>87</v>
      </c>
      <c r="C2911">
        <f t="shared" ca="1" si="1031"/>
        <v>84</v>
      </c>
      <c r="D2911" t="str">
        <f>ADDRESS(B2911, 3,4  )</f>
        <v>C87</v>
      </c>
      <c r="E2911" s="52">
        <f ca="1">H2911+I2911</f>
        <v>0</v>
      </c>
      <c r="F2911" t="str">
        <f ca="1">CONCATENATE("Based upon the number of buildings specified, information for  building ", C2911, " required for a final application in row ", B2911, ".", CHAR(10))</f>
        <v xml:space="preserve">Based upon the number of buildings specified, information for  building 84 required for a final application in row 87.
</v>
      </c>
      <c r="G2911" s="9" t="str">
        <f t="shared" ca="1" si="1029"/>
        <v xml:space="preserve">Enter a value for 'Number of Floors in the Tallest Building' in cell B60.
</v>
      </c>
      <c r="H2911" s="52">
        <f ca="1">SUMPRODUCT(--ISTEXT(INDIRECT(J2911)))</f>
        <v>0</v>
      </c>
      <c r="I2911" s="52">
        <f ca="1">SUMPRODUCT(--ISNUMBER(INDIRECT(J2911)))</f>
        <v>0</v>
      </c>
      <c r="J2911" s="52" t="str">
        <f>$F$1565&amp; ADDRESS(B2911,3,4) &amp; ":" &amp; ADDRESS(B2911,15,4)</f>
        <v>'Final Building Profile'!C87:O87</v>
      </c>
    </row>
    <row r="2912" spans="1:10" ht="15" customHeight="1">
      <c r="A2912" t="str">
        <f t="shared" ref="A2912:A2921" ca="1" si="1050">IF(AND(OFFSET(A2912, -I2912 + 2, 4) &gt;  0, E2912=""), F2912, "")</f>
        <v/>
      </c>
      <c r="B2912">
        <f t="shared" ref="B2912:B2926" si="1051">B2911</f>
        <v>87</v>
      </c>
      <c r="C2912">
        <f t="shared" ca="1" si="1031"/>
        <v>84</v>
      </c>
      <c r="D2912" t="str">
        <f t="shared" ref="D2912:D2926" si="1052">ADDRESS(B2912, I2912,4  )</f>
        <v>C87</v>
      </c>
      <c r="E2912" t="str">
        <f t="shared" ref="E2912:E2926" ca="1" si="1053">IF(ISBLANK( INDIRECT($F$1565 &amp; D2912)),"", INDIRECT($F$1565 &amp; D2912))</f>
        <v/>
      </c>
      <c r="F2912" t="str">
        <f t="shared" ref="F2912:F2926" ca="1" si="1054">CONCATENATE("Enter a '"&amp; H2912 &amp;"' for  building ", C2912, " in cell ", D2912, ".", CHAR(10))</f>
        <v xml:space="preserve">Enter a 'Building Street Address Only 
(DO NOT ENTER CITY, STATE, OR ZIP)' for  building 84 in cell C87.
</v>
      </c>
      <c r="G2912" s="9" t="str">
        <f t="shared" ref="G2912:G2975" ca="1" si="1055">OFFSET(G2912, -1, 0) &amp; A2912</f>
        <v xml:space="preserve">Enter a value for 'Number of Floors in the Tallest Building' in cell B60.
</v>
      </c>
      <c r="H2912" s="52" t="str">
        <f t="shared" ref="H2912:H2926" ca="1" si="1056">OFFSET(INDIRECT($F$1565 &amp; D2912), -B2912 + 3, 0)</f>
        <v>Building Street Address Only 
(DO NOT ENTER CITY, STATE, OR ZIP)</v>
      </c>
      <c r="I2912" s="52">
        <v>3</v>
      </c>
    </row>
    <row r="2913" spans="1:10" ht="15" customHeight="1">
      <c r="A2913" t="str">
        <f t="shared" ca="1" si="1050"/>
        <v/>
      </c>
      <c r="B2913">
        <f t="shared" si="1051"/>
        <v>87</v>
      </c>
      <c r="C2913">
        <f t="shared" ca="1" si="1031"/>
        <v>84</v>
      </c>
      <c r="D2913" t="str">
        <f t="shared" si="1052"/>
        <v>D87</v>
      </c>
      <c r="E2913" t="str">
        <f t="shared" ca="1" si="1053"/>
        <v/>
      </c>
      <c r="F2913" t="str">
        <f t="shared" ca="1" si="1054"/>
        <v xml:space="preserve">Enter a 'Total Units in Building*' for  building 84 in cell D87.
</v>
      </c>
      <c r="G2913" s="9" t="str">
        <f t="shared" ca="1" si="1055"/>
        <v xml:space="preserve">Enter a value for 'Number of Floors in the Tallest Building' in cell B60.
</v>
      </c>
      <c r="H2913" s="52" t="str">
        <f t="shared" ca="1" si="1056"/>
        <v>Total Units in Building*</v>
      </c>
      <c r="I2913" s="52">
        <v>4</v>
      </c>
    </row>
    <row r="2914" spans="1:10" ht="15" customHeight="1">
      <c r="A2914" t="str">
        <f t="shared" ca="1" si="1050"/>
        <v/>
      </c>
      <c r="B2914">
        <f t="shared" si="1051"/>
        <v>87</v>
      </c>
      <c r="C2914">
        <f t="shared" ca="1" si="1031"/>
        <v>84</v>
      </c>
      <c r="D2914" t="str">
        <f t="shared" si="1052"/>
        <v>E87</v>
      </c>
      <c r="E2914" t="str">
        <f t="shared" ca="1" si="1053"/>
        <v/>
      </c>
      <c r="F2914" t="str">
        <f t="shared" ca="1" si="1054"/>
        <v xml:space="preserve">Enter a 'Employee Units' for  building 84 in cell E87.
</v>
      </c>
      <c r="G2914" s="9" t="str">
        <f t="shared" ca="1" si="1055"/>
        <v xml:space="preserve">Enter a value for 'Number of Floors in the Tallest Building' in cell B60.
</v>
      </c>
      <c r="H2914" s="52" t="str">
        <f t="shared" ca="1" si="1056"/>
        <v>Employee Units</v>
      </c>
      <c r="I2914" s="52">
        <v>5</v>
      </c>
    </row>
    <row r="2915" spans="1:10" ht="15" customHeight="1">
      <c r="A2915" t="str">
        <f t="shared" ca="1" si="1050"/>
        <v/>
      </c>
      <c r="B2915">
        <f t="shared" si="1051"/>
        <v>87</v>
      </c>
      <c r="C2915">
        <f t="shared" ca="1" si="1031"/>
        <v>84</v>
      </c>
      <c r="D2915" t="str">
        <f t="shared" si="1052"/>
        <v>F87</v>
      </c>
      <c r="E2915" t="str">
        <f t="shared" ca="1" si="1053"/>
        <v/>
      </c>
      <c r="F2915" t="str">
        <f t="shared" ca="1" si="1054"/>
        <v xml:space="preserve">Enter a 'Low-Income Units' for  building 84 in cell F87.
</v>
      </c>
      <c r="G2915" s="9" t="str">
        <f t="shared" ca="1" si="1055"/>
        <v xml:space="preserve">Enter a value for 'Number of Floors in the Tallest Building' in cell B60.
</v>
      </c>
      <c r="H2915" s="52" t="str">
        <f t="shared" ca="1" si="1056"/>
        <v>Low-Income Units</v>
      </c>
      <c r="I2915" s="52">
        <v>6</v>
      </c>
    </row>
    <row r="2916" spans="1:10" ht="15" customHeight="1">
      <c r="A2916" t="str">
        <f t="shared" ca="1" si="1050"/>
        <v/>
      </c>
      <c r="B2916">
        <f t="shared" si="1051"/>
        <v>87</v>
      </c>
      <c r="C2916">
        <f t="shared" ca="1" si="1031"/>
        <v>84</v>
      </c>
      <c r="D2916" t="str">
        <f t="shared" si="1052"/>
        <v>G87</v>
      </c>
      <c r="E2916" t="str">
        <f t="shared" ca="1" si="1053"/>
        <v/>
      </c>
      <c r="F2916" t="str">
        <f t="shared" ca="1" si="1054"/>
        <v xml:space="preserve">Enter a 'Residential Square Footage**' for  building 84 in cell G87.
</v>
      </c>
      <c r="G2916" s="9" t="str">
        <f t="shared" ca="1" si="1055"/>
        <v xml:space="preserve">Enter a value for 'Number of Floors in the Tallest Building' in cell B60.
</v>
      </c>
      <c r="H2916" s="52" t="str">
        <f t="shared" ca="1" si="1056"/>
        <v>Residential Square Footage**</v>
      </c>
      <c r="I2916" s="52">
        <v>7</v>
      </c>
    </row>
    <row r="2917" spans="1:10" ht="15" customHeight="1">
      <c r="A2917" t="str">
        <f t="shared" ca="1" si="1050"/>
        <v/>
      </c>
      <c r="B2917">
        <f t="shared" si="1051"/>
        <v>87</v>
      </c>
      <c r="C2917">
        <f t="shared" ca="1" si="1031"/>
        <v>84</v>
      </c>
      <c r="D2917" t="str">
        <f t="shared" si="1052"/>
        <v>H87</v>
      </c>
      <c r="E2917" t="str">
        <f t="shared" ca="1" si="1053"/>
        <v/>
      </c>
      <c r="F2917" t="str">
        <f t="shared" ca="1" si="1054"/>
        <v xml:space="preserve">Enter a 'Square Footage of Employee Units' for  building 84 in cell H87.
</v>
      </c>
      <c r="G2917" s="9" t="str">
        <f t="shared" ca="1" si="1055"/>
        <v xml:space="preserve">Enter a value for 'Number of Floors in the Tallest Building' in cell B60.
</v>
      </c>
      <c r="H2917" s="52" t="str">
        <f t="shared" ca="1" si="1056"/>
        <v>Square Footage of Employee Units</v>
      </c>
      <c r="I2917" s="52">
        <v>8</v>
      </c>
    </row>
    <row r="2918" spans="1:10" ht="15" customHeight="1">
      <c r="A2918" t="str">
        <f t="shared" ca="1" si="1050"/>
        <v/>
      </c>
      <c r="B2918">
        <f t="shared" si="1051"/>
        <v>87</v>
      </c>
      <c r="C2918">
        <f t="shared" ca="1" si="1031"/>
        <v>84</v>
      </c>
      <c r="D2918" t="str">
        <f t="shared" si="1052"/>
        <v>I87</v>
      </c>
      <c r="E2918" t="str">
        <f t="shared" ca="1" si="1053"/>
        <v/>
      </c>
      <c r="F2918" t="str">
        <f t="shared" ca="1" si="1054"/>
        <v xml:space="preserve">Enter a 'Square Footage of Low-Income Units' for  building 84 in cell I87.
</v>
      </c>
      <c r="G2918" s="9" t="str">
        <f t="shared" ca="1" si="1055"/>
        <v xml:space="preserve">Enter a value for 'Number of Floors in the Tallest Building' in cell B60.
</v>
      </c>
      <c r="H2918" s="52" t="str">
        <f t="shared" ca="1" si="1056"/>
        <v>Square Footage of Low-Income Units</v>
      </c>
      <c r="I2918" s="52">
        <v>9</v>
      </c>
    </row>
    <row r="2919" spans="1:10" ht="15" customHeight="1">
      <c r="A2919" t="str">
        <f t="shared" ca="1" si="1050"/>
        <v/>
      </c>
      <c r="B2919">
        <f t="shared" si="1051"/>
        <v>87</v>
      </c>
      <c r="C2919">
        <f t="shared" ca="1" si="1031"/>
        <v>84</v>
      </c>
      <c r="D2919" t="str">
        <f t="shared" si="1052"/>
        <v>J87</v>
      </c>
      <c r="E2919" t="str">
        <f t="shared" ca="1" si="1053"/>
        <v/>
      </c>
      <c r="F2919" t="str">
        <f t="shared" ca="1" si="1054"/>
        <v xml:space="preserve">Enter a 'Placed-In-Service Date' for  building 84 in cell J87.
</v>
      </c>
      <c r="G2919" s="9" t="str">
        <f t="shared" ca="1" si="1055"/>
        <v xml:space="preserve">Enter a value for 'Number of Floors in the Tallest Building' in cell B60.
</v>
      </c>
      <c r="H2919" s="52" t="str">
        <f t="shared" ca="1" si="1056"/>
        <v>Placed-In-Service Date</v>
      </c>
      <c r="I2919" s="52">
        <v>10</v>
      </c>
    </row>
    <row r="2920" spans="1:10" ht="15" customHeight="1">
      <c r="A2920" t="str">
        <f t="shared" ca="1" si="1050"/>
        <v/>
      </c>
      <c r="B2920">
        <f t="shared" si="1051"/>
        <v>87</v>
      </c>
      <c r="C2920">
        <f t="shared" ca="1" si="1031"/>
        <v>84</v>
      </c>
      <c r="D2920" t="str">
        <f t="shared" si="1052"/>
        <v>K87</v>
      </c>
      <c r="E2920" t="str">
        <f t="shared" ca="1" si="1053"/>
        <v/>
      </c>
      <c r="F2920" t="str">
        <f t="shared" ca="1" si="1054"/>
        <v xml:space="preserve">Enter a 'New Construction/ Rehab APR' for  building 84 in cell K87.
</v>
      </c>
      <c r="G2920" s="9" t="str">
        <f t="shared" ca="1" si="1055"/>
        <v xml:space="preserve">Enter a value for 'Number of Floors in the Tallest Building' in cell B60.
</v>
      </c>
      <c r="H2920" s="52" t="str">
        <f t="shared" ca="1" si="1056"/>
        <v>New Construction/ Rehab APR</v>
      </c>
      <c r="I2920" s="52">
        <v>11</v>
      </c>
    </row>
    <row r="2921" spans="1:10" ht="15" customHeight="1">
      <c r="A2921" t="str">
        <f t="shared" ca="1" si="1050"/>
        <v/>
      </c>
      <c r="B2921">
        <f t="shared" si="1051"/>
        <v>87</v>
      </c>
      <c r="C2921">
        <f t="shared" ca="1" si="1031"/>
        <v>84</v>
      </c>
      <c r="D2921" t="str">
        <f t="shared" si="1052"/>
        <v>L87</v>
      </c>
      <c r="E2921" t="str">
        <f t="shared" ca="1" si="1053"/>
        <v/>
      </c>
      <c r="F2921" t="str">
        <f t="shared" ca="1" si="1054"/>
        <v xml:space="preserve">Enter a 'New Construction Eligible Basis' for  building 84 in cell L87.
</v>
      </c>
      <c r="G2921" s="9" t="str">
        <f t="shared" ca="1" si="1055"/>
        <v xml:space="preserve">Enter a value for 'Number of Floors in the Tallest Building' in cell B60.
</v>
      </c>
      <c r="H2921" s="52" t="str">
        <f t="shared" ca="1" si="1056"/>
        <v>New Construction Eligible Basis</v>
      </c>
      <c r="I2921" s="52">
        <v>12</v>
      </c>
    </row>
    <row r="2922" spans="1:10" ht="15" customHeight="1">
      <c r="A2922" t="str">
        <f ca="1">IF(AND(OFFSET(A2922, -I2922 + 2, 4) &gt;  0, E2922="", Calculations!$B$7), F2922, "")</f>
        <v/>
      </c>
      <c r="B2922">
        <f t="shared" si="1051"/>
        <v>87</v>
      </c>
      <c r="C2922">
        <f t="shared" ca="1" si="1031"/>
        <v>84</v>
      </c>
      <c r="D2922" t="str">
        <f t="shared" si="1052"/>
        <v>M87</v>
      </c>
      <c r="E2922" t="str">
        <f t="shared" ca="1" si="1053"/>
        <v/>
      </c>
      <c r="F2922" t="str">
        <f t="shared" ca="1" si="1054"/>
        <v xml:space="preserve">Enter a 'Eligible Basis for Rehab' for  building 84 in cell M87.
</v>
      </c>
      <c r="G2922" s="9" t="str">
        <f t="shared" ca="1" si="1055"/>
        <v xml:space="preserve">Enter a value for 'Number of Floors in the Tallest Building' in cell B60.
</v>
      </c>
      <c r="H2922" s="52" t="str">
        <f t="shared" ca="1" si="1056"/>
        <v>Eligible Basis for Rehab</v>
      </c>
      <c r="I2922" s="52">
        <v>13</v>
      </c>
    </row>
    <row r="2923" spans="1:10" ht="15" customHeight="1">
      <c r="A2923" t="str">
        <f ca="1">IF(AND(OFFSET(A2923, -I2923 + 2, 4) &gt;  0, E2923="", Calculations!$B$7), F2923, "")</f>
        <v/>
      </c>
      <c r="B2923">
        <f t="shared" si="1051"/>
        <v>87</v>
      </c>
      <c r="C2923">
        <f t="shared" ca="1" si="1031"/>
        <v>84</v>
      </c>
      <c r="D2923" t="str">
        <f t="shared" si="1052"/>
        <v>N87</v>
      </c>
      <c r="E2923" t="str">
        <f t="shared" ca="1" si="1053"/>
        <v/>
      </c>
      <c r="F2923" t="str">
        <f t="shared" ca="1" si="1054"/>
        <v xml:space="preserve">Enter a 'Cost of Acquiring the Building***' for  building 84 in cell N87.
</v>
      </c>
      <c r="G2923" s="9" t="str">
        <f t="shared" ca="1" si="1055"/>
        <v xml:space="preserve">Enter a value for 'Number of Floors in the Tallest Building' in cell B60.
</v>
      </c>
      <c r="H2923" s="52" t="str">
        <f t="shared" ca="1" si="1056"/>
        <v>Cost of Acquiring the Building***</v>
      </c>
      <c r="I2923" s="52">
        <v>14</v>
      </c>
    </row>
    <row r="2924" spans="1:10" ht="15" customHeight="1">
      <c r="A2924" t="str">
        <f ca="1">IF(AND(OFFSET(A2924, -I2924 + 2, 4) &gt;  0, E2924="", Calculations!$B$7), F2924, "")</f>
        <v/>
      </c>
      <c r="B2924">
        <f t="shared" si="1051"/>
        <v>87</v>
      </c>
      <c r="C2924">
        <f t="shared" ca="1" si="1031"/>
        <v>84</v>
      </c>
      <c r="D2924" t="str">
        <f t="shared" si="1052"/>
        <v>O87</v>
      </c>
      <c r="E2924" t="str">
        <f t="shared" ca="1" si="1053"/>
        <v/>
      </c>
      <c r="F2924" t="str">
        <f t="shared" ca="1" si="1054"/>
        <v xml:space="preserve">Enter a 'Higher of Land Purchase Price or Land Appraised Value****' for  building 84 in cell O87.
</v>
      </c>
      <c r="G2924" s="9" t="str">
        <f t="shared" ca="1" si="1055"/>
        <v xml:space="preserve">Enter a value for 'Number of Floors in the Tallest Building' in cell B60.
</v>
      </c>
      <c r="H2924" s="52" t="str">
        <f t="shared" ca="1" si="1056"/>
        <v>Higher of Land Purchase Price or Land Appraised Value****</v>
      </c>
      <c r="I2924" s="52">
        <v>15</v>
      </c>
    </row>
    <row r="2925" spans="1:10" ht="15" customHeight="1">
      <c r="A2925" t="str">
        <f ca="1">IF(AND(OFFSET(A2925, -I2925 + 2, 4) &gt;  0, E2925="", Calculations!$B$7), F2925, "")</f>
        <v/>
      </c>
      <c r="B2925">
        <f t="shared" si="1051"/>
        <v>87</v>
      </c>
      <c r="C2925">
        <f t="shared" ca="1" si="1031"/>
        <v>84</v>
      </c>
      <c r="D2925" t="str">
        <f t="shared" si="1052"/>
        <v>P87</v>
      </c>
      <c r="E2925" t="str">
        <f t="shared" ca="1" si="1053"/>
        <v/>
      </c>
      <c r="F2925" t="str">
        <f t="shared" ca="1" si="1054"/>
        <v xml:space="preserve">Enter a 'Acquisition Placed-in-Service Date' for  building 84 in cell P87.
</v>
      </c>
      <c r="G2925" s="9" t="str">
        <f t="shared" ca="1" si="1055"/>
        <v xml:space="preserve">Enter a value for 'Number of Floors in the Tallest Building' in cell B60.
</v>
      </c>
      <c r="H2925" s="52" t="str">
        <f t="shared" ca="1" si="1056"/>
        <v>Acquisition Placed-in-Service Date</v>
      </c>
      <c r="I2925" s="52">
        <v>16</v>
      </c>
    </row>
    <row r="2926" spans="1:10" ht="15" customHeight="1">
      <c r="A2926" t="str">
        <f ca="1">IF(AND(OFFSET(A2926, -I2926 + 2, 4) &gt;  0, E2926="", Calculations!$B$7), F2926, "")</f>
        <v/>
      </c>
      <c r="B2926">
        <f t="shared" si="1051"/>
        <v>87</v>
      </c>
      <c r="C2926">
        <f t="shared" ca="1" si="1031"/>
        <v>84</v>
      </c>
      <c r="D2926" t="str">
        <f t="shared" si="1052"/>
        <v>Q87</v>
      </c>
      <c r="E2926" t="str">
        <f t="shared" ca="1" si="1053"/>
        <v/>
      </c>
      <c r="F2926" t="str">
        <f t="shared" ca="1" si="1054"/>
        <v xml:space="preserve">Enter a 'Acquisition APR' for  building 84 in cell Q87.
</v>
      </c>
      <c r="G2926" s="9" t="str">
        <f t="shared" ca="1" si="1055"/>
        <v xml:space="preserve">Enter a value for 'Number of Floors in the Tallest Building' in cell B60.
</v>
      </c>
      <c r="H2926" s="52" t="str">
        <f t="shared" ca="1" si="1056"/>
        <v>Acquisition APR</v>
      </c>
      <c r="I2926" s="52">
        <v>17</v>
      </c>
    </row>
    <row r="2927" spans="1:10" ht="15" customHeight="1">
      <c r="A2927" t="str">
        <f ca="1">IF(AND(Calculations!$B$4,Calculations!$B$29&gt;=C2927, E2927 &lt;&gt; 13),F2927,"")</f>
        <v/>
      </c>
      <c r="B2927">
        <f>ROW('Final Building Profile'!C88)</f>
        <v>88</v>
      </c>
      <c r="C2927">
        <f t="shared" ref="C2927:C2990" ca="1" si="1057">INDIRECT($F$1565 &amp; ADDRESS(B2927, 1,4  ))</f>
        <v>85</v>
      </c>
      <c r="D2927" t="str">
        <f>ADDRESS(B2927, 3,4  )</f>
        <v>C88</v>
      </c>
      <c r="E2927" s="52">
        <f ca="1">H2927+I2927</f>
        <v>0</v>
      </c>
      <c r="F2927" t="str">
        <f ca="1">CONCATENATE("Based upon the number of buildings specified, information for  building ", C2927, " required for a final application in row ", B2927, ".", CHAR(10))</f>
        <v xml:space="preserve">Based upon the number of buildings specified, information for  building 85 required for a final application in row 88.
</v>
      </c>
      <c r="G2927" s="9" t="str">
        <f t="shared" ca="1" si="1055"/>
        <v xml:space="preserve">Enter a value for 'Number of Floors in the Tallest Building' in cell B60.
</v>
      </c>
      <c r="H2927" s="52">
        <f ca="1">SUMPRODUCT(--ISTEXT(INDIRECT(J2927)))</f>
        <v>0</v>
      </c>
      <c r="I2927" s="52">
        <f ca="1">SUMPRODUCT(--ISNUMBER(INDIRECT(J2927)))</f>
        <v>0</v>
      </c>
      <c r="J2927" s="52" t="str">
        <f>$F$1565&amp; ADDRESS(B2927,3,4) &amp; ":" &amp; ADDRESS(B2927,15,4)</f>
        <v>'Final Building Profile'!C88:O88</v>
      </c>
    </row>
    <row r="2928" spans="1:10" ht="15" customHeight="1">
      <c r="A2928" t="str">
        <f t="shared" ref="A2928:A2937" ca="1" si="1058">IF(AND(OFFSET(A2928, -I2928 + 2, 4) &gt;  0, E2928=""), F2928, "")</f>
        <v/>
      </c>
      <c r="B2928">
        <f t="shared" ref="B2928:B2942" si="1059">B2927</f>
        <v>88</v>
      </c>
      <c r="C2928">
        <f t="shared" ca="1" si="1057"/>
        <v>85</v>
      </c>
      <c r="D2928" t="str">
        <f t="shared" ref="D2928:D2942" si="1060">ADDRESS(B2928, I2928,4  )</f>
        <v>C88</v>
      </c>
      <c r="E2928" t="str">
        <f t="shared" ref="E2928:E2942" ca="1" si="1061">IF(ISBLANK( INDIRECT($F$1565 &amp; D2928)),"", INDIRECT($F$1565 &amp; D2928))</f>
        <v/>
      </c>
      <c r="F2928" t="str">
        <f t="shared" ref="F2928:F2942" ca="1" si="1062">CONCATENATE("Enter a '"&amp; H2928 &amp;"' for  building ", C2928, " in cell ", D2928, ".", CHAR(10))</f>
        <v xml:space="preserve">Enter a 'Building Street Address Only 
(DO NOT ENTER CITY, STATE, OR ZIP)' for  building 85 in cell C88.
</v>
      </c>
      <c r="G2928" s="9" t="str">
        <f t="shared" ca="1" si="1055"/>
        <v xml:space="preserve">Enter a value for 'Number of Floors in the Tallest Building' in cell B60.
</v>
      </c>
      <c r="H2928" s="52" t="str">
        <f t="shared" ref="H2928:H2942" ca="1" si="1063">OFFSET(INDIRECT($F$1565 &amp; D2928), -B2928 + 3, 0)</f>
        <v>Building Street Address Only 
(DO NOT ENTER CITY, STATE, OR ZIP)</v>
      </c>
      <c r="I2928" s="52">
        <v>3</v>
      </c>
    </row>
    <row r="2929" spans="1:10" ht="15" customHeight="1">
      <c r="A2929" t="str">
        <f t="shared" ca="1" si="1058"/>
        <v/>
      </c>
      <c r="B2929">
        <f t="shared" si="1059"/>
        <v>88</v>
      </c>
      <c r="C2929">
        <f t="shared" ca="1" si="1057"/>
        <v>85</v>
      </c>
      <c r="D2929" t="str">
        <f t="shared" si="1060"/>
        <v>D88</v>
      </c>
      <c r="E2929" t="str">
        <f t="shared" ca="1" si="1061"/>
        <v/>
      </c>
      <c r="F2929" t="str">
        <f t="shared" ca="1" si="1062"/>
        <v xml:space="preserve">Enter a 'Total Units in Building*' for  building 85 in cell D88.
</v>
      </c>
      <c r="G2929" s="9" t="str">
        <f t="shared" ca="1" si="1055"/>
        <v xml:space="preserve">Enter a value for 'Number of Floors in the Tallest Building' in cell B60.
</v>
      </c>
      <c r="H2929" s="52" t="str">
        <f t="shared" ca="1" si="1063"/>
        <v>Total Units in Building*</v>
      </c>
      <c r="I2929" s="52">
        <v>4</v>
      </c>
    </row>
    <row r="2930" spans="1:10" ht="15" customHeight="1">
      <c r="A2930" t="str">
        <f t="shared" ca="1" si="1058"/>
        <v/>
      </c>
      <c r="B2930">
        <f t="shared" si="1059"/>
        <v>88</v>
      </c>
      <c r="C2930">
        <f t="shared" ca="1" si="1057"/>
        <v>85</v>
      </c>
      <c r="D2930" t="str">
        <f t="shared" si="1060"/>
        <v>E88</v>
      </c>
      <c r="E2930" t="str">
        <f t="shared" ca="1" si="1061"/>
        <v/>
      </c>
      <c r="F2930" t="str">
        <f t="shared" ca="1" si="1062"/>
        <v xml:space="preserve">Enter a 'Employee Units' for  building 85 in cell E88.
</v>
      </c>
      <c r="G2930" s="9" t="str">
        <f t="shared" ca="1" si="1055"/>
        <v xml:space="preserve">Enter a value for 'Number of Floors in the Tallest Building' in cell B60.
</v>
      </c>
      <c r="H2930" s="52" t="str">
        <f t="shared" ca="1" si="1063"/>
        <v>Employee Units</v>
      </c>
      <c r="I2930" s="52">
        <v>5</v>
      </c>
    </row>
    <row r="2931" spans="1:10" ht="15" customHeight="1">
      <c r="A2931" t="str">
        <f t="shared" ca="1" si="1058"/>
        <v/>
      </c>
      <c r="B2931">
        <f t="shared" si="1059"/>
        <v>88</v>
      </c>
      <c r="C2931">
        <f t="shared" ca="1" si="1057"/>
        <v>85</v>
      </c>
      <c r="D2931" t="str">
        <f t="shared" si="1060"/>
        <v>F88</v>
      </c>
      <c r="E2931" t="str">
        <f t="shared" ca="1" si="1061"/>
        <v/>
      </c>
      <c r="F2931" t="str">
        <f t="shared" ca="1" si="1062"/>
        <v xml:space="preserve">Enter a 'Low-Income Units' for  building 85 in cell F88.
</v>
      </c>
      <c r="G2931" s="9" t="str">
        <f t="shared" ca="1" si="1055"/>
        <v xml:space="preserve">Enter a value for 'Number of Floors in the Tallest Building' in cell B60.
</v>
      </c>
      <c r="H2931" s="52" t="str">
        <f t="shared" ca="1" si="1063"/>
        <v>Low-Income Units</v>
      </c>
      <c r="I2931" s="52">
        <v>6</v>
      </c>
    </row>
    <row r="2932" spans="1:10" ht="15" customHeight="1">
      <c r="A2932" t="str">
        <f t="shared" ca="1" si="1058"/>
        <v/>
      </c>
      <c r="B2932">
        <f t="shared" si="1059"/>
        <v>88</v>
      </c>
      <c r="C2932">
        <f t="shared" ca="1" si="1057"/>
        <v>85</v>
      </c>
      <c r="D2932" t="str">
        <f t="shared" si="1060"/>
        <v>G88</v>
      </c>
      <c r="E2932" t="str">
        <f t="shared" ca="1" si="1061"/>
        <v/>
      </c>
      <c r="F2932" t="str">
        <f t="shared" ca="1" si="1062"/>
        <v xml:space="preserve">Enter a 'Residential Square Footage**' for  building 85 in cell G88.
</v>
      </c>
      <c r="G2932" s="9" t="str">
        <f t="shared" ca="1" si="1055"/>
        <v xml:space="preserve">Enter a value for 'Number of Floors in the Tallest Building' in cell B60.
</v>
      </c>
      <c r="H2932" s="52" t="str">
        <f t="shared" ca="1" si="1063"/>
        <v>Residential Square Footage**</v>
      </c>
      <c r="I2932" s="52">
        <v>7</v>
      </c>
    </row>
    <row r="2933" spans="1:10" ht="15" customHeight="1">
      <c r="A2933" t="str">
        <f t="shared" ca="1" si="1058"/>
        <v/>
      </c>
      <c r="B2933">
        <f t="shared" si="1059"/>
        <v>88</v>
      </c>
      <c r="C2933">
        <f t="shared" ca="1" si="1057"/>
        <v>85</v>
      </c>
      <c r="D2933" t="str">
        <f t="shared" si="1060"/>
        <v>H88</v>
      </c>
      <c r="E2933" t="str">
        <f t="shared" ca="1" si="1061"/>
        <v/>
      </c>
      <c r="F2933" t="str">
        <f t="shared" ca="1" si="1062"/>
        <v xml:space="preserve">Enter a 'Square Footage of Employee Units' for  building 85 in cell H88.
</v>
      </c>
      <c r="G2933" s="9" t="str">
        <f t="shared" ca="1" si="1055"/>
        <v xml:space="preserve">Enter a value for 'Number of Floors in the Tallest Building' in cell B60.
</v>
      </c>
      <c r="H2933" s="52" t="str">
        <f t="shared" ca="1" si="1063"/>
        <v>Square Footage of Employee Units</v>
      </c>
      <c r="I2933" s="52">
        <v>8</v>
      </c>
    </row>
    <row r="2934" spans="1:10" ht="15" customHeight="1">
      <c r="A2934" t="str">
        <f t="shared" ca="1" si="1058"/>
        <v/>
      </c>
      <c r="B2934">
        <f t="shared" si="1059"/>
        <v>88</v>
      </c>
      <c r="C2934">
        <f t="shared" ca="1" si="1057"/>
        <v>85</v>
      </c>
      <c r="D2934" t="str">
        <f t="shared" si="1060"/>
        <v>I88</v>
      </c>
      <c r="E2934" t="str">
        <f t="shared" ca="1" si="1061"/>
        <v/>
      </c>
      <c r="F2934" t="str">
        <f t="shared" ca="1" si="1062"/>
        <v xml:space="preserve">Enter a 'Square Footage of Low-Income Units' for  building 85 in cell I88.
</v>
      </c>
      <c r="G2934" s="9" t="str">
        <f t="shared" ca="1" si="1055"/>
        <v xml:space="preserve">Enter a value for 'Number of Floors in the Tallest Building' in cell B60.
</v>
      </c>
      <c r="H2934" s="52" t="str">
        <f t="shared" ca="1" si="1063"/>
        <v>Square Footage of Low-Income Units</v>
      </c>
      <c r="I2934" s="52">
        <v>9</v>
      </c>
    </row>
    <row r="2935" spans="1:10" ht="15" customHeight="1">
      <c r="A2935" t="str">
        <f t="shared" ca="1" si="1058"/>
        <v/>
      </c>
      <c r="B2935">
        <f t="shared" si="1059"/>
        <v>88</v>
      </c>
      <c r="C2935">
        <f t="shared" ca="1" si="1057"/>
        <v>85</v>
      </c>
      <c r="D2935" t="str">
        <f t="shared" si="1060"/>
        <v>J88</v>
      </c>
      <c r="E2935" t="str">
        <f t="shared" ca="1" si="1061"/>
        <v/>
      </c>
      <c r="F2935" t="str">
        <f t="shared" ca="1" si="1062"/>
        <v xml:space="preserve">Enter a 'Placed-In-Service Date' for  building 85 in cell J88.
</v>
      </c>
      <c r="G2935" s="9" t="str">
        <f t="shared" ca="1" si="1055"/>
        <v xml:space="preserve">Enter a value for 'Number of Floors in the Tallest Building' in cell B60.
</v>
      </c>
      <c r="H2935" s="52" t="str">
        <f t="shared" ca="1" si="1063"/>
        <v>Placed-In-Service Date</v>
      </c>
      <c r="I2935" s="52">
        <v>10</v>
      </c>
    </row>
    <row r="2936" spans="1:10" ht="15" customHeight="1">
      <c r="A2936" t="str">
        <f t="shared" ca="1" si="1058"/>
        <v/>
      </c>
      <c r="B2936">
        <f t="shared" si="1059"/>
        <v>88</v>
      </c>
      <c r="C2936">
        <f t="shared" ca="1" si="1057"/>
        <v>85</v>
      </c>
      <c r="D2936" t="str">
        <f t="shared" si="1060"/>
        <v>K88</v>
      </c>
      <c r="E2936" t="str">
        <f t="shared" ca="1" si="1061"/>
        <v/>
      </c>
      <c r="F2936" t="str">
        <f t="shared" ca="1" si="1062"/>
        <v xml:space="preserve">Enter a 'New Construction/ Rehab APR' for  building 85 in cell K88.
</v>
      </c>
      <c r="G2936" s="9" t="str">
        <f t="shared" ca="1" si="1055"/>
        <v xml:space="preserve">Enter a value for 'Number of Floors in the Tallest Building' in cell B60.
</v>
      </c>
      <c r="H2936" s="52" t="str">
        <f t="shared" ca="1" si="1063"/>
        <v>New Construction/ Rehab APR</v>
      </c>
      <c r="I2936" s="52">
        <v>11</v>
      </c>
    </row>
    <row r="2937" spans="1:10" ht="15" customHeight="1">
      <c r="A2937" t="str">
        <f t="shared" ca="1" si="1058"/>
        <v/>
      </c>
      <c r="B2937">
        <f t="shared" si="1059"/>
        <v>88</v>
      </c>
      <c r="C2937">
        <f t="shared" ca="1" si="1057"/>
        <v>85</v>
      </c>
      <c r="D2937" t="str">
        <f t="shared" si="1060"/>
        <v>L88</v>
      </c>
      <c r="E2937" t="str">
        <f t="shared" ca="1" si="1061"/>
        <v/>
      </c>
      <c r="F2937" t="str">
        <f t="shared" ca="1" si="1062"/>
        <v xml:space="preserve">Enter a 'New Construction Eligible Basis' for  building 85 in cell L88.
</v>
      </c>
      <c r="G2937" s="9" t="str">
        <f t="shared" ca="1" si="1055"/>
        <v xml:space="preserve">Enter a value for 'Number of Floors in the Tallest Building' in cell B60.
</v>
      </c>
      <c r="H2937" s="52" t="str">
        <f t="shared" ca="1" si="1063"/>
        <v>New Construction Eligible Basis</v>
      </c>
      <c r="I2937" s="52">
        <v>12</v>
      </c>
    </row>
    <row r="2938" spans="1:10" ht="15" customHeight="1">
      <c r="A2938" t="str">
        <f ca="1">IF(AND(OFFSET(A2938, -I2938 + 2, 4) &gt;  0, E2938="", Calculations!$B$7), F2938, "")</f>
        <v/>
      </c>
      <c r="B2938">
        <f t="shared" si="1059"/>
        <v>88</v>
      </c>
      <c r="C2938">
        <f t="shared" ca="1" si="1057"/>
        <v>85</v>
      </c>
      <c r="D2938" t="str">
        <f t="shared" si="1060"/>
        <v>M88</v>
      </c>
      <c r="E2938" t="str">
        <f t="shared" ca="1" si="1061"/>
        <v/>
      </c>
      <c r="F2938" t="str">
        <f t="shared" ca="1" si="1062"/>
        <v xml:space="preserve">Enter a 'Eligible Basis for Rehab' for  building 85 in cell M88.
</v>
      </c>
      <c r="G2938" s="9" t="str">
        <f t="shared" ca="1" si="1055"/>
        <v xml:space="preserve">Enter a value for 'Number of Floors in the Tallest Building' in cell B60.
</v>
      </c>
      <c r="H2938" s="52" t="str">
        <f t="shared" ca="1" si="1063"/>
        <v>Eligible Basis for Rehab</v>
      </c>
      <c r="I2938" s="52">
        <v>13</v>
      </c>
    </row>
    <row r="2939" spans="1:10" ht="15" customHeight="1">
      <c r="A2939" t="str">
        <f ca="1">IF(AND(OFFSET(A2939, -I2939 + 2, 4) &gt;  0, E2939="", Calculations!$B$7), F2939, "")</f>
        <v/>
      </c>
      <c r="B2939">
        <f t="shared" si="1059"/>
        <v>88</v>
      </c>
      <c r="C2939">
        <f t="shared" ca="1" si="1057"/>
        <v>85</v>
      </c>
      <c r="D2939" t="str">
        <f t="shared" si="1060"/>
        <v>N88</v>
      </c>
      <c r="E2939" t="str">
        <f t="shared" ca="1" si="1061"/>
        <v/>
      </c>
      <c r="F2939" t="str">
        <f t="shared" ca="1" si="1062"/>
        <v xml:space="preserve">Enter a 'Cost of Acquiring the Building***' for  building 85 in cell N88.
</v>
      </c>
      <c r="G2939" s="9" t="str">
        <f t="shared" ca="1" si="1055"/>
        <v xml:space="preserve">Enter a value for 'Number of Floors in the Tallest Building' in cell B60.
</v>
      </c>
      <c r="H2939" s="52" t="str">
        <f t="shared" ca="1" si="1063"/>
        <v>Cost of Acquiring the Building***</v>
      </c>
      <c r="I2939" s="52">
        <v>14</v>
      </c>
    </row>
    <row r="2940" spans="1:10" ht="15" customHeight="1">
      <c r="A2940" t="str">
        <f ca="1">IF(AND(OFFSET(A2940, -I2940 + 2, 4) &gt;  0, E2940="", Calculations!$B$7), F2940, "")</f>
        <v/>
      </c>
      <c r="B2940">
        <f t="shared" si="1059"/>
        <v>88</v>
      </c>
      <c r="C2940">
        <f t="shared" ca="1" si="1057"/>
        <v>85</v>
      </c>
      <c r="D2940" t="str">
        <f t="shared" si="1060"/>
        <v>O88</v>
      </c>
      <c r="E2940" t="str">
        <f t="shared" ca="1" si="1061"/>
        <v/>
      </c>
      <c r="F2940" t="str">
        <f t="shared" ca="1" si="1062"/>
        <v xml:space="preserve">Enter a 'Higher of Land Purchase Price or Land Appraised Value****' for  building 85 in cell O88.
</v>
      </c>
      <c r="G2940" s="9" t="str">
        <f t="shared" ca="1" si="1055"/>
        <v xml:space="preserve">Enter a value for 'Number of Floors in the Tallest Building' in cell B60.
</v>
      </c>
      <c r="H2940" s="52" t="str">
        <f t="shared" ca="1" si="1063"/>
        <v>Higher of Land Purchase Price or Land Appraised Value****</v>
      </c>
      <c r="I2940" s="52">
        <v>15</v>
      </c>
    </row>
    <row r="2941" spans="1:10" ht="15" customHeight="1">
      <c r="A2941" t="str">
        <f ca="1">IF(AND(OFFSET(A2941, -I2941 + 2, 4) &gt;  0, E2941="", Calculations!$B$7), F2941, "")</f>
        <v/>
      </c>
      <c r="B2941">
        <f t="shared" si="1059"/>
        <v>88</v>
      </c>
      <c r="C2941">
        <f t="shared" ca="1" si="1057"/>
        <v>85</v>
      </c>
      <c r="D2941" t="str">
        <f t="shared" si="1060"/>
        <v>P88</v>
      </c>
      <c r="E2941" t="str">
        <f t="shared" ca="1" si="1061"/>
        <v/>
      </c>
      <c r="F2941" t="str">
        <f t="shared" ca="1" si="1062"/>
        <v xml:space="preserve">Enter a 'Acquisition Placed-in-Service Date' for  building 85 in cell P88.
</v>
      </c>
      <c r="G2941" s="9" t="str">
        <f t="shared" ca="1" si="1055"/>
        <v xml:space="preserve">Enter a value for 'Number of Floors in the Tallest Building' in cell B60.
</v>
      </c>
      <c r="H2941" s="52" t="str">
        <f t="shared" ca="1" si="1063"/>
        <v>Acquisition Placed-in-Service Date</v>
      </c>
      <c r="I2941" s="52">
        <v>16</v>
      </c>
    </row>
    <row r="2942" spans="1:10" ht="15" customHeight="1">
      <c r="A2942" t="str">
        <f ca="1">IF(AND(OFFSET(A2942, -I2942 + 2, 4) &gt;  0, E2942="", Calculations!$B$7), F2942, "")</f>
        <v/>
      </c>
      <c r="B2942">
        <f t="shared" si="1059"/>
        <v>88</v>
      </c>
      <c r="C2942">
        <f t="shared" ca="1" si="1057"/>
        <v>85</v>
      </c>
      <c r="D2942" t="str">
        <f t="shared" si="1060"/>
        <v>Q88</v>
      </c>
      <c r="E2942" t="str">
        <f t="shared" ca="1" si="1061"/>
        <v/>
      </c>
      <c r="F2942" t="str">
        <f t="shared" ca="1" si="1062"/>
        <v xml:space="preserve">Enter a 'Acquisition APR' for  building 85 in cell Q88.
</v>
      </c>
      <c r="G2942" s="9" t="str">
        <f t="shared" ca="1" si="1055"/>
        <v xml:space="preserve">Enter a value for 'Number of Floors in the Tallest Building' in cell B60.
</v>
      </c>
      <c r="H2942" s="52" t="str">
        <f t="shared" ca="1" si="1063"/>
        <v>Acquisition APR</v>
      </c>
      <c r="I2942" s="52">
        <v>17</v>
      </c>
    </row>
    <row r="2943" spans="1:10" ht="15" customHeight="1">
      <c r="A2943" t="str">
        <f ca="1">IF(AND(Calculations!$B$4,Calculations!$B$29&gt;=C2943, E2943 &lt;&gt; 13),F2943,"")</f>
        <v/>
      </c>
      <c r="B2943">
        <f>ROW('Final Building Profile'!C89)</f>
        <v>89</v>
      </c>
      <c r="C2943">
        <f t="shared" ca="1" si="1057"/>
        <v>86</v>
      </c>
      <c r="D2943" t="str">
        <f>ADDRESS(B2943, 3,4  )</f>
        <v>C89</v>
      </c>
      <c r="E2943" s="52">
        <f ca="1">H2943+I2943</f>
        <v>0</v>
      </c>
      <c r="F2943" t="str">
        <f ca="1">CONCATENATE("Based upon the number of buildings specified, information for  building ", C2943, " required for a final application in row ", B2943, ".", CHAR(10))</f>
        <v xml:space="preserve">Based upon the number of buildings specified, information for  building 86 required for a final application in row 89.
</v>
      </c>
      <c r="G2943" s="9" t="str">
        <f t="shared" ca="1" si="1055"/>
        <v xml:space="preserve">Enter a value for 'Number of Floors in the Tallest Building' in cell B60.
</v>
      </c>
      <c r="H2943" s="52">
        <f ca="1">SUMPRODUCT(--ISTEXT(INDIRECT(J2943)))</f>
        <v>0</v>
      </c>
      <c r="I2943" s="52">
        <f ca="1">SUMPRODUCT(--ISNUMBER(INDIRECT(J2943)))</f>
        <v>0</v>
      </c>
      <c r="J2943" s="52" t="str">
        <f>$F$1565&amp; ADDRESS(B2943,3,4) &amp; ":" &amp; ADDRESS(B2943,15,4)</f>
        <v>'Final Building Profile'!C89:O89</v>
      </c>
    </row>
    <row r="2944" spans="1:10" ht="15" customHeight="1">
      <c r="A2944" t="str">
        <f t="shared" ref="A2944:A2953" ca="1" si="1064">IF(AND(OFFSET(A2944, -I2944 + 2, 4) &gt;  0, E2944=""), F2944, "")</f>
        <v/>
      </c>
      <c r="B2944">
        <f t="shared" ref="B2944:B2958" si="1065">B2943</f>
        <v>89</v>
      </c>
      <c r="C2944">
        <f t="shared" ca="1" si="1057"/>
        <v>86</v>
      </c>
      <c r="D2944" t="str">
        <f t="shared" ref="D2944:D2958" si="1066">ADDRESS(B2944, I2944,4  )</f>
        <v>C89</v>
      </c>
      <c r="E2944" t="str">
        <f t="shared" ref="E2944:E2958" ca="1" si="1067">IF(ISBLANK( INDIRECT($F$1565 &amp; D2944)),"", INDIRECT($F$1565 &amp; D2944))</f>
        <v/>
      </c>
      <c r="F2944" t="str">
        <f t="shared" ref="F2944:F2958" ca="1" si="1068">CONCATENATE("Enter a '"&amp; H2944 &amp;"' for  building ", C2944, " in cell ", D2944, ".", CHAR(10))</f>
        <v xml:space="preserve">Enter a 'Building Street Address Only 
(DO NOT ENTER CITY, STATE, OR ZIP)' for  building 86 in cell C89.
</v>
      </c>
      <c r="G2944" s="9" t="str">
        <f t="shared" ca="1" si="1055"/>
        <v xml:space="preserve">Enter a value for 'Number of Floors in the Tallest Building' in cell B60.
</v>
      </c>
      <c r="H2944" s="52" t="str">
        <f t="shared" ref="H2944:H2958" ca="1" si="1069">OFFSET(INDIRECT($F$1565 &amp; D2944), -B2944 + 3, 0)</f>
        <v>Building Street Address Only 
(DO NOT ENTER CITY, STATE, OR ZIP)</v>
      </c>
      <c r="I2944" s="52">
        <v>3</v>
      </c>
    </row>
    <row r="2945" spans="1:10" ht="15" customHeight="1">
      <c r="A2945" t="str">
        <f t="shared" ca="1" si="1064"/>
        <v/>
      </c>
      <c r="B2945">
        <f t="shared" si="1065"/>
        <v>89</v>
      </c>
      <c r="C2945">
        <f t="shared" ca="1" si="1057"/>
        <v>86</v>
      </c>
      <c r="D2945" t="str">
        <f t="shared" si="1066"/>
        <v>D89</v>
      </c>
      <c r="E2945" t="str">
        <f t="shared" ca="1" si="1067"/>
        <v/>
      </c>
      <c r="F2945" t="str">
        <f t="shared" ca="1" si="1068"/>
        <v xml:space="preserve">Enter a 'Total Units in Building*' for  building 86 in cell D89.
</v>
      </c>
      <c r="G2945" s="9" t="str">
        <f t="shared" ca="1" si="1055"/>
        <v xml:space="preserve">Enter a value for 'Number of Floors in the Tallest Building' in cell B60.
</v>
      </c>
      <c r="H2945" s="52" t="str">
        <f t="shared" ca="1" si="1069"/>
        <v>Total Units in Building*</v>
      </c>
      <c r="I2945" s="52">
        <v>4</v>
      </c>
    </row>
    <row r="2946" spans="1:10" ht="15" customHeight="1">
      <c r="A2946" t="str">
        <f t="shared" ca="1" si="1064"/>
        <v/>
      </c>
      <c r="B2946">
        <f t="shared" si="1065"/>
        <v>89</v>
      </c>
      <c r="C2946">
        <f t="shared" ca="1" si="1057"/>
        <v>86</v>
      </c>
      <c r="D2946" t="str">
        <f t="shared" si="1066"/>
        <v>E89</v>
      </c>
      <c r="E2946" t="str">
        <f t="shared" ca="1" si="1067"/>
        <v/>
      </c>
      <c r="F2946" t="str">
        <f t="shared" ca="1" si="1068"/>
        <v xml:space="preserve">Enter a 'Employee Units' for  building 86 in cell E89.
</v>
      </c>
      <c r="G2946" s="9" t="str">
        <f t="shared" ca="1" si="1055"/>
        <v xml:space="preserve">Enter a value for 'Number of Floors in the Tallest Building' in cell B60.
</v>
      </c>
      <c r="H2946" s="52" t="str">
        <f t="shared" ca="1" si="1069"/>
        <v>Employee Units</v>
      </c>
      <c r="I2946" s="52">
        <v>5</v>
      </c>
    </row>
    <row r="2947" spans="1:10" ht="15" customHeight="1">
      <c r="A2947" t="str">
        <f t="shared" ca="1" si="1064"/>
        <v/>
      </c>
      <c r="B2947">
        <f t="shared" si="1065"/>
        <v>89</v>
      </c>
      <c r="C2947">
        <f t="shared" ca="1" si="1057"/>
        <v>86</v>
      </c>
      <c r="D2947" t="str">
        <f t="shared" si="1066"/>
        <v>F89</v>
      </c>
      <c r="E2947" t="str">
        <f t="shared" ca="1" si="1067"/>
        <v/>
      </c>
      <c r="F2947" t="str">
        <f t="shared" ca="1" si="1068"/>
        <v xml:space="preserve">Enter a 'Low-Income Units' for  building 86 in cell F89.
</v>
      </c>
      <c r="G2947" s="9" t="str">
        <f t="shared" ca="1" si="1055"/>
        <v xml:space="preserve">Enter a value for 'Number of Floors in the Tallest Building' in cell B60.
</v>
      </c>
      <c r="H2947" s="52" t="str">
        <f t="shared" ca="1" si="1069"/>
        <v>Low-Income Units</v>
      </c>
      <c r="I2947" s="52">
        <v>6</v>
      </c>
    </row>
    <row r="2948" spans="1:10" ht="15" customHeight="1">
      <c r="A2948" t="str">
        <f t="shared" ca="1" si="1064"/>
        <v/>
      </c>
      <c r="B2948">
        <f t="shared" si="1065"/>
        <v>89</v>
      </c>
      <c r="C2948">
        <f t="shared" ca="1" si="1057"/>
        <v>86</v>
      </c>
      <c r="D2948" t="str">
        <f t="shared" si="1066"/>
        <v>G89</v>
      </c>
      <c r="E2948" t="str">
        <f t="shared" ca="1" si="1067"/>
        <v/>
      </c>
      <c r="F2948" t="str">
        <f t="shared" ca="1" si="1068"/>
        <v xml:space="preserve">Enter a 'Residential Square Footage**' for  building 86 in cell G89.
</v>
      </c>
      <c r="G2948" s="9" t="str">
        <f t="shared" ca="1" si="1055"/>
        <v xml:space="preserve">Enter a value for 'Number of Floors in the Tallest Building' in cell B60.
</v>
      </c>
      <c r="H2948" s="52" t="str">
        <f t="shared" ca="1" si="1069"/>
        <v>Residential Square Footage**</v>
      </c>
      <c r="I2948" s="52">
        <v>7</v>
      </c>
    </row>
    <row r="2949" spans="1:10" ht="15" customHeight="1">
      <c r="A2949" t="str">
        <f t="shared" ca="1" si="1064"/>
        <v/>
      </c>
      <c r="B2949">
        <f t="shared" si="1065"/>
        <v>89</v>
      </c>
      <c r="C2949">
        <f t="shared" ca="1" si="1057"/>
        <v>86</v>
      </c>
      <c r="D2949" t="str">
        <f t="shared" si="1066"/>
        <v>H89</v>
      </c>
      <c r="E2949" t="str">
        <f t="shared" ca="1" si="1067"/>
        <v/>
      </c>
      <c r="F2949" t="str">
        <f t="shared" ca="1" si="1068"/>
        <v xml:space="preserve">Enter a 'Square Footage of Employee Units' for  building 86 in cell H89.
</v>
      </c>
      <c r="G2949" s="9" t="str">
        <f t="shared" ca="1" si="1055"/>
        <v xml:space="preserve">Enter a value for 'Number of Floors in the Tallest Building' in cell B60.
</v>
      </c>
      <c r="H2949" s="52" t="str">
        <f t="shared" ca="1" si="1069"/>
        <v>Square Footage of Employee Units</v>
      </c>
      <c r="I2949" s="52">
        <v>8</v>
      </c>
    </row>
    <row r="2950" spans="1:10" ht="15" customHeight="1">
      <c r="A2950" t="str">
        <f t="shared" ca="1" si="1064"/>
        <v/>
      </c>
      <c r="B2950">
        <f t="shared" si="1065"/>
        <v>89</v>
      </c>
      <c r="C2950">
        <f t="shared" ca="1" si="1057"/>
        <v>86</v>
      </c>
      <c r="D2950" t="str">
        <f t="shared" si="1066"/>
        <v>I89</v>
      </c>
      <c r="E2950" t="str">
        <f t="shared" ca="1" si="1067"/>
        <v/>
      </c>
      <c r="F2950" t="str">
        <f t="shared" ca="1" si="1068"/>
        <v xml:space="preserve">Enter a 'Square Footage of Low-Income Units' for  building 86 in cell I89.
</v>
      </c>
      <c r="G2950" s="9" t="str">
        <f t="shared" ca="1" si="1055"/>
        <v xml:space="preserve">Enter a value for 'Number of Floors in the Tallest Building' in cell B60.
</v>
      </c>
      <c r="H2950" s="52" t="str">
        <f t="shared" ca="1" si="1069"/>
        <v>Square Footage of Low-Income Units</v>
      </c>
      <c r="I2950" s="52">
        <v>9</v>
      </c>
    </row>
    <row r="2951" spans="1:10" ht="15" customHeight="1">
      <c r="A2951" t="str">
        <f t="shared" ca="1" si="1064"/>
        <v/>
      </c>
      <c r="B2951">
        <f t="shared" si="1065"/>
        <v>89</v>
      </c>
      <c r="C2951">
        <f t="shared" ca="1" si="1057"/>
        <v>86</v>
      </c>
      <c r="D2951" t="str">
        <f t="shared" si="1066"/>
        <v>J89</v>
      </c>
      <c r="E2951" t="str">
        <f t="shared" ca="1" si="1067"/>
        <v/>
      </c>
      <c r="F2951" t="str">
        <f t="shared" ca="1" si="1068"/>
        <v xml:space="preserve">Enter a 'Placed-In-Service Date' for  building 86 in cell J89.
</v>
      </c>
      <c r="G2951" s="9" t="str">
        <f t="shared" ca="1" si="1055"/>
        <v xml:space="preserve">Enter a value for 'Number of Floors in the Tallest Building' in cell B60.
</v>
      </c>
      <c r="H2951" s="52" t="str">
        <f t="shared" ca="1" si="1069"/>
        <v>Placed-In-Service Date</v>
      </c>
      <c r="I2951" s="52">
        <v>10</v>
      </c>
    </row>
    <row r="2952" spans="1:10" ht="15" customHeight="1">
      <c r="A2952" t="str">
        <f t="shared" ca="1" si="1064"/>
        <v/>
      </c>
      <c r="B2952">
        <f t="shared" si="1065"/>
        <v>89</v>
      </c>
      <c r="C2952">
        <f t="shared" ca="1" si="1057"/>
        <v>86</v>
      </c>
      <c r="D2952" t="str">
        <f t="shared" si="1066"/>
        <v>K89</v>
      </c>
      <c r="E2952" t="str">
        <f t="shared" ca="1" si="1067"/>
        <v/>
      </c>
      <c r="F2952" t="str">
        <f t="shared" ca="1" si="1068"/>
        <v xml:space="preserve">Enter a 'New Construction/ Rehab APR' for  building 86 in cell K89.
</v>
      </c>
      <c r="G2952" s="9" t="str">
        <f t="shared" ca="1" si="1055"/>
        <v xml:space="preserve">Enter a value for 'Number of Floors in the Tallest Building' in cell B60.
</v>
      </c>
      <c r="H2952" s="52" t="str">
        <f t="shared" ca="1" si="1069"/>
        <v>New Construction/ Rehab APR</v>
      </c>
      <c r="I2952" s="52">
        <v>11</v>
      </c>
    </row>
    <row r="2953" spans="1:10" ht="15" customHeight="1">
      <c r="A2953" t="str">
        <f t="shared" ca="1" si="1064"/>
        <v/>
      </c>
      <c r="B2953">
        <f t="shared" si="1065"/>
        <v>89</v>
      </c>
      <c r="C2953">
        <f t="shared" ca="1" si="1057"/>
        <v>86</v>
      </c>
      <c r="D2953" t="str">
        <f t="shared" si="1066"/>
        <v>L89</v>
      </c>
      <c r="E2953" t="str">
        <f t="shared" ca="1" si="1067"/>
        <v/>
      </c>
      <c r="F2953" t="str">
        <f t="shared" ca="1" si="1068"/>
        <v xml:space="preserve">Enter a 'New Construction Eligible Basis' for  building 86 in cell L89.
</v>
      </c>
      <c r="G2953" s="9" t="str">
        <f t="shared" ca="1" si="1055"/>
        <v xml:space="preserve">Enter a value for 'Number of Floors in the Tallest Building' in cell B60.
</v>
      </c>
      <c r="H2953" s="52" t="str">
        <f t="shared" ca="1" si="1069"/>
        <v>New Construction Eligible Basis</v>
      </c>
      <c r="I2953" s="52">
        <v>12</v>
      </c>
    </row>
    <row r="2954" spans="1:10" ht="15" customHeight="1">
      <c r="A2954" t="str">
        <f ca="1">IF(AND(OFFSET(A2954, -I2954 + 2, 4) &gt;  0, E2954="", Calculations!$B$7), F2954, "")</f>
        <v/>
      </c>
      <c r="B2954">
        <f t="shared" si="1065"/>
        <v>89</v>
      </c>
      <c r="C2954">
        <f t="shared" ca="1" si="1057"/>
        <v>86</v>
      </c>
      <c r="D2954" t="str">
        <f t="shared" si="1066"/>
        <v>M89</v>
      </c>
      <c r="E2954" t="str">
        <f t="shared" ca="1" si="1067"/>
        <v/>
      </c>
      <c r="F2954" t="str">
        <f t="shared" ca="1" si="1068"/>
        <v xml:space="preserve">Enter a 'Eligible Basis for Rehab' for  building 86 in cell M89.
</v>
      </c>
      <c r="G2954" s="9" t="str">
        <f t="shared" ca="1" si="1055"/>
        <v xml:space="preserve">Enter a value for 'Number of Floors in the Tallest Building' in cell B60.
</v>
      </c>
      <c r="H2954" s="52" t="str">
        <f t="shared" ca="1" si="1069"/>
        <v>Eligible Basis for Rehab</v>
      </c>
      <c r="I2954" s="52">
        <v>13</v>
      </c>
    </row>
    <row r="2955" spans="1:10" ht="15" customHeight="1">
      <c r="A2955" t="str">
        <f ca="1">IF(AND(OFFSET(A2955, -I2955 + 2, 4) &gt;  0, E2955="", Calculations!$B$7), F2955, "")</f>
        <v/>
      </c>
      <c r="B2955">
        <f t="shared" si="1065"/>
        <v>89</v>
      </c>
      <c r="C2955">
        <f t="shared" ca="1" si="1057"/>
        <v>86</v>
      </c>
      <c r="D2955" t="str">
        <f t="shared" si="1066"/>
        <v>N89</v>
      </c>
      <c r="E2955" t="str">
        <f t="shared" ca="1" si="1067"/>
        <v/>
      </c>
      <c r="F2955" t="str">
        <f t="shared" ca="1" si="1068"/>
        <v xml:space="preserve">Enter a 'Cost of Acquiring the Building***' for  building 86 in cell N89.
</v>
      </c>
      <c r="G2955" s="9" t="str">
        <f t="shared" ca="1" si="1055"/>
        <v xml:space="preserve">Enter a value for 'Number of Floors in the Tallest Building' in cell B60.
</v>
      </c>
      <c r="H2955" s="52" t="str">
        <f t="shared" ca="1" si="1069"/>
        <v>Cost of Acquiring the Building***</v>
      </c>
      <c r="I2955" s="52">
        <v>14</v>
      </c>
    </row>
    <row r="2956" spans="1:10" ht="15" customHeight="1">
      <c r="A2956" t="str">
        <f ca="1">IF(AND(OFFSET(A2956, -I2956 + 2, 4) &gt;  0, E2956="", Calculations!$B$7), F2956, "")</f>
        <v/>
      </c>
      <c r="B2956">
        <f t="shared" si="1065"/>
        <v>89</v>
      </c>
      <c r="C2956">
        <f t="shared" ca="1" si="1057"/>
        <v>86</v>
      </c>
      <c r="D2956" t="str">
        <f t="shared" si="1066"/>
        <v>O89</v>
      </c>
      <c r="E2956" t="str">
        <f t="shared" ca="1" si="1067"/>
        <v/>
      </c>
      <c r="F2956" t="str">
        <f t="shared" ca="1" si="1068"/>
        <v xml:space="preserve">Enter a 'Higher of Land Purchase Price or Land Appraised Value****' for  building 86 in cell O89.
</v>
      </c>
      <c r="G2956" s="9" t="str">
        <f t="shared" ca="1" si="1055"/>
        <v xml:space="preserve">Enter a value for 'Number of Floors in the Tallest Building' in cell B60.
</v>
      </c>
      <c r="H2956" s="52" t="str">
        <f t="shared" ca="1" si="1069"/>
        <v>Higher of Land Purchase Price or Land Appraised Value****</v>
      </c>
      <c r="I2956" s="52">
        <v>15</v>
      </c>
    </row>
    <row r="2957" spans="1:10" ht="15" customHeight="1">
      <c r="A2957" t="str">
        <f ca="1">IF(AND(OFFSET(A2957, -I2957 + 2, 4) &gt;  0, E2957="", Calculations!$B$7), F2957, "")</f>
        <v/>
      </c>
      <c r="B2957">
        <f t="shared" si="1065"/>
        <v>89</v>
      </c>
      <c r="C2957">
        <f t="shared" ca="1" si="1057"/>
        <v>86</v>
      </c>
      <c r="D2957" t="str">
        <f t="shared" si="1066"/>
        <v>P89</v>
      </c>
      <c r="E2957" t="str">
        <f t="shared" ca="1" si="1067"/>
        <v/>
      </c>
      <c r="F2957" t="str">
        <f t="shared" ca="1" si="1068"/>
        <v xml:space="preserve">Enter a 'Acquisition Placed-in-Service Date' for  building 86 in cell P89.
</v>
      </c>
      <c r="G2957" s="9" t="str">
        <f t="shared" ca="1" si="1055"/>
        <v xml:space="preserve">Enter a value for 'Number of Floors in the Tallest Building' in cell B60.
</v>
      </c>
      <c r="H2957" s="52" t="str">
        <f t="shared" ca="1" si="1069"/>
        <v>Acquisition Placed-in-Service Date</v>
      </c>
      <c r="I2957" s="52">
        <v>16</v>
      </c>
    </row>
    <row r="2958" spans="1:10" ht="15" customHeight="1">
      <c r="A2958" t="str">
        <f ca="1">IF(AND(OFFSET(A2958, -I2958 + 2, 4) &gt;  0, E2958="", Calculations!$B$7), F2958, "")</f>
        <v/>
      </c>
      <c r="B2958">
        <f t="shared" si="1065"/>
        <v>89</v>
      </c>
      <c r="C2958">
        <f t="shared" ca="1" si="1057"/>
        <v>86</v>
      </c>
      <c r="D2958" t="str">
        <f t="shared" si="1066"/>
        <v>Q89</v>
      </c>
      <c r="E2958" t="str">
        <f t="shared" ca="1" si="1067"/>
        <v/>
      </c>
      <c r="F2958" t="str">
        <f t="shared" ca="1" si="1068"/>
        <v xml:space="preserve">Enter a 'Acquisition APR' for  building 86 in cell Q89.
</v>
      </c>
      <c r="G2958" s="9" t="str">
        <f t="shared" ca="1" si="1055"/>
        <v xml:space="preserve">Enter a value for 'Number of Floors in the Tallest Building' in cell B60.
</v>
      </c>
      <c r="H2958" s="52" t="str">
        <f t="shared" ca="1" si="1069"/>
        <v>Acquisition APR</v>
      </c>
      <c r="I2958" s="52">
        <v>17</v>
      </c>
    </row>
    <row r="2959" spans="1:10" ht="15" customHeight="1">
      <c r="A2959" t="str">
        <f ca="1">IF(AND(Calculations!$B$4,Calculations!$B$29&gt;=C2959, E2959 &lt;&gt; 13),F2959,"")</f>
        <v/>
      </c>
      <c r="B2959">
        <f>ROW('Final Building Profile'!C90)</f>
        <v>90</v>
      </c>
      <c r="C2959">
        <f t="shared" ca="1" si="1057"/>
        <v>87</v>
      </c>
      <c r="D2959" t="str">
        <f>ADDRESS(B2959, 3,4  )</f>
        <v>C90</v>
      </c>
      <c r="E2959" s="52">
        <f ca="1">H2959+I2959</f>
        <v>0</v>
      </c>
      <c r="F2959" t="str">
        <f ca="1">CONCATENATE("Based upon the number of buildings specified, information for  building ", C2959, " required for a final application in row ", B2959, ".", CHAR(10))</f>
        <v xml:space="preserve">Based upon the number of buildings specified, information for  building 87 required for a final application in row 90.
</v>
      </c>
      <c r="G2959" s="9" t="str">
        <f t="shared" ca="1" si="1055"/>
        <v xml:space="preserve">Enter a value for 'Number of Floors in the Tallest Building' in cell B60.
</v>
      </c>
      <c r="H2959" s="52">
        <f ca="1">SUMPRODUCT(--ISTEXT(INDIRECT(J2959)))</f>
        <v>0</v>
      </c>
      <c r="I2959" s="52">
        <f ca="1">SUMPRODUCT(--ISNUMBER(INDIRECT(J2959)))</f>
        <v>0</v>
      </c>
      <c r="J2959" s="52" t="str">
        <f>$F$1565&amp; ADDRESS(B2959,3,4) &amp; ":" &amp; ADDRESS(B2959,15,4)</f>
        <v>'Final Building Profile'!C90:O90</v>
      </c>
    </row>
    <row r="2960" spans="1:10" ht="15" customHeight="1">
      <c r="A2960" t="str">
        <f t="shared" ref="A2960:A2969" ca="1" si="1070">IF(AND(OFFSET(A2960, -I2960 + 2, 4) &gt;  0, E2960=""), F2960, "")</f>
        <v/>
      </c>
      <c r="B2960">
        <f t="shared" ref="B2960:B2974" si="1071">B2959</f>
        <v>90</v>
      </c>
      <c r="C2960">
        <f t="shared" ca="1" si="1057"/>
        <v>87</v>
      </c>
      <c r="D2960" t="str">
        <f t="shared" ref="D2960:D2974" si="1072">ADDRESS(B2960, I2960,4  )</f>
        <v>C90</v>
      </c>
      <c r="E2960" t="str">
        <f t="shared" ref="E2960:E2974" ca="1" si="1073">IF(ISBLANK( INDIRECT($F$1565 &amp; D2960)),"", INDIRECT($F$1565 &amp; D2960))</f>
        <v/>
      </c>
      <c r="F2960" t="str">
        <f t="shared" ref="F2960:F2974" ca="1" si="1074">CONCATENATE("Enter a '"&amp; H2960 &amp;"' for  building ", C2960, " in cell ", D2960, ".", CHAR(10))</f>
        <v xml:space="preserve">Enter a 'Building Street Address Only 
(DO NOT ENTER CITY, STATE, OR ZIP)' for  building 87 in cell C90.
</v>
      </c>
      <c r="G2960" s="9" t="str">
        <f t="shared" ca="1" si="1055"/>
        <v xml:space="preserve">Enter a value for 'Number of Floors in the Tallest Building' in cell B60.
</v>
      </c>
      <c r="H2960" s="52" t="str">
        <f t="shared" ref="H2960:H2974" ca="1" si="1075">OFFSET(INDIRECT($F$1565 &amp; D2960), -B2960 + 3, 0)</f>
        <v>Building Street Address Only 
(DO NOT ENTER CITY, STATE, OR ZIP)</v>
      </c>
      <c r="I2960" s="52">
        <v>3</v>
      </c>
    </row>
    <row r="2961" spans="1:10" ht="15" customHeight="1">
      <c r="A2961" t="str">
        <f t="shared" ca="1" si="1070"/>
        <v/>
      </c>
      <c r="B2961">
        <f t="shared" si="1071"/>
        <v>90</v>
      </c>
      <c r="C2961">
        <f t="shared" ca="1" si="1057"/>
        <v>87</v>
      </c>
      <c r="D2961" t="str">
        <f t="shared" si="1072"/>
        <v>D90</v>
      </c>
      <c r="E2961" t="str">
        <f t="shared" ca="1" si="1073"/>
        <v/>
      </c>
      <c r="F2961" t="str">
        <f t="shared" ca="1" si="1074"/>
        <v xml:space="preserve">Enter a 'Total Units in Building*' for  building 87 in cell D90.
</v>
      </c>
      <c r="G2961" s="9" t="str">
        <f t="shared" ca="1" si="1055"/>
        <v xml:space="preserve">Enter a value for 'Number of Floors in the Tallest Building' in cell B60.
</v>
      </c>
      <c r="H2961" s="52" t="str">
        <f t="shared" ca="1" si="1075"/>
        <v>Total Units in Building*</v>
      </c>
      <c r="I2961" s="52">
        <v>4</v>
      </c>
    </row>
    <row r="2962" spans="1:10" ht="15" customHeight="1">
      <c r="A2962" t="str">
        <f t="shared" ca="1" si="1070"/>
        <v/>
      </c>
      <c r="B2962">
        <f t="shared" si="1071"/>
        <v>90</v>
      </c>
      <c r="C2962">
        <f t="shared" ca="1" si="1057"/>
        <v>87</v>
      </c>
      <c r="D2962" t="str">
        <f t="shared" si="1072"/>
        <v>E90</v>
      </c>
      <c r="E2962" t="str">
        <f t="shared" ca="1" si="1073"/>
        <v/>
      </c>
      <c r="F2962" t="str">
        <f t="shared" ca="1" si="1074"/>
        <v xml:space="preserve">Enter a 'Employee Units' for  building 87 in cell E90.
</v>
      </c>
      <c r="G2962" s="9" t="str">
        <f t="shared" ca="1" si="1055"/>
        <v xml:space="preserve">Enter a value for 'Number of Floors in the Tallest Building' in cell B60.
</v>
      </c>
      <c r="H2962" s="52" t="str">
        <f t="shared" ca="1" si="1075"/>
        <v>Employee Units</v>
      </c>
      <c r="I2962" s="52">
        <v>5</v>
      </c>
    </row>
    <row r="2963" spans="1:10" ht="15" customHeight="1">
      <c r="A2963" t="str">
        <f t="shared" ca="1" si="1070"/>
        <v/>
      </c>
      <c r="B2963">
        <f t="shared" si="1071"/>
        <v>90</v>
      </c>
      <c r="C2963">
        <f t="shared" ca="1" si="1057"/>
        <v>87</v>
      </c>
      <c r="D2963" t="str">
        <f t="shared" si="1072"/>
        <v>F90</v>
      </c>
      <c r="E2963" t="str">
        <f t="shared" ca="1" si="1073"/>
        <v/>
      </c>
      <c r="F2963" t="str">
        <f t="shared" ca="1" si="1074"/>
        <v xml:space="preserve">Enter a 'Low-Income Units' for  building 87 in cell F90.
</v>
      </c>
      <c r="G2963" s="9" t="str">
        <f t="shared" ca="1" si="1055"/>
        <v xml:space="preserve">Enter a value for 'Number of Floors in the Tallest Building' in cell B60.
</v>
      </c>
      <c r="H2963" s="52" t="str">
        <f t="shared" ca="1" si="1075"/>
        <v>Low-Income Units</v>
      </c>
      <c r="I2963" s="52">
        <v>6</v>
      </c>
    </row>
    <row r="2964" spans="1:10" ht="15" customHeight="1">
      <c r="A2964" t="str">
        <f t="shared" ca="1" si="1070"/>
        <v/>
      </c>
      <c r="B2964">
        <f t="shared" si="1071"/>
        <v>90</v>
      </c>
      <c r="C2964">
        <f t="shared" ca="1" si="1057"/>
        <v>87</v>
      </c>
      <c r="D2964" t="str">
        <f t="shared" si="1072"/>
        <v>G90</v>
      </c>
      <c r="E2964" t="str">
        <f t="shared" ca="1" si="1073"/>
        <v/>
      </c>
      <c r="F2964" t="str">
        <f t="shared" ca="1" si="1074"/>
        <v xml:space="preserve">Enter a 'Residential Square Footage**' for  building 87 in cell G90.
</v>
      </c>
      <c r="G2964" s="9" t="str">
        <f t="shared" ca="1" si="1055"/>
        <v xml:space="preserve">Enter a value for 'Number of Floors in the Tallest Building' in cell B60.
</v>
      </c>
      <c r="H2964" s="52" t="str">
        <f t="shared" ca="1" si="1075"/>
        <v>Residential Square Footage**</v>
      </c>
      <c r="I2964" s="52">
        <v>7</v>
      </c>
    </row>
    <row r="2965" spans="1:10" ht="15" customHeight="1">
      <c r="A2965" t="str">
        <f t="shared" ca="1" si="1070"/>
        <v/>
      </c>
      <c r="B2965">
        <f t="shared" si="1071"/>
        <v>90</v>
      </c>
      <c r="C2965">
        <f t="shared" ca="1" si="1057"/>
        <v>87</v>
      </c>
      <c r="D2965" t="str">
        <f t="shared" si="1072"/>
        <v>H90</v>
      </c>
      <c r="E2965" t="str">
        <f t="shared" ca="1" si="1073"/>
        <v/>
      </c>
      <c r="F2965" t="str">
        <f t="shared" ca="1" si="1074"/>
        <v xml:space="preserve">Enter a 'Square Footage of Employee Units' for  building 87 in cell H90.
</v>
      </c>
      <c r="G2965" s="9" t="str">
        <f t="shared" ca="1" si="1055"/>
        <v xml:space="preserve">Enter a value for 'Number of Floors in the Tallest Building' in cell B60.
</v>
      </c>
      <c r="H2965" s="52" t="str">
        <f t="shared" ca="1" si="1075"/>
        <v>Square Footage of Employee Units</v>
      </c>
      <c r="I2965" s="52">
        <v>8</v>
      </c>
    </row>
    <row r="2966" spans="1:10" ht="15" customHeight="1">
      <c r="A2966" t="str">
        <f t="shared" ca="1" si="1070"/>
        <v/>
      </c>
      <c r="B2966">
        <f t="shared" si="1071"/>
        <v>90</v>
      </c>
      <c r="C2966">
        <f t="shared" ca="1" si="1057"/>
        <v>87</v>
      </c>
      <c r="D2966" t="str">
        <f t="shared" si="1072"/>
        <v>I90</v>
      </c>
      <c r="E2966" t="str">
        <f t="shared" ca="1" si="1073"/>
        <v/>
      </c>
      <c r="F2966" t="str">
        <f t="shared" ca="1" si="1074"/>
        <v xml:space="preserve">Enter a 'Square Footage of Low-Income Units' for  building 87 in cell I90.
</v>
      </c>
      <c r="G2966" s="9" t="str">
        <f t="shared" ca="1" si="1055"/>
        <v xml:space="preserve">Enter a value for 'Number of Floors in the Tallest Building' in cell B60.
</v>
      </c>
      <c r="H2966" s="52" t="str">
        <f t="shared" ca="1" si="1075"/>
        <v>Square Footage of Low-Income Units</v>
      </c>
      <c r="I2966" s="52">
        <v>9</v>
      </c>
    </row>
    <row r="2967" spans="1:10" ht="15" customHeight="1">
      <c r="A2967" t="str">
        <f t="shared" ca="1" si="1070"/>
        <v/>
      </c>
      <c r="B2967">
        <f t="shared" si="1071"/>
        <v>90</v>
      </c>
      <c r="C2967">
        <f t="shared" ca="1" si="1057"/>
        <v>87</v>
      </c>
      <c r="D2967" t="str">
        <f t="shared" si="1072"/>
        <v>J90</v>
      </c>
      <c r="E2967" t="str">
        <f t="shared" ca="1" si="1073"/>
        <v/>
      </c>
      <c r="F2967" t="str">
        <f t="shared" ca="1" si="1074"/>
        <v xml:space="preserve">Enter a 'Placed-In-Service Date' for  building 87 in cell J90.
</v>
      </c>
      <c r="G2967" s="9" t="str">
        <f t="shared" ca="1" si="1055"/>
        <v xml:space="preserve">Enter a value for 'Number of Floors in the Tallest Building' in cell B60.
</v>
      </c>
      <c r="H2967" s="52" t="str">
        <f t="shared" ca="1" si="1075"/>
        <v>Placed-In-Service Date</v>
      </c>
      <c r="I2967" s="52">
        <v>10</v>
      </c>
    </row>
    <row r="2968" spans="1:10" ht="15" customHeight="1">
      <c r="A2968" t="str">
        <f t="shared" ca="1" si="1070"/>
        <v/>
      </c>
      <c r="B2968">
        <f t="shared" si="1071"/>
        <v>90</v>
      </c>
      <c r="C2968">
        <f t="shared" ca="1" si="1057"/>
        <v>87</v>
      </c>
      <c r="D2968" t="str">
        <f t="shared" si="1072"/>
        <v>K90</v>
      </c>
      <c r="E2968" t="str">
        <f t="shared" ca="1" si="1073"/>
        <v/>
      </c>
      <c r="F2968" t="str">
        <f t="shared" ca="1" si="1074"/>
        <v xml:space="preserve">Enter a 'New Construction/ Rehab APR' for  building 87 in cell K90.
</v>
      </c>
      <c r="G2968" s="9" t="str">
        <f t="shared" ca="1" si="1055"/>
        <v xml:space="preserve">Enter a value for 'Number of Floors in the Tallest Building' in cell B60.
</v>
      </c>
      <c r="H2968" s="52" t="str">
        <f t="shared" ca="1" si="1075"/>
        <v>New Construction/ Rehab APR</v>
      </c>
      <c r="I2968" s="52">
        <v>11</v>
      </c>
    </row>
    <row r="2969" spans="1:10" ht="15" customHeight="1">
      <c r="A2969" t="str">
        <f t="shared" ca="1" si="1070"/>
        <v/>
      </c>
      <c r="B2969">
        <f t="shared" si="1071"/>
        <v>90</v>
      </c>
      <c r="C2969">
        <f t="shared" ca="1" si="1057"/>
        <v>87</v>
      </c>
      <c r="D2969" t="str">
        <f t="shared" si="1072"/>
        <v>L90</v>
      </c>
      <c r="E2969" t="str">
        <f t="shared" ca="1" si="1073"/>
        <v/>
      </c>
      <c r="F2969" t="str">
        <f t="shared" ca="1" si="1074"/>
        <v xml:space="preserve">Enter a 'New Construction Eligible Basis' for  building 87 in cell L90.
</v>
      </c>
      <c r="G2969" s="9" t="str">
        <f t="shared" ca="1" si="1055"/>
        <v xml:space="preserve">Enter a value for 'Number of Floors in the Tallest Building' in cell B60.
</v>
      </c>
      <c r="H2969" s="52" t="str">
        <f t="shared" ca="1" si="1075"/>
        <v>New Construction Eligible Basis</v>
      </c>
      <c r="I2969" s="52">
        <v>12</v>
      </c>
    </row>
    <row r="2970" spans="1:10" ht="15" customHeight="1">
      <c r="A2970" t="str">
        <f ca="1">IF(AND(OFFSET(A2970, -I2970 + 2, 4) &gt;  0, E2970="", Calculations!$B$7), F2970, "")</f>
        <v/>
      </c>
      <c r="B2970">
        <f t="shared" si="1071"/>
        <v>90</v>
      </c>
      <c r="C2970">
        <f t="shared" ca="1" si="1057"/>
        <v>87</v>
      </c>
      <c r="D2970" t="str">
        <f t="shared" si="1072"/>
        <v>M90</v>
      </c>
      <c r="E2970" t="str">
        <f t="shared" ca="1" si="1073"/>
        <v/>
      </c>
      <c r="F2970" t="str">
        <f t="shared" ca="1" si="1074"/>
        <v xml:space="preserve">Enter a 'Eligible Basis for Rehab' for  building 87 in cell M90.
</v>
      </c>
      <c r="G2970" s="9" t="str">
        <f t="shared" ca="1" si="1055"/>
        <v xml:space="preserve">Enter a value for 'Number of Floors in the Tallest Building' in cell B60.
</v>
      </c>
      <c r="H2970" s="52" t="str">
        <f t="shared" ca="1" si="1075"/>
        <v>Eligible Basis for Rehab</v>
      </c>
      <c r="I2970" s="52">
        <v>13</v>
      </c>
    </row>
    <row r="2971" spans="1:10" ht="15" customHeight="1">
      <c r="A2971" t="str">
        <f ca="1">IF(AND(OFFSET(A2971, -I2971 + 2, 4) &gt;  0, E2971="", Calculations!$B$7), F2971, "")</f>
        <v/>
      </c>
      <c r="B2971">
        <f t="shared" si="1071"/>
        <v>90</v>
      </c>
      <c r="C2971">
        <f t="shared" ca="1" si="1057"/>
        <v>87</v>
      </c>
      <c r="D2971" t="str">
        <f t="shared" si="1072"/>
        <v>N90</v>
      </c>
      <c r="E2971" t="str">
        <f t="shared" ca="1" si="1073"/>
        <v/>
      </c>
      <c r="F2971" t="str">
        <f t="shared" ca="1" si="1074"/>
        <v xml:space="preserve">Enter a 'Cost of Acquiring the Building***' for  building 87 in cell N90.
</v>
      </c>
      <c r="G2971" s="9" t="str">
        <f t="shared" ca="1" si="1055"/>
        <v xml:space="preserve">Enter a value for 'Number of Floors in the Tallest Building' in cell B60.
</v>
      </c>
      <c r="H2971" s="52" t="str">
        <f t="shared" ca="1" si="1075"/>
        <v>Cost of Acquiring the Building***</v>
      </c>
      <c r="I2971" s="52">
        <v>14</v>
      </c>
    </row>
    <row r="2972" spans="1:10" ht="15" customHeight="1">
      <c r="A2972" t="str">
        <f ca="1">IF(AND(OFFSET(A2972, -I2972 + 2, 4) &gt;  0, E2972="", Calculations!$B$7), F2972, "")</f>
        <v/>
      </c>
      <c r="B2972">
        <f t="shared" si="1071"/>
        <v>90</v>
      </c>
      <c r="C2972">
        <f t="shared" ca="1" si="1057"/>
        <v>87</v>
      </c>
      <c r="D2972" t="str">
        <f t="shared" si="1072"/>
        <v>O90</v>
      </c>
      <c r="E2972" t="str">
        <f t="shared" ca="1" si="1073"/>
        <v/>
      </c>
      <c r="F2972" t="str">
        <f t="shared" ca="1" si="1074"/>
        <v xml:space="preserve">Enter a 'Higher of Land Purchase Price or Land Appraised Value****' for  building 87 in cell O90.
</v>
      </c>
      <c r="G2972" s="9" t="str">
        <f t="shared" ca="1" si="1055"/>
        <v xml:space="preserve">Enter a value for 'Number of Floors in the Tallest Building' in cell B60.
</v>
      </c>
      <c r="H2972" s="52" t="str">
        <f t="shared" ca="1" si="1075"/>
        <v>Higher of Land Purchase Price or Land Appraised Value****</v>
      </c>
      <c r="I2972" s="52">
        <v>15</v>
      </c>
    </row>
    <row r="2973" spans="1:10" ht="15" customHeight="1">
      <c r="A2973" t="str">
        <f ca="1">IF(AND(OFFSET(A2973, -I2973 + 2, 4) &gt;  0, E2973="", Calculations!$B$7), F2973, "")</f>
        <v/>
      </c>
      <c r="B2973">
        <f t="shared" si="1071"/>
        <v>90</v>
      </c>
      <c r="C2973">
        <f t="shared" ca="1" si="1057"/>
        <v>87</v>
      </c>
      <c r="D2973" t="str">
        <f t="shared" si="1072"/>
        <v>P90</v>
      </c>
      <c r="E2973" t="str">
        <f t="shared" ca="1" si="1073"/>
        <v/>
      </c>
      <c r="F2973" t="str">
        <f t="shared" ca="1" si="1074"/>
        <v xml:space="preserve">Enter a 'Acquisition Placed-in-Service Date' for  building 87 in cell P90.
</v>
      </c>
      <c r="G2973" s="9" t="str">
        <f t="shared" ca="1" si="1055"/>
        <v xml:space="preserve">Enter a value for 'Number of Floors in the Tallest Building' in cell B60.
</v>
      </c>
      <c r="H2973" s="52" t="str">
        <f t="shared" ca="1" si="1075"/>
        <v>Acquisition Placed-in-Service Date</v>
      </c>
      <c r="I2973" s="52">
        <v>16</v>
      </c>
    </row>
    <row r="2974" spans="1:10" ht="15" customHeight="1">
      <c r="A2974" t="str">
        <f ca="1">IF(AND(OFFSET(A2974, -I2974 + 2, 4) &gt;  0, E2974="", Calculations!$B$7), F2974, "")</f>
        <v/>
      </c>
      <c r="B2974">
        <f t="shared" si="1071"/>
        <v>90</v>
      </c>
      <c r="C2974">
        <f t="shared" ca="1" si="1057"/>
        <v>87</v>
      </c>
      <c r="D2974" t="str">
        <f t="shared" si="1072"/>
        <v>Q90</v>
      </c>
      <c r="E2974" t="str">
        <f t="shared" ca="1" si="1073"/>
        <v/>
      </c>
      <c r="F2974" t="str">
        <f t="shared" ca="1" si="1074"/>
        <v xml:space="preserve">Enter a 'Acquisition APR' for  building 87 in cell Q90.
</v>
      </c>
      <c r="G2974" s="9" t="str">
        <f t="shared" ca="1" si="1055"/>
        <v xml:space="preserve">Enter a value for 'Number of Floors in the Tallest Building' in cell B60.
</v>
      </c>
      <c r="H2974" s="52" t="str">
        <f t="shared" ca="1" si="1075"/>
        <v>Acquisition APR</v>
      </c>
      <c r="I2974" s="52">
        <v>17</v>
      </c>
    </row>
    <row r="2975" spans="1:10" ht="15" customHeight="1">
      <c r="A2975" t="str">
        <f ca="1">IF(AND(Calculations!$B$4,Calculations!$B$29&gt;=C2975, E2975 &lt;&gt; 13),F2975,"")</f>
        <v/>
      </c>
      <c r="B2975">
        <f>ROW('Final Building Profile'!C91)</f>
        <v>91</v>
      </c>
      <c r="C2975">
        <f t="shared" ca="1" si="1057"/>
        <v>88</v>
      </c>
      <c r="D2975" t="str">
        <f>ADDRESS(B2975, 3,4  )</f>
        <v>C91</v>
      </c>
      <c r="E2975" s="52">
        <f ca="1">H2975+I2975</f>
        <v>0</v>
      </c>
      <c r="F2975" t="str">
        <f ca="1">CONCATENATE("Based upon the number of buildings specified, information for  building ", C2975, " required for a final application in row ", B2975, ".", CHAR(10))</f>
        <v xml:space="preserve">Based upon the number of buildings specified, information for  building 88 required for a final application in row 91.
</v>
      </c>
      <c r="G2975" s="9" t="str">
        <f t="shared" ca="1" si="1055"/>
        <v xml:space="preserve">Enter a value for 'Number of Floors in the Tallest Building' in cell B60.
</v>
      </c>
      <c r="H2975" s="52">
        <f ca="1">SUMPRODUCT(--ISTEXT(INDIRECT(J2975)))</f>
        <v>0</v>
      </c>
      <c r="I2975" s="52">
        <f ca="1">SUMPRODUCT(--ISNUMBER(INDIRECT(J2975)))</f>
        <v>0</v>
      </c>
      <c r="J2975" s="52" t="str">
        <f>$F$1565&amp; ADDRESS(B2975,3,4) &amp; ":" &amp; ADDRESS(B2975,15,4)</f>
        <v>'Final Building Profile'!C91:O91</v>
      </c>
    </row>
    <row r="2976" spans="1:10" ht="15" customHeight="1">
      <c r="A2976" t="str">
        <f t="shared" ref="A2976:A2985" ca="1" si="1076">IF(AND(OFFSET(A2976, -I2976 + 2, 4) &gt;  0, E2976=""), F2976, "")</f>
        <v/>
      </c>
      <c r="B2976">
        <f t="shared" ref="B2976:B2990" si="1077">B2975</f>
        <v>91</v>
      </c>
      <c r="C2976">
        <f t="shared" ca="1" si="1057"/>
        <v>88</v>
      </c>
      <c r="D2976" t="str">
        <f t="shared" ref="D2976:D2990" si="1078">ADDRESS(B2976, I2976,4  )</f>
        <v>C91</v>
      </c>
      <c r="E2976" t="str">
        <f t="shared" ref="E2976:E2990" ca="1" si="1079">IF(ISBLANK( INDIRECT($F$1565 &amp; D2976)),"", INDIRECT($F$1565 &amp; D2976))</f>
        <v/>
      </c>
      <c r="F2976" t="str">
        <f t="shared" ref="F2976:F2990" ca="1" si="1080">CONCATENATE("Enter a '"&amp; H2976 &amp;"' for  building ", C2976, " in cell ", D2976, ".", CHAR(10))</f>
        <v xml:space="preserve">Enter a 'Building Street Address Only 
(DO NOT ENTER CITY, STATE, OR ZIP)' for  building 88 in cell C91.
</v>
      </c>
      <c r="G2976" s="9" t="str">
        <f t="shared" ref="G2976:G3039" ca="1" si="1081">OFFSET(G2976, -1, 0) &amp; A2976</f>
        <v xml:space="preserve">Enter a value for 'Number of Floors in the Tallest Building' in cell B60.
</v>
      </c>
      <c r="H2976" s="52" t="str">
        <f t="shared" ref="H2976:H2990" ca="1" si="1082">OFFSET(INDIRECT($F$1565 &amp; D2976), -B2976 + 3, 0)</f>
        <v>Building Street Address Only 
(DO NOT ENTER CITY, STATE, OR ZIP)</v>
      </c>
      <c r="I2976" s="52">
        <v>3</v>
      </c>
    </row>
    <row r="2977" spans="1:10" ht="15" customHeight="1">
      <c r="A2977" t="str">
        <f t="shared" ca="1" si="1076"/>
        <v/>
      </c>
      <c r="B2977">
        <f t="shared" si="1077"/>
        <v>91</v>
      </c>
      <c r="C2977">
        <f t="shared" ca="1" si="1057"/>
        <v>88</v>
      </c>
      <c r="D2977" t="str">
        <f t="shared" si="1078"/>
        <v>D91</v>
      </c>
      <c r="E2977" t="str">
        <f t="shared" ca="1" si="1079"/>
        <v/>
      </c>
      <c r="F2977" t="str">
        <f t="shared" ca="1" si="1080"/>
        <v xml:space="preserve">Enter a 'Total Units in Building*' for  building 88 in cell D91.
</v>
      </c>
      <c r="G2977" s="9" t="str">
        <f t="shared" ca="1" si="1081"/>
        <v xml:space="preserve">Enter a value for 'Number of Floors in the Tallest Building' in cell B60.
</v>
      </c>
      <c r="H2977" s="52" t="str">
        <f t="shared" ca="1" si="1082"/>
        <v>Total Units in Building*</v>
      </c>
      <c r="I2977" s="52">
        <v>4</v>
      </c>
    </row>
    <row r="2978" spans="1:10" ht="15" customHeight="1">
      <c r="A2978" t="str">
        <f t="shared" ca="1" si="1076"/>
        <v/>
      </c>
      <c r="B2978">
        <f t="shared" si="1077"/>
        <v>91</v>
      </c>
      <c r="C2978">
        <f t="shared" ca="1" si="1057"/>
        <v>88</v>
      </c>
      <c r="D2978" t="str">
        <f t="shared" si="1078"/>
        <v>E91</v>
      </c>
      <c r="E2978" t="str">
        <f t="shared" ca="1" si="1079"/>
        <v/>
      </c>
      <c r="F2978" t="str">
        <f t="shared" ca="1" si="1080"/>
        <v xml:space="preserve">Enter a 'Employee Units' for  building 88 in cell E91.
</v>
      </c>
      <c r="G2978" s="9" t="str">
        <f t="shared" ca="1" si="1081"/>
        <v xml:space="preserve">Enter a value for 'Number of Floors in the Tallest Building' in cell B60.
</v>
      </c>
      <c r="H2978" s="52" t="str">
        <f t="shared" ca="1" si="1082"/>
        <v>Employee Units</v>
      </c>
      <c r="I2978" s="52">
        <v>5</v>
      </c>
    </row>
    <row r="2979" spans="1:10" ht="15" customHeight="1">
      <c r="A2979" t="str">
        <f t="shared" ca="1" si="1076"/>
        <v/>
      </c>
      <c r="B2979">
        <f t="shared" si="1077"/>
        <v>91</v>
      </c>
      <c r="C2979">
        <f t="shared" ca="1" si="1057"/>
        <v>88</v>
      </c>
      <c r="D2979" t="str">
        <f t="shared" si="1078"/>
        <v>F91</v>
      </c>
      <c r="E2979" t="str">
        <f t="shared" ca="1" si="1079"/>
        <v/>
      </c>
      <c r="F2979" t="str">
        <f t="shared" ca="1" si="1080"/>
        <v xml:space="preserve">Enter a 'Low-Income Units' for  building 88 in cell F91.
</v>
      </c>
      <c r="G2979" s="9" t="str">
        <f t="shared" ca="1" si="1081"/>
        <v xml:space="preserve">Enter a value for 'Number of Floors in the Tallest Building' in cell B60.
</v>
      </c>
      <c r="H2979" s="52" t="str">
        <f t="shared" ca="1" si="1082"/>
        <v>Low-Income Units</v>
      </c>
      <c r="I2979" s="52">
        <v>6</v>
      </c>
    </row>
    <row r="2980" spans="1:10" ht="15" customHeight="1">
      <c r="A2980" t="str">
        <f t="shared" ca="1" si="1076"/>
        <v/>
      </c>
      <c r="B2980">
        <f t="shared" si="1077"/>
        <v>91</v>
      </c>
      <c r="C2980">
        <f t="shared" ca="1" si="1057"/>
        <v>88</v>
      </c>
      <c r="D2980" t="str">
        <f t="shared" si="1078"/>
        <v>G91</v>
      </c>
      <c r="E2980" t="str">
        <f t="shared" ca="1" si="1079"/>
        <v/>
      </c>
      <c r="F2980" t="str">
        <f t="shared" ca="1" si="1080"/>
        <v xml:space="preserve">Enter a 'Residential Square Footage**' for  building 88 in cell G91.
</v>
      </c>
      <c r="G2980" s="9" t="str">
        <f t="shared" ca="1" si="1081"/>
        <v xml:space="preserve">Enter a value for 'Number of Floors in the Tallest Building' in cell B60.
</v>
      </c>
      <c r="H2980" s="52" t="str">
        <f t="shared" ca="1" si="1082"/>
        <v>Residential Square Footage**</v>
      </c>
      <c r="I2980" s="52">
        <v>7</v>
      </c>
    </row>
    <row r="2981" spans="1:10" ht="15" customHeight="1">
      <c r="A2981" t="str">
        <f t="shared" ca="1" si="1076"/>
        <v/>
      </c>
      <c r="B2981">
        <f t="shared" si="1077"/>
        <v>91</v>
      </c>
      <c r="C2981">
        <f t="shared" ca="1" si="1057"/>
        <v>88</v>
      </c>
      <c r="D2981" t="str">
        <f t="shared" si="1078"/>
        <v>H91</v>
      </c>
      <c r="E2981" t="str">
        <f t="shared" ca="1" si="1079"/>
        <v/>
      </c>
      <c r="F2981" t="str">
        <f t="shared" ca="1" si="1080"/>
        <v xml:space="preserve">Enter a 'Square Footage of Employee Units' for  building 88 in cell H91.
</v>
      </c>
      <c r="G2981" s="9" t="str">
        <f t="shared" ca="1" si="1081"/>
        <v xml:space="preserve">Enter a value for 'Number of Floors in the Tallest Building' in cell B60.
</v>
      </c>
      <c r="H2981" s="52" t="str">
        <f t="shared" ca="1" si="1082"/>
        <v>Square Footage of Employee Units</v>
      </c>
      <c r="I2981" s="52">
        <v>8</v>
      </c>
    </row>
    <row r="2982" spans="1:10" ht="15" customHeight="1">
      <c r="A2982" t="str">
        <f t="shared" ca="1" si="1076"/>
        <v/>
      </c>
      <c r="B2982">
        <f t="shared" si="1077"/>
        <v>91</v>
      </c>
      <c r="C2982">
        <f t="shared" ca="1" si="1057"/>
        <v>88</v>
      </c>
      <c r="D2982" t="str">
        <f t="shared" si="1078"/>
        <v>I91</v>
      </c>
      <c r="E2982" t="str">
        <f t="shared" ca="1" si="1079"/>
        <v/>
      </c>
      <c r="F2982" t="str">
        <f t="shared" ca="1" si="1080"/>
        <v xml:space="preserve">Enter a 'Square Footage of Low-Income Units' for  building 88 in cell I91.
</v>
      </c>
      <c r="G2982" s="9" t="str">
        <f t="shared" ca="1" si="1081"/>
        <v xml:space="preserve">Enter a value for 'Number of Floors in the Tallest Building' in cell B60.
</v>
      </c>
      <c r="H2982" s="52" t="str">
        <f t="shared" ca="1" si="1082"/>
        <v>Square Footage of Low-Income Units</v>
      </c>
      <c r="I2982" s="52">
        <v>9</v>
      </c>
    </row>
    <row r="2983" spans="1:10" ht="15" customHeight="1">
      <c r="A2983" t="str">
        <f t="shared" ca="1" si="1076"/>
        <v/>
      </c>
      <c r="B2983">
        <f t="shared" si="1077"/>
        <v>91</v>
      </c>
      <c r="C2983">
        <f t="shared" ca="1" si="1057"/>
        <v>88</v>
      </c>
      <c r="D2983" t="str">
        <f t="shared" si="1078"/>
        <v>J91</v>
      </c>
      <c r="E2983" t="str">
        <f t="shared" ca="1" si="1079"/>
        <v/>
      </c>
      <c r="F2983" t="str">
        <f t="shared" ca="1" si="1080"/>
        <v xml:space="preserve">Enter a 'Placed-In-Service Date' for  building 88 in cell J91.
</v>
      </c>
      <c r="G2983" s="9" t="str">
        <f t="shared" ca="1" si="1081"/>
        <v xml:space="preserve">Enter a value for 'Number of Floors in the Tallest Building' in cell B60.
</v>
      </c>
      <c r="H2983" s="52" t="str">
        <f t="shared" ca="1" si="1082"/>
        <v>Placed-In-Service Date</v>
      </c>
      <c r="I2983" s="52">
        <v>10</v>
      </c>
    </row>
    <row r="2984" spans="1:10" ht="15" customHeight="1">
      <c r="A2984" t="str">
        <f t="shared" ca="1" si="1076"/>
        <v/>
      </c>
      <c r="B2984">
        <f t="shared" si="1077"/>
        <v>91</v>
      </c>
      <c r="C2984">
        <f t="shared" ca="1" si="1057"/>
        <v>88</v>
      </c>
      <c r="D2984" t="str">
        <f t="shared" si="1078"/>
        <v>K91</v>
      </c>
      <c r="E2984" t="str">
        <f t="shared" ca="1" si="1079"/>
        <v/>
      </c>
      <c r="F2984" t="str">
        <f t="shared" ca="1" si="1080"/>
        <v xml:space="preserve">Enter a 'New Construction/ Rehab APR' for  building 88 in cell K91.
</v>
      </c>
      <c r="G2984" s="9" t="str">
        <f t="shared" ca="1" si="1081"/>
        <v xml:space="preserve">Enter a value for 'Number of Floors in the Tallest Building' in cell B60.
</v>
      </c>
      <c r="H2984" s="52" t="str">
        <f t="shared" ca="1" si="1082"/>
        <v>New Construction/ Rehab APR</v>
      </c>
      <c r="I2984" s="52">
        <v>11</v>
      </c>
    </row>
    <row r="2985" spans="1:10" ht="15" customHeight="1">
      <c r="A2985" t="str">
        <f t="shared" ca="1" si="1076"/>
        <v/>
      </c>
      <c r="B2985">
        <f t="shared" si="1077"/>
        <v>91</v>
      </c>
      <c r="C2985">
        <f t="shared" ca="1" si="1057"/>
        <v>88</v>
      </c>
      <c r="D2985" t="str">
        <f t="shared" si="1078"/>
        <v>L91</v>
      </c>
      <c r="E2985" t="str">
        <f t="shared" ca="1" si="1079"/>
        <v/>
      </c>
      <c r="F2985" t="str">
        <f t="shared" ca="1" si="1080"/>
        <v xml:space="preserve">Enter a 'New Construction Eligible Basis' for  building 88 in cell L91.
</v>
      </c>
      <c r="G2985" s="9" t="str">
        <f t="shared" ca="1" si="1081"/>
        <v xml:space="preserve">Enter a value for 'Number of Floors in the Tallest Building' in cell B60.
</v>
      </c>
      <c r="H2985" s="52" t="str">
        <f t="shared" ca="1" si="1082"/>
        <v>New Construction Eligible Basis</v>
      </c>
      <c r="I2985" s="52">
        <v>12</v>
      </c>
    </row>
    <row r="2986" spans="1:10" ht="15" customHeight="1">
      <c r="A2986" t="str">
        <f ca="1">IF(AND(OFFSET(A2986, -I2986 + 2, 4) &gt;  0, E2986="", Calculations!$B$7), F2986, "")</f>
        <v/>
      </c>
      <c r="B2986">
        <f t="shared" si="1077"/>
        <v>91</v>
      </c>
      <c r="C2986">
        <f t="shared" ca="1" si="1057"/>
        <v>88</v>
      </c>
      <c r="D2986" t="str">
        <f t="shared" si="1078"/>
        <v>M91</v>
      </c>
      <c r="E2986" t="str">
        <f t="shared" ca="1" si="1079"/>
        <v/>
      </c>
      <c r="F2986" t="str">
        <f t="shared" ca="1" si="1080"/>
        <v xml:space="preserve">Enter a 'Eligible Basis for Rehab' for  building 88 in cell M91.
</v>
      </c>
      <c r="G2986" s="9" t="str">
        <f t="shared" ca="1" si="1081"/>
        <v xml:space="preserve">Enter a value for 'Number of Floors in the Tallest Building' in cell B60.
</v>
      </c>
      <c r="H2986" s="52" t="str">
        <f t="shared" ca="1" si="1082"/>
        <v>Eligible Basis for Rehab</v>
      </c>
      <c r="I2986" s="52">
        <v>13</v>
      </c>
    </row>
    <row r="2987" spans="1:10" ht="15" customHeight="1">
      <c r="A2987" t="str">
        <f ca="1">IF(AND(OFFSET(A2987, -I2987 + 2, 4) &gt;  0, E2987="", Calculations!$B$7), F2987, "")</f>
        <v/>
      </c>
      <c r="B2987">
        <f t="shared" si="1077"/>
        <v>91</v>
      </c>
      <c r="C2987">
        <f t="shared" ca="1" si="1057"/>
        <v>88</v>
      </c>
      <c r="D2987" t="str">
        <f t="shared" si="1078"/>
        <v>N91</v>
      </c>
      <c r="E2987" t="str">
        <f t="shared" ca="1" si="1079"/>
        <v/>
      </c>
      <c r="F2987" t="str">
        <f t="shared" ca="1" si="1080"/>
        <v xml:space="preserve">Enter a 'Cost of Acquiring the Building***' for  building 88 in cell N91.
</v>
      </c>
      <c r="G2987" s="9" t="str">
        <f t="shared" ca="1" si="1081"/>
        <v xml:space="preserve">Enter a value for 'Number of Floors in the Tallest Building' in cell B60.
</v>
      </c>
      <c r="H2987" s="52" t="str">
        <f t="shared" ca="1" si="1082"/>
        <v>Cost of Acquiring the Building***</v>
      </c>
      <c r="I2987" s="52">
        <v>14</v>
      </c>
    </row>
    <row r="2988" spans="1:10" ht="15" customHeight="1">
      <c r="A2988" t="str">
        <f ca="1">IF(AND(OFFSET(A2988, -I2988 + 2, 4) &gt;  0, E2988="", Calculations!$B$7), F2988, "")</f>
        <v/>
      </c>
      <c r="B2988">
        <f t="shared" si="1077"/>
        <v>91</v>
      </c>
      <c r="C2988">
        <f t="shared" ca="1" si="1057"/>
        <v>88</v>
      </c>
      <c r="D2988" t="str">
        <f t="shared" si="1078"/>
        <v>O91</v>
      </c>
      <c r="E2988" t="str">
        <f t="shared" ca="1" si="1079"/>
        <v/>
      </c>
      <c r="F2988" t="str">
        <f t="shared" ca="1" si="1080"/>
        <v xml:space="preserve">Enter a 'Higher of Land Purchase Price or Land Appraised Value****' for  building 88 in cell O91.
</v>
      </c>
      <c r="G2988" s="9" t="str">
        <f t="shared" ca="1" si="1081"/>
        <v xml:space="preserve">Enter a value for 'Number of Floors in the Tallest Building' in cell B60.
</v>
      </c>
      <c r="H2988" s="52" t="str">
        <f t="shared" ca="1" si="1082"/>
        <v>Higher of Land Purchase Price or Land Appraised Value****</v>
      </c>
      <c r="I2988" s="52">
        <v>15</v>
      </c>
    </row>
    <row r="2989" spans="1:10" ht="15" customHeight="1">
      <c r="A2989" t="str">
        <f ca="1">IF(AND(OFFSET(A2989, -I2989 + 2, 4) &gt;  0, E2989="", Calculations!$B$7), F2989, "")</f>
        <v/>
      </c>
      <c r="B2989">
        <f t="shared" si="1077"/>
        <v>91</v>
      </c>
      <c r="C2989">
        <f t="shared" ca="1" si="1057"/>
        <v>88</v>
      </c>
      <c r="D2989" t="str">
        <f t="shared" si="1078"/>
        <v>P91</v>
      </c>
      <c r="E2989" t="str">
        <f t="shared" ca="1" si="1079"/>
        <v/>
      </c>
      <c r="F2989" t="str">
        <f t="shared" ca="1" si="1080"/>
        <v xml:space="preserve">Enter a 'Acquisition Placed-in-Service Date' for  building 88 in cell P91.
</v>
      </c>
      <c r="G2989" s="9" t="str">
        <f t="shared" ca="1" si="1081"/>
        <v xml:space="preserve">Enter a value for 'Number of Floors in the Tallest Building' in cell B60.
</v>
      </c>
      <c r="H2989" s="52" t="str">
        <f t="shared" ca="1" si="1082"/>
        <v>Acquisition Placed-in-Service Date</v>
      </c>
      <c r="I2989" s="52">
        <v>16</v>
      </c>
    </row>
    <row r="2990" spans="1:10" ht="15" customHeight="1">
      <c r="A2990" t="str">
        <f ca="1">IF(AND(OFFSET(A2990, -I2990 + 2, 4) &gt;  0, E2990="", Calculations!$B$7), F2990, "")</f>
        <v/>
      </c>
      <c r="B2990">
        <f t="shared" si="1077"/>
        <v>91</v>
      </c>
      <c r="C2990">
        <f t="shared" ca="1" si="1057"/>
        <v>88</v>
      </c>
      <c r="D2990" t="str">
        <f t="shared" si="1078"/>
        <v>Q91</v>
      </c>
      <c r="E2990" t="str">
        <f t="shared" ca="1" si="1079"/>
        <v/>
      </c>
      <c r="F2990" t="str">
        <f t="shared" ca="1" si="1080"/>
        <v xml:space="preserve">Enter a 'Acquisition APR' for  building 88 in cell Q91.
</v>
      </c>
      <c r="G2990" s="9" t="str">
        <f t="shared" ca="1" si="1081"/>
        <v xml:space="preserve">Enter a value for 'Number of Floors in the Tallest Building' in cell B60.
</v>
      </c>
      <c r="H2990" s="52" t="str">
        <f t="shared" ca="1" si="1082"/>
        <v>Acquisition APR</v>
      </c>
      <c r="I2990" s="52">
        <v>17</v>
      </c>
    </row>
    <row r="2991" spans="1:10" ht="15" customHeight="1">
      <c r="A2991" t="str">
        <f ca="1">IF(AND(Calculations!$B$4,Calculations!$B$29&gt;=C2991, E2991 &lt;&gt; 13),F2991,"")</f>
        <v/>
      </c>
      <c r="B2991">
        <f>ROW('Final Building Profile'!C92)</f>
        <v>92</v>
      </c>
      <c r="C2991">
        <f t="shared" ref="C2991:C3054" ca="1" si="1083">INDIRECT($F$1565 &amp; ADDRESS(B2991, 1,4  ))</f>
        <v>89</v>
      </c>
      <c r="D2991" t="str">
        <f>ADDRESS(B2991, 3,4  )</f>
        <v>C92</v>
      </c>
      <c r="E2991" s="52">
        <f ca="1">H2991+I2991</f>
        <v>0</v>
      </c>
      <c r="F2991" t="str">
        <f ca="1">CONCATENATE("Based upon the number of buildings specified, information for  building ", C2991, " required for a final application in row ", B2991, ".", CHAR(10))</f>
        <v xml:space="preserve">Based upon the number of buildings specified, information for  building 89 required for a final application in row 92.
</v>
      </c>
      <c r="G2991" s="9" t="str">
        <f t="shared" ca="1" si="1081"/>
        <v xml:space="preserve">Enter a value for 'Number of Floors in the Tallest Building' in cell B60.
</v>
      </c>
      <c r="H2991" s="52">
        <f ca="1">SUMPRODUCT(--ISTEXT(INDIRECT(J2991)))</f>
        <v>0</v>
      </c>
      <c r="I2991" s="52">
        <f ca="1">SUMPRODUCT(--ISNUMBER(INDIRECT(J2991)))</f>
        <v>0</v>
      </c>
      <c r="J2991" s="52" t="str">
        <f>$F$1565&amp; ADDRESS(B2991,3,4) &amp; ":" &amp; ADDRESS(B2991,15,4)</f>
        <v>'Final Building Profile'!C92:O92</v>
      </c>
    </row>
    <row r="2992" spans="1:10" ht="15" customHeight="1">
      <c r="A2992" t="str">
        <f t="shared" ref="A2992:A3001" ca="1" si="1084">IF(AND(OFFSET(A2992, -I2992 + 2, 4) &gt;  0, E2992=""), F2992, "")</f>
        <v/>
      </c>
      <c r="B2992">
        <f t="shared" ref="B2992:B3006" si="1085">B2991</f>
        <v>92</v>
      </c>
      <c r="C2992">
        <f t="shared" ca="1" si="1083"/>
        <v>89</v>
      </c>
      <c r="D2992" t="str">
        <f t="shared" ref="D2992:D3006" si="1086">ADDRESS(B2992, I2992,4  )</f>
        <v>C92</v>
      </c>
      <c r="E2992" t="str">
        <f t="shared" ref="E2992:E3006" ca="1" si="1087">IF(ISBLANK( INDIRECT($F$1565 &amp; D2992)),"", INDIRECT($F$1565 &amp; D2992))</f>
        <v/>
      </c>
      <c r="F2992" t="str">
        <f t="shared" ref="F2992:F3006" ca="1" si="1088">CONCATENATE("Enter a '"&amp; H2992 &amp;"' for  building ", C2992, " in cell ", D2992, ".", CHAR(10))</f>
        <v xml:space="preserve">Enter a 'Building Street Address Only 
(DO NOT ENTER CITY, STATE, OR ZIP)' for  building 89 in cell C92.
</v>
      </c>
      <c r="G2992" s="9" t="str">
        <f t="shared" ca="1" si="1081"/>
        <v xml:space="preserve">Enter a value for 'Number of Floors in the Tallest Building' in cell B60.
</v>
      </c>
      <c r="H2992" s="52" t="str">
        <f t="shared" ref="H2992:H3006" ca="1" si="1089">OFFSET(INDIRECT($F$1565 &amp; D2992), -B2992 + 3, 0)</f>
        <v>Building Street Address Only 
(DO NOT ENTER CITY, STATE, OR ZIP)</v>
      </c>
      <c r="I2992" s="52">
        <v>3</v>
      </c>
    </row>
    <row r="2993" spans="1:10" ht="15" customHeight="1">
      <c r="A2993" t="str">
        <f t="shared" ca="1" si="1084"/>
        <v/>
      </c>
      <c r="B2993">
        <f t="shared" si="1085"/>
        <v>92</v>
      </c>
      <c r="C2993">
        <f t="shared" ca="1" si="1083"/>
        <v>89</v>
      </c>
      <c r="D2993" t="str">
        <f t="shared" si="1086"/>
        <v>D92</v>
      </c>
      <c r="E2993" t="str">
        <f t="shared" ca="1" si="1087"/>
        <v/>
      </c>
      <c r="F2993" t="str">
        <f t="shared" ca="1" si="1088"/>
        <v xml:space="preserve">Enter a 'Total Units in Building*' for  building 89 in cell D92.
</v>
      </c>
      <c r="G2993" s="9" t="str">
        <f t="shared" ca="1" si="1081"/>
        <v xml:space="preserve">Enter a value for 'Number of Floors in the Tallest Building' in cell B60.
</v>
      </c>
      <c r="H2993" s="52" t="str">
        <f t="shared" ca="1" si="1089"/>
        <v>Total Units in Building*</v>
      </c>
      <c r="I2993" s="52">
        <v>4</v>
      </c>
    </row>
    <row r="2994" spans="1:10" ht="15" customHeight="1">
      <c r="A2994" t="str">
        <f t="shared" ca="1" si="1084"/>
        <v/>
      </c>
      <c r="B2994">
        <f t="shared" si="1085"/>
        <v>92</v>
      </c>
      <c r="C2994">
        <f t="shared" ca="1" si="1083"/>
        <v>89</v>
      </c>
      <c r="D2994" t="str">
        <f t="shared" si="1086"/>
        <v>E92</v>
      </c>
      <c r="E2994" t="str">
        <f t="shared" ca="1" si="1087"/>
        <v/>
      </c>
      <c r="F2994" t="str">
        <f t="shared" ca="1" si="1088"/>
        <v xml:space="preserve">Enter a 'Employee Units' for  building 89 in cell E92.
</v>
      </c>
      <c r="G2994" s="9" t="str">
        <f t="shared" ca="1" si="1081"/>
        <v xml:space="preserve">Enter a value for 'Number of Floors in the Tallest Building' in cell B60.
</v>
      </c>
      <c r="H2994" s="52" t="str">
        <f t="shared" ca="1" si="1089"/>
        <v>Employee Units</v>
      </c>
      <c r="I2994" s="52">
        <v>5</v>
      </c>
    </row>
    <row r="2995" spans="1:10" ht="15" customHeight="1">
      <c r="A2995" t="str">
        <f t="shared" ca="1" si="1084"/>
        <v/>
      </c>
      <c r="B2995">
        <f t="shared" si="1085"/>
        <v>92</v>
      </c>
      <c r="C2995">
        <f t="shared" ca="1" si="1083"/>
        <v>89</v>
      </c>
      <c r="D2995" t="str">
        <f t="shared" si="1086"/>
        <v>F92</v>
      </c>
      <c r="E2995" t="str">
        <f t="shared" ca="1" si="1087"/>
        <v/>
      </c>
      <c r="F2995" t="str">
        <f t="shared" ca="1" si="1088"/>
        <v xml:space="preserve">Enter a 'Low-Income Units' for  building 89 in cell F92.
</v>
      </c>
      <c r="G2995" s="9" t="str">
        <f t="shared" ca="1" si="1081"/>
        <v xml:space="preserve">Enter a value for 'Number of Floors in the Tallest Building' in cell B60.
</v>
      </c>
      <c r="H2995" s="52" t="str">
        <f t="shared" ca="1" si="1089"/>
        <v>Low-Income Units</v>
      </c>
      <c r="I2995" s="52">
        <v>6</v>
      </c>
    </row>
    <row r="2996" spans="1:10" ht="15" customHeight="1">
      <c r="A2996" t="str">
        <f t="shared" ca="1" si="1084"/>
        <v/>
      </c>
      <c r="B2996">
        <f t="shared" si="1085"/>
        <v>92</v>
      </c>
      <c r="C2996">
        <f t="shared" ca="1" si="1083"/>
        <v>89</v>
      </c>
      <c r="D2996" t="str">
        <f t="shared" si="1086"/>
        <v>G92</v>
      </c>
      <c r="E2996" t="str">
        <f t="shared" ca="1" si="1087"/>
        <v/>
      </c>
      <c r="F2996" t="str">
        <f t="shared" ca="1" si="1088"/>
        <v xml:space="preserve">Enter a 'Residential Square Footage**' for  building 89 in cell G92.
</v>
      </c>
      <c r="G2996" s="9" t="str">
        <f t="shared" ca="1" si="1081"/>
        <v xml:space="preserve">Enter a value for 'Number of Floors in the Tallest Building' in cell B60.
</v>
      </c>
      <c r="H2996" s="52" t="str">
        <f t="shared" ca="1" si="1089"/>
        <v>Residential Square Footage**</v>
      </c>
      <c r="I2996" s="52">
        <v>7</v>
      </c>
    </row>
    <row r="2997" spans="1:10" ht="15" customHeight="1">
      <c r="A2997" t="str">
        <f t="shared" ca="1" si="1084"/>
        <v/>
      </c>
      <c r="B2997">
        <f t="shared" si="1085"/>
        <v>92</v>
      </c>
      <c r="C2997">
        <f t="shared" ca="1" si="1083"/>
        <v>89</v>
      </c>
      <c r="D2997" t="str">
        <f t="shared" si="1086"/>
        <v>H92</v>
      </c>
      <c r="E2997" t="str">
        <f t="shared" ca="1" si="1087"/>
        <v/>
      </c>
      <c r="F2997" t="str">
        <f t="shared" ca="1" si="1088"/>
        <v xml:space="preserve">Enter a 'Square Footage of Employee Units' for  building 89 in cell H92.
</v>
      </c>
      <c r="G2997" s="9" t="str">
        <f t="shared" ca="1" si="1081"/>
        <v xml:space="preserve">Enter a value for 'Number of Floors in the Tallest Building' in cell B60.
</v>
      </c>
      <c r="H2997" s="52" t="str">
        <f t="shared" ca="1" si="1089"/>
        <v>Square Footage of Employee Units</v>
      </c>
      <c r="I2997" s="52">
        <v>8</v>
      </c>
    </row>
    <row r="2998" spans="1:10" ht="15" customHeight="1">
      <c r="A2998" t="str">
        <f t="shared" ca="1" si="1084"/>
        <v/>
      </c>
      <c r="B2998">
        <f t="shared" si="1085"/>
        <v>92</v>
      </c>
      <c r="C2998">
        <f t="shared" ca="1" si="1083"/>
        <v>89</v>
      </c>
      <c r="D2998" t="str">
        <f t="shared" si="1086"/>
        <v>I92</v>
      </c>
      <c r="E2998" t="str">
        <f t="shared" ca="1" si="1087"/>
        <v/>
      </c>
      <c r="F2998" t="str">
        <f t="shared" ca="1" si="1088"/>
        <v xml:space="preserve">Enter a 'Square Footage of Low-Income Units' for  building 89 in cell I92.
</v>
      </c>
      <c r="G2998" s="9" t="str">
        <f t="shared" ca="1" si="1081"/>
        <v xml:space="preserve">Enter a value for 'Number of Floors in the Tallest Building' in cell B60.
</v>
      </c>
      <c r="H2998" s="52" t="str">
        <f t="shared" ca="1" si="1089"/>
        <v>Square Footage of Low-Income Units</v>
      </c>
      <c r="I2998" s="52">
        <v>9</v>
      </c>
    </row>
    <row r="2999" spans="1:10" ht="15" customHeight="1">
      <c r="A2999" t="str">
        <f t="shared" ca="1" si="1084"/>
        <v/>
      </c>
      <c r="B2999">
        <f t="shared" si="1085"/>
        <v>92</v>
      </c>
      <c r="C2999">
        <f t="shared" ca="1" si="1083"/>
        <v>89</v>
      </c>
      <c r="D2999" t="str">
        <f t="shared" si="1086"/>
        <v>J92</v>
      </c>
      <c r="E2999" t="str">
        <f t="shared" ca="1" si="1087"/>
        <v/>
      </c>
      <c r="F2999" t="str">
        <f t="shared" ca="1" si="1088"/>
        <v xml:space="preserve">Enter a 'Placed-In-Service Date' for  building 89 in cell J92.
</v>
      </c>
      <c r="G2999" s="9" t="str">
        <f t="shared" ca="1" si="1081"/>
        <v xml:space="preserve">Enter a value for 'Number of Floors in the Tallest Building' in cell B60.
</v>
      </c>
      <c r="H2999" s="52" t="str">
        <f t="shared" ca="1" si="1089"/>
        <v>Placed-In-Service Date</v>
      </c>
      <c r="I2999" s="52">
        <v>10</v>
      </c>
    </row>
    <row r="3000" spans="1:10" ht="15" customHeight="1">
      <c r="A3000" t="str">
        <f t="shared" ca="1" si="1084"/>
        <v/>
      </c>
      <c r="B3000">
        <f t="shared" si="1085"/>
        <v>92</v>
      </c>
      <c r="C3000">
        <f t="shared" ca="1" si="1083"/>
        <v>89</v>
      </c>
      <c r="D3000" t="str">
        <f t="shared" si="1086"/>
        <v>K92</v>
      </c>
      <c r="E3000" t="str">
        <f t="shared" ca="1" si="1087"/>
        <v/>
      </c>
      <c r="F3000" t="str">
        <f t="shared" ca="1" si="1088"/>
        <v xml:space="preserve">Enter a 'New Construction/ Rehab APR' for  building 89 in cell K92.
</v>
      </c>
      <c r="G3000" s="9" t="str">
        <f t="shared" ca="1" si="1081"/>
        <v xml:space="preserve">Enter a value for 'Number of Floors in the Tallest Building' in cell B60.
</v>
      </c>
      <c r="H3000" s="52" t="str">
        <f t="shared" ca="1" si="1089"/>
        <v>New Construction/ Rehab APR</v>
      </c>
      <c r="I3000" s="52">
        <v>11</v>
      </c>
    </row>
    <row r="3001" spans="1:10" ht="15" customHeight="1">
      <c r="A3001" t="str">
        <f t="shared" ca="1" si="1084"/>
        <v/>
      </c>
      <c r="B3001">
        <f t="shared" si="1085"/>
        <v>92</v>
      </c>
      <c r="C3001">
        <f t="shared" ca="1" si="1083"/>
        <v>89</v>
      </c>
      <c r="D3001" t="str">
        <f t="shared" si="1086"/>
        <v>L92</v>
      </c>
      <c r="E3001" t="str">
        <f t="shared" ca="1" si="1087"/>
        <v/>
      </c>
      <c r="F3001" t="str">
        <f t="shared" ca="1" si="1088"/>
        <v xml:space="preserve">Enter a 'New Construction Eligible Basis' for  building 89 in cell L92.
</v>
      </c>
      <c r="G3001" s="9" t="str">
        <f t="shared" ca="1" si="1081"/>
        <v xml:space="preserve">Enter a value for 'Number of Floors in the Tallest Building' in cell B60.
</v>
      </c>
      <c r="H3001" s="52" t="str">
        <f t="shared" ca="1" si="1089"/>
        <v>New Construction Eligible Basis</v>
      </c>
      <c r="I3001" s="52">
        <v>12</v>
      </c>
    </row>
    <row r="3002" spans="1:10" ht="15" customHeight="1">
      <c r="A3002" t="str">
        <f ca="1">IF(AND(OFFSET(A3002, -I3002 + 2, 4) &gt;  0, E3002="", Calculations!$B$7), F3002, "")</f>
        <v/>
      </c>
      <c r="B3002">
        <f t="shared" si="1085"/>
        <v>92</v>
      </c>
      <c r="C3002">
        <f t="shared" ca="1" si="1083"/>
        <v>89</v>
      </c>
      <c r="D3002" t="str">
        <f t="shared" si="1086"/>
        <v>M92</v>
      </c>
      <c r="E3002" t="str">
        <f t="shared" ca="1" si="1087"/>
        <v/>
      </c>
      <c r="F3002" t="str">
        <f t="shared" ca="1" si="1088"/>
        <v xml:space="preserve">Enter a 'Eligible Basis for Rehab' for  building 89 in cell M92.
</v>
      </c>
      <c r="G3002" s="9" t="str">
        <f t="shared" ca="1" si="1081"/>
        <v xml:space="preserve">Enter a value for 'Number of Floors in the Tallest Building' in cell B60.
</v>
      </c>
      <c r="H3002" s="52" t="str">
        <f t="shared" ca="1" si="1089"/>
        <v>Eligible Basis for Rehab</v>
      </c>
      <c r="I3002" s="52">
        <v>13</v>
      </c>
    </row>
    <row r="3003" spans="1:10" ht="15" customHeight="1">
      <c r="A3003" t="str">
        <f ca="1">IF(AND(OFFSET(A3003, -I3003 + 2, 4) &gt;  0, E3003="", Calculations!$B$7), F3003, "")</f>
        <v/>
      </c>
      <c r="B3003">
        <f t="shared" si="1085"/>
        <v>92</v>
      </c>
      <c r="C3003">
        <f t="shared" ca="1" si="1083"/>
        <v>89</v>
      </c>
      <c r="D3003" t="str">
        <f t="shared" si="1086"/>
        <v>N92</v>
      </c>
      <c r="E3003" t="str">
        <f t="shared" ca="1" si="1087"/>
        <v/>
      </c>
      <c r="F3003" t="str">
        <f t="shared" ca="1" si="1088"/>
        <v xml:space="preserve">Enter a 'Cost of Acquiring the Building***' for  building 89 in cell N92.
</v>
      </c>
      <c r="G3003" s="9" t="str">
        <f t="shared" ca="1" si="1081"/>
        <v xml:space="preserve">Enter a value for 'Number of Floors in the Tallest Building' in cell B60.
</v>
      </c>
      <c r="H3003" s="52" t="str">
        <f t="shared" ca="1" si="1089"/>
        <v>Cost of Acquiring the Building***</v>
      </c>
      <c r="I3003" s="52">
        <v>14</v>
      </c>
    </row>
    <row r="3004" spans="1:10" ht="15" customHeight="1">
      <c r="A3004" t="str">
        <f ca="1">IF(AND(OFFSET(A3004, -I3004 + 2, 4) &gt;  0, E3004="", Calculations!$B$7), F3004, "")</f>
        <v/>
      </c>
      <c r="B3004">
        <f t="shared" si="1085"/>
        <v>92</v>
      </c>
      <c r="C3004">
        <f t="shared" ca="1" si="1083"/>
        <v>89</v>
      </c>
      <c r="D3004" t="str">
        <f t="shared" si="1086"/>
        <v>O92</v>
      </c>
      <c r="E3004" t="str">
        <f t="shared" ca="1" si="1087"/>
        <v/>
      </c>
      <c r="F3004" t="str">
        <f t="shared" ca="1" si="1088"/>
        <v xml:space="preserve">Enter a 'Higher of Land Purchase Price or Land Appraised Value****' for  building 89 in cell O92.
</v>
      </c>
      <c r="G3004" s="9" t="str">
        <f t="shared" ca="1" si="1081"/>
        <v xml:space="preserve">Enter a value for 'Number of Floors in the Tallest Building' in cell B60.
</v>
      </c>
      <c r="H3004" s="52" t="str">
        <f t="shared" ca="1" si="1089"/>
        <v>Higher of Land Purchase Price or Land Appraised Value****</v>
      </c>
      <c r="I3004" s="52">
        <v>15</v>
      </c>
    </row>
    <row r="3005" spans="1:10" ht="15" customHeight="1">
      <c r="A3005" t="str">
        <f ca="1">IF(AND(OFFSET(A3005, -I3005 + 2, 4) &gt;  0, E3005="", Calculations!$B$7), F3005, "")</f>
        <v/>
      </c>
      <c r="B3005">
        <f t="shared" si="1085"/>
        <v>92</v>
      </c>
      <c r="C3005">
        <f t="shared" ca="1" si="1083"/>
        <v>89</v>
      </c>
      <c r="D3005" t="str">
        <f t="shared" si="1086"/>
        <v>P92</v>
      </c>
      <c r="E3005" t="str">
        <f t="shared" ca="1" si="1087"/>
        <v/>
      </c>
      <c r="F3005" t="str">
        <f t="shared" ca="1" si="1088"/>
        <v xml:space="preserve">Enter a 'Acquisition Placed-in-Service Date' for  building 89 in cell P92.
</v>
      </c>
      <c r="G3005" s="9" t="str">
        <f t="shared" ca="1" si="1081"/>
        <v xml:space="preserve">Enter a value for 'Number of Floors in the Tallest Building' in cell B60.
</v>
      </c>
      <c r="H3005" s="52" t="str">
        <f t="shared" ca="1" si="1089"/>
        <v>Acquisition Placed-in-Service Date</v>
      </c>
      <c r="I3005" s="52">
        <v>16</v>
      </c>
    </row>
    <row r="3006" spans="1:10" ht="15" customHeight="1">
      <c r="A3006" t="str">
        <f ca="1">IF(AND(OFFSET(A3006, -I3006 + 2, 4) &gt;  0, E3006="", Calculations!$B$7), F3006, "")</f>
        <v/>
      </c>
      <c r="B3006">
        <f t="shared" si="1085"/>
        <v>92</v>
      </c>
      <c r="C3006">
        <f t="shared" ca="1" si="1083"/>
        <v>89</v>
      </c>
      <c r="D3006" t="str">
        <f t="shared" si="1086"/>
        <v>Q92</v>
      </c>
      <c r="E3006" t="str">
        <f t="shared" ca="1" si="1087"/>
        <v/>
      </c>
      <c r="F3006" t="str">
        <f t="shared" ca="1" si="1088"/>
        <v xml:space="preserve">Enter a 'Acquisition APR' for  building 89 in cell Q92.
</v>
      </c>
      <c r="G3006" s="9" t="str">
        <f t="shared" ca="1" si="1081"/>
        <v xml:space="preserve">Enter a value for 'Number of Floors in the Tallest Building' in cell B60.
</v>
      </c>
      <c r="H3006" s="52" t="str">
        <f t="shared" ca="1" si="1089"/>
        <v>Acquisition APR</v>
      </c>
      <c r="I3006" s="52">
        <v>17</v>
      </c>
    </row>
    <row r="3007" spans="1:10" ht="15" customHeight="1">
      <c r="A3007" t="str">
        <f ca="1">IF(AND(Calculations!$B$4,Calculations!$B$29&gt;=C3007, E3007 &lt;&gt; 13),F3007,"")</f>
        <v/>
      </c>
      <c r="B3007">
        <f>ROW('Final Building Profile'!C93)</f>
        <v>93</v>
      </c>
      <c r="C3007">
        <f t="shared" ca="1" si="1083"/>
        <v>90</v>
      </c>
      <c r="D3007" t="str">
        <f>ADDRESS(B3007, 3,4  )</f>
        <v>C93</v>
      </c>
      <c r="E3007" s="52">
        <f ca="1">H3007+I3007</f>
        <v>0</v>
      </c>
      <c r="F3007" t="str">
        <f ca="1">CONCATENATE("Based upon the number of buildings specified, information for  building ", C3007, " required for a final application in row ", B3007, ".", CHAR(10))</f>
        <v xml:space="preserve">Based upon the number of buildings specified, information for  building 90 required for a final application in row 93.
</v>
      </c>
      <c r="G3007" s="9" t="str">
        <f t="shared" ca="1" si="1081"/>
        <v xml:space="preserve">Enter a value for 'Number of Floors in the Tallest Building' in cell B60.
</v>
      </c>
      <c r="H3007" s="52">
        <f ca="1">SUMPRODUCT(--ISTEXT(INDIRECT(J3007)))</f>
        <v>0</v>
      </c>
      <c r="I3007" s="52">
        <f ca="1">SUMPRODUCT(--ISNUMBER(INDIRECT(J3007)))</f>
        <v>0</v>
      </c>
      <c r="J3007" s="52" t="str">
        <f>$F$1565&amp; ADDRESS(B3007,3,4) &amp; ":" &amp; ADDRESS(B3007,15,4)</f>
        <v>'Final Building Profile'!C93:O93</v>
      </c>
    </row>
    <row r="3008" spans="1:10" ht="15" customHeight="1">
      <c r="A3008" t="str">
        <f t="shared" ref="A3008:A3017" ca="1" si="1090">IF(AND(OFFSET(A3008, -I3008 + 2, 4) &gt;  0, E3008=""), F3008, "")</f>
        <v/>
      </c>
      <c r="B3008">
        <f t="shared" ref="B3008:B3022" si="1091">B3007</f>
        <v>93</v>
      </c>
      <c r="C3008">
        <f t="shared" ca="1" si="1083"/>
        <v>90</v>
      </c>
      <c r="D3008" t="str">
        <f t="shared" ref="D3008:D3022" si="1092">ADDRESS(B3008, I3008,4  )</f>
        <v>C93</v>
      </c>
      <c r="E3008" t="str">
        <f t="shared" ref="E3008:E3022" ca="1" si="1093">IF(ISBLANK( INDIRECT($F$1565 &amp; D3008)),"", INDIRECT($F$1565 &amp; D3008))</f>
        <v/>
      </c>
      <c r="F3008" t="str">
        <f t="shared" ref="F3008:F3022" ca="1" si="1094">CONCATENATE("Enter a '"&amp; H3008 &amp;"' for  building ", C3008, " in cell ", D3008, ".", CHAR(10))</f>
        <v xml:space="preserve">Enter a 'Building Street Address Only 
(DO NOT ENTER CITY, STATE, OR ZIP)' for  building 90 in cell C93.
</v>
      </c>
      <c r="G3008" s="9" t="str">
        <f t="shared" ca="1" si="1081"/>
        <v xml:space="preserve">Enter a value for 'Number of Floors in the Tallest Building' in cell B60.
</v>
      </c>
      <c r="H3008" s="52" t="str">
        <f t="shared" ref="H3008:H3022" ca="1" si="1095">OFFSET(INDIRECT($F$1565 &amp; D3008), -B3008 + 3, 0)</f>
        <v>Building Street Address Only 
(DO NOT ENTER CITY, STATE, OR ZIP)</v>
      </c>
      <c r="I3008" s="52">
        <v>3</v>
      </c>
    </row>
    <row r="3009" spans="1:10" ht="15" customHeight="1">
      <c r="A3009" t="str">
        <f t="shared" ca="1" si="1090"/>
        <v/>
      </c>
      <c r="B3009">
        <f t="shared" si="1091"/>
        <v>93</v>
      </c>
      <c r="C3009">
        <f t="shared" ca="1" si="1083"/>
        <v>90</v>
      </c>
      <c r="D3009" t="str">
        <f t="shared" si="1092"/>
        <v>D93</v>
      </c>
      <c r="E3009" t="str">
        <f t="shared" ca="1" si="1093"/>
        <v/>
      </c>
      <c r="F3009" t="str">
        <f t="shared" ca="1" si="1094"/>
        <v xml:space="preserve">Enter a 'Total Units in Building*' for  building 90 in cell D93.
</v>
      </c>
      <c r="G3009" s="9" t="str">
        <f t="shared" ca="1" si="1081"/>
        <v xml:space="preserve">Enter a value for 'Number of Floors in the Tallest Building' in cell B60.
</v>
      </c>
      <c r="H3009" s="52" t="str">
        <f t="shared" ca="1" si="1095"/>
        <v>Total Units in Building*</v>
      </c>
      <c r="I3009" s="52">
        <v>4</v>
      </c>
    </row>
    <row r="3010" spans="1:10" ht="15" customHeight="1">
      <c r="A3010" t="str">
        <f t="shared" ca="1" si="1090"/>
        <v/>
      </c>
      <c r="B3010">
        <f t="shared" si="1091"/>
        <v>93</v>
      </c>
      <c r="C3010">
        <f t="shared" ca="1" si="1083"/>
        <v>90</v>
      </c>
      <c r="D3010" t="str">
        <f t="shared" si="1092"/>
        <v>E93</v>
      </c>
      <c r="E3010" t="str">
        <f t="shared" ca="1" si="1093"/>
        <v/>
      </c>
      <c r="F3010" t="str">
        <f t="shared" ca="1" si="1094"/>
        <v xml:space="preserve">Enter a 'Employee Units' for  building 90 in cell E93.
</v>
      </c>
      <c r="G3010" s="9" t="str">
        <f t="shared" ca="1" si="1081"/>
        <v xml:space="preserve">Enter a value for 'Number of Floors in the Tallest Building' in cell B60.
</v>
      </c>
      <c r="H3010" s="52" t="str">
        <f t="shared" ca="1" si="1095"/>
        <v>Employee Units</v>
      </c>
      <c r="I3010" s="52">
        <v>5</v>
      </c>
    </row>
    <row r="3011" spans="1:10" ht="15" customHeight="1">
      <c r="A3011" t="str">
        <f t="shared" ca="1" si="1090"/>
        <v/>
      </c>
      <c r="B3011">
        <f t="shared" si="1091"/>
        <v>93</v>
      </c>
      <c r="C3011">
        <f t="shared" ca="1" si="1083"/>
        <v>90</v>
      </c>
      <c r="D3011" t="str">
        <f t="shared" si="1092"/>
        <v>F93</v>
      </c>
      <c r="E3011" t="str">
        <f t="shared" ca="1" si="1093"/>
        <v/>
      </c>
      <c r="F3011" t="str">
        <f t="shared" ca="1" si="1094"/>
        <v xml:space="preserve">Enter a 'Low-Income Units' for  building 90 in cell F93.
</v>
      </c>
      <c r="G3011" s="9" t="str">
        <f t="shared" ca="1" si="1081"/>
        <v xml:space="preserve">Enter a value for 'Number of Floors in the Tallest Building' in cell B60.
</v>
      </c>
      <c r="H3011" s="52" t="str">
        <f t="shared" ca="1" si="1095"/>
        <v>Low-Income Units</v>
      </c>
      <c r="I3011" s="52">
        <v>6</v>
      </c>
    </row>
    <row r="3012" spans="1:10" ht="15" customHeight="1">
      <c r="A3012" t="str">
        <f t="shared" ca="1" si="1090"/>
        <v/>
      </c>
      <c r="B3012">
        <f t="shared" si="1091"/>
        <v>93</v>
      </c>
      <c r="C3012">
        <f t="shared" ca="1" si="1083"/>
        <v>90</v>
      </c>
      <c r="D3012" t="str">
        <f t="shared" si="1092"/>
        <v>G93</v>
      </c>
      <c r="E3012" t="str">
        <f t="shared" ca="1" si="1093"/>
        <v/>
      </c>
      <c r="F3012" t="str">
        <f t="shared" ca="1" si="1094"/>
        <v xml:space="preserve">Enter a 'Residential Square Footage**' for  building 90 in cell G93.
</v>
      </c>
      <c r="G3012" s="9" t="str">
        <f t="shared" ca="1" si="1081"/>
        <v xml:space="preserve">Enter a value for 'Number of Floors in the Tallest Building' in cell B60.
</v>
      </c>
      <c r="H3012" s="52" t="str">
        <f t="shared" ca="1" si="1095"/>
        <v>Residential Square Footage**</v>
      </c>
      <c r="I3012" s="52">
        <v>7</v>
      </c>
    </row>
    <row r="3013" spans="1:10" ht="15" customHeight="1">
      <c r="A3013" t="str">
        <f t="shared" ca="1" si="1090"/>
        <v/>
      </c>
      <c r="B3013">
        <f t="shared" si="1091"/>
        <v>93</v>
      </c>
      <c r="C3013">
        <f t="shared" ca="1" si="1083"/>
        <v>90</v>
      </c>
      <c r="D3013" t="str">
        <f t="shared" si="1092"/>
        <v>H93</v>
      </c>
      <c r="E3013" t="str">
        <f t="shared" ca="1" si="1093"/>
        <v/>
      </c>
      <c r="F3013" t="str">
        <f t="shared" ca="1" si="1094"/>
        <v xml:space="preserve">Enter a 'Square Footage of Employee Units' for  building 90 in cell H93.
</v>
      </c>
      <c r="G3013" s="9" t="str">
        <f t="shared" ca="1" si="1081"/>
        <v xml:space="preserve">Enter a value for 'Number of Floors in the Tallest Building' in cell B60.
</v>
      </c>
      <c r="H3013" s="52" t="str">
        <f t="shared" ca="1" si="1095"/>
        <v>Square Footage of Employee Units</v>
      </c>
      <c r="I3013" s="52">
        <v>8</v>
      </c>
    </row>
    <row r="3014" spans="1:10" ht="15" customHeight="1">
      <c r="A3014" t="str">
        <f t="shared" ca="1" si="1090"/>
        <v/>
      </c>
      <c r="B3014">
        <f t="shared" si="1091"/>
        <v>93</v>
      </c>
      <c r="C3014">
        <f t="shared" ca="1" si="1083"/>
        <v>90</v>
      </c>
      <c r="D3014" t="str">
        <f t="shared" si="1092"/>
        <v>I93</v>
      </c>
      <c r="E3014" t="str">
        <f t="shared" ca="1" si="1093"/>
        <v/>
      </c>
      <c r="F3014" t="str">
        <f t="shared" ca="1" si="1094"/>
        <v xml:space="preserve">Enter a 'Square Footage of Low-Income Units' for  building 90 in cell I93.
</v>
      </c>
      <c r="G3014" s="9" t="str">
        <f t="shared" ca="1" si="1081"/>
        <v xml:space="preserve">Enter a value for 'Number of Floors in the Tallest Building' in cell B60.
</v>
      </c>
      <c r="H3014" s="52" t="str">
        <f t="shared" ca="1" si="1095"/>
        <v>Square Footage of Low-Income Units</v>
      </c>
      <c r="I3014" s="52">
        <v>9</v>
      </c>
    </row>
    <row r="3015" spans="1:10" ht="15" customHeight="1">
      <c r="A3015" t="str">
        <f t="shared" ca="1" si="1090"/>
        <v/>
      </c>
      <c r="B3015">
        <f t="shared" si="1091"/>
        <v>93</v>
      </c>
      <c r="C3015">
        <f t="shared" ca="1" si="1083"/>
        <v>90</v>
      </c>
      <c r="D3015" t="str">
        <f t="shared" si="1092"/>
        <v>J93</v>
      </c>
      <c r="E3015" t="str">
        <f t="shared" ca="1" si="1093"/>
        <v/>
      </c>
      <c r="F3015" t="str">
        <f t="shared" ca="1" si="1094"/>
        <v xml:space="preserve">Enter a 'Placed-In-Service Date' for  building 90 in cell J93.
</v>
      </c>
      <c r="G3015" s="9" t="str">
        <f t="shared" ca="1" si="1081"/>
        <v xml:space="preserve">Enter a value for 'Number of Floors in the Tallest Building' in cell B60.
</v>
      </c>
      <c r="H3015" s="52" t="str">
        <f t="shared" ca="1" si="1095"/>
        <v>Placed-In-Service Date</v>
      </c>
      <c r="I3015" s="52">
        <v>10</v>
      </c>
    </row>
    <row r="3016" spans="1:10" ht="15" customHeight="1">
      <c r="A3016" t="str">
        <f t="shared" ca="1" si="1090"/>
        <v/>
      </c>
      <c r="B3016">
        <f t="shared" si="1091"/>
        <v>93</v>
      </c>
      <c r="C3016">
        <f t="shared" ca="1" si="1083"/>
        <v>90</v>
      </c>
      <c r="D3016" t="str">
        <f t="shared" si="1092"/>
        <v>K93</v>
      </c>
      <c r="E3016" t="str">
        <f t="shared" ca="1" si="1093"/>
        <v/>
      </c>
      <c r="F3016" t="str">
        <f t="shared" ca="1" si="1094"/>
        <v xml:space="preserve">Enter a 'New Construction/ Rehab APR' for  building 90 in cell K93.
</v>
      </c>
      <c r="G3016" s="9" t="str">
        <f t="shared" ca="1" si="1081"/>
        <v xml:space="preserve">Enter a value for 'Number of Floors in the Tallest Building' in cell B60.
</v>
      </c>
      <c r="H3016" s="52" t="str">
        <f t="shared" ca="1" si="1095"/>
        <v>New Construction/ Rehab APR</v>
      </c>
      <c r="I3016" s="52">
        <v>11</v>
      </c>
    </row>
    <row r="3017" spans="1:10" ht="15" customHeight="1">
      <c r="A3017" t="str">
        <f t="shared" ca="1" si="1090"/>
        <v/>
      </c>
      <c r="B3017">
        <f t="shared" si="1091"/>
        <v>93</v>
      </c>
      <c r="C3017">
        <f t="shared" ca="1" si="1083"/>
        <v>90</v>
      </c>
      <c r="D3017" t="str">
        <f t="shared" si="1092"/>
        <v>L93</v>
      </c>
      <c r="E3017" t="str">
        <f t="shared" ca="1" si="1093"/>
        <v/>
      </c>
      <c r="F3017" t="str">
        <f t="shared" ca="1" si="1094"/>
        <v xml:space="preserve">Enter a 'New Construction Eligible Basis' for  building 90 in cell L93.
</v>
      </c>
      <c r="G3017" s="9" t="str">
        <f t="shared" ca="1" si="1081"/>
        <v xml:space="preserve">Enter a value for 'Number of Floors in the Tallest Building' in cell B60.
</v>
      </c>
      <c r="H3017" s="52" t="str">
        <f t="shared" ca="1" si="1095"/>
        <v>New Construction Eligible Basis</v>
      </c>
      <c r="I3017" s="52">
        <v>12</v>
      </c>
    </row>
    <row r="3018" spans="1:10" ht="15" customHeight="1">
      <c r="A3018" t="str">
        <f ca="1">IF(AND(OFFSET(A3018, -I3018 + 2, 4) &gt;  0, E3018="", Calculations!$B$7), F3018, "")</f>
        <v/>
      </c>
      <c r="B3018">
        <f t="shared" si="1091"/>
        <v>93</v>
      </c>
      <c r="C3018">
        <f t="shared" ca="1" si="1083"/>
        <v>90</v>
      </c>
      <c r="D3018" t="str">
        <f t="shared" si="1092"/>
        <v>M93</v>
      </c>
      <c r="E3018" t="str">
        <f t="shared" ca="1" si="1093"/>
        <v/>
      </c>
      <c r="F3018" t="str">
        <f t="shared" ca="1" si="1094"/>
        <v xml:space="preserve">Enter a 'Eligible Basis for Rehab' for  building 90 in cell M93.
</v>
      </c>
      <c r="G3018" s="9" t="str">
        <f t="shared" ca="1" si="1081"/>
        <v xml:space="preserve">Enter a value for 'Number of Floors in the Tallest Building' in cell B60.
</v>
      </c>
      <c r="H3018" s="52" t="str">
        <f t="shared" ca="1" si="1095"/>
        <v>Eligible Basis for Rehab</v>
      </c>
      <c r="I3018" s="52">
        <v>13</v>
      </c>
    </row>
    <row r="3019" spans="1:10" ht="15" customHeight="1">
      <c r="A3019" t="str">
        <f ca="1">IF(AND(OFFSET(A3019, -I3019 + 2, 4) &gt;  0, E3019="", Calculations!$B$7), F3019, "")</f>
        <v/>
      </c>
      <c r="B3019">
        <f t="shared" si="1091"/>
        <v>93</v>
      </c>
      <c r="C3019">
        <f t="shared" ca="1" si="1083"/>
        <v>90</v>
      </c>
      <c r="D3019" t="str">
        <f t="shared" si="1092"/>
        <v>N93</v>
      </c>
      <c r="E3019" t="str">
        <f t="shared" ca="1" si="1093"/>
        <v/>
      </c>
      <c r="F3019" t="str">
        <f t="shared" ca="1" si="1094"/>
        <v xml:space="preserve">Enter a 'Cost of Acquiring the Building***' for  building 90 in cell N93.
</v>
      </c>
      <c r="G3019" s="9" t="str">
        <f t="shared" ca="1" si="1081"/>
        <v xml:space="preserve">Enter a value for 'Number of Floors in the Tallest Building' in cell B60.
</v>
      </c>
      <c r="H3019" s="52" t="str">
        <f t="shared" ca="1" si="1095"/>
        <v>Cost of Acquiring the Building***</v>
      </c>
      <c r="I3019" s="52">
        <v>14</v>
      </c>
    </row>
    <row r="3020" spans="1:10" ht="15" customHeight="1">
      <c r="A3020" t="str">
        <f ca="1">IF(AND(OFFSET(A3020, -I3020 + 2, 4) &gt;  0, E3020="", Calculations!$B$7), F3020, "")</f>
        <v/>
      </c>
      <c r="B3020">
        <f t="shared" si="1091"/>
        <v>93</v>
      </c>
      <c r="C3020">
        <f t="shared" ca="1" si="1083"/>
        <v>90</v>
      </c>
      <c r="D3020" t="str">
        <f t="shared" si="1092"/>
        <v>O93</v>
      </c>
      <c r="E3020" t="str">
        <f t="shared" ca="1" si="1093"/>
        <v/>
      </c>
      <c r="F3020" t="str">
        <f t="shared" ca="1" si="1094"/>
        <v xml:space="preserve">Enter a 'Higher of Land Purchase Price or Land Appraised Value****' for  building 90 in cell O93.
</v>
      </c>
      <c r="G3020" s="9" t="str">
        <f t="shared" ca="1" si="1081"/>
        <v xml:space="preserve">Enter a value for 'Number of Floors in the Tallest Building' in cell B60.
</v>
      </c>
      <c r="H3020" s="52" t="str">
        <f t="shared" ca="1" si="1095"/>
        <v>Higher of Land Purchase Price or Land Appraised Value****</v>
      </c>
      <c r="I3020" s="52">
        <v>15</v>
      </c>
    </row>
    <row r="3021" spans="1:10" ht="15" customHeight="1">
      <c r="A3021" t="str">
        <f ca="1">IF(AND(OFFSET(A3021, -I3021 + 2, 4) &gt;  0, E3021="", Calculations!$B$7), F3021, "")</f>
        <v/>
      </c>
      <c r="B3021">
        <f t="shared" si="1091"/>
        <v>93</v>
      </c>
      <c r="C3021">
        <f t="shared" ca="1" si="1083"/>
        <v>90</v>
      </c>
      <c r="D3021" t="str">
        <f t="shared" si="1092"/>
        <v>P93</v>
      </c>
      <c r="E3021" t="str">
        <f t="shared" ca="1" si="1093"/>
        <v/>
      </c>
      <c r="F3021" t="str">
        <f t="shared" ca="1" si="1094"/>
        <v xml:space="preserve">Enter a 'Acquisition Placed-in-Service Date' for  building 90 in cell P93.
</v>
      </c>
      <c r="G3021" s="9" t="str">
        <f t="shared" ca="1" si="1081"/>
        <v xml:space="preserve">Enter a value for 'Number of Floors in the Tallest Building' in cell B60.
</v>
      </c>
      <c r="H3021" s="52" t="str">
        <f t="shared" ca="1" si="1095"/>
        <v>Acquisition Placed-in-Service Date</v>
      </c>
      <c r="I3021" s="52">
        <v>16</v>
      </c>
    </row>
    <row r="3022" spans="1:10" ht="15" customHeight="1">
      <c r="A3022" t="str">
        <f ca="1">IF(AND(OFFSET(A3022, -I3022 + 2, 4) &gt;  0, E3022="", Calculations!$B$7), F3022, "")</f>
        <v/>
      </c>
      <c r="B3022">
        <f t="shared" si="1091"/>
        <v>93</v>
      </c>
      <c r="C3022">
        <f t="shared" ca="1" si="1083"/>
        <v>90</v>
      </c>
      <c r="D3022" t="str">
        <f t="shared" si="1092"/>
        <v>Q93</v>
      </c>
      <c r="E3022" t="str">
        <f t="shared" ca="1" si="1093"/>
        <v/>
      </c>
      <c r="F3022" t="str">
        <f t="shared" ca="1" si="1094"/>
        <v xml:space="preserve">Enter a 'Acquisition APR' for  building 90 in cell Q93.
</v>
      </c>
      <c r="G3022" s="9" t="str">
        <f t="shared" ca="1" si="1081"/>
        <v xml:space="preserve">Enter a value for 'Number of Floors in the Tallest Building' in cell B60.
</v>
      </c>
      <c r="H3022" s="52" t="str">
        <f t="shared" ca="1" si="1095"/>
        <v>Acquisition APR</v>
      </c>
      <c r="I3022" s="52">
        <v>17</v>
      </c>
    </row>
    <row r="3023" spans="1:10" ht="15" customHeight="1">
      <c r="A3023" t="str">
        <f ca="1">IF(AND(Calculations!$B$4,Calculations!$B$29&gt;=C3023, E3023 &lt;&gt; 13),F3023,"")</f>
        <v/>
      </c>
      <c r="B3023">
        <f>ROW('Final Building Profile'!C94)</f>
        <v>94</v>
      </c>
      <c r="C3023">
        <f t="shared" ca="1" si="1083"/>
        <v>91</v>
      </c>
      <c r="D3023" t="str">
        <f>ADDRESS(B3023, 3,4  )</f>
        <v>C94</v>
      </c>
      <c r="E3023" s="52">
        <f ca="1">H3023+I3023</f>
        <v>0</v>
      </c>
      <c r="F3023" t="str">
        <f ca="1">CONCATENATE("Based upon the number of buildings specified, information for  building ", C3023, " required for a final application in row ", B3023, ".", CHAR(10))</f>
        <v xml:space="preserve">Based upon the number of buildings specified, information for  building 91 required for a final application in row 94.
</v>
      </c>
      <c r="G3023" s="9" t="str">
        <f t="shared" ca="1" si="1081"/>
        <v xml:space="preserve">Enter a value for 'Number of Floors in the Tallest Building' in cell B60.
</v>
      </c>
      <c r="H3023" s="52">
        <f ca="1">SUMPRODUCT(--ISTEXT(INDIRECT(J3023)))</f>
        <v>0</v>
      </c>
      <c r="I3023" s="52">
        <f ca="1">SUMPRODUCT(--ISNUMBER(INDIRECT(J3023)))</f>
        <v>0</v>
      </c>
      <c r="J3023" s="52" t="str">
        <f>$F$1565&amp; ADDRESS(B3023,3,4) &amp; ":" &amp; ADDRESS(B3023,15,4)</f>
        <v>'Final Building Profile'!C94:O94</v>
      </c>
    </row>
    <row r="3024" spans="1:10" ht="15" customHeight="1">
      <c r="A3024" t="str">
        <f t="shared" ref="A3024:A3033" ca="1" si="1096">IF(AND(OFFSET(A3024, -I3024 + 2, 4) &gt;  0, E3024=""), F3024, "")</f>
        <v/>
      </c>
      <c r="B3024">
        <f t="shared" ref="B3024:B3038" si="1097">B3023</f>
        <v>94</v>
      </c>
      <c r="C3024">
        <f t="shared" ca="1" si="1083"/>
        <v>91</v>
      </c>
      <c r="D3024" t="str">
        <f t="shared" ref="D3024:D3038" si="1098">ADDRESS(B3024, I3024,4  )</f>
        <v>C94</v>
      </c>
      <c r="E3024" t="str">
        <f t="shared" ref="E3024:E3038" ca="1" si="1099">IF(ISBLANK( INDIRECT($F$1565 &amp; D3024)),"", INDIRECT($F$1565 &amp; D3024))</f>
        <v/>
      </c>
      <c r="F3024" t="str">
        <f t="shared" ref="F3024:F3038" ca="1" si="1100">CONCATENATE("Enter a '"&amp; H3024 &amp;"' for  building ", C3024, " in cell ", D3024, ".", CHAR(10))</f>
        <v xml:space="preserve">Enter a 'Building Street Address Only 
(DO NOT ENTER CITY, STATE, OR ZIP)' for  building 91 in cell C94.
</v>
      </c>
      <c r="G3024" s="9" t="str">
        <f t="shared" ca="1" si="1081"/>
        <v xml:space="preserve">Enter a value for 'Number of Floors in the Tallest Building' in cell B60.
</v>
      </c>
      <c r="H3024" s="52" t="str">
        <f t="shared" ref="H3024:H3038" ca="1" si="1101">OFFSET(INDIRECT($F$1565 &amp; D3024), -B3024 + 3, 0)</f>
        <v>Building Street Address Only 
(DO NOT ENTER CITY, STATE, OR ZIP)</v>
      </c>
      <c r="I3024" s="52">
        <v>3</v>
      </c>
    </row>
    <row r="3025" spans="1:10" ht="15" customHeight="1">
      <c r="A3025" t="str">
        <f t="shared" ca="1" si="1096"/>
        <v/>
      </c>
      <c r="B3025">
        <f t="shared" si="1097"/>
        <v>94</v>
      </c>
      <c r="C3025">
        <f t="shared" ca="1" si="1083"/>
        <v>91</v>
      </c>
      <c r="D3025" t="str">
        <f t="shared" si="1098"/>
        <v>D94</v>
      </c>
      <c r="E3025" t="str">
        <f t="shared" ca="1" si="1099"/>
        <v/>
      </c>
      <c r="F3025" t="str">
        <f t="shared" ca="1" si="1100"/>
        <v xml:space="preserve">Enter a 'Total Units in Building*' for  building 91 in cell D94.
</v>
      </c>
      <c r="G3025" s="9" t="str">
        <f t="shared" ca="1" si="1081"/>
        <v xml:space="preserve">Enter a value for 'Number of Floors in the Tallest Building' in cell B60.
</v>
      </c>
      <c r="H3025" s="52" t="str">
        <f t="shared" ca="1" si="1101"/>
        <v>Total Units in Building*</v>
      </c>
      <c r="I3025" s="52">
        <v>4</v>
      </c>
    </row>
    <row r="3026" spans="1:10" ht="15" customHeight="1">
      <c r="A3026" t="str">
        <f t="shared" ca="1" si="1096"/>
        <v/>
      </c>
      <c r="B3026">
        <f t="shared" si="1097"/>
        <v>94</v>
      </c>
      <c r="C3026">
        <f t="shared" ca="1" si="1083"/>
        <v>91</v>
      </c>
      <c r="D3026" t="str">
        <f t="shared" si="1098"/>
        <v>E94</v>
      </c>
      <c r="E3026" t="str">
        <f t="shared" ca="1" si="1099"/>
        <v/>
      </c>
      <c r="F3026" t="str">
        <f t="shared" ca="1" si="1100"/>
        <v xml:space="preserve">Enter a 'Employee Units' for  building 91 in cell E94.
</v>
      </c>
      <c r="G3026" s="9" t="str">
        <f t="shared" ca="1" si="1081"/>
        <v xml:space="preserve">Enter a value for 'Number of Floors in the Tallest Building' in cell B60.
</v>
      </c>
      <c r="H3026" s="52" t="str">
        <f t="shared" ca="1" si="1101"/>
        <v>Employee Units</v>
      </c>
      <c r="I3026" s="52">
        <v>5</v>
      </c>
    </row>
    <row r="3027" spans="1:10" ht="15" customHeight="1">
      <c r="A3027" t="str">
        <f t="shared" ca="1" si="1096"/>
        <v/>
      </c>
      <c r="B3027">
        <f t="shared" si="1097"/>
        <v>94</v>
      </c>
      <c r="C3027">
        <f t="shared" ca="1" si="1083"/>
        <v>91</v>
      </c>
      <c r="D3027" t="str">
        <f t="shared" si="1098"/>
        <v>F94</v>
      </c>
      <c r="E3027" t="str">
        <f t="shared" ca="1" si="1099"/>
        <v/>
      </c>
      <c r="F3027" t="str">
        <f t="shared" ca="1" si="1100"/>
        <v xml:space="preserve">Enter a 'Low-Income Units' for  building 91 in cell F94.
</v>
      </c>
      <c r="G3027" s="9" t="str">
        <f t="shared" ca="1" si="1081"/>
        <v xml:space="preserve">Enter a value for 'Number of Floors in the Tallest Building' in cell B60.
</v>
      </c>
      <c r="H3027" s="52" t="str">
        <f t="shared" ca="1" si="1101"/>
        <v>Low-Income Units</v>
      </c>
      <c r="I3027" s="52">
        <v>6</v>
      </c>
    </row>
    <row r="3028" spans="1:10" ht="15" customHeight="1">
      <c r="A3028" t="str">
        <f t="shared" ca="1" si="1096"/>
        <v/>
      </c>
      <c r="B3028">
        <f t="shared" si="1097"/>
        <v>94</v>
      </c>
      <c r="C3028">
        <f t="shared" ca="1" si="1083"/>
        <v>91</v>
      </c>
      <c r="D3028" t="str">
        <f t="shared" si="1098"/>
        <v>G94</v>
      </c>
      <c r="E3028" t="str">
        <f t="shared" ca="1" si="1099"/>
        <v/>
      </c>
      <c r="F3028" t="str">
        <f t="shared" ca="1" si="1100"/>
        <v xml:space="preserve">Enter a 'Residential Square Footage**' for  building 91 in cell G94.
</v>
      </c>
      <c r="G3028" s="9" t="str">
        <f t="shared" ca="1" si="1081"/>
        <v xml:space="preserve">Enter a value for 'Number of Floors in the Tallest Building' in cell B60.
</v>
      </c>
      <c r="H3028" s="52" t="str">
        <f t="shared" ca="1" si="1101"/>
        <v>Residential Square Footage**</v>
      </c>
      <c r="I3028" s="52">
        <v>7</v>
      </c>
    </row>
    <row r="3029" spans="1:10" ht="15" customHeight="1">
      <c r="A3029" t="str">
        <f t="shared" ca="1" si="1096"/>
        <v/>
      </c>
      <c r="B3029">
        <f t="shared" si="1097"/>
        <v>94</v>
      </c>
      <c r="C3029">
        <f t="shared" ca="1" si="1083"/>
        <v>91</v>
      </c>
      <c r="D3029" t="str">
        <f t="shared" si="1098"/>
        <v>H94</v>
      </c>
      <c r="E3029" t="str">
        <f t="shared" ca="1" si="1099"/>
        <v/>
      </c>
      <c r="F3029" t="str">
        <f t="shared" ca="1" si="1100"/>
        <v xml:space="preserve">Enter a 'Square Footage of Employee Units' for  building 91 in cell H94.
</v>
      </c>
      <c r="G3029" s="9" t="str">
        <f t="shared" ca="1" si="1081"/>
        <v xml:space="preserve">Enter a value for 'Number of Floors in the Tallest Building' in cell B60.
</v>
      </c>
      <c r="H3029" s="52" t="str">
        <f t="shared" ca="1" si="1101"/>
        <v>Square Footage of Employee Units</v>
      </c>
      <c r="I3029" s="52">
        <v>8</v>
      </c>
    </row>
    <row r="3030" spans="1:10" ht="15" customHeight="1">
      <c r="A3030" t="str">
        <f t="shared" ca="1" si="1096"/>
        <v/>
      </c>
      <c r="B3030">
        <f t="shared" si="1097"/>
        <v>94</v>
      </c>
      <c r="C3030">
        <f t="shared" ca="1" si="1083"/>
        <v>91</v>
      </c>
      <c r="D3030" t="str">
        <f t="shared" si="1098"/>
        <v>I94</v>
      </c>
      <c r="E3030" t="str">
        <f t="shared" ca="1" si="1099"/>
        <v/>
      </c>
      <c r="F3030" t="str">
        <f t="shared" ca="1" si="1100"/>
        <v xml:space="preserve">Enter a 'Square Footage of Low-Income Units' for  building 91 in cell I94.
</v>
      </c>
      <c r="G3030" s="9" t="str">
        <f t="shared" ca="1" si="1081"/>
        <v xml:space="preserve">Enter a value for 'Number of Floors in the Tallest Building' in cell B60.
</v>
      </c>
      <c r="H3030" s="52" t="str">
        <f t="shared" ca="1" si="1101"/>
        <v>Square Footage of Low-Income Units</v>
      </c>
      <c r="I3030" s="52">
        <v>9</v>
      </c>
    </row>
    <row r="3031" spans="1:10" ht="15" customHeight="1">
      <c r="A3031" t="str">
        <f t="shared" ca="1" si="1096"/>
        <v/>
      </c>
      <c r="B3031">
        <f t="shared" si="1097"/>
        <v>94</v>
      </c>
      <c r="C3031">
        <f t="shared" ca="1" si="1083"/>
        <v>91</v>
      </c>
      <c r="D3031" t="str">
        <f t="shared" si="1098"/>
        <v>J94</v>
      </c>
      <c r="E3031" t="str">
        <f t="shared" ca="1" si="1099"/>
        <v/>
      </c>
      <c r="F3031" t="str">
        <f t="shared" ca="1" si="1100"/>
        <v xml:space="preserve">Enter a 'Placed-In-Service Date' for  building 91 in cell J94.
</v>
      </c>
      <c r="G3031" s="9" t="str">
        <f t="shared" ca="1" si="1081"/>
        <v xml:space="preserve">Enter a value for 'Number of Floors in the Tallest Building' in cell B60.
</v>
      </c>
      <c r="H3031" s="52" t="str">
        <f t="shared" ca="1" si="1101"/>
        <v>Placed-In-Service Date</v>
      </c>
      <c r="I3031" s="52">
        <v>10</v>
      </c>
    </row>
    <row r="3032" spans="1:10" ht="15" customHeight="1">
      <c r="A3032" t="str">
        <f t="shared" ca="1" si="1096"/>
        <v/>
      </c>
      <c r="B3032">
        <f t="shared" si="1097"/>
        <v>94</v>
      </c>
      <c r="C3032">
        <f t="shared" ca="1" si="1083"/>
        <v>91</v>
      </c>
      <c r="D3032" t="str">
        <f t="shared" si="1098"/>
        <v>K94</v>
      </c>
      <c r="E3032" t="str">
        <f t="shared" ca="1" si="1099"/>
        <v/>
      </c>
      <c r="F3032" t="str">
        <f t="shared" ca="1" si="1100"/>
        <v xml:space="preserve">Enter a 'New Construction/ Rehab APR' for  building 91 in cell K94.
</v>
      </c>
      <c r="G3032" s="9" t="str">
        <f t="shared" ca="1" si="1081"/>
        <v xml:space="preserve">Enter a value for 'Number of Floors in the Tallest Building' in cell B60.
</v>
      </c>
      <c r="H3032" s="52" t="str">
        <f t="shared" ca="1" si="1101"/>
        <v>New Construction/ Rehab APR</v>
      </c>
      <c r="I3032" s="52">
        <v>11</v>
      </c>
    </row>
    <row r="3033" spans="1:10" ht="15" customHeight="1">
      <c r="A3033" t="str">
        <f t="shared" ca="1" si="1096"/>
        <v/>
      </c>
      <c r="B3033">
        <f t="shared" si="1097"/>
        <v>94</v>
      </c>
      <c r="C3033">
        <f t="shared" ca="1" si="1083"/>
        <v>91</v>
      </c>
      <c r="D3033" t="str">
        <f t="shared" si="1098"/>
        <v>L94</v>
      </c>
      <c r="E3033" t="str">
        <f t="shared" ca="1" si="1099"/>
        <v/>
      </c>
      <c r="F3033" t="str">
        <f t="shared" ca="1" si="1100"/>
        <v xml:space="preserve">Enter a 'New Construction Eligible Basis' for  building 91 in cell L94.
</v>
      </c>
      <c r="G3033" s="9" t="str">
        <f t="shared" ca="1" si="1081"/>
        <v xml:space="preserve">Enter a value for 'Number of Floors in the Tallest Building' in cell B60.
</v>
      </c>
      <c r="H3033" s="52" t="str">
        <f t="shared" ca="1" si="1101"/>
        <v>New Construction Eligible Basis</v>
      </c>
      <c r="I3033" s="52">
        <v>12</v>
      </c>
    </row>
    <row r="3034" spans="1:10" ht="15" customHeight="1">
      <c r="A3034" t="str">
        <f ca="1">IF(AND(OFFSET(A3034, -I3034 + 2, 4) &gt;  0, E3034="", Calculations!$B$7), F3034, "")</f>
        <v/>
      </c>
      <c r="B3034">
        <f t="shared" si="1097"/>
        <v>94</v>
      </c>
      <c r="C3034">
        <f t="shared" ca="1" si="1083"/>
        <v>91</v>
      </c>
      <c r="D3034" t="str">
        <f t="shared" si="1098"/>
        <v>M94</v>
      </c>
      <c r="E3034" t="str">
        <f t="shared" ca="1" si="1099"/>
        <v/>
      </c>
      <c r="F3034" t="str">
        <f t="shared" ca="1" si="1100"/>
        <v xml:space="preserve">Enter a 'Eligible Basis for Rehab' for  building 91 in cell M94.
</v>
      </c>
      <c r="G3034" s="9" t="str">
        <f t="shared" ca="1" si="1081"/>
        <v xml:space="preserve">Enter a value for 'Number of Floors in the Tallest Building' in cell B60.
</v>
      </c>
      <c r="H3034" s="52" t="str">
        <f t="shared" ca="1" si="1101"/>
        <v>Eligible Basis for Rehab</v>
      </c>
      <c r="I3034" s="52">
        <v>13</v>
      </c>
    </row>
    <row r="3035" spans="1:10" ht="15" customHeight="1">
      <c r="A3035" t="str">
        <f ca="1">IF(AND(OFFSET(A3035, -I3035 + 2, 4) &gt;  0, E3035="", Calculations!$B$7), F3035, "")</f>
        <v/>
      </c>
      <c r="B3035">
        <f t="shared" si="1097"/>
        <v>94</v>
      </c>
      <c r="C3035">
        <f t="shared" ca="1" si="1083"/>
        <v>91</v>
      </c>
      <c r="D3035" t="str">
        <f t="shared" si="1098"/>
        <v>N94</v>
      </c>
      <c r="E3035" t="str">
        <f t="shared" ca="1" si="1099"/>
        <v/>
      </c>
      <c r="F3035" t="str">
        <f t="shared" ca="1" si="1100"/>
        <v xml:space="preserve">Enter a 'Cost of Acquiring the Building***' for  building 91 in cell N94.
</v>
      </c>
      <c r="G3035" s="9" t="str">
        <f t="shared" ca="1" si="1081"/>
        <v xml:space="preserve">Enter a value for 'Number of Floors in the Tallest Building' in cell B60.
</v>
      </c>
      <c r="H3035" s="52" t="str">
        <f t="shared" ca="1" si="1101"/>
        <v>Cost of Acquiring the Building***</v>
      </c>
      <c r="I3035" s="52">
        <v>14</v>
      </c>
    </row>
    <row r="3036" spans="1:10" ht="15" customHeight="1">
      <c r="A3036" t="str">
        <f ca="1">IF(AND(OFFSET(A3036, -I3036 + 2, 4) &gt;  0, E3036="", Calculations!$B$7), F3036, "")</f>
        <v/>
      </c>
      <c r="B3036">
        <f t="shared" si="1097"/>
        <v>94</v>
      </c>
      <c r="C3036">
        <f t="shared" ca="1" si="1083"/>
        <v>91</v>
      </c>
      <c r="D3036" t="str">
        <f t="shared" si="1098"/>
        <v>O94</v>
      </c>
      <c r="E3036" t="str">
        <f t="shared" ca="1" si="1099"/>
        <v/>
      </c>
      <c r="F3036" t="str">
        <f t="shared" ca="1" si="1100"/>
        <v xml:space="preserve">Enter a 'Higher of Land Purchase Price or Land Appraised Value****' for  building 91 in cell O94.
</v>
      </c>
      <c r="G3036" s="9" t="str">
        <f t="shared" ca="1" si="1081"/>
        <v xml:space="preserve">Enter a value for 'Number of Floors in the Tallest Building' in cell B60.
</v>
      </c>
      <c r="H3036" s="52" t="str">
        <f t="shared" ca="1" si="1101"/>
        <v>Higher of Land Purchase Price or Land Appraised Value****</v>
      </c>
      <c r="I3036" s="52">
        <v>15</v>
      </c>
    </row>
    <row r="3037" spans="1:10" ht="15" customHeight="1">
      <c r="A3037" t="str">
        <f ca="1">IF(AND(OFFSET(A3037, -I3037 + 2, 4) &gt;  0, E3037="", Calculations!$B$7), F3037, "")</f>
        <v/>
      </c>
      <c r="B3037">
        <f t="shared" si="1097"/>
        <v>94</v>
      </c>
      <c r="C3037">
        <f t="shared" ca="1" si="1083"/>
        <v>91</v>
      </c>
      <c r="D3037" t="str">
        <f t="shared" si="1098"/>
        <v>P94</v>
      </c>
      <c r="E3037" t="str">
        <f t="shared" ca="1" si="1099"/>
        <v/>
      </c>
      <c r="F3037" t="str">
        <f t="shared" ca="1" si="1100"/>
        <v xml:space="preserve">Enter a 'Acquisition Placed-in-Service Date' for  building 91 in cell P94.
</v>
      </c>
      <c r="G3037" s="9" t="str">
        <f t="shared" ca="1" si="1081"/>
        <v xml:space="preserve">Enter a value for 'Number of Floors in the Tallest Building' in cell B60.
</v>
      </c>
      <c r="H3037" s="52" t="str">
        <f t="shared" ca="1" si="1101"/>
        <v>Acquisition Placed-in-Service Date</v>
      </c>
      <c r="I3037" s="52">
        <v>16</v>
      </c>
    </row>
    <row r="3038" spans="1:10" ht="15" customHeight="1">
      <c r="A3038" t="str">
        <f ca="1">IF(AND(OFFSET(A3038, -I3038 + 2, 4) &gt;  0, E3038="", Calculations!$B$7), F3038, "")</f>
        <v/>
      </c>
      <c r="B3038">
        <f t="shared" si="1097"/>
        <v>94</v>
      </c>
      <c r="C3038">
        <f t="shared" ca="1" si="1083"/>
        <v>91</v>
      </c>
      <c r="D3038" t="str">
        <f t="shared" si="1098"/>
        <v>Q94</v>
      </c>
      <c r="E3038" t="str">
        <f t="shared" ca="1" si="1099"/>
        <v/>
      </c>
      <c r="F3038" t="str">
        <f t="shared" ca="1" si="1100"/>
        <v xml:space="preserve">Enter a 'Acquisition APR' for  building 91 in cell Q94.
</v>
      </c>
      <c r="G3038" s="9" t="str">
        <f t="shared" ca="1" si="1081"/>
        <v xml:space="preserve">Enter a value for 'Number of Floors in the Tallest Building' in cell B60.
</v>
      </c>
      <c r="H3038" s="52" t="str">
        <f t="shared" ca="1" si="1101"/>
        <v>Acquisition APR</v>
      </c>
      <c r="I3038" s="52">
        <v>17</v>
      </c>
    </row>
    <row r="3039" spans="1:10" ht="15" customHeight="1">
      <c r="A3039" t="str">
        <f ca="1">IF(AND(Calculations!$B$4,Calculations!$B$29&gt;=C3039, E3039 &lt;&gt; 13),F3039,"")</f>
        <v/>
      </c>
      <c r="B3039">
        <f>ROW('Final Building Profile'!C95)</f>
        <v>95</v>
      </c>
      <c r="C3039">
        <f t="shared" ca="1" si="1083"/>
        <v>92</v>
      </c>
      <c r="D3039" t="str">
        <f>ADDRESS(B3039, 3,4  )</f>
        <v>C95</v>
      </c>
      <c r="E3039" s="52">
        <f ca="1">H3039+I3039</f>
        <v>0</v>
      </c>
      <c r="F3039" t="str">
        <f ca="1">CONCATENATE("Based upon the number of buildings specified, information for  building ", C3039, " required for a final application in row ", B3039, ".", CHAR(10))</f>
        <v xml:space="preserve">Based upon the number of buildings specified, information for  building 92 required for a final application in row 95.
</v>
      </c>
      <c r="G3039" s="9" t="str">
        <f t="shared" ca="1" si="1081"/>
        <v xml:space="preserve">Enter a value for 'Number of Floors in the Tallest Building' in cell B60.
</v>
      </c>
      <c r="H3039" s="52">
        <f ca="1">SUMPRODUCT(--ISTEXT(INDIRECT(J3039)))</f>
        <v>0</v>
      </c>
      <c r="I3039" s="52">
        <f ca="1">SUMPRODUCT(--ISNUMBER(INDIRECT(J3039)))</f>
        <v>0</v>
      </c>
      <c r="J3039" s="52" t="str">
        <f>$F$1565&amp; ADDRESS(B3039,3,4) &amp; ":" &amp; ADDRESS(B3039,15,4)</f>
        <v>'Final Building Profile'!C95:O95</v>
      </c>
    </row>
    <row r="3040" spans="1:10" ht="15" customHeight="1">
      <c r="A3040" t="str">
        <f t="shared" ref="A3040:A3049" ca="1" si="1102">IF(AND(OFFSET(A3040, -I3040 + 2, 4) &gt;  0, E3040=""), F3040, "")</f>
        <v/>
      </c>
      <c r="B3040">
        <f t="shared" ref="B3040:B3054" si="1103">B3039</f>
        <v>95</v>
      </c>
      <c r="C3040">
        <f t="shared" ca="1" si="1083"/>
        <v>92</v>
      </c>
      <c r="D3040" t="str">
        <f t="shared" ref="D3040:D3054" si="1104">ADDRESS(B3040, I3040,4  )</f>
        <v>C95</v>
      </c>
      <c r="E3040" t="str">
        <f t="shared" ref="E3040:E3054" ca="1" si="1105">IF(ISBLANK( INDIRECT($F$1565 &amp; D3040)),"", INDIRECT($F$1565 &amp; D3040))</f>
        <v/>
      </c>
      <c r="F3040" t="str">
        <f t="shared" ref="F3040:F3054" ca="1" si="1106">CONCATENATE("Enter a '"&amp; H3040 &amp;"' for  building ", C3040, " in cell ", D3040, ".", CHAR(10))</f>
        <v xml:space="preserve">Enter a 'Building Street Address Only 
(DO NOT ENTER CITY, STATE, OR ZIP)' for  building 92 in cell C95.
</v>
      </c>
      <c r="G3040" s="9" t="str">
        <f t="shared" ref="G3040:G3103" ca="1" si="1107">OFFSET(G3040, -1, 0) &amp; A3040</f>
        <v xml:space="preserve">Enter a value for 'Number of Floors in the Tallest Building' in cell B60.
</v>
      </c>
      <c r="H3040" s="52" t="str">
        <f t="shared" ref="H3040:H3054" ca="1" si="1108">OFFSET(INDIRECT($F$1565 &amp; D3040), -B3040 + 3, 0)</f>
        <v>Building Street Address Only 
(DO NOT ENTER CITY, STATE, OR ZIP)</v>
      </c>
      <c r="I3040" s="52">
        <v>3</v>
      </c>
    </row>
    <row r="3041" spans="1:10" ht="15" customHeight="1">
      <c r="A3041" t="str">
        <f t="shared" ca="1" si="1102"/>
        <v/>
      </c>
      <c r="B3041">
        <f t="shared" si="1103"/>
        <v>95</v>
      </c>
      <c r="C3041">
        <f t="shared" ca="1" si="1083"/>
        <v>92</v>
      </c>
      <c r="D3041" t="str">
        <f t="shared" si="1104"/>
        <v>D95</v>
      </c>
      <c r="E3041" t="str">
        <f t="shared" ca="1" si="1105"/>
        <v/>
      </c>
      <c r="F3041" t="str">
        <f t="shared" ca="1" si="1106"/>
        <v xml:space="preserve">Enter a 'Total Units in Building*' for  building 92 in cell D95.
</v>
      </c>
      <c r="G3041" s="9" t="str">
        <f t="shared" ca="1" si="1107"/>
        <v xml:space="preserve">Enter a value for 'Number of Floors in the Tallest Building' in cell B60.
</v>
      </c>
      <c r="H3041" s="52" t="str">
        <f t="shared" ca="1" si="1108"/>
        <v>Total Units in Building*</v>
      </c>
      <c r="I3041" s="52">
        <v>4</v>
      </c>
    </row>
    <row r="3042" spans="1:10" ht="15" customHeight="1">
      <c r="A3042" t="str">
        <f t="shared" ca="1" si="1102"/>
        <v/>
      </c>
      <c r="B3042">
        <f t="shared" si="1103"/>
        <v>95</v>
      </c>
      <c r="C3042">
        <f t="shared" ca="1" si="1083"/>
        <v>92</v>
      </c>
      <c r="D3042" t="str">
        <f t="shared" si="1104"/>
        <v>E95</v>
      </c>
      <c r="E3042" t="str">
        <f t="shared" ca="1" si="1105"/>
        <v/>
      </c>
      <c r="F3042" t="str">
        <f t="shared" ca="1" si="1106"/>
        <v xml:space="preserve">Enter a 'Employee Units' for  building 92 in cell E95.
</v>
      </c>
      <c r="G3042" s="9" t="str">
        <f t="shared" ca="1" si="1107"/>
        <v xml:space="preserve">Enter a value for 'Number of Floors in the Tallest Building' in cell B60.
</v>
      </c>
      <c r="H3042" s="52" t="str">
        <f t="shared" ca="1" si="1108"/>
        <v>Employee Units</v>
      </c>
      <c r="I3042" s="52">
        <v>5</v>
      </c>
    </row>
    <row r="3043" spans="1:10" ht="15" customHeight="1">
      <c r="A3043" t="str">
        <f t="shared" ca="1" si="1102"/>
        <v/>
      </c>
      <c r="B3043">
        <f t="shared" si="1103"/>
        <v>95</v>
      </c>
      <c r="C3043">
        <f t="shared" ca="1" si="1083"/>
        <v>92</v>
      </c>
      <c r="D3043" t="str">
        <f t="shared" si="1104"/>
        <v>F95</v>
      </c>
      <c r="E3043" t="str">
        <f t="shared" ca="1" si="1105"/>
        <v/>
      </c>
      <c r="F3043" t="str">
        <f t="shared" ca="1" si="1106"/>
        <v xml:space="preserve">Enter a 'Low-Income Units' for  building 92 in cell F95.
</v>
      </c>
      <c r="G3043" s="9" t="str">
        <f t="shared" ca="1" si="1107"/>
        <v xml:space="preserve">Enter a value for 'Number of Floors in the Tallest Building' in cell B60.
</v>
      </c>
      <c r="H3043" s="52" t="str">
        <f t="shared" ca="1" si="1108"/>
        <v>Low-Income Units</v>
      </c>
      <c r="I3043" s="52">
        <v>6</v>
      </c>
    </row>
    <row r="3044" spans="1:10" ht="15" customHeight="1">
      <c r="A3044" t="str">
        <f t="shared" ca="1" si="1102"/>
        <v/>
      </c>
      <c r="B3044">
        <f t="shared" si="1103"/>
        <v>95</v>
      </c>
      <c r="C3044">
        <f t="shared" ca="1" si="1083"/>
        <v>92</v>
      </c>
      <c r="D3044" t="str">
        <f t="shared" si="1104"/>
        <v>G95</v>
      </c>
      <c r="E3044" t="str">
        <f t="shared" ca="1" si="1105"/>
        <v/>
      </c>
      <c r="F3044" t="str">
        <f t="shared" ca="1" si="1106"/>
        <v xml:space="preserve">Enter a 'Residential Square Footage**' for  building 92 in cell G95.
</v>
      </c>
      <c r="G3044" s="9" t="str">
        <f t="shared" ca="1" si="1107"/>
        <v xml:space="preserve">Enter a value for 'Number of Floors in the Tallest Building' in cell B60.
</v>
      </c>
      <c r="H3044" s="52" t="str">
        <f t="shared" ca="1" si="1108"/>
        <v>Residential Square Footage**</v>
      </c>
      <c r="I3044" s="52">
        <v>7</v>
      </c>
    </row>
    <row r="3045" spans="1:10" ht="15" customHeight="1">
      <c r="A3045" t="str">
        <f t="shared" ca="1" si="1102"/>
        <v/>
      </c>
      <c r="B3045">
        <f t="shared" si="1103"/>
        <v>95</v>
      </c>
      <c r="C3045">
        <f t="shared" ca="1" si="1083"/>
        <v>92</v>
      </c>
      <c r="D3045" t="str">
        <f t="shared" si="1104"/>
        <v>H95</v>
      </c>
      <c r="E3045" t="str">
        <f t="shared" ca="1" si="1105"/>
        <v/>
      </c>
      <c r="F3045" t="str">
        <f t="shared" ca="1" si="1106"/>
        <v xml:space="preserve">Enter a 'Square Footage of Employee Units' for  building 92 in cell H95.
</v>
      </c>
      <c r="G3045" s="9" t="str">
        <f t="shared" ca="1" si="1107"/>
        <v xml:space="preserve">Enter a value for 'Number of Floors in the Tallest Building' in cell B60.
</v>
      </c>
      <c r="H3045" s="52" t="str">
        <f t="shared" ca="1" si="1108"/>
        <v>Square Footage of Employee Units</v>
      </c>
      <c r="I3045" s="52">
        <v>8</v>
      </c>
    </row>
    <row r="3046" spans="1:10" ht="15" customHeight="1">
      <c r="A3046" t="str">
        <f t="shared" ca="1" si="1102"/>
        <v/>
      </c>
      <c r="B3046">
        <f t="shared" si="1103"/>
        <v>95</v>
      </c>
      <c r="C3046">
        <f t="shared" ca="1" si="1083"/>
        <v>92</v>
      </c>
      <c r="D3046" t="str">
        <f t="shared" si="1104"/>
        <v>I95</v>
      </c>
      <c r="E3046" t="str">
        <f t="shared" ca="1" si="1105"/>
        <v/>
      </c>
      <c r="F3046" t="str">
        <f t="shared" ca="1" si="1106"/>
        <v xml:space="preserve">Enter a 'Square Footage of Low-Income Units' for  building 92 in cell I95.
</v>
      </c>
      <c r="G3046" s="9" t="str">
        <f t="shared" ca="1" si="1107"/>
        <v xml:space="preserve">Enter a value for 'Number of Floors in the Tallest Building' in cell B60.
</v>
      </c>
      <c r="H3046" s="52" t="str">
        <f t="shared" ca="1" si="1108"/>
        <v>Square Footage of Low-Income Units</v>
      </c>
      <c r="I3046" s="52">
        <v>9</v>
      </c>
    </row>
    <row r="3047" spans="1:10" ht="15" customHeight="1">
      <c r="A3047" t="str">
        <f t="shared" ca="1" si="1102"/>
        <v/>
      </c>
      <c r="B3047">
        <f t="shared" si="1103"/>
        <v>95</v>
      </c>
      <c r="C3047">
        <f t="shared" ca="1" si="1083"/>
        <v>92</v>
      </c>
      <c r="D3047" t="str">
        <f t="shared" si="1104"/>
        <v>J95</v>
      </c>
      <c r="E3047" t="str">
        <f t="shared" ca="1" si="1105"/>
        <v/>
      </c>
      <c r="F3047" t="str">
        <f t="shared" ca="1" si="1106"/>
        <v xml:space="preserve">Enter a 'Placed-In-Service Date' for  building 92 in cell J95.
</v>
      </c>
      <c r="G3047" s="9" t="str">
        <f t="shared" ca="1" si="1107"/>
        <v xml:space="preserve">Enter a value for 'Number of Floors in the Tallest Building' in cell B60.
</v>
      </c>
      <c r="H3047" s="52" t="str">
        <f t="shared" ca="1" si="1108"/>
        <v>Placed-In-Service Date</v>
      </c>
      <c r="I3047" s="52">
        <v>10</v>
      </c>
    </row>
    <row r="3048" spans="1:10" ht="15" customHeight="1">
      <c r="A3048" t="str">
        <f t="shared" ca="1" si="1102"/>
        <v/>
      </c>
      <c r="B3048">
        <f t="shared" si="1103"/>
        <v>95</v>
      </c>
      <c r="C3048">
        <f t="shared" ca="1" si="1083"/>
        <v>92</v>
      </c>
      <c r="D3048" t="str">
        <f t="shared" si="1104"/>
        <v>K95</v>
      </c>
      <c r="E3048" t="str">
        <f t="shared" ca="1" si="1105"/>
        <v/>
      </c>
      <c r="F3048" t="str">
        <f t="shared" ca="1" si="1106"/>
        <v xml:space="preserve">Enter a 'New Construction/ Rehab APR' for  building 92 in cell K95.
</v>
      </c>
      <c r="G3048" s="9" t="str">
        <f t="shared" ca="1" si="1107"/>
        <v xml:space="preserve">Enter a value for 'Number of Floors in the Tallest Building' in cell B60.
</v>
      </c>
      <c r="H3048" s="52" t="str">
        <f t="shared" ca="1" si="1108"/>
        <v>New Construction/ Rehab APR</v>
      </c>
      <c r="I3048" s="52">
        <v>11</v>
      </c>
    </row>
    <row r="3049" spans="1:10" ht="15" customHeight="1">
      <c r="A3049" t="str">
        <f t="shared" ca="1" si="1102"/>
        <v/>
      </c>
      <c r="B3049">
        <f t="shared" si="1103"/>
        <v>95</v>
      </c>
      <c r="C3049">
        <f t="shared" ca="1" si="1083"/>
        <v>92</v>
      </c>
      <c r="D3049" t="str">
        <f t="shared" si="1104"/>
        <v>L95</v>
      </c>
      <c r="E3049" t="str">
        <f t="shared" ca="1" si="1105"/>
        <v/>
      </c>
      <c r="F3049" t="str">
        <f t="shared" ca="1" si="1106"/>
        <v xml:space="preserve">Enter a 'New Construction Eligible Basis' for  building 92 in cell L95.
</v>
      </c>
      <c r="G3049" s="9" t="str">
        <f t="shared" ca="1" si="1107"/>
        <v xml:space="preserve">Enter a value for 'Number of Floors in the Tallest Building' in cell B60.
</v>
      </c>
      <c r="H3049" s="52" t="str">
        <f t="shared" ca="1" si="1108"/>
        <v>New Construction Eligible Basis</v>
      </c>
      <c r="I3049" s="52">
        <v>12</v>
      </c>
    </row>
    <row r="3050" spans="1:10" ht="15" customHeight="1">
      <c r="A3050" t="str">
        <f ca="1">IF(AND(OFFSET(A3050, -I3050 + 2, 4) &gt;  0, E3050="", Calculations!$B$7), F3050, "")</f>
        <v/>
      </c>
      <c r="B3050">
        <f t="shared" si="1103"/>
        <v>95</v>
      </c>
      <c r="C3050">
        <f t="shared" ca="1" si="1083"/>
        <v>92</v>
      </c>
      <c r="D3050" t="str">
        <f t="shared" si="1104"/>
        <v>M95</v>
      </c>
      <c r="E3050" t="str">
        <f t="shared" ca="1" si="1105"/>
        <v/>
      </c>
      <c r="F3050" t="str">
        <f t="shared" ca="1" si="1106"/>
        <v xml:space="preserve">Enter a 'Eligible Basis for Rehab' for  building 92 in cell M95.
</v>
      </c>
      <c r="G3050" s="9" t="str">
        <f t="shared" ca="1" si="1107"/>
        <v xml:space="preserve">Enter a value for 'Number of Floors in the Tallest Building' in cell B60.
</v>
      </c>
      <c r="H3050" s="52" t="str">
        <f t="shared" ca="1" si="1108"/>
        <v>Eligible Basis for Rehab</v>
      </c>
      <c r="I3050" s="52">
        <v>13</v>
      </c>
    </row>
    <row r="3051" spans="1:10" ht="15" customHeight="1">
      <c r="A3051" t="str">
        <f ca="1">IF(AND(OFFSET(A3051, -I3051 + 2, 4) &gt;  0, E3051="", Calculations!$B$7), F3051, "")</f>
        <v/>
      </c>
      <c r="B3051">
        <f t="shared" si="1103"/>
        <v>95</v>
      </c>
      <c r="C3051">
        <f t="shared" ca="1" si="1083"/>
        <v>92</v>
      </c>
      <c r="D3051" t="str">
        <f t="shared" si="1104"/>
        <v>N95</v>
      </c>
      <c r="E3051" t="str">
        <f t="shared" ca="1" si="1105"/>
        <v/>
      </c>
      <c r="F3051" t="str">
        <f t="shared" ca="1" si="1106"/>
        <v xml:space="preserve">Enter a 'Cost of Acquiring the Building***' for  building 92 in cell N95.
</v>
      </c>
      <c r="G3051" s="9" t="str">
        <f t="shared" ca="1" si="1107"/>
        <v xml:space="preserve">Enter a value for 'Number of Floors in the Tallest Building' in cell B60.
</v>
      </c>
      <c r="H3051" s="52" t="str">
        <f t="shared" ca="1" si="1108"/>
        <v>Cost of Acquiring the Building***</v>
      </c>
      <c r="I3051" s="52">
        <v>14</v>
      </c>
    </row>
    <row r="3052" spans="1:10" ht="15" customHeight="1">
      <c r="A3052" t="str">
        <f ca="1">IF(AND(OFFSET(A3052, -I3052 + 2, 4) &gt;  0, E3052="", Calculations!$B$7), F3052, "")</f>
        <v/>
      </c>
      <c r="B3052">
        <f t="shared" si="1103"/>
        <v>95</v>
      </c>
      <c r="C3052">
        <f t="shared" ca="1" si="1083"/>
        <v>92</v>
      </c>
      <c r="D3052" t="str">
        <f t="shared" si="1104"/>
        <v>O95</v>
      </c>
      <c r="E3052" t="str">
        <f t="shared" ca="1" si="1105"/>
        <v/>
      </c>
      <c r="F3052" t="str">
        <f t="shared" ca="1" si="1106"/>
        <v xml:space="preserve">Enter a 'Higher of Land Purchase Price or Land Appraised Value****' for  building 92 in cell O95.
</v>
      </c>
      <c r="G3052" s="9" t="str">
        <f t="shared" ca="1" si="1107"/>
        <v xml:space="preserve">Enter a value for 'Number of Floors in the Tallest Building' in cell B60.
</v>
      </c>
      <c r="H3052" s="52" t="str">
        <f t="shared" ca="1" si="1108"/>
        <v>Higher of Land Purchase Price or Land Appraised Value****</v>
      </c>
      <c r="I3052" s="52">
        <v>15</v>
      </c>
    </row>
    <row r="3053" spans="1:10" ht="15" customHeight="1">
      <c r="A3053" t="str">
        <f ca="1">IF(AND(OFFSET(A3053, -I3053 + 2, 4) &gt;  0, E3053="", Calculations!$B$7), F3053, "")</f>
        <v/>
      </c>
      <c r="B3053">
        <f t="shared" si="1103"/>
        <v>95</v>
      </c>
      <c r="C3053">
        <f t="shared" ca="1" si="1083"/>
        <v>92</v>
      </c>
      <c r="D3053" t="str">
        <f t="shared" si="1104"/>
        <v>P95</v>
      </c>
      <c r="E3053" t="str">
        <f t="shared" ca="1" si="1105"/>
        <v/>
      </c>
      <c r="F3053" t="str">
        <f t="shared" ca="1" si="1106"/>
        <v xml:space="preserve">Enter a 'Acquisition Placed-in-Service Date' for  building 92 in cell P95.
</v>
      </c>
      <c r="G3053" s="9" t="str">
        <f t="shared" ca="1" si="1107"/>
        <v xml:space="preserve">Enter a value for 'Number of Floors in the Tallest Building' in cell B60.
</v>
      </c>
      <c r="H3053" s="52" t="str">
        <f t="shared" ca="1" si="1108"/>
        <v>Acquisition Placed-in-Service Date</v>
      </c>
      <c r="I3053" s="52">
        <v>16</v>
      </c>
    </row>
    <row r="3054" spans="1:10" ht="15" customHeight="1">
      <c r="A3054" t="str">
        <f ca="1">IF(AND(OFFSET(A3054, -I3054 + 2, 4) &gt;  0, E3054="", Calculations!$B$7), F3054, "")</f>
        <v/>
      </c>
      <c r="B3054">
        <f t="shared" si="1103"/>
        <v>95</v>
      </c>
      <c r="C3054">
        <f t="shared" ca="1" si="1083"/>
        <v>92</v>
      </c>
      <c r="D3054" t="str">
        <f t="shared" si="1104"/>
        <v>Q95</v>
      </c>
      <c r="E3054" t="str">
        <f t="shared" ca="1" si="1105"/>
        <v/>
      </c>
      <c r="F3054" t="str">
        <f t="shared" ca="1" si="1106"/>
        <v xml:space="preserve">Enter a 'Acquisition APR' for  building 92 in cell Q95.
</v>
      </c>
      <c r="G3054" s="9" t="str">
        <f t="shared" ca="1" si="1107"/>
        <v xml:space="preserve">Enter a value for 'Number of Floors in the Tallest Building' in cell B60.
</v>
      </c>
      <c r="H3054" s="52" t="str">
        <f t="shared" ca="1" si="1108"/>
        <v>Acquisition APR</v>
      </c>
      <c r="I3054" s="52">
        <v>17</v>
      </c>
    </row>
    <row r="3055" spans="1:10" ht="15" customHeight="1">
      <c r="A3055" t="str">
        <f ca="1">IF(AND(Calculations!$B$4,Calculations!$B$29&gt;=C3055, E3055 &lt;&gt; 13),F3055,"")</f>
        <v/>
      </c>
      <c r="B3055">
        <f>ROW('Final Building Profile'!C96)</f>
        <v>96</v>
      </c>
      <c r="C3055">
        <f t="shared" ref="C3055:C3118" ca="1" si="1109">INDIRECT($F$1565 &amp; ADDRESS(B3055, 1,4  ))</f>
        <v>93</v>
      </c>
      <c r="D3055" t="str">
        <f>ADDRESS(B3055, 3,4  )</f>
        <v>C96</v>
      </c>
      <c r="E3055" s="52">
        <f ca="1">H3055+I3055</f>
        <v>0</v>
      </c>
      <c r="F3055" t="str">
        <f ca="1">CONCATENATE("Based upon the number of buildings specified, information for  building ", C3055, " required for a final application in row ", B3055, ".", CHAR(10))</f>
        <v xml:space="preserve">Based upon the number of buildings specified, information for  building 93 required for a final application in row 96.
</v>
      </c>
      <c r="G3055" s="9" t="str">
        <f t="shared" ca="1" si="1107"/>
        <v xml:space="preserve">Enter a value for 'Number of Floors in the Tallest Building' in cell B60.
</v>
      </c>
      <c r="H3055" s="52">
        <f ca="1">SUMPRODUCT(--ISTEXT(INDIRECT(J3055)))</f>
        <v>0</v>
      </c>
      <c r="I3055" s="52">
        <f ca="1">SUMPRODUCT(--ISNUMBER(INDIRECT(J3055)))</f>
        <v>0</v>
      </c>
      <c r="J3055" s="52" t="str">
        <f>$F$1565&amp; ADDRESS(B3055,3,4) &amp; ":" &amp; ADDRESS(B3055,15,4)</f>
        <v>'Final Building Profile'!C96:O96</v>
      </c>
    </row>
    <row r="3056" spans="1:10" ht="15" customHeight="1">
      <c r="A3056" t="str">
        <f t="shared" ref="A3056:A3065" ca="1" si="1110">IF(AND(OFFSET(A3056, -I3056 + 2, 4) &gt;  0, E3056=""), F3056, "")</f>
        <v/>
      </c>
      <c r="B3056">
        <f t="shared" ref="B3056:B3070" si="1111">B3055</f>
        <v>96</v>
      </c>
      <c r="C3056">
        <f t="shared" ca="1" si="1109"/>
        <v>93</v>
      </c>
      <c r="D3056" t="str">
        <f t="shared" ref="D3056:D3070" si="1112">ADDRESS(B3056, I3056,4  )</f>
        <v>C96</v>
      </c>
      <c r="E3056" t="str">
        <f t="shared" ref="E3056:E3070" ca="1" si="1113">IF(ISBLANK( INDIRECT($F$1565 &amp; D3056)),"", INDIRECT($F$1565 &amp; D3056))</f>
        <v/>
      </c>
      <c r="F3056" t="str">
        <f t="shared" ref="F3056:F3070" ca="1" si="1114">CONCATENATE("Enter a '"&amp; H3056 &amp;"' for  building ", C3056, " in cell ", D3056, ".", CHAR(10))</f>
        <v xml:space="preserve">Enter a 'Building Street Address Only 
(DO NOT ENTER CITY, STATE, OR ZIP)' for  building 93 in cell C96.
</v>
      </c>
      <c r="G3056" s="9" t="str">
        <f t="shared" ca="1" si="1107"/>
        <v xml:space="preserve">Enter a value for 'Number of Floors in the Tallest Building' in cell B60.
</v>
      </c>
      <c r="H3056" s="52" t="str">
        <f t="shared" ref="H3056:H3070" ca="1" si="1115">OFFSET(INDIRECT($F$1565 &amp; D3056), -B3056 + 3, 0)</f>
        <v>Building Street Address Only 
(DO NOT ENTER CITY, STATE, OR ZIP)</v>
      </c>
      <c r="I3056" s="52">
        <v>3</v>
      </c>
    </row>
    <row r="3057" spans="1:10" ht="15" customHeight="1">
      <c r="A3057" t="str">
        <f t="shared" ca="1" si="1110"/>
        <v/>
      </c>
      <c r="B3057">
        <f t="shared" si="1111"/>
        <v>96</v>
      </c>
      <c r="C3057">
        <f t="shared" ca="1" si="1109"/>
        <v>93</v>
      </c>
      <c r="D3057" t="str">
        <f t="shared" si="1112"/>
        <v>D96</v>
      </c>
      <c r="E3057" t="str">
        <f t="shared" ca="1" si="1113"/>
        <v/>
      </c>
      <c r="F3057" t="str">
        <f t="shared" ca="1" si="1114"/>
        <v xml:space="preserve">Enter a 'Total Units in Building*' for  building 93 in cell D96.
</v>
      </c>
      <c r="G3057" s="9" t="str">
        <f t="shared" ca="1" si="1107"/>
        <v xml:space="preserve">Enter a value for 'Number of Floors in the Tallest Building' in cell B60.
</v>
      </c>
      <c r="H3057" s="52" t="str">
        <f t="shared" ca="1" si="1115"/>
        <v>Total Units in Building*</v>
      </c>
      <c r="I3057" s="52">
        <v>4</v>
      </c>
    </row>
    <row r="3058" spans="1:10" ht="15" customHeight="1">
      <c r="A3058" t="str">
        <f t="shared" ca="1" si="1110"/>
        <v/>
      </c>
      <c r="B3058">
        <f t="shared" si="1111"/>
        <v>96</v>
      </c>
      <c r="C3058">
        <f t="shared" ca="1" si="1109"/>
        <v>93</v>
      </c>
      <c r="D3058" t="str">
        <f t="shared" si="1112"/>
        <v>E96</v>
      </c>
      <c r="E3058" t="str">
        <f t="shared" ca="1" si="1113"/>
        <v/>
      </c>
      <c r="F3058" t="str">
        <f t="shared" ca="1" si="1114"/>
        <v xml:space="preserve">Enter a 'Employee Units' for  building 93 in cell E96.
</v>
      </c>
      <c r="G3058" s="9" t="str">
        <f t="shared" ca="1" si="1107"/>
        <v xml:space="preserve">Enter a value for 'Number of Floors in the Tallest Building' in cell B60.
</v>
      </c>
      <c r="H3058" s="52" t="str">
        <f t="shared" ca="1" si="1115"/>
        <v>Employee Units</v>
      </c>
      <c r="I3058" s="52">
        <v>5</v>
      </c>
    </row>
    <row r="3059" spans="1:10" ht="15" customHeight="1">
      <c r="A3059" t="str">
        <f t="shared" ca="1" si="1110"/>
        <v/>
      </c>
      <c r="B3059">
        <f t="shared" si="1111"/>
        <v>96</v>
      </c>
      <c r="C3059">
        <f t="shared" ca="1" si="1109"/>
        <v>93</v>
      </c>
      <c r="D3059" t="str">
        <f t="shared" si="1112"/>
        <v>F96</v>
      </c>
      <c r="E3059" t="str">
        <f t="shared" ca="1" si="1113"/>
        <v/>
      </c>
      <c r="F3059" t="str">
        <f t="shared" ca="1" si="1114"/>
        <v xml:space="preserve">Enter a 'Low-Income Units' for  building 93 in cell F96.
</v>
      </c>
      <c r="G3059" s="9" t="str">
        <f t="shared" ca="1" si="1107"/>
        <v xml:space="preserve">Enter a value for 'Number of Floors in the Tallest Building' in cell B60.
</v>
      </c>
      <c r="H3059" s="52" t="str">
        <f t="shared" ca="1" si="1115"/>
        <v>Low-Income Units</v>
      </c>
      <c r="I3059" s="52">
        <v>6</v>
      </c>
    </row>
    <row r="3060" spans="1:10" ht="15" customHeight="1">
      <c r="A3060" t="str">
        <f t="shared" ca="1" si="1110"/>
        <v/>
      </c>
      <c r="B3060">
        <f t="shared" si="1111"/>
        <v>96</v>
      </c>
      <c r="C3060">
        <f t="shared" ca="1" si="1109"/>
        <v>93</v>
      </c>
      <c r="D3060" t="str">
        <f t="shared" si="1112"/>
        <v>G96</v>
      </c>
      <c r="E3060" t="str">
        <f t="shared" ca="1" si="1113"/>
        <v/>
      </c>
      <c r="F3060" t="str">
        <f t="shared" ca="1" si="1114"/>
        <v xml:space="preserve">Enter a 'Residential Square Footage**' for  building 93 in cell G96.
</v>
      </c>
      <c r="G3060" s="9" t="str">
        <f t="shared" ca="1" si="1107"/>
        <v xml:space="preserve">Enter a value for 'Number of Floors in the Tallest Building' in cell B60.
</v>
      </c>
      <c r="H3060" s="52" t="str">
        <f t="shared" ca="1" si="1115"/>
        <v>Residential Square Footage**</v>
      </c>
      <c r="I3060" s="52">
        <v>7</v>
      </c>
    </row>
    <row r="3061" spans="1:10" ht="15" customHeight="1">
      <c r="A3061" t="str">
        <f t="shared" ca="1" si="1110"/>
        <v/>
      </c>
      <c r="B3061">
        <f t="shared" si="1111"/>
        <v>96</v>
      </c>
      <c r="C3061">
        <f t="shared" ca="1" si="1109"/>
        <v>93</v>
      </c>
      <c r="D3061" t="str">
        <f t="shared" si="1112"/>
        <v>H96</v>
      </c>
      <c r="E3061" t="str">
        <f t="shared" ca="1" si="1113"/>
        <v/>
      </c>
      <c r="F3061" t="str">
        <f t="shared" ca="1" si="1114"/>
        <v xml:space="preserve">Enter a 'Square Footage of Employee Units' for  building 93 in cell H96.
</v>
      </c>
      <c r="G3061" s="9" t="str">
        <f t="shared" ca="1" si="1107"/>
        <v xml:space="preserve">Enter a value for 'Number of Floors in the Tallest Building' in cell B60.
</v>
      </c>
      <c r="H3061" s="52" t="str">
        <f t="shared" ca="1" si="1115"/>
        <v>Square Footage of Employee Units</v>
      </c>
      <c r="I3061" s="52">
        <v>8</v>
      </c>
    </row>
    <row r="3062" spans="1:10" ht="15" customHeight="1">
      <c r="A3062" t="str">
        <f t="shared" ca="1" si="1110"/>
        <v/>
      </c>
      <c r="B3062">
        <f t="shared" si="1111"/>
        <v>96</v>
      </c>
      <c r="C3062">
        <f t="shared" ca="1" si="1109"/>
        <v>93</v>
      </c>
      <c r="D3062" t="str">
        <f t="shared" si="1112"/>
        <v>I96</v>
      </c>
      <c r="E3062" t="str">
        <f t="shared" ca="1" si="1113"/>
        <v/>
      </c>
      <c r="F3062" t="str">
        <f t="shared" ca="1" si="1114"/>
        <v xml:space="preserve">Enter a 'Square Footage of Low-Income Units' for  building 93 in cell I96.
</v>
      </c>
      <c r="G3062" s="9" t="str">
        <f t="shared" ca="1" si="1107"/>
        <v xml:space="preserve">Enter a value for 'Number of Floors in the Tallest Building' in cell B60.
</v>
      </c>
      <c r="H3062" s="52" t="str">
        <f t="shared" ca="1" si="1115"/>
        <v>Square Footage of Low-Income Units</v>
      </c>
      <c r="I3062" s="52">
        <v>9</v>
      </c>
    </row>
    <row r="3063" spans="1:10" ht="15" customHeight="1">
      <c r="A3063" t="str">
        <f t="shared" ca="1" si="1110"/>
        <v/>
      </c>
      <c r="B3063">
        <f t="shared" si="1111"/>
        <v>96</v>
      </c>
      <c r="C3063">
        <f t="shared" ca="1" si="1109"/>
        <v>93</v>
      </c>
      <c r="D3063" t="str">
        <f t="shared" si="1112"/>
        <v>J96</v>
      </c>
      <c r="E3063" t="str">
        <f t="shared" ca="1" si="1113"/>
        <v/>
      </c>
      <c r="F3063" t="str">
        <f t="shared" ca="1" si="1114"/>
        <v xml:space="preserve">Enter a 'Placed-In-Service Date' for  building 93 in cell J96.
</v>
      </c>
      <c r="G3063" s="9" t="str">
        <f t="shared" ca="1" si="1107"/>
        <v xml:space="preserve">Enter a value for 'Number of Floors in the Tallest Building' in cell B60.
</v>
      </c>
      <c r="H3063" s="52" t="str">
        <f t="shared" ca="1" si="1115"/>
        <v>Placed-In-Service Date</v>
      </c>
      <c r="I3063" s="52">
        <v>10</v>
      </c>
    </row>
    <row r="3064" spans="1:10" ht="15" customHeight="1">
      <c r="A3064" t="str">
        <f t="shared" ca="1" si="1110"/>
        <v/>
      </c>
      <c r="B3064">
        <f t="shared" si="1111"/>
        <v>96</v>
      </c>
      <c r="C3064">
        <f t="shared" ca="1" si="1109"/>
        <v>93</v>
      </c>
      <c r="D3064" t="str">
        <f t="shared" si="1112"/>
        <v>K96</v>
      </c>
      <c r="E3064" t="str">
        <f t="shared" ca="1" si="1113"/>
        <v/>
      </c>
      <c r="F3064" t="str">
        <f t="shared" ca="1" si="1114"/>
        <v xml:space="preserve">Enter a 'New Construction/ Rehab APR' for  building 93 in cell K96.
</v>
      </c>
      <c r="G3064" s="9" t="str">
        <f t="shared" ca="1" si="1107"/>
        <v xml:space="preserve">Enter a value for 'Number of Floors in the Tallest Building' in cell B60.
</v>
      </c>
      <c r="H3064" s="52" t="str">
        <f t="shared" ca="1" si="1115"/>
        <v>New Construction/ Rehab APR</v>
      </c>
      <c r="I3064" s="52">
        <v>11</v>
      </c>
    </row>
    <row r="3065" spans="1:10" ht="15" customHeight="1">
      <c r="A3065" t="str">
        <f t="shared" ca="1" si="1110"/>
        <v/>
      </c>
      <c r="B3065">
        <f t="shared" si="1111"/>
        <v>96</v>
      </c>
      <c r="C3065">
        <f t="shared" ca="1" si="1109"/>
        <v>93</v>
      </c>
      <c r="D3065" t="str">
        <f t="shared" si="1112"/>
        <v>L96</v>
      </c>
      <c r="E3065" t="str">
        <f t="shared" ca="1" si="1113"/>
        <v/>
      </c>
      <c r="F3065" t="str">
        <f t="shared" ca="1" si="1114"/>
        <v xml:space="preserve">Enter a 'New Construction Eligible Basis' for  building 93 in cell L96.
</v>
      </c>
      <c r="G3065" s="9" t="str">
        <f t="shared" ca="1" si="1107"/>
        <v xml:space="preserve">Enter a value for 'Number of Floors in the Tallest Building' in cell B60.
</v>
      </c>
      <c r="H3065" s="52" t="str">
        <f t="shared" ca="1" si="1115"/>
        <v>New Construction Eligible Basis</v>
      </c>
      <c r="I3065" s="52">
        <v>12</v>
      </c>
    </row>
    <row r="3066" spans="1:10" ht="15" customHeight="1">
      <c r="A3066" t="str">
        <f ca="1">IF(AND(OFFSET(A3066, -I3066 + 2, 4) &gt;  0, E3066="", Calculations!$B$7), F3066, "")</f>
        <v/>
      </c>
      <c r="B3066">
        <f t="shared" si="1111"/>
        <v>96</v>
      </c>
      <c r="C3066">
        <f t="shared" ca="1" si="1109"/>
        <v>93</v>
      </c>
      <c r="D3066" t="str">
        <f t="shared" si="1112"/>
        <v>M96</v>
      </c>
      <c r="E3066" t="str">
        <f t="shared" ca="1" si="1113"/>
        <v/>
      </c>
      <c r="F3066" t="str">
        <f t="shared" ca="1" si="1114"/>
        <v xml:space="preserve">Enter a 'Eligible Basis for Rehab' for  building 93 in cell M96.
</v>
      </c>
      <c r="G3066" s="9" t="str">
        <f t="shared" ca="1" si="1107"/>
        <v xml:space="preserve">Enter a value for 'Number of Floors in the Tallest Building' in cell B60.
</v>
      </c>
      <c r="H3066" s="52" t="str">
        <f t="shared" ca="1" si="1115"/>
        <v>Eligible Basis for Rehab</v>
      </c>
      <c r="I3066" s="52">
        <v>13</v>
      </c>
    </row>
    <row r="3067" spans="1:10" ht="15" customHeight="1">
      <c r="A3067" t="str">
        <f ca="1">IF(AND(OFFSET(A3067, -I3067 + 2, 4) &gt;  0, E3067="", Calculations!$B$7), F3067, "")</f>
        <v/>
      </c>
      <c r="B3067">
        <f t="shared" si="1111"/>
        <v>96</v>
      </c>
      <c r="C3067">
        <f t="shared" ca="1" si="1109"/>
        <v>93</v>
      </c>
      <c r="D3067" t="str">
        <f t="shared" si="1112"/>
        <v>N96</v>
      </c>
      <c r="E3067" t="str">
        <f t="shared" ca="1" si="1113"/>
        <v/>
      </c>
      <c r="F3067" t="str">
        <f t="shared" ca="1" si="1114"/>
        <v xml:space="preserve">Enter a 'Cost of Acquiring the Building***' for  building 93 in cell N96.
</v>
      </c>
      <c r="G3067" s="9" t="str">
        <f t="shared" ca="1" si="1107"/>
        <v xml:space="preserve">Enter a value for 'Number of Floors in the Tallest Building' in cell B60.
</v>
      </c>
      <c r="H3067" s="52" t="str">
        <f t="shared" ca="1" si="1115"/>
        <v>Cost of Acquiring the Building***</v>
      </c>
      <c r="I3067" s="52">
        <v>14</v>
      </c>
    </row>
    <row r="3068" spans="1:10" ht="15" customHeight="1">
      <c r="A3068" t="str">
        <f ca="1">IF(AND(OFFSET(A3068, -I3068 + 2, 4) &gt;  0, E3068="", Calculations!$B$7), F3068, "")</f>
        <v/>
      </c>
      <c r="B3068">
        <f t="shared" si="1111"/>
        <v>96</v>
      </c>
      <c r="C3068">
        <f t="shared" ca="1" si="1109"/>
        <v>93</v>
      </c>
      <c r="D3068" t="str">
        <f t="shared" si="1112"/>
        <v>O96</v>
      </c>
      <c r="E3068" t="str">
        <f t="shared" ca="1" si="1113"/>
        <v/>
      </c>
      <c r="F3068" t="str">
        <f t="shared" ca="1" si="1114"/>
        <v xml:space="preserve">Enter a 'Higher of Land Purchase Price or Land Appraised Value****' for  building 93 in cell O96.
</v>
      </c>
      <c r="G3068" s="9" t="str">
        <f t="shared" ca="1" si="1107"/>
        <v xml:space="preserve">Enter a value for 'Number of Floors in the Tallest Building' in cell B60.
</v>
      </c>
      <c r="H3068" s="52" t="str">
        <f t="shared" ca="1" si="1115"/>
        <v>Higher of Land Purchase Price or Land Appraised Value****</v>
      </c>
      <c r="I3068" s="52">
        <v>15</v>
      </c>
    </row>
    <row r="3069" spans="1:10" ht="15" customHeight="1">
      <c r="A3069" t="str">
        <f ca="1">IF(AND(OFFSET(A3069, -I3069 + 2, 4) &gt;  0, E3069="", Calculations!$B$7), F3069, "")</f>
        <v/>
      </c>
      <c r="B3069">
        <f t="shared" si="1111"/>
        <v>96</v>
      </c>
      <c r="C3069">
        <f t="shared" ca="1" si="1109"/>
        <v>93</v>
      </c>
      <c r="D3069" t="str">
        <f t="shared" si="1112"/>
        <v>P96</v>
      </c>
      <c r="E3069" t="str">
        <f t="shared" ca="1" si="1113"/>
        <v/>
      </c>
      <c r="F3069" t="str">
        <f t="shared" ca="1" si="1114"/>
        <v xml:space="preserve">Enter a 'Acquisition Placed-in-Service Date' for  building 93 in cell P96.
</v>
      </c>
      <c r="G3069" s="9" t="str">
        <f t="shared" ca="1" si="1107"/>
        <v xml:space="preserve">Enter a value for 'Number of Floors in the Tallest Building' in cell B60.
</v>
      </c>
      <c r="H3069" s="52" t="str">
        <f t="shared" ca="1" si="1115"/>
        <v>Acquisition Placed-in-Service Date</v>
      </c>
      <c r="I3069" s="52">
        <v>16</v>
      </c>
    </row>
    <row r="3070" spans="1:10" ht="15" customHeight="1">
      <c r="A3070" t="str">
        <f ca="1">IF(AND(OFFSET(A3070, -I3070 + 2, 4) &gt;  0, E3070="", Calculations!$B$7), F3070, "")</f>
        <v/>
      </c>
      <c r="B3070">
        <f t="shared" si="1111"/>
        <v>96</v>
      </c>
      <c r="C3070">
        <f t="shared" ca="1" si="1109"/>
        <v>93</v>
      </c>
      <c r="D3070" t="str">
        <f t="shared" si="1112"/>
        <v>Q96</v>
      </c>
      <c r="E3070" t="str">
        <f t="shared" ca="1" si="1113"/>
        <v/>
      </c>
      <c r="F3070" t="str">
        <f t="shared" ca="1" si="1114"/>
        <v xml:space="preserve">Enter a 'Acquisition APR' for  building 93 in cell Q96.
</v>
      </c>
      <c r="G3070" s="9" t="str">
        <f t="shared" ca="1" si="1107"/>
        <v xml:space="preserve">Enter a value for 'Number of Floors in the Tallest Building' in cell B60.
</v>
      </c>
      <c r="H3070" s="52" t="str">
        <f t="shared" ca="1" si="1115"/>
        <v>Acquisition APR</v>
      </c>
      <c r="I3070" s="52">
        <v>17</v>
      </c>
    </row>
    <row r="3071" spans="1:10" ht="15" customHeight="1">
      <c r="A3071" t="str">
        <f ca="1">IF(AND(Calculations!$B$4,Calculations!$B$29&gt;=C3071, E3071 &lt;&gt; 13),F3071,"")</f>
        <v/>
      </c>
      <c r="B3071">
        <f>ROW('Final Building Profile'!C97)</f>
        <v>97</v>
      </c>
      <c r="C3071">
        <f t="shared" ca="1" si="1109"/>
        <v>94</v>
      </c>
      <c r="D3071" t="str">
        <f>ADDRESS(B3071, 3,4  )</f>
        <v>C97</v>
      </c>
      <c r="E3071" s="52">
        <f ca="1">H3071+I3071</f>
        <v>0</v>
      </c>
      <c r="F3071" t="str">
        <f ca="1">CONCATENATE("Based upon the number of buildings specified, information for  building ", C3071, " required for a final application in row ", B3071, ".", CHAR(10))</f>
        <v xml:space="preserve">Based upon the number of buildings specified, information for  building 94 required for a final application in row 97.
</v>
      </c>
      <c r="G3071" s="9" t="str">
        <f t="shared" ca="1" si="1107"/>
        <v xml:space="preserve">Enter a value for 'Number of Floors in the Tallest Building' in cell B60.
</v>
      </c>
      <c r="H3071" s="52">
        <f ca="1">SUMPRODUCT(--ISTEXT(INDIRECT(J3071)))</f>
        <v>0</v>
      </c>
      <c r="I3071" s="52">
        <f ca="1">SUMPRODUCT(--ISNUMBER(INDIRECT(J3071)))</f>
        <v>0</v>
      </c>
      <c r="J3071" s="52" t="str">
        <f>$F$1565&amp; ADDRESS(B3071,3,4) &amp; ":" &amp; ADDRESS(B3071,15,4)</f>
        <v>'Final Building Profile'!C97:O97</v>
      </c>
    </row>
    <row r="3072" spans="1:10" ht="15" customHeight="1">
      <c r="A3072" t="str">
        <f t="shared" ref="A3072:A3081" ca="1" si="1116">IF(AND(OFFSET(A3072, -I3072 + 2, 4) &gt;  0, E3072=""), F3072, "")</f>
        <v/>
      </c>
      <c r="B3072">
        <f t="shared" ref="B3072:B3086" si="1117">B3071</f>
        <v>97</v>
      </c>
      <c r="C3072">
        <f t="shared" ca="1" si="1109"/>
        <v>94</v>
      </c>
      <c r="D3072" t="str">
        <f t="shared" ref="D3072:D3086" si="1118">ADDRESS(B3072, I3072,4  )</f>
        <v>C97</v>
      </c>
      <c r="E3072" t="str">
        <f t="shared" ref="E3072:E3086" ca="1" si="1119">IF(ISBLANK( INDIRECT($F$1565 &amp; D3072)),"", INDIRECT($F$1565 &amp; D3072))</f>
        <v/>
      </c>
      <c r="F3072" t="str">
        <f t="shared" ref="F3072:F3086" ca="1" si="1120">CONCATENATE("Enter a '"&amp; H3072 &amp;"' for  building ", C3072, " in cell ", D3072, ".", CHAR(10))</f>
        <v xml:space="preserve">Enter a 'Building Street Address Only 
(DO NOT ENTER CITY, STATE, OR ZIP)' for  building 94 in cell C97.
</v>
      </c>
      <c r="G3072" s="9" t="str">
        <f t="shared" ca="1" si="1107"/>
        <v xml:space="preserve">Enter a value for 'Number of Floors in the Tallest Building' in cell B60.
</v>
      </c>
      <c r="H3072" s="52" t="str">
        <f t="shared" ref="H3072:H3086" ca="1" si="1121">OFFSET(INDIRECT($F$1565 &amp; D3072), -B3072 + 3, 0)</f>
        <v>Building Street Address Only 
(DO NOT ENTER CITY, STATE, OR ZIP)</v>
      </c>
      <c r="I3072" s="52">
        <v>3</v>
      </c>
    </row>
    <row r="3073" spans="1:10" ht="15" customHeight="1">
      <c r="A3073" t="str">
        <f t="shared" ca="1" si="1116"/>
        <v/>
      </c>
      <c r="B3073">
        <f t="shared" si="1117"/>
        <v>97</v>
      </c>
      <c r="C3073">
        <f t="shared" ca="1" si="1109"/>
        <v>94</v>
      </c>
      <c r="D3073" t="str">
        <f t="shared" si="1118"/>
        <v>D97</v>
      </c>
      <c r="E3073" t="str">
        <f t="shared" ca="1" si="1119"/>
        <v/>
      </c>
      <c r="F3073" t="str">
        <f t="shared" ca="1" si="1120"/>
        <v xml:space="preserve">Enter a 'Total Units in Building*' for  building 94 in cell D97.
</v>
      </c>
      <c r="G3073" s="9" t="str">
        <f t="shared" ca="1" si="1107"/>
        <v xml:space="preserve">Enter a value for 'Number of Floors in the Tallest Building' in cell B60.
</v>
      </c>
      <c r="H3073" s="52" t="str">
        <f t="shared" ca="1" si="1121"/>
        <v>Total Units in Building*</v>
      </c>
      <c r="I3073" s="52">
        <v>4</v>
      </c>
    </row>
    <row r="3074" spans="1:10" ht="15" customHeight="1">
      <c r="A3074" t="str">
        <f t="shared" ca="1" si="1116"/>
        <v/>
      </c>
      <c r="B3074">
        <f t="shared" si="1117"/>
        <v>97</v>
      </c>
      <c r="C3074">
        <f t="shared" ca="1" si="1109"/>
        <v>94</v>
      </c>
      <c r="D3074" t="str">
        <f t="shared" si="1118"/>
        <v>E97</v>
      </c>
      <c r="E3074" t="str">
        <f t="shared" ca="1" si="1119"/>
        <v/>
      </c>
      <c r="F3074" t="str">
        <f t="shared" ca="1" si="1120"/>
        <v xml:space="preserve">Enter a 'Employee Units' for  building 94 in cell E97.
</v>
      </c>
      <c r="G3074" s="9" t="str">
        <f t="shared" ca="1" si="1107"/>
        <v xml:space="preserve">Enter a value for 'Number of Floors in the Tallest Building' in cell B60.
</v>
      </c>
      <c r="H3074" s="52" t="str">
        <f t="shared" ca="1" si="1121"/>
        <v>Employee Units</v>
      </c>
      <c r="I3074" s="52">
        <v>5</v>
      </c>
    </row>
    <row r="3075" spans="1:10" ht="15" customHeight="1">
      <c r="A3075" t="str">
        <f t="shared" ca="1" si="1116"/>
        <v/>
      </c>
      <c r="B3075">
        <f t="shared" si="1117"/>
        <v>97</v>
      </c>
      <c r="C3075">
        <f t="shared" ca="1" si="1109"/>
        <v>94</v>
      </c>
      <c r="D3075" t="str">
        <f t="shared" si="1118"/>
        <v>F97</v>
      </c>
      <c r="E3075" t="str">
        <f t="shared" ca="1" si="1119"/>
        <v/>
      </c>
      <c r="F3075" t="str">
        <f t="shared" ca="1" si="1120"/>
        <v xml:space="preserve">Enter a 'Low-Income Units' for  building 94 in cell F97.
</v>
      </c>
      <c r="G3075" s="9" t="str">
        <f t="shared" ca="1" si="1107"/>
        <v xml:space="preserve">Enter a value for 'Number of Floors in the Tallest Building' in cell B60.
</v>
      </c>
      <c r="H3075" s="52" t="str">
        <f t="shared" ca="1" si="1121"/>
        <v>Low-Income Units</v>
      </c>
      <c r="I3075" s="52">
        <v>6</v>
      </c>
    </row>
    <row r="3076" spans="1:10" ht="15" customHeight="1">
      <c r="A3076" t="str">
        <f t="shared" ca="1" si="1116"/>
        <v/>
      </c>
      <c r="B3076">
        <f t="shared" si="1117"/>
        <v>97</v>
      </c>
      <c r="C3076">
        <f t="shared" ca="1" si="1109"/>
        <v>94</v>
      </c>
      <c r="D3076" t="str">
        <f t="shared" si="1118"/>
        <v>G97</v>
      </c>
      <c r="E3076" t="str">
        <f t="shared" ca="1" si="1119"/>
        <v/>
      </c>
      <c r="F3076" t="str">
        <f t="shared" ca="1" si="1120"/>
        <v xml:space="preserve">Enter a 'Residential Square Footage**' for  building 94 in cell G97.
</v>
      </c>
      <c r="G3076" s="9" t="str">
        <f t="shared" ca="1" si="1107"/>
        <v xml:space="preserve">Enter a value for 'Number of Floors in the Tallest Building' in cell B60.
</v>
      </c>
      <c r="H3076" s="52" t="str">
        <f t="shared" ca="1" si="1121"/>
        <v>Residential Square Footage**</v>
      </c>
      <c r="I3076" s="52">
        <v>7</v>
      </c>
    </row>
    <row r="3077" spans="1:10" ht="15" customHeight="1">
      <c r="A3077" t="str">
        <f t="shared" ca="1" si="1116"/>
        <v/>
      </c>
      <c r="B3077">
        <f t="shared" si="1117"/>
        <v>97</v>
      </c>
      <c r="C3077">
        <f t="shared" ca="1" si="1109"/>
        <v>94</v>
      </c>
      <c r="D3077" t="str">
        <f t="shared" si="1118"/>
        <v>H97</v>
      </c>
      <c r="E3077" t="str">
        <f t="shared" ca="1" si="1119"/>
        <v/>
      </c>
      <c r="F3077" t="str">
        <f t="shared" ca="1" si="1120"/>
        <v xml:space="preserve">Enter a 'Square Footage of Employee Units' for  building 94 in cell H97.
</v>
      </c>
      <c r="G3077" s="9" t="str">
        <f t="shared" ca="1" si="1107"/>
        <v xml:space="preserve">Enter a value for 'Number of Floors in the Tallest Building' in cell B60.
</v>
      </c>
      <c r="H3077" s="52" t="str">
        <f t="shared" ca="1" si="1121"/>
        <v>Square Footage of Employee Units</v>
      </c>
      <c r="I3077" s="52">
        <v>8</v>
      </c>
    </row>
    <row r="3078" spans="1:10" ht="15" customHeight="1">
      <c r="A3078" t="str">
        <f t="shared" ca="1" si="1116"/>
        <v/>
      </c>
      <c r="B3078">
        <f t="shared" si="1117"/>
        <v>97</v>
      </c>
      <c r="C3078">
        <f t="shared" ca="1" si="1109"/>
        <v>94</v>
      </c>
      <c r="D3078" t="str">
        <f t="shared" si="1118"/>
        <v>I97</v>
      </c>
      <c r="E3078" t="str">
        <f t="shared" ca="1" si="1119"/>
        <v/>
      </c>
      <c r="F3078" t="str">
        <f t="shared" ca="1" si="1120"/>
        <v xml:space="preserve">Enter a 'Square Footage of Low-Income Units' for  building 94 in cell I97.
</v>
      </c>
      <c r="G3078" s="9" t="str">
        <f t="shared" ca="1" si="1107"/>
        <v xml:space="preserve">Enter a value for 'Number of Floors in the Tallest Building' in cell B60.
</v>
      </c>
      <c r="H3078" s="52" t="str">
        <f t="shared" ca="1" si="1121"/>
        <v>Square Footage of Low-Income Units</v>
      </c>
      <c r="I3078" s="52">
        <v>9</v>
      </c>
    </row>
    <row r="3079" spans="1:10" ht="15" customHeight="1">
      <c r="A3079" t="str">
        <f t="shared" ca="1" si="1116"/>
        <v/>
      </c>
      <c r="B3079">
        <f t="shared" si="1117"/>
        <v>97</v>
      </c>
      <c r="C3079">
        <f t="shared" ca="1" si="1109"/>
        <v>94</v>
      </c>
      <c r="D3079" t="str">
        <f t="shared" si="1118"/>
        <v>J97</v>
      </c>
      <c r="E3079" t="str">
        <f t="shared" ca="1" si="1119"/>
        <v/>
      </c>
      <c r="F3079" t="str">
        <f t="shared" ca="1" si="1120"/>
        <v xml:space="preserve">Enter a 'Placed-In-Service Date' for  building 94 in cell J97.
</v>
      </c>
      <c r="G3079" s="9" t="str">
        <f t="shared" ca="1" si="1107"/>
        <v xml:space="preserve">Enter a value for 'Number of Floors in the Tallest Building' in cell B60.
</v>
      </c>
      <c r="H3079" s="52" t="str">
        <f t="shared" ca="1" si="1121"/>
        <v>Placed-In-Service Date</v>
      </c>
      <c r="I3079" s="52">
        <v>10</v>
      </c>
    </row>
    <row r="3080" spans="1:10" ht="15" customHeight="1">
      <c r="A3080" t="str">
        <f t="shared" ca="1" si="1116"/>
        <v/>
      </c>
      <c r="B3080">
        <f t="shared" si="1117"/>
        <v>97</v>
      </c>
      <c r="C3080">
        <f t="shared" ca="1" si="1109"/>
        <v>94</v>
      </c>
      <c r="D3080" t="str">
        <f t="shared" si="1118"/>
        <v>K97</v>
      </c>
      <c r="E3080" t="str">
        <f t="shared" ca="1" si="1119"/>
        <v/>
      </c>
      <c r="F3080" t="str">
        <f t="shared" ca="1" si="1120"/>
        <v xml:space="preserve">Enter a 'New Construction/ Rehab APR' for  building 94 in cell K97.
</v>
      </c>
      <c r="G3080" s="9" t="str">
        <f t="shared" ca="1" si="1107"/>
        <v xml:space="preserve">Enter a value for 'Number of Floors in the Tallest Building' in cell B60.
</v>
      </c>
      <c r="H3080" s="52" t="str">
        <f t="shared" ca="1" si="1121"/>
        <v>New Construction/ Rehab APR</v>
      </c>
      <c r="I3080" s="52">
        <v>11</v>
      </c>
    </row>
    <row r="3081" spans="1:10" ht="15" customHeight="1">
      <c r="A3081" t="str">
        <f t="shared" ca="1" si="1116"/>
        <v/>
      </c>
      <c r="B3081">
        <f t="shared" si="1117"/>
        <v>97</v>
      </c>
      <c r="C3081">
        <f t="shared" ca="1" si="1109"/>
        <v>94</v>
      </c>
      <c r="D3081" t="str">
        <f t="shared" si="1118"/>
        <v>L97</v>
      </c>
      <c r="E3081" t="str">
        <f t="shared" ca="1" si="1119"/>
        <v/>
      </c>
      <c r="F3081" t="str">
        <f t="shared" ca="1" si="1120"/>
        <v xml:space="preserve">Enter a 'New Construction Eligible Basis' for  building 94 in cell L97.
</v>
      </c>
      <c r="G3081" s="9" t="str">
        <f t="shared" ca="1" si="1107"/>
        <v xml:space="preserve">Enter a value for 'Number of Floors in the Tallest Building' in cell B60.
</v>
      </c>
      <c r="H3081" s="52" t="str">
        <f t="shared" ca="1" si="1121"/>
        <v>New Construction Eligible Basis</v>
      </c>
      <c r="I3081" s="52">
        <v>12</v>
      </c>
    </row>
    <row r="3082" spans="1:10" ht="15" customHeight="1">
      <c r="A3082" t="str">
        <f ca="1">IF(AND(OFFSET(A3082, -I3082 + 2, 4) &gt;  0, E3082="", Calculations!$B$7), F3082, "")</f>
        <v/>
      </c>
      <c r="B3082">
        <f t="shared" si="1117"/>
        <v>97</v>
      </c>
      <c r="C3082">
        <f t="shared" ca="1" si="1109"/>
        <v>94</v>
      </c>
      <c r="D3082" t="str">
        <f t="shared" si="1118"/>
        <v>M97</v>
      </c>
      <c r="E3082" t="str">
        <f t="shared" ca="1" si="1119"/>
        <v/>
      </c>
      <c r="F3082" t="str">
        <f t="shared" ca="1" si="1120"/>
        <v xml:space="preserve">Enter a 'Eligible Basis for Rehab' for  building 94 in cell M97.
</v>
      </c>
      <c r="G3082" s="9" t="str">
        <f t="shared" ca="1" si="1107"/>
        <v xml:space="preserve">Enter a value for 'Number of Floors in the Tallest Building' in cell B60.
</v>
      </c>
      <c r="H3082" s="52" t="str">
        <f t="shared" ca="1" si="1121"/>
        <v>Eligible Basis for Rehab</v>
      </c>
      <c r="I3082" s="52">
        <v>13</v>
      </c>
    </row>
    <row r="3083" spans="1:10" ht="15" customHeight="1">
      <c r="A3083" t="str">
        <f ca="1">IF(AND(OFFSET(A3083, -I3083 + 2, 4) &gt;  0, E3083="", Calculations!$B$7), F3083, "")</f>
        <v/>
      </c>
      <c r="B3083">
        <f t="shared" si="1117"/>
        <v>97</v>
      </c>
      <c r="C3083">
        <f t="shared" ca="1" si="1109"/>
        <v>94</v>
      </c>
      <c r="D3083" t="str">
        <f t="shared" si="1118"/>
        <v>N97</v>
      </c>
      <c r="E3083" t="str">
        <f t="shared" ca="1" si="1119"/>
        <v/>
      </c>
      <c r="F3083" t="str">
        <f t="shared" ca="1" si="1120"/>
        <v xml:space="preserve">Enter a 'Cost of Acquiring the Building***' for  building 94 in cell N97.
</v>
      </c>
      <c r="G3083" s="9" t="str">
        <f t="shared" ca="1" si="1107"/>
        <v xml:space="preserve">Enter a value for 'Number of Floors in the Tallest Building' in cell B60.
</v>
      </c>
      <c r="H3083" s="52" t="str">
        <f t="shared" ca="1" si="1121"/>
        <v>Cost of Acquiring the Building***</v>
      </c>
      <c r="I3083" s="52">
        <v>14</v>
      </c>
    </row>
    <row r="3084" spans="1:10" ht="15" customHeight="1">
      <c r="A3084" t="str">
        <f ca="1">IF(AND(OFFSET(A3084, -I3084 + 2, 4) &gt;  0, E3084="", Calculations!$B$7), F3084, "")</f>
        <v/>
      </c>
      <c r="B3084">
        <f t="shared" si="1117"/>
        <v>97</v>
      </c>
      <c r="C3084">
        <f t="shared" ca="1" si="1109"/>
        <v>94</v>
      </c>
      <c r="D3084" t="str">
        <f t="shared" si="1118"/>
        <v>O97</v>
      </c>
      <c r="E3084" t="str">
        <f t="shared" ca="1" si="1119"/>
        <v/>
      </c>
      <c r="F3084" t="str">
        <f t="shared" ca="1" si="1120"/>
        <v xml:space="preserve">Enter a 'Higher of Land Purchase Price or Land Appraised Value****' for  building 94 in cell O97.
</v>
      </c>
      <c r="G3084" s="9" t="str">
        <f t="shared" ca="1" si="1107"/>
        <v xml:space="preserve">Enter a value for 'Number of Floors in the Tallest Building' in cell B60.
</v>
      </c>
      <c r="H3084" s="52" t="str">
        <f t="shared" ca="1" si="1121"/>
        <v>Higher of Land Purchase Price or Land Appraised Value****</v>
      </c>
      <c r="I3084" s="52">
        <v>15</v>
      </c>
    </row>
    <row r="3085" spans="1:10" ht="15" customHeight="1">
      <c r="A3085" t="str">
        <f ca="1">IF(AND(OFFSET(A3085, -I3085 + 2, 4) &gt;  0, E3085="", Calculations!$B$7), F3085, "")</f>
        <v/>
      </c>
      <c r="B3085">
        <f t="shared" si="1117"/>
        <v>97</v>
      </c>
      <c r="C3085">
        <f t="shared" ca="1" si="1109"/>
        <v>94</v>
      </c>
      <c r="D3085" t="str">
        <f t="shared" si="1118"/>
        <v>P97</v>
      </c>
      <c r="E3085" t="str">
        <f t="shared" ca="1" si="1119"/>
        <v/>
      </c>
      <c r="F3085" t="str">
        <f t="shared" ca="1" si="1120"/>
        <v xml:space="preserve">Enter a 'Acquisition Placed-in-Service Date' for  building 94 in cell P97.
</v>
      </c>
      <c r="G3085" s="9" t="str">
        <f t="shared" ca="1" si="1107"/>
        <v xml:space="preserve">Enter a value for 'Number of Floors in the Tallest Building' in cell B60.
</v>
      </c>
      <c r="H3085" s="52" t="str">
        <f t="shared" ca="1" si="1121"/>
        <v>Acquisition Placed-in-Service Date</v>
      </c>
      <c r="I3085" s="52">
        <v>16</v>
      </c>
    </row>
    <row r="3086" spans="1:10" ht="15" customHeight="1">
      <c r="A3086" t="str">
        <f ca="1">IF(AND(OFFSET(A3086, -I3086 + 2, 4) &gt;  0, E3086="", Calculations!$B$7), F3086, "")</f>
        <v/>
      </c>
      <c r="B3086">
        <f t="shared" si="1117"/>
        <v>97</v>
      </c>
      <c r="C3086">
        <f t="shared" ca="1" si="1109"/>
        <v>94</v>
      </c>
      <c r="D3086" t="str">
        <f t="shared" si="1118"/>
        <v>Q97</v>
      </c>
      <c r="E3086" t="str">
        <f t="shared" ca="1" si="1119"/>
        <v/>
      </c>
      <c r="F3086" t="str">
        <f t="shared" ca="1" si="1120"/>
        <v xml:space="preserve">Enter a 'Acquisition APR' for  building 94 in cell Q97.
</v>
      </c>
      <c r="G3086" s="9" t="str">
        <f t="shared" ca="1" si="1107"/>
        <v xml:space="preserve">Enter a value for 'Number of Floors in the Tallest Building' in cell B60.
</v>
      </c>
      <c r="H3086" s="52" t="str">
        <f t="shared" ca="1" si="1121"/>
        <v>Acquisition APR</v>
      </c>
      <c r="I3086" s="52">
        <v>17</v>
      </c>
    </row>
    <row r="3087" spans="1:10" ht="15" customHeight="1">
      <c r="A3087" t="str">
        <f ca="1">IF(AND(Calculations!$B$4,Calculations!$B$29&gt;=C3087, E3087 &lt;&gt; 13),F3087,"")</f>
        <v/>
      </c>
      <c r="B3087">
        <f>ROW('Final Building Profile'!C98)</f>
        <v>98</v>
      </c>
      <c r="C3087">
        <f t="shared" ca="1" si="1109"/>
        <v>95</v>
      </c>
      <c r="D3087" t="str">
        <f>ADDRESS(B3087, 3,4  )</f>
        <v>C98</v>
      </c>
      <c r="E3087" s="52">
        <f ca="1">H3087+I3087</f>
        <v>0</v>
      </c>
      <c r="F3087" t="str">
        <f ca="1">CONCATENATE("Based upon the number of buildings specified, information for  building ", C3087, " required for a final application in row ", B3087, ".", CHAR(10))</f>
        <v xml:space="preserve">Based upon the number of buildings specified, information for  building 95 required for a final application in row 98.
</v>
      </c>
      <c r="G3087" s="9" t="str">
        <f t="shared" ca="1" si="1107"/>
        <v xml:space="preserve">Enter a value for 'Number of Floors in the Tallest Building' in cell B60.
</v>
      </c>
      <c r="H3087" s="52">
        <f ca="1">SUMPRODUCT(--ISTEXT(INDIRECT(J3087)))</f>
        <v>0</v>
      </c>
      <c r="I3087" s="52">
        <f ca="1">SUMPRODUCT(--ISNUMBER(INDIRECT(J3087)))</f>
        <v>0</v>
      </c>
      <c r="J3087" s="52" t="str">
        <f>$F$1565&amp; ADDRESS(B3087,3,4) &amp; ":" &amp; ADDRESS(B3087,15,4)</f>
        <v>'Final Building Profile'!C98:O98</v>
      </c>
    </row>
    <row r="3088" spans="1:10" ht="15" customHeight="1">
      <c r="A3088" t="str">
        <f t="shared" ref="A3088:A3097" ca="1" si="1122">IF(AND(OFFSET(A3088, -I3088 + 2, 4) &gt;  0, E3088=""), F3088, "")</f>
        <v/>
      </c>
      <c r="B3088">
        <f t="shared" ref="B3088:B3102" si="1123">B3087</f>
        <v>98</v>
      </c>
      <c r="C3088">
        <f t="shared" ca="1" si="1109"/>
        <v>95</v>
      </c>
      <c r="D3088" t="str">
        <f t="shared" ref="D3088:D3102" si="1124">ADDRESS(B3088, I3088,4  )</f>
        <v>C98</v>
      </c>
      <c r="E3088" t="str">
        <f t="shared" ref="E3088:E3102" ca="1" si="1125">IF(ISBLANK( INDIRECT($F$1565 &amp; D3088)),"", INDIRECT($F$1565 &amp; D3088))</f>
        <v/>
      </c>
      <c r="F3088" t="str">
        <f t="shared" ref="F3088:F3102" ca="1" si="1126">CONCATENATE("Enter a '"&amp; H3088 &amp;"' for  building ", C3088, " in cell ", D3088, ".", CHAR(10))</f>
        <v xml:space="preserve">Enter a 'Building Street Address Only 
(DO NOT ENTER CITY, STATE, OR ZIP)' for  building 95 in cell C98.
</v>
      </c>
      <c r="G3088" s="9" t="str">
        <f t="shared" ca="1" si="1107"/>
        <v xml:space="preserve">Enter a value for 'Number of Floors in the Tallest Building' in cell B60.
</v>
      </c>
      <c r="H3088" s="52" t="str">
        <f t="shared" ref="H3088:H3102" ca="1" si="1127">OFFSET(INDIRECT($F$1565 &amp; D3088), -B3088 + 3, 0)</f>
        <v>Building Street Address Only 
(DO NOT ENTER CITY, STATE, OR ZIP)</v>
      </c>
      <c r="I3088" s="52">
        <v>3</v>
      </c>
    </row>
    <row r="3089" spans="1:10" ht="15" customHeight="1">
      <c r="A3089" t="str">
        <f t="shared" ca="1" si="1122"/>
        <v/>
      </c>
      <c r="B3089">
        <f t="shared" si="1123"/>
        <v>98</v>
      </c>
      <c r="C3089">
        <f t="shared" ca="1" si="1109"/>
        <v>95</v>
      </c>
      <c r="D3089" t="str">
        <f t="shared" si="1124"/>
        <v>D98</v>
      </c>
      <c r="E3089" t="str">
        <f t="shared" ca="1" si="1125"/>
        <v/>
      </c>
      <c r="F3089" t="str">
        <f t="shared" ca="1" si="1126"/>
        <v xml:space="preserve">Enter a 'Total Units in Building*' for  building 95 in cell D98.
</v>
      </c>
      <c r="G3089" s="9" t="str">
        <f t="shared" ca="1" si="1107"/>
        <v xml:space="preserve">Enter a value for 'Number of Floors in the Tallest Building' in cell B60.
</v>
      </c>
      <c r="H3089" s="52" t="str">
        <f t="shared" ca="1" si="1127"/>
        <v>Total Units in Building*</v>
      </c>
      <c r="I3089" s="52">
        <v>4</v>
      </c>
    </row>
    <row r="3090" spans="1:10" ht="15" customHeight="1">
      <c r="A3090" t="str">
        <f t="shared" ca="1" si="1122"/>
        <v/>
      </c>
      <c r="B3090">
        <f t="shared" si="1123"/>
        <v>98</v>
      </c>
      <c r="C3090">
        <f t="shared" ca="1" si="1109"/>
        <v>95</v>
      </c>
      <c r="D3090" t="str">
        <f t="shared" si="1124"/>
        <v>E98</v>
      </c>
      <c r="E3090" t="str">
        <f t="shared" ca="1" si="1125"/>
        <v/>
      </c>
      <c r="F3090" t="str">
        <f t="shared" ca="1" si="1126"/>
        <v xml:space="preserve">Enter a 'Employee Units' for  building 95 in cell E98.
</v>
      </c>
      <c r="G3090" s="9" t="str">
        <f t="shared" ca="1" si="1107"/>
        <v xml:space="preserve">Enter a value for 'Number of Floors in the Tallest Building' in cell B60.
</v>
      </c>
      <c r="H3090" s="52" t="str">
        <f t="shared" ca="1" si="1127"/>
        <v>Employee Units</v>
      </c>
      <c r="I3090" s="52">
        <v>5</v>
      </c>
    </row>
    <row r="3091" spans="1:10" ht="15" customHeight="1">
      <c r="A3091" t="str">
        <f t="shared" ca="1" si="1122"/>
        <v/>
      </c>
      <c r="B3091">
        <f t="shared" si="1123"/>
        <v>98</v>
      </c>
      <c r="C3091">
        <f t="shared" ca="1" si="1109"/>
        <v>95</v>
      </c>
      <c r="D3091" t="str">
        <f t="shared" si="1124"/>
        <v>F98</v>
      </c>
      <c r="E3091" t="str">
        <f t="shared" ca="1" si="1125"/>
        <v/>
      </c>
      <c r="F3091" t="str">
        <f t="shared" ca="1" si="1126"/>
        <v xml:space="preserve">Enter a 'Low-Income Units' for  building 95 in cell F98.
</v>
      </c>
      <c r="G3091" s="9" t="str">
        <f t="shared" ca="1" si="1107"/>
        <v xml:space="preserve">Enter a value for 'Number of Floors in the Tallest Building' in cell B60.
</v>
      </c>
      <c r="H3091" s="52" t="str">
        <f t="shared" ca="1" si="1127"/>
        <v>Low-Income Units</v>
      </c>
      <c r="I3091" s="52">
        <v>6</v>
      </c>
    </row>
    <row r="3092" spans="1:10" ht="15" customHeight="1">
      <c r="A3092" t="str">
        <f t="shared" ca="1" si="1122"/>
        <v/>
      </c>
      <c r="B3092">
        <f t="shared" si="1123"/>
        <v>98</v>
      </c>
      <c r="C3092">
        <f t="shared" ca="1" si="1109"/>
        <v>95</v>
      </c>
      <c r="D3092" t="str">
        <f t="shared" si="1124"/>
        <v>G98</v>
      </c>
      <c r="E3092" t="str">
        <f t="shared" ca="1" si="1125"/>
        <v/>
      </c>
      <c r="F3092" t="str">
        <f t="shared" ca="1" si="1126"/>
        <v xml:space="preserve">Enter a 'Residential Square Footage**' for  building 95 in cell G98.
</v>
      </c>
      <c r="G3092" s="9" t="str">
        <f t="shared" ca="1" si="1107"/>
        <v xml:space="preserve">Enter a value for 'Number of Floors in the Tallest Building' in cell B60.
</v>
      </c>
      <c r="H3092" s="52" t="str">
        <f t="shared" ca="1" si="1127"/>
        <v>Residential Square Footage**</v>
      </c>
      <c r="I3092" s="52">
        <v>7</v>
      </c>
    </row>
    <row r="3093" spans="1:10" ht="15" customHeight="1">
      <c r="A3093" t="str">
        <f t="shared" ca="1" si="1122"/>
        <v/>
      </c>
      <c r="B3093">
        <f t="shared" si="1123"/>
        <v>98</v>
      </c>
      <c r="C3093">
        <f t="shared" ca="1" si="1109"/>
        <v>95</v>
      </c>
      <c r="D3093" t="str">
        <f t="shared" si="1124"/>
        <v>H98</v>
      </c>
      <c r="E3093" t="str">
        <f t="shared" ca="1" si="1125"/>
        <v/>
      </c>
      <c r="F3093" t="str">
        <f t="shared" ca="1" si="1126"/>
        <v xml:space="preserve">Enter a 'Square Footage of Employee Units' for  building 95 in cell H98.
</v>
      </c>
      <c r="G3093" s="9" t="str">
        <f t="shared" ca="1" si="1107"/>
        <v xml:space="preserve">Enter a value for 'Number of Floors in the Tallest Building' in cell B60.
</v>
      </c>
      <c r="H3093" s="52" t="str">
        <f t="shared" ca="1" si="1127"/>
        <v>Square Footage of Employee Units</v>
      </c>
      <c r="I3093" s="52">
        <v>8</v>
      </c>
    </row>
    <row r="3094" spans="1:10" ht="15" customHeight="1">
      <c r="A3094" t="str">
        <f t="shared" ca="1" si="1122"/>
        <v/>
      </c>
      <c r="B3094">
        <f t="shared" si="1123"/>
        <v>98</v>
      </c>
      <c r="C3094">
        <f t="shared" ca="1" si="1109"/>
        <v>95</v>
      </c>
      <c r="D3094" t="str">
        <f t="shared" si="1124"/>
        <v>I98</v>
      </c>
      <c r="E3094" t="str">
        <f t="shared" ca="1" si="1125"/>
        <v/>
      </c>
      <c r="F3094" t="str">
        <f t="shared" ca="1" si="1126"/>
        <v xml:space="preserve">Enter a 'Square Footage of Low-Income Units' for  building 95 in cell I98.
</v>
      </c>
      <c r="G3094" s="9" t="str">
        <f t="shared" ca="1" si="1107"/>
        <v xml:space="preserve">Enter a value for 'Number of Floors in the Tallest Building' in cell B60.
</v>
      </c>
      <c r="H3094" s="52" t="str">
        <f t="shared" ca="1" si="1127"/>
        <v>Square Footage of Low-Income Units</v>
      </c>
      <c r="I3094" s="52">
        <v>9</v>
      </c>
    </row>
    <row r="3095" spans="1:10" ht="15" customHeight="1">
      <c r="A3095" t="str">
        <f t="shared" ca="1" si="1122"/>
        <v/>
      </c>
      <c r="B3095">
        <f t="shared" si="1123"/>
        <v>98</v>
      </c>
      <c r="C3095">
        <f t="shared" ca="1" si="1109"/>
        <v>95</v>
      </c>
      <c r="D3095" t="str">
        <f t="shared" si="1124"/>
        <v>J98</v>
      </c>
      <c r="E3095" t="str">
        <f t="shared" ca="1" si="1125"/>
        <v/>
      </c>
      <c r="F3095" t="str">
        <f t="shared" ca="1" si="1126"/>
        <v xml:space="preserve">Enter a 'Placed-In-Service Date' for  building 95 in cell J98.
</v>
      </c>
      <c r="G3095" s="9" t="str">
        <f t="shared" ca="1" si="1107"/>
        <v xml:space="preserve">Enter a value for 'Number of Floors in the Tallest Building' in cell B60.
</v>
      </c>
      <c r="H3095" s="52" t="str">
        <f t="shared" ca="1" si="1127"/>
        <v>Placed-In-Service Date</v>
      </c>
      <c r="I3095" s="52">
        <v>10</v>
      </c>
    </row>
    <row r="3096" spans="1:10" ht="15" customHeight="1">
      <c r="A3096" t="str">
        <f t="shared" ca="1" si="1122"/>
        <v/>
      </c>
      <c r="B3096">
        <f t="shared" si="1123"/>
        <v>98</v>
      </c>
      <c r="C3096">
        <f t="shared" ca="1" si="1109"/>
        <v>95</v>
      </c>
      <c r="D3096" t="str">
        <f t="shared" si="1124"/>
        <v>K98</v>
      </c>
      <c r="E3096" t="str">
        <f t="shared" ca="1" si="1125"/>
        <v/>
      </c>
      <c r="F3096" t="str">
        <f t="shared" ca="1" si="1126"/>
        <v xml:space="preserve">Enter a 'New Construction/ Rehab APR' for  building 95 in cell K98.
</v>
      </c>
      <c r="G3096" s="9" t="str">
        <f t="shared" ca="1" si="1107"/>
        <v xml:space="preserve">Enter a value for 'Number of Floors in the Tallest Building' in cell B60.
</v>
      </c>
      <c r="H3096" s="52" t="str">
        <f t="shared" ca="1" si="1127"/>
        <v>New Construction/ Rehab APR</v>
      </c>
      <c r="I3096" s="52">
        <v>11</v>
      </c>
    </row>
    <row r="3097" spans="1:10" ht="15" customHeight="1">
      <c r="A3097" t="str">
        <f t="shared" ca="1" si="1122"/>
        <v/>
      </c>
      <c r="B3097">
        <f t="shared" si="1123"/>
        <v>98</v>
      </c>
      <c r="C3097">
        <f t="shared" ca="1" si="1109"/>
        <v>95</v>
      </c>
      <c r="D3097" t="str">
        <f t="shared" si="1124"/>
        <v>L98</v>
      </c>
      <c r="E3097" t="str">
        <f t="shared" ca="1" si="1125"/>
        <v/>
      </c>
      <c r="F3097" t="str">
        <f t="shared" ca="1" si="1126"/>
        <v xml:space="preserve">Enter a 'New Construction Eligible Basis' for  building 95 in cell L98.
</v>
      </c>
      <c r="G3097" s="9" t="str">
        <f t="shared" ca="1" si="1107"/>
        <v xml:space="preserve">Enter a value for 'Number of Floors in the Tallest Building' in cell B60.
</v>
      </c>
      <c r="H3097" s="52" t="str">
        <f t="shared" ca="1" si="1127"/>
        <v>New Construction Eligible Basis</v>
      </c>
      <c r="I3097" s="52">
        <v>12</v>
      </c>
    </row>
    <row r="3098" spans="1:10" ht="15" customHeight="1">
      <c r="A3098" t="str">
        <f ca="1">IF(AND(OFFSET(A3098, -I3098 + 2, 4) &gt;  0, E3098="", Calculations!$B$7), F3098, "")</f>
        <v/>
      </c>
      <c r="B3098">
        <f t="shared" si="1123"/>
        <v>98</v>
      </c>
      <c r="C3098">
        <f t="shared" ca="1" si="1109"/>
        <v>95</v>
      </c>
      <c r="D3098" t="str">
        <f t="shared" si="1124"/>
        <v>M98</v>
      </c>
      <c r="E3098" t="str">
        <f t="shared" ca="1" si="1125"/>
        <v/>
      </c>
      <c r="F3098" t="str">
        <f t="shared" ca="1" si="1126"/>
        <v xml:space="preserve">Enter a 'Eligible Basis for Rehab' for  building 95 in cell M98.
</v>
      </c>
      <c r="G3098" s="9" t="str">
        <f t="shared" ca="1" si="1107"/>
        <v xml:space="preserve">Enter a value for 'Number of Floors in the Tallest Building' in cell B60.
</v>
      </c>
      <c r="H3098" s="52" t="str">
        <f t="shared" ca="1" si="1127"/>
        <v>Eligible Basis for Rehab</v>
      </c>
      <c r="I3098" s="52">
        <v>13</v>
      </c>
    </row>
    <row r="3099" spans="1:10" ht="15" customHeight="1">
      <c r="A3099" t="str">
        <f ca="1">IF(AND(OFFSET(A3099, -I3099 + 2, 4) &gt;  0, E3099="", Calculations!$B$7), F3099, "")</f>
        <v/>
      </c>
      <c r="B3099">
        <f t="shared" si="1123"/>
        <v>98</v>
      </c>
      <c r="C3099">
        <f t="shared" ca="1" si="1109"/>
        <v>95</v>
      </c>
      <c r="D3099" t="str">
        <f t="shared" si="1124"/>
        <v>N98</v>
      </c>
      <c r="E3099" t="str">
        <f t="shared" ca="1" si="1125"/>
        <v/>
      </c>
      <c r="F3099" t="str">
        <f t="shared" ca="1" si="1126"/>
        <v xml:space="preserve">Enter a 'Cost of Acquiring the Building***' for  building 95 in cell N98.
</v>
      </c>
      <c r="G3099" s="9" t="str">
        <f t="shared" ca="1" si="1107"/>
        <v xml:space="preserve">Enter a value for 'Number of Floors in the Tallest Building' in cell B60.
</v>
      </c>
      <c r="H3099" s="52" t="str">
        <f t="shared" ca="1" si="1127"/>
        <v>Cost of Acquiring the Building***</v>
      </c>
      <c r="I3099" s="52">
        <v>14</v>
      </c>
    </row>
    <row r="3100" spans="1:10" ht="15" customHeight="1">
      <c r="A3100" t="str">
        <f ca="1">IF(AND(OFFSET(A3100, -I3100 + 2, 4) &gt;  0, E3100="", Calculations!$B$7), F3100, "")</f>
        <v/>
      </c>
      <c r="B3100">
        <f t="shared" si="1123"/>
        <v>98</v>
      </c>
      <c r="C3100">
        <f t="shared" ca="1" si="1109"/>
        <v>95</v>
      </c>
      <c r="D3100" t="str">
        <f t="shared" si="1124"/>
        <v>O98</v>
      </c>
      <c r="E3100" t="str">
        <f t="shared" ca="1" si="1125"/>
        <v/>
      </c>
      <c r="F3100" t="str">
        <f t="shared" ca="1" si="1126"/>
        <v xml:space="preserve">Enter a 'Higher of Land Purchase Price or Land Appraised Value****' for  building 95 in cell O98.
</v>
      </c>
      <c r="G3100" s="9" t="str">
        <f t="shared" ca="1" si="1107"/>
        <v xml:space="preserve">Enter a value for 'Number of Floors in the Tallest Building' in cell B60.
</v>
      </c>
      <c r="H3100" s="52" t="str">
        <f t="shared" ca="1" si="1127"/>
        <v>Higher of Land Purchase Price or Land Appraised Value****</v>
      </c>
      <c r="I3100" s="52">
        <v>15</v>
      </c>
    </row>
    <row r="3101" spans="1:10" ht="15" customHeight="1">
      <c r="A3101" t="str">
        <f ca="1">IF(AND(OFFSET(A3101, -I3101 + 2, 4) &gt;  0, E3101="", Calculations!$B$7), F3101, "")</f>
        <v/>
      </c>
      <c r="B3101">
        <f t="shared" si="1123"/>
        <v>98</v>
      </c>
      <c r="C3101">
        <f t="shared" ca="1" si="1109"/>
        <v>95</v>
      </c>
      <c r="D3101" t="str">
        <f t="shared" si="1124"/>
        <v>P98</v>
      </c>
      <c r="E3101" t="str">
        <f t="shared" ca="1" si="1125"/>
        <v/>
      </c>
      <c r="F3101" t="str">
        <f t="shared" ca="1" si="1126"/>
        <v xml:space="preserve">Enter a 'Acquisition Placed-in-Service Date' for  building 95 in cell P98.
</v>
      </c>
      <c r="G3101" s="9" t="str">
        <f t="shared" ca="1" si="1107"/>
        <v xml:space="preserve">Enter a value for 'Number of Floors in the Tallest Building' in cell B60.
</v>
      </c>
      <c r="H3101" s="52" t="str">
        <f t="shared" ca="1" si="1127"/>
        <v>Acquisition Placed-in-Service Date</v>
      </c>
      <c r="I3101" s="52">
        <v>16</v>
      </c>
    </row>
    <row r="3102" spans="1:10" ht="15" customHeight="1">
      <c r="A3102" t="str">
        <f ca="1">IF(AND(OFFSET(A3102, -I3102 + 2, 4) &gt;  0, E3102="", Calculations!$B$7), F3102, "")</f>
        <v/>
      </c>
      <c r="B3102">
        <f t="shared" si="1123"/>
        <v>98</v>
      </c>
      <c r="C3102">
        <f t="shared" ca="1" si="1109"/>
        <v>95</v>
      </c>
      <c r="D3102" t="str">
        <f t="shared" si="1124"/>
        <v>Q98</v>
      </c>
      <c r="E3102" t="str">
        <f t="shared" ca="1" si="1125"/>
        <v/>
      </c>
      <c r="F3102" t="str">
        <f t="shared" ca="1" si="1126"/>
        <v xml:space="preserve">Enter a 'Acquisition APR' for  building 95 in cell Q98.
</v>
      </c>
      <c r="G3102" s="9" t="str">
        <f t="shared" ca="1" si="1107"/>
        <v xml:space="preserve">Enter a value for 'Number of Floors in the Tallest Building' in cell B60.
</v>
      </c>
      <c r="H3102" s="52" t="str">
        <f t="shared" ca="1" si="1127"/>
        <v>Acquisition APR</v>
      </c>
      <c r="I3102" s="52">
        <v>17</v>
      </c>
    </row>
    <row r="3103" spans="1:10" ht="15" customHeight="1">
      <c r="A3103" t="str">
        <f ca="1">IF(AND(Calculations!$B$4,Calculations!$B$29&gt;=C3103, E3103 &lt;&gt; 13),F3103,"")</f>
        <v/>
      </c>
      <c r="B3103">
        <f>ROW('Final Building Profile'!C99)</f>
        <v>99</v>
      </c>
      <c r="C3103">
        <f t="shared" ca="1" si="1109"/>
        <v>96</v>
      </c>
      <c r="D3103" t="str">
        <f>ADDRESS(B3103, 3,4  )</f>
        <v>C99</v>
      </c>
      <c r="E3103" s="52">
        <f ca="1">H3103+I3103</f>
        <v>0</v>
      </c>
      <c r="F3103" t="str">
        <f ca="1">CONCATENATE("Based upon the number of buildings specified, information for  building ", C3103, " required for a final application in row ", B3103, ".", CHAR(10))</f>
        <v xml:space="preserve">Based upon the number of buildings specified, information for  building 96 required for a final application in row 99.
</v>
      </c>
      <c r="G3103" s="9" t="str">
        <f t="shared" ca="1" si="1107"/>
        <v xml:space="preserve">Enter a value for 'Number of Floors in the Tallest Building' in cell B60.
</v>
      </c>
      <c r="H3103" s="52">
        <f ca="1">SUMPRODUCT(--ISTEXT(INDIRECT(J3103)))</f>
        <v>0</v>
      </c>
      <c r="I3103" s="52">
        <f ca="1">SUMPRODUCT(--ISNUMBER(INDIRECT(J3103)))</f>
        <v>0</v>
      </c>
      <c r="J3103" s="52" t="str">
        <f>$F$1565&amp; ADDRESS(B3103,3,4) &amp; ":" &amp; ADDRESS(B3103,15,4)</f>
        <v>'Final Building Profile'!C99:O99</v>
      </c>
    </row>
    <row r="3104" spans="1:10" ht="15" customHeight="1">
      <c r="A3104" t="str">
        <f t="shared" ref="A3104:A3113" ca="1" si="1128">IF(AND(OFFSET(A3104, -I3104 + 2, 4) &gt;  0, E3104=""), F3104, "")</f>
        <v/>
      </c>
      <c r="B3104">
        <f t="shared" ref="B3104:B3118" si="1129">B3103</f>
        <v>99</v>
      </c>
      <c r="C3104">
        <f t="shared" ca="1" si="1109"/>
        <v>96</v>
      </c>
      <c r="D3104" t="str">
        <f t="shared" ref="D3104:D3118" si="1130">ADDRESS(B3104, I3104,4  )</f>
        <v>C99</v>
      </c>
      <c r="E3104" t="str">
        <f t="shared" ref="E3104:E3118" ca="1" si="1131">IF(ISBLANK( INDIRECT($F$1565 &amp; D3104)),"", INDIRECT($F$1565 &amp; D3104))</f>
        <v/>
      </c>
      <c r="F3104" t="str">
        <f t="shared" ref="F3104:F3118" ca="1" si="1132">CONCATENATE("Enter a '"&amp; H3104 &amp;"' for  building ", C3104, " in cell ", D3104, ".", CHAR(10))</f>
        <v xml:space="preserve">Enter a 'Building Street Address Only 
(DO NOT ENTER CITY, STATE, OR ZIP)' for  building 96 in cell C99.
</v>
      </c>
      <c r="G3104" s="9" t="str">
        <f t="shared" ref="G3104:G3167" ca="1" si="1133">OFFSET(G3104, -1, 0) &amp; A3104</f>
        <v xml:space="preserve">Enter a value for 'Number of Floors in the Tallest Building' in cell B60.
</v>
      </c>
      <c r="H3104" s="52" t="str">
        <f t="shared" ref="H3104:H3118" ca="1" si="1134">OFFSET(INDIRECT($F$1565 &amp; D3104), -B3104 + 3, 0)</f>
        <v>Building Street Address Only 
(DO NOT ENTER CITY, STATE, OR ZIP)</v>
      </c>
      <c r="I3104" s="52">
        <v>3</v>
      </c>
    </row>
    <row r="3105" spans="1:10" ht="15" customHeight="1">
      <c r="A3105" t="str">
        <f t="shared" ca="1" si="1128"/>
        <v/>
      </c>
      <c r="B3105">
        <f t="shared" si="1129"/>
        <v>99</v>
      </c>
      <c r="C3105">
        <f t="shared" ca="1" si="1109"/>
        <v>96</v>
      </c>
      <c r="D3105" t="str">
        <f t="shared" si="1130"/>
        <v>D99</v>
      </c>
      <c r="E3105" t="str">
        <f t="shared" ca="1" si="1131"/>
        <v/>
      </c>
      <c r="F3105" t="str">
        <f t="shared" ca="1" si="1132"/>
        <v xml:space="preserve">Enter a 'Total Units in Building*' for  building 96 in cell D99.
</v>
      </c>
      <c r="G3105" s="9" t="str">
        <f t="shared" ca="1" si="1133"/>
        <v xml:space="preserve">Enter a value for 'Number of Floors in the Tallest Building' in cell B60.
</v>
      </c>
      <c r="H3105" s="52" t="str">
        <f t="shared" ca="1" si="1134"/>
        <v>Total Units in Building*</v>
      </c>
      <c r="I3105" s="52">
        <v>4</v>
      </c>
    </row>
    <row r="3106" spans="1:10" ht="15" customHeight="1">
      <c r="A3106" t="str">
        <f t="shared" ca="1" si="1128"/>
        <v/>
      </c>
      <c r="B3106">
        <f t="shared" si="1129"/>
        <v>99</v>
      </c>
      <c r="C3106">
        <f t="shared" ca="1" si="1109"/>
        <v>96</v>
      </c>
      <c r="D3106" t="str">
        <f t="shared" si="1130"/>
        <v>E99</v>
      </c>
      <c r="E3106" t="str">
        <f t="shared" ca="1" si="1131"/>
        <v/>
      </c>
      <c r="F3106" t="str">
        <f t="shared" ca="1" si="1132"/>
        <v xml:space="preserve">Enter a 'Employee Units' for  building 96 in cell E99.
</v>
      </c>
      <c r="G3106" s="9" t="str">
        <f t="shared" ca="1" si="1133"/>
        <v xml:space="preserve">Enter a value for 'Number of Floors in the Tallest Building' in cell B60.
</v>
      </c>
      <c r="H3106" s="52" t="str">
        <f t="shared" ca="1" si="1134"/>
        <v>Employee Units</v>
      </c>
      <c r="I3106" s="52">
        <v>5</v>
      </c>
    </row>
    <row r="3107" spans="1:10" ht="15" customHeight="1">
      <c r="A3107" t="str">
        <f t="shared" ca="1" si="1128"/>
        <v/>
      </c>
      <c r="B3107">
        <f t="shared" si="1129"/>
        <v>99</v>
      </c>
      <c r="C3107">
        <f t="shared" ca="1" si="1109"/>
        <v>96</v>
      </c>
      <c r="D3107" t="str">
        <f t="shared" si="1130"/>
        <v>F99</v>
      </c>
      <c r="E3107" t="str">
        <f t="shared" ca="1" si="1131"/>
        <v/>
      </c>
      <c r="F3107" t="str">
        <f t="shared" ca="1" si="1132"/>
        <v xml:space="preserve">Enter a 'Low-Income Units' for  building 96 in cell F99.
</v>
      </c>
      <c r="G3107" s="9" t="str">
        <f t="shared" ca="1" si="1133"/>
        <v xml:space="preserve">Enter a value for 'Number of Floors in the Tallest Building' in cell B60.
</v>
      </c>
      <c r="H3107" s="52" t="str">
        <f t="shared" ca="1" si="1134"/>
        <v>Low-Income Units</v>
      </c>
      <c r="I3107" s="52">
        <v>6</v>
      </c>
    </row>
    <row r="3108" spans="1:10" ht="15" customHeight="1">
      <c r="A3108" t="str">
        <f t="shared" ca="1" si="1128"/>
        <v/>
      </c>
      <c r="B3108">
        <f t="shared" si="1129"/>
        <v>99</v>
      </c>
      <c r="C3108">
        <f t="shared" ca="1" si="1109"/>
        <v>96</v>
      </c>
      <c r="D3108" t="str">
        <f t="shared" si="1130"/>
        <v>G99</v>
      </c>
      <c r="E3108" t="str">
        <f t="shared" ca="1" si="1131"/>
        <v/>
      </c>
      <c r="F3108" t="str">
        <f t="shared" ca="1" si="1132"/>
        <v xml:space="preserve">Enter a 'Residential Square Footage**' for  building 96 in cell G99.
</v>
      </c>
      <c r="G3108" s="9" t="str">
        <f t="shared" ca="1" si="1133"/>
        <v xml:space="preserve">Enter a value for 'Number of Floors in the Tallest Building' in cell B60.
</v>
      </c>
      <c r="H3108" s="52" t="str">
        <f t="shared" ca="1" si="1134"/>
        <v>Residential Square Footage**</v>
      </c>
      <c r="I3108" s="52">
        <v>7</v>
      </c>
    </row>
    <row r="3109" spans="1:10" ht="15" customHeight="1">
      <c r="A3109" t="str">
        <f t="shared" ca="1" si="1128"/>
        <v/>
      </c>
      <c r="B3109">
        <f t="shared" si="1129"/>
        <v>99</v>
      </c>
      <c r="C3109">
        <f t="shared" ca="1" si="1109"/>
        <v>96</v>
      </c>
      <c r="D3109" t="str">
        <f t="shared" si="1130"/>
        <v>H99</v>
      </c>
      <c r="E3109" t="str">
        <f t="shared" ca="1" si="1131"/>
        <v/>
      </c>
      <c r="F3109" t="str">
        <f t="shared" ca="1" si="1132"/>
        <v xml:space="preserve">Enter a 'Square Footage of Employee Units' for  building 96 in cell H99.
</v>
      </c>
      <c r="G3109" s="9" t="str">
        <f t="shared" ca="1" si="1133"/>
        <v xml:space="preserve">Enter a value for 'Number of Floors in the Tallest Building' in cell B60.
</v>
      </c>
      <c r="H3109" s="52" t="str">
        <f t="shared" ca="1" si="1134"/>
        <v>Square Footage of Employee Units</v>
      </c>
      <c r="I3109" s="52">
        <v>8</v>
      </c>
    </row>
    <row r="3110" spans="1:10" ht="15" customHeight="1">
      <c r="A3110" t="str">
        <f t="shared" ca="1" si="1128"/>
        <v/>
      </c>
      <c r="B3110">
        <f t="shared" si="1129"/>
        <v>99</v>
      </c>
      <c r="C3110">
        <f t="shared" ca="1" si="1109"/>
        <v>96</v>
      </c>
      <c r="D3110" t="str">
        <f t="shared" si="1130"/>
        <v>I99</v>
      </c>
      <c r="E3110" t="str">
        <f t="shared" ca="1" si="1131"/>
        <v/>
      </c>
      <c r="F3110" t="str">
        <f t="shared" ca="1" si="1132"/>
        <v xml:space="preserve">Enter a 'Square Footage of Low-Income Units' for  building 96 in cell I99.
</v>
      </c>
      <c r="G3110" s="9" t="str">
        <f t="shared" ca="1" si="1133"/>
        <v xml:space="preserve">Enter a value for 'Number of Floors in the Tallest Building' in cell B60.
</v>
      </c>
      <c r="H3110" s="52" t="str">
        <f t="shared" ca="1" si="1134"/>
        <v>Square Footage of Low-Income Units</v>
      </c>
      <c r="I3110" s="52">
        <v>9</v>
      </c>
    </row>
    <row r="3111" spans="1:10" ht="15" customHeight="1">
      <c r="A3111" t="str">
        <f t="shared" ca="1" si="1128"/>
        <v/>
      </c>
      <c r="B3111">
        <f t="shared" si="1129"/>
        <v>99</v>
      </c>
      <c r="C3111">
        <f t="shared" ca="1" si="1109"/>
        <v>96</v>
      </c>
      <c r="D3111" t="str">
        <f t="shared" si="1130"/>
        <v>J99</v>
      </c>
      <c r="E3111" t="str">
        <f t="shared" ca="1" si="1131"/>
        <v/>
      </c>
      <c r="F3111" t="str">
        <f t="shared" ca="1" si="1132"/>
        <v xml:space="preserve">Enter a 'Placed-In-Service Date' for  building 96 in cell J99.
</v>
      </c>
      <c r="G3111" s="9" t="str">
        <f t="shared" ca="1" si="1133"/>
        <v xml:space="preserve">Enter a value for 'Number of Floors in the Tallest Building' in cell B60.
</v>
      </c>
      <c r="H3111" s="52" t="str">
        <f t="shared" ca="1" si="1134"/>
        <v>Placed-In-Service Date</v>
      </c>
      <c r="I3111" s="52">
        <v>10</v>
      </c>
    </row>
    <row r="3112" spans="1:10" ht="15" customHeight="1">
      <c r="A3112" t="str">
        <f t="shared" ca="1" si="1128"/>
        <v/>
      </c>
      <c r="B3112">
        <f t="shared" si="1129"/>
        <v>99</v>
      </c>
      <c r="C3112">
        <f t="shared" ca="1" si="1109"/>
        <v>96</v>
      </c>
      <c r="D3112" t="str">
        <f t="shared" si="1130"/>
        <v>K99</v>
      </c>
      <c r="E3112" t="str">
        <f t="shared" ca="1" si="1131"/>
        <v/>
      </c>
      <c r="F3112" t="str">
        <f t="shared" ca="1" si="1132"/>
        <v xml:space="preserve">Enter a 'New Construction/ Rehab APR' for  building 96 in cell K99.
</v>
      </c>
      <c r="G3112" s="9" t="str">
        <f t="shared" ca="1" si="1133"/>
        <v xml:space="preserve">Enter a value for 'Number of Floors in the Tallest Building' in cell B60.
</v>
      </c>
      <c r="H3112" s="52" t="str">
        <f t="shared" ca="1" si="1134"/>
        <v>New Construction/ Rehab APR</v>
      </c>
      <c r="I3112" s="52">
        <v>11</v>
      </c>
    </row>
    <row r="3113" spans="1:10" ht="15" customHeight="1">
      <c r="A3113" t="str">
        <f t="shared" ca="1" si="1128"/>
        <v/>
      </c>
      <c r="B3113">
        <f t="shared" si="1129"/>
        <v>99</v>
      </c>
      <c r="C3113">
        <f t="shared" ca="1" si="1109"/>
        <v>96</v>
      </c>
      <c r="D3113" t="str">
        <f t="shared" si="1130"/>
        <v>L99</v>
      </c>
      <c r="E3113" t="str">
        <f t="shared" ca="1" si="1131"/>
        <v/>
      </c>
      <c r="F3113" t="str">
        <f t="shared" ca="1" si="1132"/>
        <v xml:space="preserve">Enter a 'New Construction Eligible Basis' for  building 96 in cell L99.
</v>
      </c>
      <c r="G3113" s="9" t="str">
        <f t="shared" ca="1" si="1133"/>
        <v xml:space="preserve">Enter a value for 'Number of Floors in the Tallest Building' in cell B60.
</v>
      </c>
      <c r="H3113" s="52" t="str">
        <f t="shared" ca="1" si="1134"/>
        <v>New Construction Eligible Basis</v>
      </c>
      <c r="I3113" s="52">
        <v>12</v>
      </c>
    </row>
    <row r="3114" spans="1:10" ht="15" customHeight="1">
      <c r="A3114" t="str">
        <f ca="1">IF(AND(OFFSET(A3114, -I3114 + 2, 4) &gt;  0, E3114="", Calculations!$B$7), F3114, "")</f>
        <v/>
      </c>
      <c r="B3114">
        <f t="shared" si="1129"/>
        <v>99</v>
      </c>
      <c r="C3114">
        <f t="shared" ca="1" si="1109"/>
        <v>96</v>
      </c>
      <c r="D3114" t="str">
        <f t="shared" si="1130"/>
        <v>M99</v>
      </c>
      <c r="E3114" t="str">
        <f t="shared" ca="1" si="1131"/>
        <v/>
      </c>
      <c r="F3114" t="str">
        <f t="shared" ca="1" si="1132"/>
        <v xml:space="preserve">Enter a 'Eligible Basis for Rehab' for  building 96 in cell M99.
</v>
      </c>
      <c r="G3114" s="9" t="str">
        <f t="shared" ca="1" si="1133"/>
        <v xml:space="preserve">Enter a value for 'Number of Floors in the Tallest Building' in cell B60.
</v>
      </c>
      <c r="H3114" s="52" t="str">
        <f t="shared" ca="1" si="1134"/>
        <v>Eligible Basis for Rehab</v>
      </c>
      <c r="I3114" s="52">
        <v>13</v>
      </c>
    </row>
    <row r="3115" spans="1:10" ht="15" customHeight="1">
      <c r="A3115" t="str">
        <f ca="1">IF(AND(OFFSET(A3115, -I3115 + 2, 4) &gt;  0, E3115="", Calculations!$B$7), F3115, "")</f>
        <v/>
      </c>
      <c r="B3115">
        <f t="shared" si="1129"/>
        <v>99</v>
      </c>
      <c r="C3115">
        <f t="shared" ca="1" si="1109"/>
        <v>96</v>
      </c>
      <c r="D3115" t="str">
        <f t="shared" si="1130"/>
        <v>N99</v>
      </c>
      <c r="E3115" t="str">
        <f t="shared" ca="1" si="1131"/>
        <v/>
      </c>
      <c r="F3115" t="str">
        <f t="shared" ca="1" si="1132"/>
        <v xml:space="preserve">Enter a 'Cost of Acquiring the Building***' for  building 96 in cell N99.
</v>
      </c>
      <c r="G3115" s="9" t="str">
        <f t="shared" ca="1" si="1133"/>
        <v xml:space="preserve">Enter a value for 'Number of Floors in the Tallest Building' in cell B60.
</v>
      </c>
      <c r="H3115" s="52" t="str">
        <f t="shared" ca="1" si="1134"/>
        <v>Cost of Acquiring the Building***</v>
      </c>
      <c r="I3115" s="52">
        <v>14</v>
      </c>
    </row>
    <row r="3116" spans="1:10" ht="15" customHeight="1">
      <c r="A3116" t="str">
        <f ca="1">IF(AND(OFFSET(A3116, -I3116 + 2, 4) &gt;  0, E3116="", Calculations!$B$7), F3116, "")</f>
        <v/>
      </c>
      <c r="B3116">
        <f t="shared" si="1129"/>
        <v>99</v>
      </c>
      <c r="C3116">
        <f t="shared" ca="1" si="1109"/>
        <v>96</v>
      </c>
      <c r="D3116" t="str">
        <f t="shared" si="1130"/>
        <v>O99</v>
      </c>
      <c r="E3116" t="str">
        <f t="shared" ca="1" si="1131"/>
        <v/>
      </c>
      <c r="F3116" t="str">
        <f t="shared" ca="1" si="1132"/>
        <v xml:space="preserve">Enter a 'Higher of Land Purchase Price or Land Appraised Value****' for  building 96 in cell O99.
</v>
      </c>
      <c r="G3116" s="9" t="str">
        <f t="shared" ca="1" si="1133"/>
        <v xml:space="preserve">Enter a value for 'Number of Floors in the Tallest Building' in cell B60.
</v>
      </c>
      <c r="H3116" s="52" t="str">
        <f t="shared" ca="1" si="1134"/>
        <v>Higher of Land Purchase Price or Land Appraised Value****</v>
      </c>
      <c r="I3116" s="52">
        <v>15</v>
      </c>
    </row>
    <row r="3117" spans="1:10" ht="15" customHeight="1">
      <c r="A3117" t="str">
        <f ca="1">IF(AND(OFFSET(A3117, -I3117 + 2, 4) &gt;  0, E3117="", Calculations!$B$7), F3117, "")</f>
        <v/>
      </c>
      <c r="B3117">
        <f t="shared" si="1129"/>
        <v>99</v>
      </c>
      <c r="C3117">
        <f t="shared" ca="1" si="1109"/>
        <v>96</v>
      </c>
      <c r="D3117" t="str">
        <f t="shared" si="1130"/>
        <v>P99</v>
      </c>
      <c r="E3117" t="str">
        <f t="shared" ca="1" si="1131"/>
        <v/>
      </c>
      <c r="F3117" t="str">
        <f t="shared" ca="1" si="1132"/>
        <v xml:space="preserve">Enter a 'Acquisition Placed-in-Service Date' for  building 96 in cell P99.
</v>
      </c>
      <c r="G3117" s="9" t="str">
        <f t="shared" ca="1" si="1133"/>
        <v xml:space="preserve">Enter a value for 'Number of Floors in the Tallest Building' in cell B60.
</v>
      </c>
      <c r="H3117" s="52" t="str">
        <f t="shared" ca="1" si="1134"/>
        <v>Acquisition Placed-in-Service Date</v>
      </c>
      <c r="I3117" s="52">
        <v>16</v>
      </c>
    </row>
    <row r="3118" spans="1:10" ht="15" customHeight="1">
      <c r="A3118" t="str">
        <f ca="1">IF(AND(OFFSET(A3118, -I3118 + 2, 4) &gt;  0, E3118="", Calculations!$B$7), F3118, "")</f>
        <v/>
      </c>
      <c r="B3118">
        <f t="shared" si="1129"/>
        <v>99</v>
      </c>
      <c r="C3118">
        <f t="shared" ca="1" si="1109"/>
        <v>96</v>
      </c>
      <c r="D3118" t="str">
        <f t="shared" si="1130"/>
        <v>Q99</v>
      </c>
      <c r="E3118" t="str">
        <f t="shared" ca="1" si="1131"/>
        <v/>
      </c>
      <c r="F3118" t="str">
        <f t="shared" ca="1" si="1132"/>
        <v xml:space="preserve">Enter a 'Acquisition APR' for  building 96 in cell Q99.
</v>
      </c>
      <c r="G3118" s="9" t="str">
        <f t="shared" ca="1" si="1133"/>
        <v xml:space="preserve">Enter a value for 'Number of Floors in the Tallest Building' in cell B60.
</v>
      </c>
      <c r="H3118" s="52" t="str">
        <f t="shared" ca="1" si="1134"/>
        <v>Acquisition APR</v>
      </c>
      <c r="I3118" s="52">
        <v>17</v>
      </c>
    </row>
    <row r="3119" spans="1:10" ht="15" customHeight="1">
      <c r="A3119" t="str">
        <f ca="1">IF(AND(Calculations!$B$4,Calculations!$B$29&gt;=C3119, E3119 &lt;&gt; 13),F3119,"")</f>
        <v/>
      </c>
      <c r="B3119">
        <f>ROW('Final Building Profile'!C100)</f>
        <v>100</v>
      </c>
      <c r="C3119">
        <f t="shared" ref="C3119:C3166" ca="1" si="1135">INDIRECT($F$1565 &amp; ADDRESS(B3119, 1,4  ))</f>
        <v>97</v>
      </c>
      <c r="D3119" t="str">
        <f>ADDRESS(B3119, 3,4  )</f>
        <v>C100</v>
      </c>
      <c r="E3119" s="52">
        <f ca="1">H3119+I3119</f>
        <v>0</v>
      </c>
      <c r="F3119" t="str">
        <f ca="1">CONCATENATE("Based upon the number of buildings specified, information for  building ", C3119, " required for a final application in row ", B3119, ".", CHAR(10))</f>
        <v xml:space="preserve">Based upon the number of buildings specified, information for  building 97 required for a final application in row 100.
</v>
      </c>
      <c r="G3119" s="9" t="str">
        <f t="shared" ca="1" si="1133"/>
        <v xml:space="preserve">Enter a value for 'Number of Floors in the Tallest Building' in cell B60.
</v>
      </c>
      <c r="H3119" s="52">
        <f ca="1">SUMPRODUCT(--ISTEXT(INDIRECT(J3119)))</f>
        <v>0</v>
      </c>
      <c r="I3119" s="52">
        <f ca="1">SUMPRODUCT(--ISNUMBER(INDIRECT(J3119)))</f>
        <v>0</v>
      </c>
      <c r="J3119" s="52" t="str">
        <f>$F$1565&amp; ADDRESS(B3119,3,4) &amp; ":" &amp; ADDRESS(B3119,15,4)</f>
        <v>'Final Building Profile'!C100:O100</v>
      </c>
    </row>
    <row r="3120" spans="1:10" ht="15" customHeight="1">
      <c r="A3120" t="str">
        <f t="shared" ref="A3120:A3129" ca="1" si="1136">IF(AND(OFFSET(A3120, -I3120 + 2, 4) &gt;  0, E3120=""), F3120, "")</f>
        <v/>
      </c>
      <c r="B3120">
        <f t="shared" ref="B3120:B3134" si="1137">B3119</f>
        <v>100</v>
      </c>
      <c r="C3120">
        <f t="shared" ca="1" si="1135"/>
        <v>97</v>
      </c>
      <c r="D3120" t="str">
        <f t="shared" ref="D3120:D3134" si="1138">ADDRESS(B3120, I3120,4  )</f>
        <v>C100</v>
      </c>
      <c r="E3120" t="str">
        <f t="shared" ref="E3120:E3134" ca="1" si="1139">IF(ISBLANK( INDIRECT($F$1565 &amp; D3120)),"", INDIRECT($F$1565 &amp; D3120))</f>
        <v/>
      </c>
      <c r="F3120" t="str">
        <f t="shared" ref="F3120:F3134" ca="1" si="1140">CONCATENATE("Enter a '"&amp; H3120 &amp;"' for  building ", C3120, " in cell ", D3120, ".", CHAR(10))</f>
        <v xml:space="preserve">Enter a 'Building Street Address Only 
(DO NOT ENTER CITY, STATE, OR ZIP)' for  building 97 in cell C100.
</v>
      </c>
      <c r="G3120" s="9" t="str">
        <f t="shared" ca="1" si="1133"/>
        <v xml:space="preserve">Enter a value for 'Number of Floors in the Tallest Building' in cell B60.
</v>
      </c>
      <c r="H3120" s="52" t="str">
        <f t="shared" ref="H3120:H3134" ca="1" si="1141">OFFSET(INDIRECT($F$1565 &amp; D3120), -B3120 + 3, 0)</f>
        <v>Building Street Address Only 
(DO NOT ENTER CITY, STATE, OR ZIP)</v>
      </c>
      <c r="I3120" s="52">
        <v>3</v>
      </c>
    </row>
    <row r="3121" spans="1:10" ht="15" customHeight="1">
      <c r="A3121" t="str">
        <f t="shared" ca="1" si="1136"/>
        <v/>
      </c>
      <c r="B3121">
        <f t="shared" si="1137"/>
        <v>100</v>
      </c>
      <c r="C3121">
        <f t="shared" ca="1" si="1135"/>
        <v>97</v>
      </c>
      <c r="D3121" t="str">
        <f t="shared" si="1138"/>
        <v>D100</v>
      </c>
      <c r="E3121" t="str">
        <f t="shared" ca="1" si="1139"/>
        <v/>
      </c>
      <c r="F3121" t="str">
        <f t="shared" ca="1" si="1140"/>
        <v xml:space="preserve">Enter a 'Total Units in Building*' for  building 97 in cell D100.
</v>
      </c>
      <c r="G3121" s="9" t="str">
        <f t="shared" ca="1" si="1133"/>
        <v xml:space="preserve">Enter a value for 'Number of Floors in the Tallest Building' in cell B60.
</v>
      </c>
      <c r="H3121" s="52" t="str">
        <f t="shared" ca="1" si="1141"/>
        <v>Total Units in Building*</v>
      </c>
      <c r="I3121" s="52">
        <v>4</v>
      </c>
    </row>
    <row r="3122" spans="1:10" ht="15" customHeight="1">
      <c r="A3122" t="str">
        <f t="shared" ca="1" si="1136"/>
        <v/>
      </c>
      <c r="B3122">
        <f t="shared" si="1137"/>
        <v>100</v>
      </c>
      <c r="C3122">
        <f t="shared" ca="1" si="1135"/>
        <v>97</v>
      </c>
      <c r="D3122" t="str">
        <f t="shared" si="1138"/>
        <v>E100</v>
      </c>
      <c r="E3122" t="str">
        <f t="shared" ca="1" si="1139"/>
        <v/>
      </c>
      <c r="F3122" t="str">
        <f t="shared" ca="1" si="1140"/>
        <v xml:space="preserve">Enter a 'Employee Units' for  building 97 in cell E100.
</v>
      </c>
      <c r="G3122" s="9" t="str">
        <f t="shared" ca="1" si="1133"/>
        <v xml:space="preserve">Enter a value for 'Number of Floors in the Tallest Building' in cell B60.
</v>
      </c>
      <c r="H3122" s="52" t="str">
        <f t="shared" ca="1" si="1141"/>
        <v>Employee Units</v>
      </c>
      <c r="I3122" s="52">
        <v>5</v>
      </c>
    </row>
    <row r="3123" spans="1:10" ht="15" customHeight="1">
      <c r="A3123" t="str">
        <f t="shared" ca="1" si="1136"/>
        <v/>
      </c>
      <c r="B3123">
        <f t="shared" si="1137"/>
        <v>100</v>
      </c>
      <c r="C3123">
        <f t="shared" ca="1" si="1135"/>
        <v>97</v>
      </c>
      <c r="D3123" t="str">
        <f t="shared" si="1138"/>
        <v>F100</v>
      </c>
      <c r="E3123" t="str">
        <f t="shared" ca="1" si="1139"/>
        <v/>
      </c>
      <c r="F3123" t="str">
        <f t="shared" ca="1" si="1140"/>
        <v xml:space="preserve">Enter a 'Low-Income Units' for  building 97 in cell F100.
</v>
      </c>
      <c r="G3123" s="9" t="str">
        <f t="shared" ca="1" si="1133"/>
        <v xml:space="preserve">Enter a value for 'Number of Floors in the Tallest Building' in cell B60.
</v>
      </c>
      <c r="H3123" s="52" t="str">
        <f t="shared" ca="1" si="1141"/>
        <v>Low-Income Units</v>
      </c>
      <c r="I3123" s="52">
        <v>6</v>
      </c>
    </row>
    <row r="3124" spans="1:10" ht="15" customHeight="1">
      <c r="A3124" t="str">
        <f t="shared" ca="1" si="1136"/>
        <v/>
      </c>
      <c r="B3124">
        <f t="shared" si="1137"/>
        <v>100</v>
      </c>
      <c r="C3124">
        <f t="shared" ca="1" si="1135"/>
        <v>97</v>
      </c>
      <c r="D3124" t="str">
        <f t="shared" si="1138"/>
        <v>G100</v>
      </c>
      <c r="E3124" t="str">
        <f t="shared" ca="1" si="1139"/>
        <v/>
      </c>
      <c r="F3124" t="str">
        <f t="shared" ca="1" si="1140"/>
        <v xml:space="preserve">Enter a 'Residential Square Footage**' for  building 97 in cell G100.
</v>
      </c>
      <c r="G3124" s="9" t="str">
        <f t="shared" ca="1" si="1133"/>
        <v xml:space="preserve">Enter a value for 'Number of Floors in the Tallest Building' in cell B60.
</v>
      </c>
      <c r="H3124" s="52" t="str">
        <f t="shared" ca="1" si="1141"/>
        <v>Residential Square Footage**</v>
      </c>
      <c r="I3124" s="52">
        <v>7</v>
      </c>
    </row>
    <row r="3125" spans="1:10" ht="15" customHeight="1">
      <c r="A3125" t="str">
        <f t="shared" ca="1" si="1136"/>
        <v/>
      </c>
      <c r="B3125">
        <f t="shared" si="1137"/>
        <v>100</v>
      </c>
      <c r="C3125">
        <f t="shared" ca="1" si="1135"/>
        <v>97</v>
      </c>
      <c r="D3125" t="str">
        <f t="shared" si="1138"/>
        <v>H100</v>
      </c>
      <c r="E3125" t="str">
        <f t="shared" ca="1" si="1139"/>
        <v/>
      </c>
      <c r="F3125" t="str">
        <f t="shared" ca="1" si="1140"/>
        <v xml:space="preserve">Enter a 'Square Footage of Employee Units' for  building 97 in cell H100.
</v>
      </c>
      <c r="G3125" s="9" t="str">
        <f t="shared" ca="1" si="1133"/>
        <v xml:space="preserve">Enter a value for 'Number of Floors in the Tallest Building' in cell B60.
</v>
      </c>
      <c r="H3125" s="52" t="str">
        <f t="shared" ca="1" si="1141"/>
        <v>Square Footage of Employee Units</v>
      </c>
      <c r="I3125" s="52">
        <v>8</v>
      </c>
    </row>
    <row r="3126" spans="1:10" ht="15" customHeight="1">
      <c r="A3126" t="str">
        <f t="shared" ca="1" si="1136"/>
        <v/>
      </c>
      <c r="B3126">
        <f t="shared" si="1137"/>
        <v>100</v>
      </c>
      <c r="C3126">
        <f t="shared" ca="1" si="1135"/>
        <v>97</v>
      </c>
      <c r="D3126" t="str">
        <f t="shared" si="1138"/>
        <v>I100</v>
      </c>
      <c r="E3126" t="str">
        <f t="shared" ca="1" si="1139"/>
        <v/>
      </c>
      <c r="F3126" t="str">
        <f t="shared" ca="1" si="1140"/>
        <v xml:space="preserve">Enter a 'Square Footage of Low-Income Units' for  building 97 in cell I100.
</v>
      </c>
      <c r="G3126" s="9" t="str">
        <f t="shared" ca="1" si="1133"/>
        <v xml:space="preserve">Enter a value for 'Number of Floors in the Tallest Building' in cell B60.
</v>
      </c>
      <c r="H3126" s="52" t="str">
        <f t="shared" ca="1" si="1141"/>
        <v>Square Footage of Low-Income Units</v>
      </c>
      <c r="I3126" s="52">
        <v>9</v>
      </c>
    </row>
    <row r="3127" spans="1:10" ht="15" customHeight="1">
      <c r="A3127" t="str">
        <f t="shared" ca="1" si="1136"/>
        <v/>
      </c>
      <c r="B3127">
        <f t="shared" si="1137"/>
        <v>100</v>
      </c>
      <c r="C3127">
        <f t="shared" ca="1" si="1135"/>
        <v>97</v>
      </c>
      <c r="D3127" t="str">
        <f t="shared" si="1138"/>
        <v>J100</v>
      </c>
      <c r="E3127" t="str">
        <f t="shared" ca="1" si="1139"/>
        <v/>
      </c>
      <c r="F3127" t="str">
        <f t="shared" ca="1" si="1140"/>
        <v xml:space="preserve">Enter a 'Placed-In-Service Date' for  building 97 in cell J100.
</v>
      </c>
      <c r="G3127" s="9" t="str">
        <f t="shared" ca="1" si="1133"/>
        <v xml:space="preserve">Enter a value for 'Number of Floors in the Tallest Building' in cell B60.
</v>
      </c>
      <c r="H3127" s="52" t="str">
        <f t="shared" ca="1" si="1141"/>
        <v>Placed-In-Service Date</v>
      </c>
      <c r="I3127" s="52">
        <v>10</v>
      </c>
    </row>
    <row r="3128" spans="1:10" ht="15" customHeight="1">
      <c r="A3128" t="str">
        <f t="shared" ca="1" si="1136"/>
        <v/>
      </c>
      <c r="B3128">
        <f t="shared" si="1137"/>
        <v>100</v>
      </c>
      <c r="C3128">
        <f t="shared" ca="1" si="1135"/>
        <v>97</v>
      </c>
      <c r="D3128" t="str">
        <f t="shared" si="1138"/>
        <v>K100</v>
      </c>
      <c r="E3128" t="str">
        <f t="shared" ca="1" si="1139"/>
        <v/>
      </c>
      <c r="F3128" t="str">
        <f t="shared" ca="1" si="1140"/>
        <v xml:space="preserve">Enter a 'New Construction/ Rehab APR' for  building 97 in cell K100.
</v>
      </c>
      <c r="G3128" s="9" t="str">
        <f t="shared" ca="1" si="1133"/>
        <v xml:space="preserve">Enter a value for 'Number of Floors in the Tallest Building' in cell B60.
</v>
      </c>
      <c r="H3128" s="52" t="str">
        <f t="shared" ca="1" si="1141"/>
        <v>New Construction/ Rehab APR</v>
      </c>
      <c r="I3128" s="52">
        <v>11</v>
      </c>
    </row>
    <row r="3129" spans="1:10" ht="15" customHeight="1">
      <c r="A3129" t="str">
        <f t="shared" ca="1" si="1136"/>
        <v/>
      </c>
      <c r="B3129">
        <f t="shared" si="1137"/>
        <v>100</v>
      </c>
      <c r="C3129">
        <f t="shared" ca="1" si="1135"/>
        <v>97</v>
      </c>
      <c r="D3129" t="str">
        <f t="shared" si="1138"/>
        <v>L100</v>
      </c>
      <c r="E3129" t="str">
        <f t="shared" ca="1" si="1139"/>
        <v/>
      </c>
      <c r="F3129" t="str">
        <f t="shared" ca="1" si="1140"/>
        <v xml:space="preserve">Enter a 'New Construction Eligible Basis' for  building 97 in cell L100.
</v>
      </c>
      <c r="G3129" s="9" t="str">
        <f t="shared" ca="1" si="1133"/>
        <v xml:space="preserve">Enter a value for 'Number of Floors in the Tallest Building' in cell B60.
</v>
      </c>
      <c r="H3129" s="52" t="str">
        <f t="shared" ca="1" si="1141"/>
        <v>New Construction Eligible Basis</v>
      </c>
      <c r="I3129" s="52">
        <v>12</v>
      </c>
    </row>
    <row r="3130" spans="1:10" ht="15" customHeight="1">
      <c r="A3130" t="str">
        <f ca="1">IF(AND(OFFSET(A3130, -I3130 + 2, 4) &gt;  0, E3130="", Calculations!$B$7), F3130, "")</f>
        <v/>
      </c>
      <c r="B3130">
        <f t="shared" si="1137"/>
        <v>100</v>
      </c>
      <c r="C3130">
        <f t="shared" ca="1" si="1135"/>
        <v>97</v>
      </c>
      <c r="D3130" t="str">
        <f t="shared" si="1138"/>
        <v>M100</v>
      </c>
      <c r="E3130" t="str">
        <f t="shared" ca="1" si="1139"/>
        <v/>
      </c>
      <c r="F3130" t="str">
        <f t="shared" ca="1" si="1140"/>
        <v xml:space="preserve">Enter a 'Eligible Basis for Rehab' for  building 97 in cell M100.
</v>
      </c>
      <c r="G3130" s="9" t="str">
        <f t="shared" ca="1" si="1133"/>
        <v xml:space="preserve">Enter a value for 'Number of Floors in the Tallest Building' in cell B60.
</v>
      </c>
      <c r="H3130" s="52" t="str">
        <f t="shared" ca="1" si="1141"/>
        <v>Eligible Basis for Rehab</v>
      </c>
      <c r="I3130" s="52">
        <v>13</v>
      </c>
    </row>
    <row r="3131" spans="1:10" ht="15" customHeight="1">
      <c r="A3131" t="str">
        <f ca="1">IF(AND(OFFSET(A3131, -I3131 + 2, 4) &gt;  0, E3131="", Calculations!$B$7), F3131, "")</f>
        <v/>
      </c>
      <c r="B3131">
        <f t="shared" si="1137"/>
        <v>100</v>
      </c>
      <c r="C3131">
        <f t="shared" ca="1" si="1135"/>
        <v>97</v>
      </c>
      <c r="D3131" t="str">
        <f t="shared" si="1138"/>
        <v>N100</v>
      </c>
      <c r="E3131" t="str">
        <f t="shared" ca="1" si="1139"/>
        <v/>
      </c>
      <c r="F3131" t="str">
        <f t="shared" ca="1" si="1140"/>
        <v xml:space="preserve">Enter a 'Cost of Acquiring the Building***' for  building 97 in cell N100.
</v>
      </c>
      <c r="G3131" s="9" t="str">
        <f t="shared" ca="1" si="1133"/>
        <v xml:space="preserve">Enter a value for 'Number of Floors in the Tallest Building' in cell B60.
</v>
      </c>
      <c r="H3131" s="52" t="str">
        <f t="shared" ca="1" si="1141"/>
        <v>Cost of Acquiring the Building***</v>
      </c>
      <c r="I3131" s="52">
        <v>14</v>
      </c>
    </row>
    <row r="3132" spans="1:10" ht="15" customHeight="1">
      <c r="A3132" t="str">
        <f ca="1">IF(AND(OFFSET(A3132, -I3132 + 2, 4) &gt;  0, E3132="", Calculations!$B$7), F3132, "")</f>
        <v/>
      </c>
      <c r="B3132">
        <f t="shared" si="1137"/>
        <v>100</v>
      </c>
      <c r="C3132">
        <f t="shared" ca="1" si="1135"/>
        <v>97</v>
      </c>
      <c r="D3132" t="str">
        <f t="shared" si="1138"/>
        <v>O100</v>
      </c>
      <c r="E3132" t="str">
        <f t="shared" ca="1" si="1139"/>
        <v/>
      </c>
      <c r="F3132" t="str">
        <f t="shared" ca="1" si="1140"/>
        <v xml:space="preserve">Enter a 'Higher of Land Purchase Price or Land Appraised Value****' for  building 97 in cell O100.
</v>
      </c>
      <c r="G3132" s="9" t="str">
        <f t="shared" ca="1" si="1133"/>
        <v xml:space="preserve">Enter a value for 'Number of Floors in the Tallest Building' in cell B60.
</v>
      </c>
      <c r="H3132" s="52" t="str">
        <f t="shared" ca="1" si="1141"/>
        <v>Higher of Land Purchase Price or Land Appraised Value****</v>
      </c>
      <c r="I3132" s="52">
        <v>15</v>
      </c>
    </row>
    <row r="3133" spans="1:10" ht="15" customHeight="1">
      <c r="A3133" t="str">
        <f ca="1">IF(AND(OFFSET(A3133, -I3133 + 2, 4) &gt;  0, E3133="", Calculations!$B$7), F3133, "")</f>
        <v/>
      </c>
      <c r="B3133">
        <f t="shared" si="1137"/>
        <v>100</v>
      </c>
      <c r="C3133">
        <f t="shared" ca="1" si="1135"/>
        <v>97</v>
      </c>
      <c r="D3133" t="str">
        <f t="shared" si="1138"/>
        <v>P100</v>
      </c>
      <c r="E3133" t="str">
        <f t="shared" ca="1" si="1139"/>
        <v/>
      </c>
      <c r="F3133" t="str">
        <f t="shared" ca="1" si="1140"/>
        <v xml:space="preserve">Enter a 'Acquisition Placed-in-Service Date' for  building 97 in cell P100.
</v>
      </c>
      <c r="G3133" s="9" t="str">
        <f t="shared" ca="1" si="1133"/>
        <v xml:space="preserve">Enter a value for 'Number of Floors in the Tallest Building' in cell B60.
</v>
      </c>
      <c r="H3133" s="52" t="str">
        <f t="shared" ca="1" si="1141"/>
        <v>Acquisition Placed-in-Service Date</v>
      </c>
      <c r="I3133" s="52">
        <v>16</v>
      </c>
    </row>
    <row r="3134" spans="1:10" ht="15" customHeight="1">
      <c r="A3134" t="str">
        <f ca="1">IF(AND(OFFSET(A3134, -I3134 + 2, 4) &gt;  0, E3134="", Calculations!$B$7), F3134, "")</f>
        <v/>
      </c>
      <c r="B3134">
        <f t="shared" si="1137"/>
        <v>100</v>
      </c>
      <c r="C3134">
        <f t="shared" ca="1" si="1135"/>
        <v>97</v>
      </c>
      <c r="D3134" t="str">
        <f t="shared" si="1138"/>
        <v>Q100</v>
      </c>
      <c r="E3134" t="str">
        <f t="shared" ca="1" si="1139"/>
        <v/>
      </c>
      <c r="F3134" t="str">
        <f t="shared" ca="1" si="1140"/>
        <v xml:space="preserve">Enter a 'Acquisition APR' for  building 97 in cell Q100.
</v>
      </c>
      <c r="G3134" s="9" t="str">
        <f t="shared" ca="1" si="1133"/>
        <v xml:space="preserve">Enter a value for 'Number of Floors in the Tallest Building' in cell B60.
</v>
      </c>
      <c r="H3134" s="52" t="str">
        <f t="shared" ca="1" si="1141"/>
        <v>Acquisition APR</v>
      </c>
      <c r="I3134" s="52">
        <v>17</v>
      </c>
    </row>
    <row r="3135" spans="1:10" ht="15" customHeight="1">
      <c r="A3135" t="str">
        <f ca="1">IF(AND(Calculations!$B$4,Calculations!$B$29&gt;=C3135, E3135 &lt;&gt; 13),F3135,"")</f>
        <v/>
      </c>
      <c r="B3135">
        <f>ROW('Final Building Profile'!C101)</f>
        <v>101</v>
      </c>
      <c r="C3135">
        <f t="shared" ca="1" si="1135"/>
        <v>98</v>
      </c>
      <c r="D3135" t="str">
        <f>ADDRESS(B3135, 3,4  )</f>
        <v>C101</v>
      </c>
      <c r="E3135" s="52">
        <f ca="1">H3135+I3135</f>
        <v>0</v>
      </c>
      <c r="F3135" t="str">
        <f ca="1">CONCATENATE("Based upon the number of buildings specified, information for  building ", C3135, " required for a final application in row ", B3135, ".", CHAR(10))</f>
        <v xml:space="preserve">Based upon the number of buildings specified, information for  building 98 required for a final application in row 101.
</v>
      </c>
      <c r="G3135" s="9" t="str">
        <f t="shared" ca="1" si="1133"/>
        <v xml:space="preserve">Enter a value for 'Number of Floors in the Tallest Building' in cell B60.
</v>
      </c>
      <c r="H3135" s="52">
        <f ca="1">SUMPRODUCT(--ISTEXT(INDIRECT(J3135)))</f>
        <v>0</v>
      </c>
      <c r="I3135" s="52">
        <f ca="1">SUMPRODUCT(--ISNUMBER(INDIRECT(J3135)))</f>
        <v>0</v>
      </c>
      <c r="J3135" s="52" t="str">
        <f>$F$1565&amp; ADDRESS(B3135,3,4) &amp; ":" &amp; ADDRESS(B3135,15,4)</f>
        <v>'Final Building Profile'!C101:O101</v>
      </c>
    </row>
    <row r="3136" spans="1:10" ht="15" customHeight="1">
      <c r="A3136" t="str">
        <f t="shared" ref="A3136:A3145" ca="1" si="1142">IF(AND(OFFSET(A3136, -I3136 + 2, 4) &gt;  0, E3136=""), F3136, "")</f>
        <v/>
      </c>
      <c r="B3136">
        <f t="shared" ref="B3136:B3150" si="1143">B3135</f>
        <v>101</v>
      </c>
      <c r="C3136">
        <f t="shared" ca="1" si="1135"/>
        <v>98</v>
      </c>
      <c r="D3136" t="str">
        <f t="shared" ref="D3136:D3150" si="1144">ADDRESS(B3136, I3136,4  )</f>
        <v>C101</v>
      </c>
      <c r="E3136" t="str">
        <f t="shared" ref="E3136:E3150" ca="1" si="1145">IF(ISBLANK( INDIRECT($F$1565 &amp; D3136)),"", INDIRECT($F$1565 &amp; D3136))</f>
        <v/>
      </c>
      <c r="F3136" t="str">
        <f t="shared" ref="F3136:F3150" ca="1" si="1146">CONCATENATE("Enter a '"&amp; H3136 &amp;"' for  building ", C3136, " in cell ", D3136, ".", CHAR(10))</f>
        <v xml:space="preserve">Enter a 'Building Street Address Only 
(DO NOT ENTER CITY, STATE, OR ZIP)' for  building 98 in cell C101.
</v>
      </c>
      <c r="G3136" s="9" t="str">
        <f t="shared" ca="1" si="1133"/>
        <v xml:space="preserve">Enter a value for 'Number of Floors in the Tallest Building' in cell B60.
</v>
      </c>
      <c r="H3136" s="52" t="str">
        <f t="shared" ref="H3136:H3150" ca="1" si="1147">OFFSET(INDIRECT($F$1565 &amp; D3136), -B3136 + 3, 0)</f>
        <v>Building Street Address Only 
(DO NOT ENTER CITY, STATE, OR ZIP)</v>
      </c>
      <c r="I3136" s="52">
        <v>3</v>
      </c>
    </row>
    <row r="3137" spans="1:10" ht="15" customHeight="1">
      <c r="A3137" t="str">
        <f t="shared" ca="1" si="1142"/>
        <v/>
      </c>
      <c r="B3137">
        <f t="shared" si="1143"/>
        <v>101</v>
      </c>
      <c r="C3137">
        <f t="shared" ca="1" si="1135"/>
        <v>98</v>
      </c>
      <c r="D3137" t="str">
        <f t="shared" si="1144"/>
        <v>D101</v>
      </c>
      <c r="E3137" t="str">
        <f t="shared" ca="1" si="1145"/>
        <v/>
      </c>
      <c r="F3137" t="str">
        <f t="shared" ca="1" si="1146"/>
        <v xml:space="preserve">Enter a 'Total Units in Building*' for  building 98 in cell D101.
</v>
      </c>
      <c r="G3137" s="9" t="str">
        <f t="shared" ca="1" si="1133"/>
        <v xml:space="preserve">Enter a value for 'Number of Floors in the Tallest Building' in cell B60.
</v>
      </c>
      <c r="H3137" s="52" t="str">
        <f t="shared" ca="1" si="1147"/>
        <v>Total Units in Building*</v>
      </c>
      <c r="I3137" s="52">
        <v>4</v>
      </c>
    </row>
    <row r="3138" spans="1:10" ht="15" customHeight="1">
      <c r="A3138" t="str">
        <f t="shared" ca="1" si="1142"/>
        <v/>
      </c>
      <c r="B3138">
        <f t="shared" si="1143"/>
        <v>101</v>
      </c>
      <c r="C3138">
        <f t="shared" ca="1" si="1135"/>
        <v>98</v>
      </c>
      <c r="D3138" t="str">
        <f t="shared" si="1144"/>
        <v>E101</v>
      </c>
      <c r="E3138" t="str">
        <f t="shared" ca="1" si="1145"/>
        <v/>
      </c>
      <c r="F3138" t="str">
        <f t="shared" ca="1" si="1146"/>
        <v xml:space="preserve">Enter a 'Employee Units' for  building 98 in cell E101.
</v>
      </c>
      <c r="G3138" s="9" t="str">
        <f t="shared" ca="1" si="1133"/>
        <v xml:space="preserve">Enter a value for 'Number of Floors in the Tallest Building' in cell B60.
</v>
      </c>
      <c r="H3138" s="52" t="str">
        <f t="shared" ca="1" si="1147"/>
        <v>Employee Units</v>
      </c>
      <c r="I3138" s="52">
        <v>5</v>
      </c>
    </row>
    <row r="3139" spans="1:10" ht="15" customHeight="1">
      <c r="A3139" t="str">
        <f t="shared" ca="1" si="1142"/>
        <v/>
      </c>
      <c r="B3139">
        <f t="shared" si="1143"/>
        <v>101</v>
      </c>
      <c r="C3139">
        <f t="shared" ca="1" si="1135"/>
        <v>98</v>
      </c>
      <c r="D3139" t="str">
        <f t="shared" si="1144"/>
        <v>F101</v>
      </c>
      <c r="E3139" t="str">
        <f t="shared" ca="1" si="1145"/>
        <v/>
      </c>
      <c r="F3139" t="str">
        <f t="shared" ca="1" si="1146"/>
        <v xml:space="preserve">Enter a 'Low-Income Units' for  building 98 in cell F101.
</v>
      </c>
      <c r="G3139" s="9" t="str">
        <f t="shared" ca="1" si="1133"/>
        <v xml:space="preserve">Enter a value for 'Number of Floors in the Tallest Building' in cell B60.
</v>
      </c>
      <c r="H3139" s="52" t="str">
        <f t="shared" ca="1" si="1147"/>
        <v>Low-Income Units</v>
      </c>
      <c r="I3139" s="52">
        <v>6</v>
      </c>
    </row>
    <row r="3140" spans="1:10" ht="15" customHeight="1">
      <c r="A3140" t="str">
        <f t="shared" ca="1" si="1142"/>
        <v/>
      </c>
      <c r="B3140">
        <f t="shared" si="1143"/>
        <v>101</v>
      </c>
      <c r="C3140">
        <f t="shared" ca="1" si="1135"/>
        <v>98</v>
      </c>
      <c r="D3140" t="str">
        <f t="shared" si="1144"/>
        <v>G101</v>
      </c>
      <c r="E3140" t="str">
        <f t="shared" ca="1" si="1145"/>
        <v/>
      </c>
      <c r="F3140" t="str">
        <f t="shared" ca="1" si="1146"/>
        <v xml:space="preserve">Enter a 'Residential Square Footage**' for  building 98 in cell G101.
</v>
      </c>
      <c r="G3140" s="9" t="str">
        <f t="shared" ca="1" si="1133"/>
        <v xml:space="preserve">Enter a value for 'Number of Floors in the Tallest Building' in cell B60.
</v>
      </c>
      <c r="H3140" s="52" t="str">
        <f t="shared" ca="1" si="1147"/>
        <v>Residential Square Footage**</v>
      </c>
      <c r="I3140" s="52">
        <v>7</v>
      </c>
    </row>
    <row r="3141" spans="1:10" ht="15" customHeight="1">
      <c r="A3141" t="str">
        <f t="shared" ca="1" si="1142"/>
        <v/>
      </c>
      <c r="B3141">
        <f t="shared" si="1143"/>
        <v>101</v>
      </c>
      <c r="C3141">
        <f t="shared" ca="1" si="1135"/>
        <v>98</v>
      </c>
      <c r="D3141" t="str">
        <f t="shared" si="1144"/>
        <v>H101</v>
      </c>
      <c r="E3141" t="str">
        <f t="shared" ca="1" si="1145"/>
        <v/>
      </c>
      <c r="F3141" t="str">
        <f t="shared" ca="1" si="1146"/>
        <v xml:space="preserve">Enter a 'Square Footage of Employee Units' for  building 98 in cell H101.
</v>
      </c>
      <c r="G3141" s="9" t="str">
        <f t="shared" ca="1" si="1133"/>
        <v xml:space="preserve">Enter a value for 'Number of Floors in the Tallest Building' in cell B60.
</v>
      </c>
      <c r="H3141" s="52" t="str">
        <f t="shared" ca="1" si="1147"/>
        <v>Square Footage of Employee Units</v>
      </c>
      <c r="I3141" s="52">
        <v>8</v>
      </c>
    </row>
    <row r="3142" spans="1:10" ht="15" customHeight="1">
      <c r="A3142" t="str">
        <f t="shared" ca="1" si="1142"/>
        <v/>
      </c>
      <c r="B3142">
        <f t="shared" si="1143"/>
        <v>101</v>
      </c>
      <c r="C3142">
        <f t="shared" ca="1" si="1135"/>
        <v>98</v>
      </c>
      <c r="D3142" t="str">
        <f t="shared" si="1144"/>
        <v>I101</v>
      </c>
      <c r="E3142" t="str">
        <f t="shared" ca="1" si="1145"/>
        <v/>
      </c>
      <c r="F3142" t="str">
        <f t="shared" ca="1" si="1146"/>
        <v xml:space="preserve">Enter a 'Square Footage of Low-Income Units' for  building 98 in cell I101.
</v>
      </c>
      <c r="G3142" s="9" t="str">
        <f t="shared" ca="1" si="1133"/>
        <v xml:space="preserve">Enter a value for 'Number of Floors in the Tallest Building' in cell B60.
</v>
      </c>
      <c r="H3142" s="52" t="str">
        <f t="shared" ca="1" si="1147"/>
        <v>Square Footage of Low-Income Units</v>
      </c>
      <c r="I3142" s="52">
        <v>9</v>
      </c>
    </row>
    <row r="3143" spans="1:10" ht="15" customHeight="1">
      <c r="A3143" t="str">
        <f t="shared" ca="1" si="1142"/>
        <v/>
      </c>
      <c r="B3143">
        <f t="shared" si="1143"/>
        <v>101</v>
      </c>
      <c r="C3143">
        <f t="shared" ca="1" si="1135"/>
        <v>98</v>
      </c>
      <c r="D3143" t="str">
        <f t="shared" si="1144"/>
        <v>J101</v>
      </c>
      <c r="E3143" t="str">
        <f t="shared" ca="1" si="1145"/>
        <v/>
      </c>
      <c r="F3143" t="str">
        <f t="shared" ca="1" si="1146"/>
        <v xml:space="preserve">Enter a 'Placed-In-Service Date' for  building 98 in cell J101.
</v>
      </c>
      <c r="G3143" s="9" t="str">
        <f t="shared" ca="1" si="1133"/>
        <v xml:space="preserve">Enter a value for 'Number of Floors in the Tallest Building' in cell B60.
</v>
      </c>
      <c r="H3143" s="52" t="str">
        <f t="shared" ca="1" si="1147"/>
        <v>Placed-In-Service Date</v>
      </c>
      <c r="I3143" s="52">
        <v>10</v>
      </c>
    </row>
    <row r="3144" spans="1:10" ht="15" customHeight="1">
      <c r="A3144" t="str">
        <f t="shared" ca="1" si="1142"/>
        <v/>
      </c>
      <c r="B3144">
        <f t="shared" si="1143"/>
        <v>101</v>
      </c>
      <c r="C3144">
        <f t="shared" ca="1" si="1135"/>
        <v>98</v>
      </c>
      <c r="D3144" t="str">
        <f t="shared" si="1144"/>
        <v>K101</v>
      </c>
      <c r="E3144" t="str">
        <f t="shared" ca="1" si="1145"/>
        <v/>
      </c>
      <c r="F3144" t="str">
        <f t="shared" ca="1" si="1146"/>
        <v xml:space="preserve">Enter a 'New Construction/ Rehab APR' for  building 98 in cell K101.
</v>
      </c>
      <c r="G3144" s="9" t="str">
        <f t="shared" ca="1" si="1133"/>
        <v xml:space="preserve">Enter a value for 'Number of Floors in the Tallest Building' in cell B60.
</v>
      </c>
      <c r="H3144" s="52" t="str">
        <f t="shared" ca="1" si="1147"/>
        <v>New Construction/ Rehab APR</v>
      </c>
      <c r="I3144" s="52">
        <v>11</v>
      </c>
    </row>
    <row r="3145" spans="1:10" ht="15" customHeight="1">
      <c r="A3145" t="str">
        <f t="shared" ca="1" si="1142"/>
        <v/>
      </c>
      <c r="B3145">
        <f t="shared" si="1143"/>
        <v>101</v>
      </c>
      <c r="C3145">
        <f t="shared" ca="1" si="1135"/>
        <v>98</v>
      </c>
      <c r="D3145" t="str">
        <f t="shared" si="1144"/>
        <v>L101</v>
      </c>
      <c r="E3145" t="str">
        <f t="shared" ca="1" si="1145"/>
        <v/>
      </c>
      <c r="F3145" t="str">
        <f t="shared" ca="1" si="1146"/>
        <v xml:space="preserve">Enter a 'New Construction Eligible Basis' for  building 98 in cell L101.
</v>
      </c>
      <c r="G3145" s="9" t="str">
        <f t="shared" ca="1" si="1133"/>
        <v xml:space="preserve">Enter a value for 'Number of Floors in the Tallest Building' in cell B60.
</v>
      </c>
      <c r="H3145" s="52" t="str">
        <f t="shared" ca="1" si="1147"/>
        <v>New Construction Eligible Basis</v>
      </c>
      <c r="I3145" s="52">
        <v>12</v>
      </c>
    </row>
    <row r="3146" spans="1:10" ht="15" customHeight="1">
      <c r="A3146" t="str">
        <f ca="1">IF(AND(OFFSET(A3146, -I3146 + 2, 4) &gt;  0, E3146="", Calculations!$B$7), F3146, "")</f>
        <v/>
      </c>
      <c r="B3146">
        <f t="shared" si="1143"/>
        <v>101</v>
      </c>
      <c r="C3146">
        <f t="shared" ca="1" si="1135"/>
        <v>98</v>
      </c>
      <c r="D3146" t="str">
        <f t="shared" si="1144"/>
        <v>M101</v>
      </c>
      <c r="E3146" t="str">
        <f t="shared" ca="1" si="1145"/>
        <v/>
      </c>
      <c r="F3146" t="str">
        <f t="shared" ca="1" si="1146"/>
        <v xml:space="preserve">Enter a 'Eligible Basis for Rehab' for  building 98 in cell M101.
</v>
      </c>
      <c r="G3146" s="9" t="str">
        <f t="shared" ca="1" si="1133"/>
        <v xml:space="preserve">Enter a value for 'Number of Floors in the Tallest Building' in cell B60.
</v>
      </c>
      <c r="H3146" s="52" t="str">
        <f t="shared" ca="1" si="1147"/>
        <v>Eligible Basis for Rehab</v>
      </c>
      <c r="I3146" s="52">
        <v>13</v>
      </c>
    </row>
    <row r="3147" spans="1:10" ht="15" customHeight="1">
      <c r="A3147" t="str">
        <f ca="1">IF(AND(OFFSET(A3147, -I3147 + 2, 4) &gt;  0, E3147="", Calculations!$B$7), F3147, "")</f>
        <v/>
      </c>
      <c r="B3147">
        <f t="shared" si="1143"/>
        <v>101</v>
      </c>
      <c r="C3147">
        <f t="shared" ca="1" si="1135"/>
        <v>98</v>
      </c>
      <c r="D3147" t="str">
        <f t="shared" si="1144"/>
        <v>N101</v>
      </c>
      <c r="E3147" t="str">
        <f t="shared" ca="1" si="1145"/>
        <v/>
      </c>
      <c r="F3147" t="str">
        <f t="shared" ca="1" si="1146"/>
        <v xml:space="preserve">Enter a 'Cost of Acquiring the Building***' for  building 98 in cell N101.
</v>
      </c>
      <c r="G3147" s="9" t="str">
        <f t="shared" ca="1" si="1133"/>
        <v xml:space="preserve">Enter a value for 'Number of Floors in the Tallest Building' in cell B60.
</v>
      </c>
      <c r="H3147" s="52" t="str">
        <f t="shared" ca="1" si="1147"/>
        <v>Cost of Acquiring the Building***</v>
      </c>
      <c r="I3147" s="52">
        <v>14</v>
      </c>
    </row>
    <row r="3148" spans="1:10" ht="15" customHeight="1">
      <c r="A3148" t="str">
        <f ca="1">IF(AND(OFFSET(A3148, -I3148 + 2, 4) &gt;  0, E3148="", Calculations!$B$7), F3148, "")</f>
        <v/>
      </c>
      <c r="B3148">
        <f t="shared" si="1143"/>
        <v>101</v>
      </c>
      <c r="C3148">
        <f t="shared" ca="1" si="1135"/>
        <v>98</v>
      </c>
      <c r="D3148" t="str">
        <f t="shared" si="1144"/>
        <v>O101</v>
      </c>
      <c r="E3148" t="str">
        <f t="shared" ca="1" si="1145"/>
        <v/>
      </c>
      <c r="F3148" t="str">
        <f t="shared" ca="1" si="1146"/>
        <v xml:space="preserve">Enter a 'Higher of Land Purchase Price or Land Appraised Value****' for  building 98 in cell O101.
</v>
      </c>
      <c r="G3148" s="9" t="str">
        <f t="shared" ca="1" si="1133"/>
        <v xml:space="preserve">Enter a value for 'Number of Floors in the Tallest Building' in cell B60.
</v>
      </c>
      <c r="H3148" s="52" t="str">
        <f t="shared" ca="1" si="1147"/>
        <v>Higher of Land Purchase Price or Land Appraised Value****</v>
      </c>
      <c r="I3148" s="52">
        <v>15</v>
      </c>
    </row>
    <row r="3149" spans="1:10" ht="15" customHeight="1">
      <c r="A3149" t="str">
        <f ca="1">IF(AND(OFFSET(A3149, -I3149 + 2, 4) &gt;  0, E3149="", Calculations!$B$7), F3149, "")</f>
        <v/>
      </c>
      <c r="B3149">
        <f t="shared" si="1143"/>
        <v>101</v>
      </c>
      <c r="C3149">
        <f t="shared" ca="1" si="1135"/>
        <v>98</v>
      </c>
      <c r="D3149" t="str">
        <f t="shared" si="1144"/>
        <v>P101</v>
      </c>
      <c r="E3149" t="str">
        <f t="shared" ca="1" si="1145"/>
        <v/>
      </c>
      <c r="F3149" t="str">
        <f t="shared" ca="1" si="1146"/>
        <v xml:space="preserve">Enter a 'Acquisition Placed-in-Service Date' for  building 98 in cell P101.
</v>
      </c>
      <c r="G3149" s="9" t="str">
        <f t="shared" ca="1" si="1133"/>
        <v xml:space="preserve">Enter a value for 'Number of Floors in the Tallest Building' in cell B60.
</v>
      </c>
      <c r="H3149" s="52" t="str">
        <f t="shared" ca="1" si="1147"/>
        <v>Acquisition Placed-in-Service Date</v>
      </c>
      <c r="I3149" s="52">
        <v>16</v>
      </c>
    </row>
    <row r="3150" spans="1:10" ht="15" customHeight="1">
      <c r="A3150" t="str">
        <f ca="1">IF(AND(OFFSET(A3150, -I3150 + 2, 4) &gt;  0, E3150="", Calculations!$B$7), F3150, "")</f>
        <v/>
      </c>
      <c r="B3150">
        <f t="shared" si="1143"/>
        <v>101</v>
      </c>
      <c r="C3150">
        <f t="shared" ca="1" si="1135"/>
        <v>98</v>
      </c>
      <c r="D3150" t="str">
        <f t="shared" si="1144"/>
        <v>Q101</v>
      </c>
      <c r="E3150" t="str">
        <f t="shared" ca="1" si="1145"/>
        <v/>
      </c>
      <c r="F3150" t="str">
        <f t="shared" ca="1" si="1146"/>
        <v xml:space="preserve">Enter a 'Acquisition APR' for  building 98 in cell Q101.
</v>
      </c>
      <c r="G3150" s="9" t="str">
        <f t="shared" ca="1" si="1133"/>
        <v xml:space="preserve">Enter a value for 'Number of Floors in the Tallest Building' in cell B60.
</v>
      </c>
      <c r="H3150" s="52" t="str">
        <f t="shared" ca="1" si="1147"/>
        <v>Acquisition APR</v>
      </c>
      <c r="I3150" s="52">
        <v>17</v>
      </c>
    </row>
    <row r="3151" spans="1:10" ht="15" customHeight="1">
      <c r="A3151" t="b">
        <f ca="1">A3133=IF(AND(Calculations!$B$4,Calculations!$B$29&gt;=C3151, E3151 &lt;&gt; 13),F3151,"")</f>
        <v>1</v>
      </c>
      <c r="B3151">
        <f>ROW('Final Building Profile'!C102)</f>
        <v>102</v>
      </c>
      <c r="C3151">
        <f t="shared" ca="1" si="1135"/>
        <v>99</v>
      </c>
      <c r="D3151" t="str">
        <f>ADDRESS(B3151, 3,4  )</f>
        <v>C102</v>
      </c>
      <c r="E3151" s="52">
        <f ca="1">H3151+I3151</f>
        <v>0</v>
      </c>
      <c r="F3151" t="str">
        <f ca="1">CONCATENATE("Based upon the number of buildings specified, information for  building ", C3151, " required for a final application in row ", B3151, ".", CHAR(10))</f>
        <v xml:space="preserve">Based upon the number of buildings specified, information for  building 99 required for a final application in row 102.
</v>
      </c>
      <c r="G3151" s="9" t="str">
        <f t="shared" ca="1" si="1133"/>
        <v>Enter a value for 'Number of Floors in the Tallest Building' in cell B60.
TRUE</v>
      </c>
      <c r="H3151" s="52">
        <f ca="1">SUMPRODUCT(--ISTEXT(INDIRECT(J3151)))</f>
        <v>0</v>
      </c>
      <c r="I3151" s="52">
        <f ca="1">SUMPRODUCT(--ISNUMBER(INDIRECT(J3151)))</f>
        <v>0</v>
      </c>
      <c r="J3151" s="52" t="str">
        <f>$F$1565&amp; ADDRESS(B3151,3,4) &amp; ":" &amp; ADDRESS(B3151,15,4)</f>
        <v>'Final Building Profile'!C102:O102</v>
      </c>
    </row>
    <row r="3152" spans="1:10" ht="15" customHeight="1">
      <c r="A3152" t="str">
        <f t="shared" ref="A3152:A3161" ca="1" si="1148">IF(AND(OFFSET(A3152, -I3152 + 2, 4) &gt;  0, E3152=""), F3152, "")</f>
        <v/>
      </c>
      <c r="B3152">
        <f t="shared" ref="B3152:B3166" si="1149">B3151</f>
        <v>102</v>
      </c>
      <c r="C3152">
        <f t="shared" ca="1" si="1135"/>
        <v>99</v>
      </c>
      <c r="D3152" t="str">
        <f t="shared" ref="D3152:D3166" si="1150">ADDRESS(B3152, I3152,4  )</f>
        <v>C102</v>
      </c>
      <c r="E3152" t="str">
        <f t="shared" ref="E3152:E3166" ca="1" si="1151">IF(ISBLANK( INDIRECT($F$1565 &amp; D3152)),"", INDIRECT($F$1565 &amp; D3152))</f>
        <v/>
      </c>
      <c r="F3152" t="str">
        <f t="shared" ref="F3152:F3166" ca="1" si="1152">CONCATENATE("Enter a '"&amp; H3152 &amp;"' for  building ", C3152, " in cell ", D3152, ".", CHAR(10))</f>
        <v xml:space="preserve">Enter a 'Building Street Address Only 
(DO NOT ENTER CITY, STATE, OR ZIP)' for  building 99 in cell C102.
</v>
      </c>
      <c r="G3152" s="9" t="str">
        <f t="shared" ca="1" si="1133"/>
        <v>Enter a value for 'Number of Floors in the Tallest Building' in cell B60.
TRUE</v>
      </c>
      <c r="H3152" s="52" t="str">
        <f t="shared" ref="H3152:H3166" ca="1" si="1153">OFFSET(INDIRECT($F$1565 &amp; D3152), -B3152 + 3, 0)</f>
        <v>Building Street Address Only 
(DO NOT ENTER CITY, STATE, OR ZIP)</v>
      </c>
      <c r="I3152" s="52">
        <v>3</v>
      </c>
    </row>
    <row r="3153" spans="1:9" ht="15" customHeight="1">
      <c r="A3153" t="str">
        <f t="shared" ca="1" si="1148"/>
        <v/>
      </c>
      <c r="B3153">
        <f t="shared" si="1149"/>
        <v>102</v>
      </c>
      <c r="C3153">
        <f t="shared" ca="1" si="1135"/>
        <v>99</v>
      </c>
      <c r="D3153" t="str">
        <f t="shared" si="1150"/>
        <v>D102</v>
      </c>
      <c r="E3153" t="str">
        <f t="shared" ca="1" si="1151"/>
        <v/>
      </c>
      <c r="F3153" t="str">
        <f t="shared" ca="1" si="1152"/>
        <v xml:space="preserve">Enter a 'Total Units in Building*' for  building 99 in cell D102.
</v>
      </c>
      <c r="G3153" s="9" t="str">
        <f t="shared" ca="1" si="1133"/>
        <v>Enter a value for 'Number of Floors in the Tallest Building' in cell B60.
TRUE</v>
      </c>
      <c r="H3153" s="52" t="str">
        <f t="shared" ca="1" si="1153"/>
        <v>Total Units in Building*</v>
      </c>
      <c r="I3153" s="52">
        <v>4</v>
      </c>
    </row>
    <row r="3154" spans="1:9" ht="15" customHeight="1">
      <c r="A3154" t="str">
        <f t="shared" ca="1" si="1148"/>
        <v/>
      </c>
      <c r="B3154">
        <f t="shared" si="1149"/>
        <v>102</v>
      </c>
      <c r="C3154">
        <f t="shared" ca="1" si="1135"/>
        <v>99</v>
      </c>
      <c r="D3154" t="str">
        <f t="shared" si="1150"/>
        <v>E102</v>
      </c>
      <c r="E3154" t="str">
        <f t="shared" ca="1" si="1151"/>
        <v/>
      </c>
      <c r="F3154" t="str">
        <f t="shared" ca="1" si="1152"/>
        <v xml:space="preserve">Enter a 'Employee Units' for  building 99 in cell E102.
</v>
      </c>
      <c r="G3154" s="9" t="str">
        <f t="shared" ca="1" si="1133"/>
        <v>Enter a value for 'Number of Floors in the Tallest Building' in cell B60.
TRUE</v>
      </c>
      <c r="H3154" s="52" t="str">
        <f t="shared" ca="1" si="1153"/>
        <v>Employee Units</v>
      </c>
      <c r="I3154" s="52">
        <v>5</v>
      </c>
    </row>
    <row r="3155" spans="1:9" ht="15" customHeight="1">
      <c r="A3155" t="str">
        <f t="shared" ca="1" si="1148"/>
        <v/>
      </c>
      <c r="B3155">
        <f t="shared" si="1149"/>
        <v>102</v>
      </c>
      <c r="C3155">
        <f t="shared" ca="1" si="1135"/>
        <v>99</v>
      </c>
      <c r="D3155" t="str">
        <f t="shared" si="1150"/>
        <v>F102</v>
      </c>
      <c r="E3155" t="str">
        <f t="shared" ca="1" si="1151"/>
        <v/>
      </c>
      <c r="F3155" t="str">
        <f t="shared" ca="1" si="1152"/>
        <v xml:space="preserve">Enter a 'Low-Income Units' for  building 99 in cell F102.
</v>
      </c>
      <c r="G3155" s="9" t="str">
        <f t="shared" ca="1" si="1133"/>
        <v>Enter a value for 'Number of Floors in the Tallest Building' in cell B60.
TRUE</v>
      </c>
      <c r="H3155" s="52" t="str">
        <f t="shared" ca="1" si="1153"/>
        <v>Low-Income Units</v>
      </c>
      <c r="I3155" s="52">
        <v>6</v>
      </c>
    </row>
    <row r="3156" spans="1:9" ht="15" customHeight="1">
      <c r="A3156" t="str">
        <f t="shared" ca="1" si="1148"/>
        <v/>
      </c>
      <c r="B3156">
        <f t="shared" si="1149"/>
        <v>102</v>
      </c>
      <c r="C3156">
        <f t="shared" ca="1" si="1135"/>
        <v>99</v>
      </c>
      <c r="D3156" t="str">
        <f t="shared" si="1150"/>
        <v>G102</v>
      </c>
      <c r="E3156" t="str">
        <f t="shared" ca="1" si="1151"/>
        <v/>
      </c>
      <c r="F3156" t="str">
        <f t="shared" ca="1" si="1152"/>
        <v xml:space="preserve">Enter a 'Residential Square Footage**' for  building 99 in cell G102.
</v>
      </c>
      <c r="G3156" s="9" t="str">
        <f t="shared" ca="1" si="1133"/>
        <v>Enter a value for 'Number of Floors in the Tallest Building' in cell B60.
TRUE</v>
      </c>
      <c r="H3156" s="52" t="str">
        <f t="shared" ca="1" si="1153"/>
        <v>Residential Square Footage**</v>
      </c>
      <c r="I3156" s="52">
        <v>7</v>
      </c>
    </row>
    <row r="3157" spans="1:9" ht="15" customHeight="1">
      <c r="A3157" t="str">
        <f t="shared" ca="1" si="1148"/>
        <v/>
      </c>
      <c r="B3157">
        <f t="shared" si="1149"/>
        <v>102</v>
      </c>
      <c r="C3157">
        <f t="shared" ca="1" si="1135"/>
        <v>99</v>
      </c>
      <c r="D3157" t="str">
        <f t="shared" si="1150"/>
        <v>H102</v>
      </c>
      <c r="E3157" t="str">
        <f t="shared" ca="1" si="1151"/>
        <v/>
      </c>
      <c r="F3157" t="str">
        <f t="shared" ca="1" si="1152"/>
        <v xml:space="preserve">Enter a 'Square Footage of Employee Units' for  building 99 in cell H102.
</v>
      </c>
      <c r="G3157" s="9" t="str">
        <f t="shared" ca="1" si="1133"/>
        <v>Enter a value for 'Number of Floors in the Tallest Building' in cell B60.
TRUE</v>
      </c>
      <c r="H3157" s="52" t="str">
        <f t="shared" ca="1" si="1153"/>
        <v>Square Footage of Employee Units</v>
      </c>
      <c r="I3157" s="52">
        <v>8</v>
      </c>
    </row>
    <row r="3158" spans="1:9" ht="15" customHeight="1">
      <c r="A3158" t="str">
        <f t="shared" ca="1" si="1148"/>
        <v/>
      </c>
      <c r="B3158">
        <f t="shared" si="1149"/>
        <v>102</v>
      </c>
      <c r="C3158">
        <f t="shared" ca="1" si="1135"/>
        <v>99</v>
      </c>
      <c r="D3158" t="str">
        <f t="shared" si="1150"/>
        <v>I102</v>
      </c>
      <c r="E3158" t="str">
        <f t="shared" ca="1" si="1151"/>
        <v/>
      </c>
      <c r="F3158" t="str">
        <f t="shared" ca="1" si="1152"/>
        <v xml:space="preserve">Enter a 'Square Footage of Low-Income Units' for  building 99 in cell I102.
</v>
      </c>
      <c r="G3158" s="9" t="str">
        <f t="shared" ca="1" si="1133"/>
        <v>Enter a value for 'Number of Floors in the Tallest Building' in cell B60.
TRUE</v>
      </c>
      <c r="H3158" s="52" t="str">
        <f t="shared" ca="1" si="1153"/>
        <v>Square Footage of Low-Income Units</v>
      </c>
      <c r="I3158" s="52">
        <v>9</v>
      </c>
    </row>
    <row r="3159" spans="1:9" ht="15" customHeight="1">
      <c r="A3159" t="str">
        <f t="shared" ca="1" si="1148"/>
        <v/>
      </c>
      <c r="B3159">
        <f t="shared" si="1149"/>
        <v>102</v>
      </c>
      <c r="C3159">
        <f t="shared" ca="1" si="1135"/>
        <v>99</v>
      </c>
      <c r="D3159" t="str">
        <f t="shared" si="1150"/>
        <v>J102</v>
      </c>
      <c r="E3159" t="str">
        <f t="shared" ca="1" si="1151"/>
        <v/>
      </c>
      <c r="F3159" t="str">
        <f t="shared" ca="1" si="1152"/>
        <v xml:space="preserve">Enter a 'Placed-In-Service Date' for  building 99 in cell J102.
</v>
      </c>
      <c r="G3159" s="9" t="str">
        <f t="shared" ca="1" si="1133"/>
        <v>Enter a value for 'Number of Floors in the Tallest Building' in cell B60.
TRUE</v>
      </c>
      <c r="H3159" s="52" t="str">
        <f t="shared" ca="1" si="1153"/>
        <v>Placed-In-Service Date</v>
      </c>
      <c r="I3159" s="52">
        <v>10</v>
      </c>
    </row>
    <row r="3160" spans="1:9" ht="15" customHeight="1">
      <c r="A3160" t="str">
        <f t="shared" ca="1" si="1148"/>
        <v/>
      </c>
      <c r="B3160">
        <f t="shared" si="1149"/>
        <v>102</v>
      </c>
      <c r="C3160">
        <f t="shared" ca="1" si="1135"/>
        <v>99</v>
      </c>
      <c r="D3160" t="str">
        <f t="shared" si="1150"/>
        <v>K102</v>
      </c>
      <c r="E3160" t="str">
        <f t="shared" ca="1" si="1151"/>
        <v/>
      </c>
      <c r="F3160" t="str">
        <f t="shared" ca="1" si="1152"/>
        <v xml:space="preserve">Enter a 'New Construction/ Rehab APR' for  building 99 in cell K102.
</v>
      </c>
      <c r="G3160" s="9" t="str">
        <f t="shared" ca="1" si="1133"/>
        <v>Enter a value for 'Number of Floors in the Tallest Building' in cell B60.
TRUE</v>
      </c>
      <c r="H3160" s="52" t="str">
        <f t="shared" ca="1" si="1153"/>
        <v>New Construction/ Rehab APR</v>
      </c>
      <c r="I3160" s="52">
        <v>11</v>
      </c>
    </row>
    <row r="3161" spans="1:9" ht="15" customHeight="1">
      <c r="A3161" t="str">
        <f t="shared" ca="1" si="1148"/>
        <v/>
      </c>
      <c r="B3161">
        <f t="shared" si="1149"/>
        <v>102</v>
      </c>
      <c r="C3161">
        <f t="shared" ca="1" si="1135"/>
        <v>99</v>
      </c>
      <c r="D3161" t="str">
        <f t="shared" si="1150"/>
        <v>L102</v>
      </c>
      <c r="E3161" t="str">
        <f t="shared" ca="1" si="1151"/>
        <v/>
      </c>
      <c r="F3161" t="str">
        <f t="shared" ca="1" si="1152"/>
        <v xml:space="preserve">Enter a 'New Construction Eligible Basis' for  building 99 in cell L102.
</v>
      </c>
      <c r="G3161" s="9" t="str">
        <f t="shared" ca="1" si="1133"/>
        <v>Enter a value for 'Number of Floors in the Tallest Building' in cell B60.
TRUE</v>
      </c>
      <c r="H3161" s="52" t="str">
        <f t="shared" ca="1" si="1153"/>
        <v>New Construction Eligible Basis</v>
      </c>
      <c r="I3161" s="52">
        <v>12</v>
      </c>
    </row>
    <row r="3162" spans="1:9" ht="15" customHeight="1">
      <c r="A3162" t="str">
        <f ca="1">IF(AND(OFFSET(A3162, -I3162 + 2, 4) &gt;  0, E3162="", Calculations!$B$7), F3162, "")</f>
        <v/>
      </c>
      <c r="B3162">
        <f t="shared" si="1149"/>
        <v>102</v>
      </c>
      <c r="C3162">
        <f t="shared" ca="1" si="1135"/>
        <v>99</v>
      </c>
      <c r="D3162" t="str">
        <f t="shared" si="1150"/>
        <v>M102</v>
      </c>
      <c r="E3162" t="str">
        <f t="shared" ca="1" si="1151"/>
        <v/>
      </c>
      <c r="F3162" t="str">
        <f t="shared" ca="1" si="1152"/>
        <v xml:space="preserve">Enter a 'Eligible Basis for Rehab' for  building 99 in cell M102.
</v>
      </c>
      <c r="G3162" s="9" t="str">
        <f t="shared" ca="1" si="1133"/>
        <v>Enter a value for 'Number of Floors in the Tallest Building' in cell B60.
TRUE</v>
      </c>
      <c r="H3162" s="52" t="str">
        <f t="shared" ca="1" si="1153"/>
        <v>Eligible Basis for Rehab</v>
      </c>
      <c r="I3162" s="52">
        <v>13</v>
      </c>
    </row>
    <row r="3163" spans="1:9" ht="15" customHeight="1">
      <c r="A3163" t="str">
        <f ca="1">IF(AND(OFFSET(A3163, -I3163 + 2, 4) &gt;  0, E3163="", Calculations!$B$7), F3163, "")</f>
        <v/>
      </c>
      <c r="B3163">
        <f t="shared" si="1149"/>
        <v>102</v>
      </c>
      <c r="C3163">
        <f t="shared" ca="1" si="1135"/>
        <v>99</v>
      </c>
      <c r="D3163" t="str">
        <f t="shared" si="1150"/>
        <v>N102</v>
      </c>
      <c r="E3163" t="str">
        <f t="shared" ca="1" si="1151"/>
        <v/>
      </c>
      <c r="F3163" t="str">
        <f t="shared" ca="1" si="1152"/>
        <v xml:space="preserve">Enter a 'Cost of Acquiring the Building***' for  building 99 in cell N102.
</v>
      </c>
      <c r="G3163" s="9" t="str">
        <f t="shared" ca="1" si="1133"/>
        <v>Enter a value for 'Number of Floors in the Tallest Building' in cell B60.
TRUE</v>
      </c>
      <c r="H3163" s="52" t="str">
        <f t="shared" ca="1" si="1153"/>
        <v>Cost of Acquiring the Building***</v>
      </c>
      <c r="I3163" s="52">
        <v>14</v>
      </c>
    </row>
    <row r="3164" spans="1:9" ht="15" customHeight="1">
      <c r="A3164" t="str">
        <f ca="1">IF(AND(OFFSET(A3164, -I3164 + 2, 4) &gt;  0, E3164="", Calculations!$B$7), F3164, "")</f>
        <v/>
      </c>
      <c r="B3164">
        <f t="shared" si="1149"/>
        <v>102</v>
      </c>
      <c r="C3164">
        <f t="shared" ca="1" si="1135"/>
        <v>99</v>
      </c>
      <c r="D3164" t="str">
        <f t="shared" si="1150"/>
        <v>O102</v>
      </c>
      <c r="E3164" t="str">
        <f t="shared" ca="1" si="1151"/>
        <v/>
      </c>
      <c r="F3164" t="str">
        <f t="shared" ca="1" si="1152"/>
        <v xml:space="preserve">Enter a 'Higher of Land Purchase Price or Land Appraised Value****' for  building 99 in cell O102.
</v>
      </c>
      <c r="G3164" s="9" t="str">
        <f t="shared" ca="1" si="1133"/>
        <v>Enter a value for 'Number of Floors in the Tallest Building' in cell B60.
TRUE</v>
      </c>
      <c r="H3164" s="52" t="str">
        <f t="shared" ca="1" si="1153"/>
        <v>Higher of Land Purchase Price or Land Appraised Value****</v>
      </c>
      <c r="I3164" s="52">
        <v>15</v>
      </c>
    </row>
    <row r="3165" spans="1:9" ht="15" customHeight="1">
      <c r="A3165" t="str">
        <f ca="1">IF(AND(OFFSET(A3165, -I3165 + 2, 4) &gt;  0, E3165="", Calculations!$B$7), F3165, "")</f>
        <v/>
      </c>
      <c r="B3165">
        <f t="shared" si="1149"/>
        <v>102</v>
      </c>
      <c r="C3165">
        <f t="shared" ca="1" si="1135"/>
        <v>99</v>
      </c>
      <c r="D3165" t="str">
        <f t="shared" si="1150"/>
        <v>P102</v>
      </c>
      <c r="E3165" t="str">
        <f t="shared" ca="1" si="1151"/>
        <v/>
      </c>
      <c r="F3165" t="str">
        <f t="shared" ca="1" si="1152"/>
        <v xml:space="preserve">Enter a 'Acquisition Placed-in-Service Date' for  building 99 in cell P102.
</v>
      </c>
      <c r="G3165" s="9" t="str">
        <f t="shared" ca="1" si="1133"/>
        <v>Enter a value for 'Number of Floors in the Tallest Building' in cell B60.
TRUE</v>
      </c>
      <c r="H3165" s="52" t="str">
        <f t="shared" ca="1" si="1153"/>
        <v>Acquisition Placed-in-Service Date</v>
      </c>
      <c r="I3165" s="52">
        <v>16</v>
      </c>
    </row>
    <row r="3166" spans="1:9" ht="15" customHeight="1">
      <c r="A3166" t="str">
        <f ca="1">IF(AND(OFFSET(A3166, -I3166 + 2, 4) &gt;  0, E3166="", Calculations!$B$7), F3166, "")</f>
        <v/>
      </c>
      <c r="B3166">
        <f t="shared" si="1149"/>
        <v>102</v>
      </c>
      <c r="C3166">
        <f t="shared" ca="1" si="1135"/>
        <v>99</v>
      </c>
      <c r="D3166" t="str">
        <f t="shared" si="1150"/>
        <v>Q102</v>
      </c>
      <c r="E3166" t="str">
        <f t="shared" ca="1" si="1151"/>
        <v/>
      </c>
      <c r="F3166" t="str">
        <f t="shared" ca="1" si="1152"/>
        <v xml:space="preserve">Enter a 'Acquisition APR' for  building 99 in cell Q102.
</v>
      </c>
      <c r="G3166" s="9" t="str">
        <f t="shared" ca="1" si="1133"/>
        <v>Enter a value for 'Number of Floors in the Tallest Building' in cell B60.
TRUE</v>
      </c>
      <c r="H3166" s="52" t="str">
        <f t="shared" ca="1" si="1153"/>
        <v>Acquisition APR</v>
      </c>
      <c r="I3166" s="52">
        <v>17</v>
      </c>
    </row>
    <row r="3167" spans="1:9" ht="15" customHeight="1">
      <c r="A3167" t="str">
        <f t="shared" ref="A3167:A3198" si="1154">IF(E3167&gt;1, F3167, "")</f>
        <v/>
      </c>
      <c r="B3167">
        <f>Calculations!A708</f>
        <v>1</v>
      </c>
      <c r="E3167" s="137">
        <f>Calculations!H708</f>
        <v>0</v>
      </c>
      <c r="F3167" t="str">
        <f t="shared" ref="F3167:F3198" si="1155">CONCATENATE("Low-Income Unit Applicable Fraction canot exceed 100% ensure that total units minus employee units is less than LI units for  building ", B3167, ".", CHAR(10))</f>
        <v xml:space="preserve">Low-Income Unit Applicable Fraction canot exceed 100% ensure that total units minus employee units is less than LI units for  building 1.
</v>
      </c>
      <c r="G3167" s="9" t="str">
        <f t="shared" ca="1" si="1133"/>
        <v>Enter a value for 'Number of Floors in the Tallest Building' in cell B60.
TRUE</v>
      </c>
    </row>
    <row r="3168" spans="1:9" ht="15" customHeight="1">
      <c r="A3168" t="str">
        <f t="shared" si="1154"/>
        <v/>
      </c>
      <c r="B3168">
        <f>Calculations!A709</f>
        <v>2</v>
      </c>
      <c r="E3168" s="137">
        <f>Calculations!H709</f>
        <v>0</v>
      </c>
      <c r="F3168" t="str">
        <f t="shared" si="1155"/>
        <v xml:space="preserve">Low-Income Unit Applicable Fraction canot exceed 100% ensure that total units minus employee units is less than LI units for  building 2.
</v>
      </c>
      <c r="G3168" s="9" t="str">
        <f t="shared" ref="G3168:G3231" ca="1" si="1156">OFFSET(G3168, -1, 0) &amp; A3168</f>
        <v>Enter a value for 'Number of Floors in the Tallest Building' in cell B60.
TRUE</v>
      </c>
    </row>
    <row r="3169" spans="1:7" ht="15" customHeight="1">
      <c r="A3169" t="str">
        <f t="shared" si="1154"/>
        <v/>
      </c>
      <c r="B3169">
        <f>Calculations!A710</f>
        <v>3</v>
      </c>
      <c r="E3169" s="137">
        <f>Calculations!H710</f>
        <v>0</v>
      </c>
      <c r="F3169" t="str">
        <f t="shared" si="1155"/>
        <v xml:space="preserve">Low-Income Unit Applicable Fraction canot exceed 100% ensure that total units minus employee units is less than LI units for  building 3.
</v>
      </c>
      <c r="G3169" s="9" t="str">
        <f t="shared" ca="1" si="1156"/>
        <v>Enter a value for 'Number of Floors in the Tallest Building' in cell B60.
TRUE</v>
      </c>
    </row>
    <row r="3170" spans="1:7" ht="15" customHeight="1">
      <c r="A3170" t="str">
        <f t="shared" si="1154"/>
        <v/>
      </c>
      <c r="B3170">
        <f>Calculations!A711</f>
        <v>4</v>
      </c>
      <c r="E3170" s="137">
        <f>Calculations!H711</f>
        <v>0</v>
      </c>
      <c r="F3170" t="str">
        <f t="shared" si="1155"/>
        <v xml:space="preserve">Low-Income Unit Applicable Fraction canot exceed 100% ensure that total units minus employee units is less than LI units for  building 4.
</v>
      </c>
      <c r="G3170" s="9" t="str">
        <f t="shared" ca="1" si="1156"/>
        <v>Enter a value for 'Number of Floors in the Tallest Building' in cell B60.
TRUE</v>
      </c>
    </row>
    <row r="3171" spans="1:7" ht="15" customHeight="1">
      <c r="A3171" t="str">
        <f t="shared" si="1154"/>
        <v/>
      </c>
      <c r="B3171">
        <f>Calculations!A712</f>
        <v>5</v>
      </c>
      <c r="E3171" s="137">
        <f>Calculations!H712</f>
        <v>0</v>
      </c>
      <c r="F3171" t="str">
        <f t="shared" si="1155"/>
        <v xml:space="preserve">Low-Income Unit Applicable Fraction canot exceed 100% ensure that total units minus employee units is less than LI units for  building 5.
</v>
      </c>
      <c r="G3171" s="9" t="str">
        <f t="shared" ca="1" si="1156"/>
        <v>Enter a value for 'Number of Floors in the Tallest Building' in cell B60.
TRUE</v>
      </c>
    </row>
    <row r="3172" spans="1:7" ht="15" customHeight="1">
      <c r="A3172" t="str">
        <f t="shared" si="1154"/>
        <v/>
      </c>
      <c r="B3172">
        <f>Calculations!A713</f>
        <v>6</v>
      </c>
      <c r="E3172" s="137">
        <f>Calculations!H713</f>
        <v>0</v>
      </c>
      <c r="F3172" t="str">
        <f t="shared" si="1155"/>
        <v xml:space="preserve">Low-Income Unit Applicable Fraction canot exceed 100% ensure that total units minus employee units is less than LI units for  building 6.
</v>
      </c>
      <c r="G3172" s="9" t="str">
        <f t="shared" ca="1" si="1156"/>
        <v>Enter a value for 'Number of Floors in the Tallest Building' in cell B60.
TRUE</v>
      </c>
    </row>
    <row r="3173" spans="1:7" ht="15" customHeight="1">
      <c r="A3173" t="str">
        <f t="shared" si="1154"/>
        <v/>
      </c>
      <c r="B3173">
        <f>Calculations!A714</f>
        <v>7</v>
      </c>
      <c r="E3173" s="137">
        <f>Calculations!H714</f>
        <v>0</v>
      </c>
      <c r="F3173" t="str">
        <f t="shared" si="1155"/>
        <v xml:space="preserve">Low-Income Unit Applicable Fraction canot exceed 100% ensure that total units minus employee units is less than LI units for  building 7.
</v>
      </c>
      <c r="G3173" s="9" t="str">
        <f t="shared" ca="1" si="1156"/>
        <v>Enter a value for 'Number of Floors in the Tallest Building' in cell B60.
TRUE</v>
      </c>
    </row>
    <row r="3174" spans="1:7" ht="15" customHeight="1">
      <c r="A3174" t="str">
        <f t="shared" si="1154"/>
        <v/>
      </c>
      <c r="B3174">
        <f>Calculations!A715</f>
        <v>8</v>
      </c>
      <c r="E3174" s="137">
        <f>Calculations!H715</f>
        <v>0</v>
      </c>
      <c r="F3174" t="str">
        <f t="shared" si="1155"/>
        <v xml:space="preserve">Low-Income Unit Applicable Fraction canot exceed 100% ensure that total units minus employee units is less than LI units for  building 8.
</v>
      </c>
      <c r="G3174" s="9" t="str">
        <f t="shared" ca="1" si="1156"/>
        <v>Enter a value for 'Number of Floors in the Tallest Building' in cell B60.
TRUE</v>
      </c>
    </row>
    <row r="3175" spans="1:7" ht="15" customHeight="1">
      <c r="A3175" t="str">
        <f t="shared" si="1154"/>
        <v/>
      </c>
      <c r="B3175">
        <f>Calculations!A716</f>
        <v>9</v>
      </c>
      <c r="E3175" s="137">
        <f>Calculations!H716</f>
        <v>0</v>
      </c>
      <c r="F3175" t="str">
        <f t="shared" si="1155"/>
        <v xml:space="preserve">Low-Income Unit Applicable Fraction canot exceed 100% ensure that total units minus employee units is less than LI units for  building 9.
</v>
      </c>
      <c r="G3175" s="9" t="str">
        <f t="shared" ca="1" si="1156"/>
        <v>Enter a value for 'Number of Floors in the Tallest Building' in cell B60.
TRUE</v>
      </c>
    </row>
    <row r="3176" spans="1:7" ht="15" customHeight="1">
      <c r="A3176" t="str">
        <f t="shared" si="1154"/>
        <v/>
      </c>
      <c r="B3176">
        <f>Calculations!A717</f>
        <v>10</v>
      </c>
      <c r="E3176" s="137">
        <f>Calculations!H717</f>
        <v>0</v>
      </c>
      <c r="F3176" t="str">
        <f t="shared" si="1155"/>
        <v xml:space="preserve">Low-Income Unit Applicable Fraction canot exceed 100% ensure that total units minus employee units is less than LI units for  building 10.
</v>
      </c>
      <c r="G3176" s="9" t="str">
        <f t="shared" ca="1" si="1156"/>
        <v>Enter a value for 'Number of Floors in the Tallest Building' in cell B60.
TRUE</v>
      </c>
    </row>
    <row r="3177" spans="1:7" ht="15" customHeight="1">
      <c r="A3177" t="str">
        <f t="shared" si="1154"/>
        <v/>
      </c>
      <c r="B3177">
        <f>Calculations!A718</f>
        <v>11</v>
      </c>
      <c r="E3177" s="137">
        <f>Calculations!H718</f>
        <v>0</v>
      </c>
      <c r="F3177" t="str">
        <f t="shared" si="1155"/>
        <v xml:space="preserve">Low-Income Unit Applicable Fraction canot exceed 100% ensure that total units minus employee units is less than LI units for  building 11.
</v>
      </c>
      <c r="G3177" s="9" t="str">
        <f t="shared" ca="1" si="1156"/>
        <v>Enter a value for 'Number of Floors in the Tallest Building' in cell B60.
TRUE</v>
      </c>
    </row>
    <row r="3178" spans="1:7" ht="15" customHeight="1">
      <c r="A3178" t="str">
        <f t="shared" si="1154"/>
        <v/>
      </c>
      <c r="B3178">
        <f>Calculations!A719</f>
        <v>12</v>
      </c>
      <c r="E3178" s="137">
        <f>Calculations!H719</f>
        <v>0</v>
      </c>
      <c r="F3178" t="str">
        <f t="shared" si="1155"/>
        <v xml:space="preserve">Low-Income Unit Applicable Fraction canot exceed 100% ensure that total units minus employee units is less than LI units for  building 12.
</v>
      </c>
      <c r="G3178" s="9" t="str">
        <f t="shared" ca="1" si="1156"/>
        <v>Enter a value for 'Number of Floors in the Tallest Building' in cell B60.
TRUE</v>
      </c>
    </row>
    <row r="3179" spans="1:7" ht="15" customHeight="1">
      <c r="A3179" t="str">
        <f t="shared" si="1154"/>
        <v/>
      </c>
      <c r="B3179">
        <f>Calculations!A720</f>
        <v>13</v>
      </c>
      <c r="E3179" s="137">
        <f>Calculations!H720</f>
        <v>0</v>
      </c>
      <c r="F3179" t="str">
        <f t="shared" si="1155"/>
        <v xml:space="preserve">Low-Income Unit Applicable Fraction canot exceed 100% ensure that total units minus employee units is less than LI units for  building 13.
</v>
      </c>
      <c r="G3179" s="9" t="str">
        <f t="shared" ca="1" si="1156"/>
        <v>Enter a value for 'Number of Floors in the Tallest Building' in cell B60.
TRUE</v>
      </c>
    </row>
    <row r="3180" spans="1:7" ht="15" customHeight="1">
      <c r="A3180" t="str">
        <f t="shared" si="1154"/>
        <v/>
      </c>
      <c r="B3180">
        <f>Calculations!A721</f>
        <v>14</v>
      </c>
      <c r="E3180" s="137">
        <f>Calculations!H721</f>
        <v>0</v>
      </c>
      <c r="F3180" t="str">
        <f t="shared" si="1155"/>
        <v xml:space="preserve">Low-Income Unit Applicable Fraction canot exceed 100% ensure that total units minus employee units is less than LI units for  building 14.
</v>
      </c>
      <c r="G3180" s="9" t="str">
        <f t="shared" ca="1" si="1156"/>
        <v>Enter a value for 'Number of Floors in the Tallest Building' in cell B60.
TRUE</v>
      </c>
    </row>
    <row r="3181" spans="1:7" ht="15" customHeight="1">
      <c r="A3181" t="str">
        <f t="shared" si="1154"/>
        <v/>
      </c>
      <c r="B3181">
        <f>Calculations!A722</f>
        <v>15</v>
      </c>
      <c r="E3181" s="137">
        <f>Calculations!H722</f>
        <v>0</v>
      </c>
      <c r="F3181" t="str">
        <f t="shared" si="1155"/>
        <v xml:space="preserve">Low-Income Unit Applicable Fraction canot exceed 100% ensure that total units minus employee units is less than LI units for  building 15.
</v>
      </c>
      <c r="G3181" s="9" t="str">
        <f t="shared" ca="1" si="1156"/>
        <v>Enter a value for 'Number of Floors in the Tallest Building' in cell B60.
TRUE</v>
      </c>
    </row>
    <row r="3182" spans="1:7" ht="15" customHeight="1">
      <c r="A3182" t="str">
        <f t="shared" si="1154"/>
        <v/>
      </c>
      <c r="B3182">
        <f>Calculations!A723</f>
        <v>16</v>
      </c>
      <c r="E3182" s="137">
        <f>Calculations!H723</f>
        <v>0</v>
      </c>
      <c r="F3182" t="str">
        <f t="shared" si="1155"/>
        <v xml:space="preserve">Low-Income Unit Applicable Fraction canot exceed 100% ensure that total units minus employee units is less than LI units for  building 16.
</v>
      </c>
      <c r="G3182" s="9" t="str">
        <f t="shared" ca="1" si="1156"/>
        <v>Enter a value for 'Number of Floors in the Tallest Building' in cell B60.
TRUE</v>
      </c>
    </row>
    <row r="3183" spans="1:7" ht="15" customHeight="1">
      <c r="A3183" t="str">
        <f t="shared" si="1154"/>
        <v/>
      </c>
      <c r="B3183">
        <f>Calculations!A724</f>
        <v>17</v>
      </c>
      <c r="E3183" s="137">
        <f>Calculations!H724</f>
        <v>0</v>
      </c>
      <c r="F3183" t="str">
        <f t="shared" si="1155"/>
        <v xml:space="preserve">Low-Income Unit Applicable Fraction canot exceed 100% ensure that total units minus employee units is less than LI units for  building 17.
</v>
      </c>
      <c r="G3183" s="9" t="str">
        <f t="shared" ca="1" si="1156"/>
        <v>Enter a value for 'Number of Floors in the Tallest Building' in cell B60.
TRUE</v>
      </c>
    </row>
    <row r="3184" spans="1:7" ht="15" customHeight="1">
      <c r="A3184" t="str">
        <f t="shared" si="1154"/>
        <v/>
      </c>
      <c r="B3184">
        <f>Calculations!A725</f>
        <v>18</v>
      </c>
      <c r="E3184" s="137">
        <f>Calculations!H725</f>
        <v>0</v>
      </c>
      <c r="F3184" t="str">
        <f t="shared" si="1155"/>
        <v xml:space="preserve">Low-Income Unit Applicable Fraction canot exceed 100% ensure that total units minus employee units is less than LI units for  building 18.
</v>
      </c>
      <c r="G3184" s="9" t="str">
        <f t="shared" ca="1" si="1156"/>
        <v>Enter a value for 'Number of Floors in the Tallest Building' in cell B60.
TRUE</v>
      </c>
    </row>
    <row r="3185" spans="1:7" ht="15" customHeight="1">
      <c r="A3185" t="str">
        <f t="shared" si="1154"/>
        <v/>
      </c>
      <c r="B3185">
        <f>Calculations!A726</f>
        <v>19</v>
      </c>
      <c r="E3185" s="137">
        <f>Calculations!H726</f>
        <v>0</v>
      </c>
      <c r="F3185" t="str">
        <f t="shared" si="1155"/>
        <v xml:space="preserve">Low-Income Unit Applicable Fraction canot exceed 100% ensure that total units minus employee units is less than LI units for  building 19.
</v>
      </c>
      <c r="G3185" s="9" t="str">
        <f t="shared" ca="1" si="1156"/>
        <v>Enter a value for 'Number of Floors in the Tallest Building' in cell B60.
TRUE</v>
      </c>
    </row>
    <row r="3186" spans="1:7" ht="15" customHeight="1">
      <c r="A3186" t="str">
        <f t="shared" si="1154"/>
        <v/>
      </c>
      <c r="B3186">
        <f>Calculations!A727</f>
        <v>20</v>
      </c>
      <c r="E3186" s="137">
        <f>Calculations!H727</f>
        <v>0</v>
      </c>
      <c r="F3186" t="str">
        <f t="shared" si="1155"/>
        <v xml:space="preserve">Low-Income Unit Applicable Fraction canot exceed 100% ensure that total units minus employee units is less than LI units for  building 20.
</v>
      </c>
      <c r="G3186" s="9" t="str">
        <f t="shared" ca="1" si="1156"/>
        <v>Enter a value for 'Number of Floors in the Tallest Building' in cell B60.
TRUE</v>
      </c>
    </row>
    <row r="3187" spans="1:7" ht="15" customHeight="1">
      <c r="A3187" t="str">
        <f t="shared" si="1154"/>
        <v/>
      </c>
      <c r="B3187">
        <f>Calculations!A728</f>
        <v>21</v>
      </c>
      <c r="E3187" s="137">
        <f>Calculations!H728</f>
        <v>0</v>
      </c>
      <c r="F3187" t="str">
        <f t="shared" si="1155"/>
        <v xml:space="preserve">Low-Income Unit Applicable Fraction canot exceed 100% ensure that total units minus employee units is less than LI units for  building 21.
</v>
      </c>
      <c r="G3187" s="9" t="str">
        <f t="shared" ca="1" si="1156"/>
        <v>Enter a value for 'Number of Floors in the Tallest Building' in cell B60.
TRUE</v>
      </c>
    </row>
    <row r="3188" spans="1:7" ht="15" customHeight="1">
      <c r="A3188" t="str">
        <f t="shared" si="1154"/>
        <v/>
      </c>
      <c r="B3188">
        <f>Calculations!A729</f>
        <v>22</v>
      </c>
      <c r="E3188" s="137">
        <f>Calculations!H729</f>
        <v>0</v>
      </c>
      <c r="F3188" t="str">
        <f t="shared" si="1155"/>
        <v xml:space="preserve">Low-Income Unit Applicable Fraction canot exceed 100% ensure that total units minus employee units is less than LI units for  building 22.
</v>
      </c>
      <c r="G3188" s="9" t="str">
        <f t="shared" ca="1" si="1156"/>
        <v>Enter a value for 'Number of Floors in the Tallest Building' in cell B60.
TRUE</v>
      </c>
    </row>
    <row r="3189" spans="1:7" ht="15" customHeight="1">
      <c r="A3189" t="str">
        <f t="shared" si="1154"/>
        <v/>
      </c>
      <c r="B3189">
        <f>Calculations!A730</f>
        <v>23</v>
      </c>
      <c r="E3189" s="137">
        <f>Calculations!H730</f>
        <v>0</v>
      </c>
      <c r="F3189" t="str">
        <f t="shared" si="1155"/>
        <v xml:space="preserve">Low-Income Unit Applicable Fraction canot exceed 100% ensure that total units minus employee units is less than LI units for  building 23.
</v>
      </c>
      <c r="G3189" s="9" t="str">
        <f t="shared" ca="1" si="1156"/>
        <v>Enter a value for 'Number of Floors in the Tallest Building' in cell B60.
TRUE</v>
      </c>
    </row>
    <row r="3190" spans="1:7" ht="15" customHeight="1">
      <c r="A3190" t="str">
        <f t="shared" si="1154"/>
        <v/>
      </c>
      <c r="B3190">
        <f>Calculations!A731</f>
        <v>24</v>
      </c>
      <c r="E3190" s="137">
        <f>Calculations!H731</f>
        <v>0</v>
      </c>
      <c r="F3190" t="str">
        <f t="shared" si="1155"/>
        <v xml:space="preserve">Low-Income Unit Applicable Fraction canot exceed 100% ensure that total units minus employee units is less than LI units for  building 24.
</v>
      </c>
      <c r="G3190" s="9" t="str">
        <f t="shared" ca="1" si="1156"/>
        <v>Enter a value for 'Number of Floors in the Tallest Building' in cell B60.
TRUE</v>
      </c>
    </row>
    <row r="3191" spans="1:7" ht="15" customHeight="1">
      <c r="A3191" t="str">
        <f t="shared" si="1154"/>
        <v/>
      </c>
      <c r="B3191">
        <f>Calculations!A732</f>
        <v>25</v>
      </c>
      <c r="E3191" s="137">
        <f>Calculations!H732</f>
        <v>0</v>
      </c>
      <c r="F3191" t="str">
        <f t="shared" si="1155"/>
        <v xml:space="preserve">Low-Income Unit Applicable Fraction canot exceed 100% ensure that total units minus employee units is less than LI units for  building 25.
</v>
      </c>
      <c r="G3191" s="9" t="str">
        <f t="shared" ca="1" si="1156"/>
        <v>Enter a value for 'Number of Floors in the Tallest Building' in cell B60.
TRUE</v>
      </c>
    </row>
    <row r="3192" spans="1:7" ht="15" customHeight="1">
      <c r="A3192" t="str">
        <f t="shared" si="1154"/>
        <v/>
      </c>
      <c r="B3192">
        <f>Calculations!A733</f>
        <v>26</v>
      </c>
      <c r="E3192" s="137">
        <f>Calculations!H733</f>
        <v>0</v>
      </c>
      <c r="F3192" t="str">
        <f t="shared" si="1155"/>
        <v xml:space="preserve">Low-Income Unit Applicable Fraction canot exceed 100% ensure that total units minus employee units is less than LI units for  building 26.
</v>
      </c>
      <c r="G3192" s="9" t="str">
        <f t="shared" ca="1" si="1156"/>
        <v>Enter a value for 'Number of Floors in the Tallest Building' in cell B60.
TRUE</v>
      </c>
    </row>
    <row r="3193" spans="1:7" ht="15" customHeight="1">
      <c r="A3193" t="str">
        <f t="shared" si="1154"/>
        <v/>
      </c>
      <c r="B3193">
        <f>Calculations!A734</f>
        <v>27</v>
      </c>
      <c r="E3193" s="137">
        <f>Calculations!H734</f>
        <v>0</v>
      </c>
      <c r="F3193" t="str">
        <f t="shared" si="1155"/>
        <v xml:space="preserve">Low-Income Unit Applicable Fraction canot exceed 100% ensure that total units minus employee units is less than LI units for  building 27.
</v>
      </c>
      <c r="G3193" s="9" t="str">
        <f t="shared" ca="1" si="1156"/>
        <v>Enter a value for 'Number of Floors in the Tallest Building' in cell B60.
TRUE</v>
      </c>
    </row>
    <row r="3194" spans="1:7" ht="15" customHeight="1">
      <c r="A3194" t="str">
        <f t="shared" si="1154"/>
        <v/>
      </c>
      <c r="B3194">
        <f>Calculations!A735</f>
        <v>28</v>
      </c>
      <c r="E3194" s="137">
        <f>Calculations!H735</f>
        <v>0</v>
      </c>
      <c r="F3194" t="str">
        <f t="shared" si="1155"/>
        <v xml:space="preserve">Low-Income Unit Applicable Fraction canot exceed 100% ensure that total units minus employee units is less than LI units for  building 28.
</v>
      </c>
      <c r="G3194" s="9" t="str">
        <f t="shared" ca="1" si="1156"/>
        <v>Enter a value for 'Number of Floors in the Tallest Building' in cell B60.
TRUE</v>
      </c>
    </row>
    <row r="3195" spans="1:7" ht="15" customHeight="1">
      <c r="A3195" t="str">
        <f t="shared" si="1154"/>
        <v/>
      </c>
      <c r="B3195">
        <f>Calculations!A736</f>
        <v>29</v>
      </c>
      <c r="E3195" s="137">
        <f>Calculations!H736</f>
        <v>0</v>
      </c>
      <c r="F3195" t="str">
        <f t="shared" si="1155"/>
        <v xml:space="preserve">Low-Income Unit Applicable Fraction canot exceed 100% ensure that total units minus employee units is less than LI units for  building 29.
</v>
      </c>
      <c r="G3195" s="9" t="str">
        <f t="shared" ca="1" si="1156"/>
        <v>Enter a value for 'Number of Floors in the Tallest Building' in cell B60.
TRUE</v>
      </c>
    </row>
    <row r="3196" spans="1:7" ht="15" customHeight="1">
      <c r="A3196" t="str">
        <f t="shared" si="1154"/>
        <v/>
      </c>
      <c r="B3196">
        <f>Calculations!A737</f>
        <v>30</v>
      </c>
      <c r="E3196" s="137">
        <f>Calculations!H737</f>
        <v>0</v>
      </c>
      <c r="F3196" t="str">
        <f t="shared" si="1155"/>
        <v xml:space="preserve">Low-Income Unit Applicable Fraction canot exceed 100% ensure that total units minus employee units is less than LI units for  building 30.
</v>
      </c>
      <c r="G3196" s="9" t="str">
        <f t="shared" ca="1" si="1156"/>
        <v>Enter a value for 'Number of Floors in the Tallest Building' in cell B60.
TRUE</v>
      </c>
    </row>
    <row r="3197" spans="1:7" ht="15" customHeight="1">
      <c r="A3197" t="str">
        <f t="shared" si="1154"/>
        <v/>
      </c>
      <c r="B3197">
        <f>Calculations!A738</f>
        <v>31</v>
      </c>
      <c r="E3197" s="137">
        <f>Calculations!H738</f>
        <v>0</v>
      </c>
      <c r="F3197" t="str">
        <f t="shared" si="1155"/>
        <v xml:space="preserve">Low-Income Unit Applicable Fraction canot exceed 100% ensure that total units minus employee units is less than LI units for  building 31.
</v>
      </c>
      <c r="G3197" s="9" t="str">
        <f t="shared" ca="1" si="1156"/>
        <v>Enter a value for 'Number of Floors in the Tallest Building' in cell B60.
TRUE</v>
      </c>
    </row>
    <row r="3198" spans="1:7" ht="15" customHeight="1">
      <c r="A3198" t="str">
        <f t="shared" si="1154"/>
        <v/>
      </c>
      <c r="B3198">
        <f>Calculations!A739</f>
        <v>32</v>
      </c>
      <c r="E3198" s="137">
        <f>Calculations!H739</f>
        <v>0</v>
      </c>
      <c r="F3198" t="str">
        <f t="shared" si="1155"/>
        <v xml:space="preserve">Low-Income Unit Applicable Fraction canot exceed 100% ensure that total units minus employee units is less than LI units for  building 32.
</v>
      </c>
      <c r="G3198" s="9" t="str">
        <f t="shared" ca="1" si="1156"/>
        <v>Enter a value for 'Number of Floors in the Tallest Building' in cell B60.
TRUE</v>
      </c>
    </row>
    <row r="3199" spans="1:7" ht="15" customHeight="1">
      <c r="A3199" t="str">
        <f t="shared" ref="A3199:A3230" si="1157">IF(E3199&gt;1, F3199, "")</f>
        <v/>
      </c>
      <c r="B3199">
        <f>Calculations!A740</f>
        <v>33</v>
      </c>
      <c r="E3199" s="137">
        <f>Calculations!H740</f>
        <v>0</v>
      </c>
      <c r="F3199" t="str">
        <f t="shared" ref="F3199:F3230" si="1158">CONCATENATE("Low-Income Unit Applicable Fraction canot exceed 100% ensure that total units minus employee units is less than LI units for  building ", B3199, ".", CHAR(10))</f>
        <v xml:space="preserve">Low-Income Unit Applicable Fraction canot exceed 100% ensure that total units minus employee units is less than LI units for  building 33.
</v>
      </c>
      <c r="G3199" s="9" t="str">
        <f t="shared" ca="1" si="1156"/>
        <v>Enter a value for 'Number of Floors in the Tallest Building' in cell B60.
TRUE</v>
      </c>
    </row>
    <row r="3200" spans="1:7" ht="15" customHeight="1">
      <c r="A3200" t="str">
        <f t="shared" si="1157"/>
        <v/>
      </c>
      <c r="B3200">
        <f>Calculations!A741</f>
        <v>34</v>
      </c>
      <c r="E3200" s="137">
        <f>Calculations!H741</f>
        <v>0</v>
      </c>
      <c r="F3200" t="str">
        <f t="shared" si="1158"/>
        <v xml:space="preserve">Low-Income Unit Applicable Fraction canot exceed 100% ensure that total units minus employee units is less than LI units for  building 34.
</v>
      </c>
      <c r="G3200" s="9" t="str">
        <f t="shared" ca="1" si="1156"/>
        <v>Enter a value for 'Number of Floors in the Tallest Building' in cell B60.
TRUE</v>
      </c>
    </row>
    <row r="3201" spans="1:7" ht="15" customHeight="1">
      <c r="A3201" t="str">
        <f t="shared" si="1157"/>
        <v/>
      </c>
      <c r="B3201">
        <f>Calculations!A742</f>
        <v>35</v>
      </c>
      <c r="E3201" s="137">
        <f>Calculations!H742</f>
        <v>0</v>
      </c>
      <c r="F3201" t="str">
        <f t="shared" si="1158"/>
        <v xml:space="preserve">Low-Income Unit Applicable Fraction canot exceed 100% ensure that total units minus employee units is less than LI units for  building 35.
</v>
      </c>
      <c r="G3201" s="9" t="str">
        <f t="shared" ca="1" si="1156"/>
        <v>Enter a value for 'Number of Floors in the Tallest Building' in cell B60.
TRUE</v>
      </c>
    </row>
    <row r="3202" spans="1:7" ht="15" customHeight="1">
      <c r="A3202" t="str">
        <f t="shared" si="1157"/>
        <v/>
      </c>
      <c r="B3202">
        <f>Calculations!A743</f>
        <v>36</v>
      </c>
      <c r="E3202" s="137">
        <f>Calculations!H743</f>
        <v>0</v>
      </c>
      <c r="F3202" t="str">
        <f t="shared" si="1158"/>
        <v xml:space="preserve">Low-Income Unit Applicable Fraction canot exceed 100% ensure that total units minus employee units is less than LI units for  building 36.
</v>
      </c>
      <c r="G3202" s="9" t="str">
        <f t="shared" ca="1" si="1156"/>
        <v>Enter a value for 'Number of Floors in the Tallest Building' in cell B60.
TRUE</v>
      </c>
    </row>
    <row r="3203" spans="1:7" ht="15" customHeight="1">
      <c r="A3203" t="str">
        <f t="shared" si="1157"/>
        <v/>
      </c>
      <c r="B3203">
        <f>Calculations!A744</f>
        <v>37</v>
      </c>
      <c r="E3203" s="137">
        <f>Calculations!H744</f>
        <v>0</v>
      </c>
      <c r="F3203" t="str">
        <f t="shared" si="1158"/>
        <v xml:space="preserve">Low-Income Unit Applicable Fraction canot exceed 100% ensure that total units minus employee units is less than LI units for  building 37.
</v>
      </c>
      <c r="G3203" s="9" t="str">
        <f t="shared" ca="1" si="1156"/>
        <v>Enter a value for 'Number of Floors in the Tallest Building' in cell B60.
TRUE</v>
      </c>
    </row>
    <row r="3204" spans="1:7" ht="15" customHeight="1">
      <c r="A3204" t="str">
        <f t="shared" si="1157"/>
        <v/>
      </c>
      <c r="B3204">
        <f>Calculations!A745</f>
        <v>38</v>
      </c>
      <c r="E3204" s="137">
        <f>Calculations!H745</f>
        <v>0</v>
      </c>
      <c r="F3204" t="str">
        <f t="shared" si="1158"/>
        <v xml:space="preserve">Low-Income Unit Applicable Fraction canot exceed 100% ensure that total units minus employee units is less than LI units for  building 38.
</v>
      </c>
      <c r="G3204" s="9" t="str">
        <f t="shared" ca="1" si="1156"/>
        <v>Enter a value for 'Number of Floors in the Tallest Building' in cell B60.
TRUE</v>
      </c>
    </row>
    <row r="3205" spans="1:7" ht="15" customHeight="1">
      <c r="A3205" t="str">
        <f t="shared" si="1157"/>
        <v/>
      </c>
      <c r="B3205">
        <f>Calculations!A746</f>
        <v>39</v>
      </c>
      <c r="E3205" s="137">
        <f>Calculations!H746</f>
        <v>0</v>
      </c>
      <c r="F3205" t="str">
        <f t="shared" si="1158"/>
        <v xml:space="preserve">Low-Income Unit Applicable Fraction canot exceed 100% ensure that total units minus employee units is less than LI units for  building 39.
</v>
      </c>
      <c r="G3205" s="9" t="str">
        <f t="shared" ca="1" si="1156"/>
        <v>Enter a value for 'Number of Floors in the Tallest Building' in cell B60.
TRUE</v>
      </c>
    </row>
    <row r="3206" spans="1:7" ht="15" customHeight="1">
      <c r="A3206" t="str">
        <f t="shared" si="1157"/>
        <v/>
      </c>
      <c r="B3206">
        <f>Calculations!A747</f>
        <v>40</v>
      </c>
      <c r="E3206" s="137">
        <f>Calculations!H747</f>
        <v>0</v>
      </c>
      <c r="F3206" t="str">
        <f t="shared" si="1158"/>
        <v xml:space="preserve">Low-Income Unit Applicable Fraction canot exceed 100% ensure that total units minus employee units is less than LI units for  building 40.
</v>
      </c>
      <c r="G3206" s="9" t="str">
        <f t="shared" ca="1" si="1156"/>
        <v>Enter a value for 'Number of Floors in the Tallest Building' in cell B60.
TRUE</v>
      </c>
    </row>
    <row r="3207" spans="1:7" ht="15" customHeight="1">
      <c r="A3207" t="str">
        <f t="shared" si="1157"/>
        <v/>
      </c>
      <c r="B3207">
        <f>Calculations!A748</f>
        <v>41</v>
      </c>
      <c r="E3207" s="137">
        <f>Calculations!H748</f>
        <v>0</v>
      </c>
      <c r="F3207" t="str">
        <f t="shared" si="1158"/>
        <v xml:space="preserve">Low-Income Unit Applicable Fraction canot exceed 100% ensure that total units minus employee units is less than LI units for  building 41.
</v>
      </c>
      <c r="G3207" s="9" t="str">
        <f t="shared" ca="1" si="1156"/>
        <v>Enter a value for 'Number of Floors in the Tallest Building' in cell B60.
TRUE</v>
      </c>
    </row>
    <row r="3208" spans="1:7" ht="15" customHeight="1">
      <c r="A3208" t="str">
        <f t="shared" si="1157"/>
        <v/>
      </c>
      <c r="B3208">
        <f>Calculations!A749</f>
        <v>42</v>
      </c>
      <c r="E3208" s="137">
        <f>Calculations!H749</f>
        <v>0</v>
      </c>
      <c r="F3208" t="str">
        <f t="shared" si="1158"/>
        <v xml:space="preserve">Low-Income Unit Applicable Fraction canot exceed 100% ensure that total units minus employee units is less than LI units for  building 42.
</v>
      </c>
      <c r="G3208" s="9" t="str">
        <f t="shared" ca="1" si="1156"/>
        <v>Enter a value for 'Number of Floors in the Tallest Building' in cell B60.
TRUE</v>
      </c>
    </row>
    <row r="3209" spans="1:7" ht="15" customHeight="1">
      <c r="A3209" t="str">
        <f t="shared" si="1157"/>
        <v/>
      </c>
      <c r="B3209">
        <f>Calculations!A750</f>
        <v>43</v>
      </c>
      <c r="E3209" s="137">
        <f>Calculations!H750</f>
        <v>0</v>
      </c>
      <c r="F3209" t="str">
        <f t="shared" si="1158"/>
        <v xml:space="preserve">Low-Income Unit Applicable Fraction canot exceed 100% ensure that total units minus employee units is less than LI units for  building 43.
</v>
      </c>
      <c r="G3209" s="9" t="str">
        <f t="shared" ca="1" si="1156"/>
        <v>Enter a value for 'Number of Floors in the Tallest Building' in cell B60.
TRUE</v>
      </c>
    </row>
    <row r="3210" spans="1:7" ht="15" customHeight="1">
      <c r="A3210" t="str">
        <f t="shared" si="1157"/>
        <v/>
      </c>
      <c r="B3210">
        <f>Calculations!A751</f>
        <v>44</v>
      </c>
      <c r="E3210" s="137">
        <f>Calculations!H751</f>
        <v>0</v>
      </c>
      <c r="F3210" t="str">
        <f t="shared" si="1158"/>
        <v xml:space="preserve">Low-Income Unit Applicable Fraction canot exceed 100% ensure that total units minus employee units is less than LI units for  building 44.
</v>
      </c>
      <c r="G3210" s="9" t="str">
        <f t="shared" ca="1" si="1156"/>
        <v>Enter a value for 'Number of Floors in the Tallest Building' in cell B60.
TRUE</v>
      </c>
    </row>
    <row r="3211" spans="1:7" ht="15" customHeight="1">
      <c r="A3211" t="str">
        <f t="shared" si="1157"/>
        <v/>
      </c>
      <c r="B3211">
        <f>Calculations!A752</f>
        <v>45</v>
      </c>
      <c r="E3211" s="137">
        <f>Calculations!H752</f>
        <v>0</v>
      </c>
      <c r="F3211" t="str">
        <f t="shared" si="1158"/>
        <v xml:space="preserve">Low-Income Unit Applicable Fraction canot exceed 100% ensure that total units minus employee units is less than LI units for  building 45.
</v>
      </c>
      <c r="G3211" s="9" t="str">
        <f t="shared" ca="1" si="1156"/>
        <v>Enter a value for 'Number of Floors in the Tallest Building' in cell B60.
TRUE</v>
      </c>
    </row>
    <row r="3212" spans="1:7" ht="15" customHeight="1">
      <c r="A3212" t="str">
        <f t="shared" si="1157"/>
        <v/>
      </c>
      <c r="B3212">
        <f>Calculations!A753</f>
        <v>46</v>
      </c>
      <c r="E3212" s="137">
        <f>Calculations!H753</f>
        <v>0</v>
      </c>
      <c r="F3212" t="str">
        <f t="shared" si="1158"/>
        <v xml:space="preserve">Low-Income Unit Applicable Fraction canot exceed 100% ensure that total units minus employee units is less than LI units for  building 46.
</v>
      </c>
      <c r="G3212" s="9" t="str">
        <f t="shared" ca="1" si="1156"/>
        <v>Enter a value for 'Number of Floors in the Tallest Building' in cell B60.
TRUE</v>
      </c>
    </row>
    <row r="3213" spans="1:7" ht="15" customHeight="1">
      <c r="A3213" t="str">
        <f t="shared" si="1157"/>
        <v/>
      </c>
      <c r="B3213">
        <f>Calculations!A754</f>
        <v>47</v>
      </c>
      <c r="E3213" s="137">
        <f>Calculations!H754</f>
        <v>0</v>
      </c>
      <c r="F3213" t="str">
        <f t="shared" si="1158"/>
        <v xml:space="preserve">Low-Income Unit Applicable Fraction canot exceed 100% ensure that total units minus employee units is less than LI units for  building 47.
</v>
      </c>
      <c r="G3213" s="9" t="str">
        <f t="shared" ca="1" si="1156"/>
        <v>Enter a value for 'Number of Floors in the Tallest Building' in cell B60.
TRUE</v>
      </c>
    </row>
    <row r="3214" spans="1:7" ht="15" customHeight="1">
      <c r="A3214" t="str">
        <f t="shared" si="1157"/>
        <v/>
      </c>
      <c r="B3214">
        <f>Calculations!A755</f>
        <v>48</v>
      </c>
      <c r="E3214" s="137">
        <f>Calculations!H755</f>
        <v>0</v>
      </c>
      <c r="F3214" t="str">
        <f t="shared" si="1158"/>
        <v xml:space="preserve">Low-Income Unit Applicable Fraction canot exceed 100% ensure that total units minus employee units is less than LI units for  building 48.
</v>
      </c>
      <c r="G3214" s="9" t="str">
        <f t="shared" ca="1" si="1156"/>
        <v>Enter a value for 'Number of Floors in the Tallest Building' in cell B60.
TRUE</v>
      </c>
    </row>
    <row r="3215" spans="1:7" ht="15" customHeight="1">
      <c r="A3215" t="str">
        <f t="shared" si="1157"/>
        <v/>
      </c>
      <c r="B3215">
        <f>Calculations!A756</f>
        <v>49</v>
      </c>
      <c r="E3215" s="137">
        <f>Calculations!H756</f>
        <v>0</v>
      </c>
      <c r="F3215" t="str">
        <f t="shared" si="1158"/>
        <v xml:space="preserve">Low-Income Unit Applicable Fraction canot exceed 100% ensure that total units minus employee units is less than LI units for  building 49.
</v>
      </c>
      <c r="G3215" s="9" t="str">
        <f t="shared" ca="1" si="1156"/>
        <v>Enter a value for 'Number of Floors in the Tallest Building' in cell B60.
TRUE</v>
      </c>
    </row>
    <row r="3216" spans="1:7" ht="15" customHeight="1">
      <c r="A3216" t="str">
        <f t="shared" si="1157"/>
        <v/>
      </c>
      <c r="B3216">
        <f>Calculations!A757</f>
        <v>50</v>
      </c>
      <c r="E3216" s="137">
        <f>Calculations!H757</f>
        <v>0</v>
      </c>
      <c r="F3216" t="str">
        <f t="shared" si="1158"/>
        <v xml:space="preserve">Low-Income Unit Applicable Fraction canot exceed 100% ensure that total units minus employee units is less than LI units for  building 50.
</v>
      </c>
      <c r="G3216" s="9" t="str">
        <f t="shared" ca="1" si="1156"/>
        <v>Enter a value for 'Number of Floors in the Tallest Building' in cell B60.
TRUE</v>
      </c>
    </row>
    <row r="3217" spans="1:7" ht="15" customHeight="1">
      <c r="A3217" t="str">
        <f t="shared" si="1157"/>
        <v/>
      </c>
      <c r="B3217">
        <f>Calculations!A758</f>
        <v>51</v>
      </c>
      <c r="E3217" s="137">
        <f>Calculations!H758</f>
        <v>0</v>
      </c>
      <c r="F3217" t="str">
        <f t="shared" si="1158"/>
        <v xml:space="preserve">Low-Income Unit Applicable Fraction canot exceed 100% ensure that total units minus employee units is less than LI units for  building 51.
</v>
      </c>
      <c r="G3217" s="9" t="str">
        <f t="shared" ca="1" si="1156"/>
        <v>Enter a value for 'Number of Floors in the Tallest Building' in cell B60.
TRUE</v>
      </c>
    </row>
    <row r="3218" spans="1:7" ht="15" customHeight="1">
      <c r="A3218" t="str">
        <f t="shared" si="1157"/>
        <v/>
      </c>
      <c r="B3218">
        <f>Calculations!A759</f>
        <v>52</v>
      </c>
      <c r="E3218" s="137">
        <f>Calculations!H759</f>
        <v>0</v>
      </c>
      <c r="F3218" t="str">
        <f t="shared" si="1158"/>
        <v xml:space="preserve">Low-Income Unit Applicable Fraction canot exceed 100% ensure that total units minus employee units is less than LI units for  building 52.
</v>
      </c>
      <c r="G3218" s="9" t="str">
        <f t="shared" ca="1" si="1156"/>
        <v>Enter a value for 'Number of Floors in the Tallest Building' in cell B60.
TRUE</v>
      </c>
    </row>
    <row r="3219" spans="1:7" ht="15" customHeight="1">
      <c r="A3219" t="str">
        <f t="shared" si="1157"/>
        <v/>
      </c>
      <c r="B3219">
        <f>Calculations!A760</f>
        <v>53</v>
      </c>
      <c r="E3219" s="137">
        <f>Calculations!H760</f>
        <v>0</v>
      </c>
      <c r="F3219" t="str">
        <f t="shared" si="1158"/>
        <v xml:space="preserve">Low-Income Unit Applicable Fraction canot exceed 100% ensure that total units minus employee units is less than LI units for  building 53.
</v>
      </c>
      <c r="G3219" s="9" t="str">
        <f t="shared" ca="1" si="1156"/>
        <v>Enter a value for 'Number of Floors in the Tallest Building' in cell B60.
TRUE</v>
      </c>
    </row>
    <row r="3220" spans="1:7" ht="15" customHeight="1">
      <c r="A3220" t="str">
        <f t="shared" si="1157"/>
        <v/>
      </c>
      <c r="B3220">
        <f>Calculations!A761</f>
        <v>54</v>
      </c>
      <c r="E3220" s="137">
        <f>Calculations!H761</f>
        <v>0</v>
      </c>
      <c r="F3220" t="str">
        <f t="shared" si="1158"/>
        <v xml:space="preserve">Low-Income Unit Applicable Fraction canot exceed 100% ensure that total units minus employee units is less than LI units for  building 54.
</v>
      </c>
      <c r="G3220" s="9" t="str">
        <f t="shared" ca="1" si="1156"/>
        <v>Enter a value for 'Number of Floors in the Tallest Building' in cell B60.
TRUE</v>
      </c>
    </row>
    <row r="3221" spans="1:7" ht="15" customHeight="1">
      <c r="A3221" t="str">
        <f t="shared" si="1157"/>
        <v/>
      </c>
      <c r="B3221">
        <f>Calculations!A762</f>
        <v>55</v>
      </c>
      <c r="E3221" s="137">
        <f>Calculations!H762</f>
        <v>0</v>
      </c>
      <c r="F3221" t="str">
        <f t="shared" si="1158"/>
        <v xml:space="preserve">Low-Income Unit Applicable Fraction canot exceed 100% ensure that total units minus employee units is less than LI units for  building 55.
</v>
      </c>
      <c r="G3221" s="9" t="str">
        <f t="shared" ca="1" si="1156"/>
        <v>Enter a value for 'Number of Floors in the Tallest Building' in cell B60.
TRUE</v>
      </c>
    </row>
    <row r="3222" spans="1:7" ht="15" customHeight="1">
      <c r="A3222" t="str">
        <f t="shared" si="1157"/>
        <v/>
      </c>
      <c r="B3222">
        <f>Calculations!A763</f>
        <v>56</v>
      </c>
      <c r="E3222" s="137">
        <f>Calculations!H763</f>
        <v>0</v>
      </c>
      <c r="F3222" t="str">
        <f t="shared" si="1158"/>
        <v xml:space="preserve">Low-Income Unit Applicable Fraction canot exceed 100% ensure that total units minus employee units is less than LI units for  building 56.
</v>
      </c>
      <c r="G3222" s="9" t="str">
        <f t="shared" ca="1" si="1156"/>
        <v>Enter a value for 'Number of Floors in the Tallest Building' in cell B60.
TRUE</v>
      </c>
    </row>
    <row r="3223" spans="1:7" ht="15" customHeight="1">
      <c r="A3223" t="str">
        <f t="shared" si="1157"/>
        <v/>
      </c>
      <c r="B3223">
        <f>Calculations!A764</f>
        <v>57</v>
      </c>
      <c r="E3223" s="137">
        <f>Calculations!H764</f>
        <v>0</v>
      </c>
      <c r="F3223" t="str">
        <f t="shared" si="1158"/>
        <v xml:space="preserve">Low-Income Unit Applicable Fraction canot exceed 100% ensure that total units minus employee units is less than LI units for  building 57.
</v>
      </c>
      <c r="G3223" s="9" t="str">
        <f t="shared" ca="1" si="1156"/>
        <v>Enter a value for 'Number of Floors in the Tallest Building' in cell B60.
TRUE</v>
      </c>
    </row>
    <row r="3224" spans="1:7" ht="15" customHeight="1">
      <c r="A3224" t="str">
        <f t="shared" si="1157"/>
        <v/>
      </c>
      <c r="B3224">
        <f>Calculations!A765</f>
        <v>58</v>
      </c>
      <c r="E3224" s="137">
        <f>Calculations!H765</f>
        <v>0</v>
      </c>
      <c r="F3224" t="str">
        <f t="shared" si="1158"/>
        <v xml:space="preserve">Low-Income Unit Applicable Fraction canot exceed 100% ensure that total units minus employee units is less than LI units for  building 58.
</v>
      </c>
      <c r="G3224" s="9" t="str">
        <f t="shared" ca="1" si="1156"/>
        <v>Enter a value for 'Number of Floors in the Tallest Building' in cell B60.
TRUE</v>
      </c>
    </row>
    <row r="3225" spans="1:7" ht="15" customHeight="1">
      <c r="A3225" t="str">
        <f t="shared" si="1157"/>
        <v/>
      </c>
      <c r="B3225">
        <f>Calculations!A766</f>
        <v>59</v>
      </c>
      <c r="E3225" s="137">
        <f>Calculations!H766</f>
        <v>0</v>
      </c>
      <c r="F3225" t="str">
        <f t="shared" si="1158"/>
        <v xml:space="preserve">Low-Income Unit Applicable Fraction canot exceed 100% ensure that total units minus employee units is less than LI units for  building 59.
</v>
      </c>
      <c r="G3225" s="9" t="str">
        <f t="shared" ca="1" si="1156"/>
        <v>Enter a value for 'Number of Floors in the Tallest Building' in cell B60.
TRUE</v>
      </c>
    </row>
    <row r="3226" spans="1:7" ht="15" customHeight="1">
      <c r="A3226" t="str">
        <f t="shared" si="1157"/>
        <v/>
      </c>
      <c r="B3226">
        <f>Calculations!A767</f>
        <v>60</v>
      </c>
      <c r="E3226" s="137">
        <f>Calculations!H767</f>
        <v>0</v>
      </c>
      <c r="F3226" t="str">
        <f t="shared" si="1158"/>
        <v xml:space="preserve">Low-Income Unit Applicable Fraction canot exceed 100% ensure that total units minus employee units is less than LI units for  building 60.
</v>
      </c>
      <c r="G3226" s="9" t="str">
        <f t="shared" ca="1" si="1156"/>
        <v>Enter a value for 'Number of Floors in the Tallest Building' in cell B60.
TRUE</v>
      </c>
    </row>
    <row r="3227" spans="1:7" ht="15" customHeight="1">
      <c r="A3227" t="str">
        <f t="shared" si="1157"/>
        <v/>
      </c>
      <c r="B3227">
        <f>Calculations!A768</f>
        <v>61</v>
      </c>
      <c r="E3227" s="137">
        <f>Calculations!H768</f>
        <v>0</v>
      </c>
      <c r="F3227" t="str">
        <f t="shared" si="1158"/>
        <v xml:space="preserve">Low-Income Unit Applicable Fraction canot exceed 100% ensure that total units minus employee units is less than LI units for  building 61.
</v>
      </c>
      <c r="G3227" s="9" t="str">
        <f t="shared" ca="1" si="1156"/>
        <v>Enter a value for 'Number of Floors in the Tallest Building' in cell B60.
TRUE</v>
      </c>
    </row>
    <row r="3228" spans="1:7" ht="15" customHeight="1">
      <c r="A3228" t="str">
        <f t="shared" si="1157"/>
        <v/>
      </c>
      <c r="B3228">
        <f>Calculations!A769</f>
        <v>62</v>
      </c>
      <c r="E3228" s="137">
        <f>Calculations!H769</f>
        <v>0</v>
      </c>
      <c r="F3228" t="str">
        <f t="shared" si="1158"/>
        <v xml:space="preserve">Low-Income Unit Applicable Fraction canot exceed 100% ensure that total units minus employee units is less than LI units for  building 62.
</v>
      </c>
      <c r="G3228" s="9" t="str">
        <f t="shared" ca="1" si="1156"/>
        <v>Enter a value for 'Number of Floors in the Tallest Building' in cell B60.
TRUE</v>
      </c>
    </row>
    <row r="3229" spans="1:7" ht="15" customHeight="1">
      <c r="A3229" t="str">
        <f t="shared" si="1157"/>
        <v/>
      </c>
      <c r="B3229">
        <f>Calculations!A770</f>
        <v>63</v>
      </c>
      <c r="E3229" s="137">
        <f>Calculations!H770</f>
        <v>0</v>
      </c>
      <c r="F3229" t="str">
        <f t="shared" si="1158"/>
        <v xml:space="preserve">Low-Income Unit Applicable Fraction canot exceed 100% ensure that total units minus employee units is less than LI units for  building 63.
</v>
      </c>
      <c r="G3229" s="9" t="str">
        <f t="shared" ca="1" si="1156"/>
        <v>Enter a value for 'Number of Floors in the Tallest Building' in cell B60.
TRUE</v>
      </c>
    </row>
    <row r="3230" spans="1:7" ht="15" customHeight="1">
      <c r="A3230" t="str">
        <f t="shared" si="1157"/>
        <v/>
      </c>
      <c r="B3230">
        <f>Calculations!A771</f>
        <v>64</v>
      </c>
      <c r="E3230" s="137">
        <f>Calculations!H771</f>
        <v>0</v>
      </c>
      <c r="F3230" t="str">
        <f t="shared" si="1158"/>
        <v xml:space="preserve">Low-Income Unit Applicable Fraction canot exceed 100% ensure that total units minus employee units is less than LI units for  building 64.
</v>
      </c>
      <c r="G3230" s="9" t="str">
        <f t="shared" ca="1" si="1156"/>
        <v>Enter a value for 'Number of Floors in the Tallest Building' in cell B60.
TRUE</v>
      </c>
    </row>
    <row r="3231" spans="1:7" ht="15" customHeight="1">
      <c r="A3231" t="str">
        <f t="shared" ref="A3231:A3262" si="1159">IF(E3231&gt;1, F3231, "")</f>
        <v/>
      </c>
      <c r="B3231">
        <f>Calculations!A772</f>
        <v>65</v>
      </c>
      <c r="E3231" s="137">
        <f>Calculations!H772</f>
        <v>0</v>
      </c>
      <c r="F3231" t="str">
        <f t="shared" ref="F3231:F3265" si="1160">CONCATENATE("Low-Income Unit Applicable Fraction canot exceed 100% ensure that total units minus employee units is less than LI units for  building ", B3231, ".", CHAR(10))</f>
        <v xml:space="preserve">Low-Income Unit Applicable Fraction canot exceed 100% ensure that total units minus employee units is less than LI units for  building 65.
</v>
      </c>
      <c r="G3231" s="9" t="str">
        <f t="shared" ca="1" si="1156"/>
        <v>Enter a value for 'Number of Floors in the Tallest Building' in cell B60.
TRUE</v>
      </c>
    </row>
    <row r="3232" spans="1:7" ht="15" customHeight="1">
      <c r="A3232" t="str">
        <f t="shared" si="1159"/>
        <v/>
      </c>
      <c r="B3232">
        <f>Calculations!A773</f>
        <v>66</v>
      </c>
      <c r="E3232" s="137">
        <f>Calculations!H773</f>
        <v>0</v>
      </c>
      <c r="F3232" t="str">
        <f t="shared" si="1160"/>
        <v xml:space="preserve">Low-Income Unit Applicable Fraction canot exceed 100% ensure that total units minus employee units is less than LI units for  building 66.
</v>
      </c>
      <c r="G3232" s="9" t="str">
        <f t="shared" ref="G3232:G3295" ca="1" si="1161">OFFSET(G3232, -1, 0) &amp; A3232</f>
        <v>Enter a value for 'Number of Floors in the Tallest Building' in cell B60.
TRUE</v>
      </c>
    </row>
    <row r="3233" spans="1:7" ht="15" customHeight="1">
      <c r="A3233" t="str">
        <f t="shared" si="1159"/>
        <v/>
      </c>
      <c r="B3233">
        <f>Calculations!A774</f>
        <v>67</v>
      </c>
      <c r="E3233" s="137">
        <f>Calculations!H774</f>
        <v>0</v>
      </c>
      <c r="F3233" t="str">
        <f t="shared" si="1160"/>
        <v xml:space="preserve">Low-Income Unit Applicable Fraction canot exceed 100% ensure that total units minus employee units is less than LI units for  building 67.
</v>
      </c>
      <c r="G3233" s="9" t="str">
        <f t="shared" ca="1" si="1161"/>
        <v>Enter a value for 'Number of Floors in the Tallest Building' in cell B60.
TRUE</v>
      </c>
    </row>
    <row r="3234" spans="1:7" ht="15" customHeight="1">
      <c r="A3234" t="str">
        <f t="shared" si="1159"/>
        <v/>
      </c>
      <c r="B3234">
        <f>Calculations!A775</f>
        <v>68</v>
      </c>
      <c r="E3234" s="137">
        <f>Calculations!H775</f>
        <v>0</v>
      </c>
      <c r="F3234" t="str">
        <f t="shared" si="1160"/>
        <v xml:space="preserve">Low-Income Unit Applicable Fraction canot exceed 100% ensure that total units minus employee units is less than LI units for  building 68.
</v>
      </c>
      <c r="G3234" s="9" t="str">
        <f t="shared" ca="1" si="1161"/>
        <v>Enter a value for 'Number of Floors in the Tallest Building' in cell B60.
TRUE</v>
      </c>
    </row>
    <row r="3235" spans="1:7" ht="15" customHeight="1">
      <c r="A3235" t="str">
        <f t="shared" si="1159"/>
        <v/>
      </c>
      <c r="B3235">
        <f>Calculations!A776</f>
        <v>69</v>
      </c>
      <c r="E3235" s="137">
        <f>Calculations!H776</f>
        <v>0</v>
      </c>
      <c r="F3235" t="str">
        <f t="shared" si="1160"/>
        <v xml:space="preserve">Low-Income Unit Applicable Fraction canot exceed 100% ensure that total units minus employee units is less than LI units for  building 69.
</v>
      </c>
      <c r="G3235" s="9" t="str">
        <f t="shared" ca="1" si="1161"/>
        <v>Enter a value for 'Number of Floors in the Tallest Building' in cell B60.
TRUE</v>
      </c>
    </row>
    <row r="3236" spans="1:7" ht="15" customHeight="1">
      <c r="A3236" t="str">
        <f t="shared" si="1159"/>
        <v/>
      </c>
      <c r="B3236">
        <f>Calculations!A777</f>
        <v>70</v>
      </c>
      <c r="E3236" s="137">
        <f>Calculations!H777</f>
        <v>0</v>
      </c>
      <c r="F3236" t="str">
        <f t="shared" si="1160"/>
        <v xml:space="preserve">Low-Income Unit Applicable Fraction canot exceed 100% ensure that total units minus employee units is less than LI units for  building 70.
</v>
      </c>
      <c r="G3236" s="9" t="str">
        <f t="shared" ca="1" si="1161"/>
        <v>Enter a value for 'Number of Floors in the Tallest Building' in cell B60.
TRUE</v>
      </c>
    </row>
    <row r="3237" spans="1:7" ht="15" customHeight="1">
      <c r="A3237" t="str">
        <f t="shared" si="1159"/>
        <v/>
      </c>
      <c r="B3237">
        <f>Calculations!A778</f>
        <v>71</v>
      </c>
      <c r="E3237" s="137">
        <f>Calculations!H778</f>
        <v>0</v>
      </c>
      <c r="F3237" t="str">
        <f t="shared" si="1160"/>
        <v xml:space="preserve">Low-Income Unit Applicable Fraction canot exceed 100% ensure that total units minus employee units is less than LI units for  building 71.
</v>
      </c>
      <c r="G3237" s="9" t="str">
        <f t="shared" ca="1" si="1161"/>
        <v>Enter a value for 'Number of Floors in the Tallest Building' in cell B60.
TRUE</v>
      </c>
    </row>
    <row r="3238" spans="1:7" ht="15" customHeight="1">
      <c r="A3238" t="str">
        <f t="shared" si="1159"/>
        <v/>
      </c>
      <c r="B3238">
        <f>Calculations!A779</f>
        <v>72</v>
      </c>
      <c r="E3238" s="137">
        <f>Calculations!H779</f>
        <v>0</v>
      </c>
      <c r="F3238" t="str">
        <f t="shared" si="1160"/>
        <v xml:space="preserve">Low-Income Unit Applicable Fraction canot exceed 100% ensure that total units minus employee units is less than LI units for  building 72.
</v>
      </c>
      <c r="G3238" s="9" t="str">
        <f t="shared" ca="1" si="1161"/>
        <v>Enter a value for 'Number of Floors in the Tallest Building' in cell B60.
TRUE</v>
      </c>
    </row>
    <row r="3239" spans="1:7" ht="15" customHeight="1">
      <c r="A3239" t="str">
        <f t="shared" si="1159"/>
        <v/>
      </c>
      <c r="B3239">
        <f>Calculations!A780</f>
        <v>73</v>
      </c>
      <c r="E3239" s="137">
        <f>Calculations!H780</f>
        <v>0</v>
      </c>
      <c r="F3239" t="str">
        <f t="shared" si="1160"/>
        <v xml:space="preserve">Low-Income Unit Applicable Fraction canot exceed 100% ensure that total units minus employee units is less than LI units for  building 73.
</v>
      </c>
      <c r="G3239" s="9" t="str">
        <f t="shared" ca="1" si="1161"/>
        <v>Enter a value for 'Number of Floors in the Tallest Building' in cell B60.
TRUE</v>
      </c>
    </row>
    <row r="3240" spans="1:7" ht="15" customHeight="1">
      <c r="A3240" t="str">
        <f t="shared" si="1159"/>
        <v/>
      </c>
      <c r="B3240">
        <f>Calculations!A781</f>
        <v>74</v>
      </c>
      <c r="E3240" s="137">
        <f>Calculations!H781</f>
        <v>0</v>
      </c>
      <c r="F3240" t="str">
        <f t="shared" si="1160"/>
        <v xml:space="preserve">Low-Income Unit Applicable Fraction canot exceed 100% ensure that total units minus employee units is less than LI units for  building 74.
</v>
      </c>
      <c r="G3240" s="9" t="str">
        <f t="shared" ca="1" si="1161"/>
        <v>Enter a value for 'Number of Floors in the Tallest Building' in cell B60.
TRUE</v>
      </c>
    </row>
    <row r="3241" spans="1:7" ht="15" customHeight="1">
      <c r="A3241" t="str">
        <f t="shared" si="1159"/>
        <v/>
      </c>
      <c r="B3241">
        <f>Calculations!A782</f>
        <v>75</v>
      </c>
      <c r="E3241" s="137">
        <f>Calculations!H782</f>
        <v>0</v>
      </c>
      <c r="F3241" t="str">
        <f t="shared" si="1160"/>
        <v xml:space="preserve">Low-Income Unit Applicable Fraction canot exceed 100% ensure that total units minus employee units is less than LI units for  building 75.
</v>
      </c>
      <c r="G3241" s="9" t="str">
        <f t="shared" ca="1" si="1161"/>
        <v>Enter a value for 'Number of Floors in the Tallest Building' in cell B60.
TRUE</v>
      </c>
    </row>
    <row r="3242" spans="1:7" ht="15" customHeight="1">
      <c r="A3242" t="str">
        <f t="shared" si="1159"/>
        <v/>
      </c>
      <c r="B3242">
        <f>Calculations!A783</f>
        <v>76</v>
      </c>
      <c r="E3242" s="137">
        <f>Calculations!H783</f>
        <v>0</v>
      </c>
      <c r="F3242" t="str">
        <f t="shared" si="1160"/>
        <v xml:space="preserve">Low-Income Unit Applicable Fraction canot exceed 100% ensure that total units minus employee units is less than LI units for  building 76.
</v>
      </c>
      <c r="G3242" s="9" t="str">
        <f t="shared" ca="1" si="1161"/>
        <v>Enter a value for 'Number of Floors in the Tallest Building' in cell B60.
TRUE</v>
      </c>
    </row>
    <row r="3243" spans="1:7" ht="15" customHeight="1">
      <c r="A3243" t="str">
        <f t="shared" si="1159"/>
        <v/>
      </c>
      <c r="B3243">
        <f>Calculations!A784</f>
        <v>77</v>
      </c>
      <c r="E3243" s="137">
        <f>Calculations!H784</f>
        <v>0</v>
      </c>
      <c r="F3243" t="str">
        <f t="shared" si="1160"/>
        <v xml:space="preserve">Low-Income Unit Applicable Fraction canot exceed 100% ensure that total units minus employee units is less than LI units for  building 77.
</v>
      </c>
      <c r="G3243" s="9" t="str">
        <f t="shared" ca="1" si="1161"/>
        <v>Enter a value for 'Number of Floors in the Tallest Building' in cell B60.
TRUE</v>
      </c>
    </row>
    <row r="3244" spans="1:7" ht="15" customHeight="1">
      <c r="A3244" t="str">
        <f t="shared" si="1159"/>
        <v/>
      </c>
      <c r="B3244">
        <f>Calculations!A785</f>
        <v>78</v>
      </c>
      <c r="E3244" s="137">
        <f>Calculations!H785</f>
        <v>0</v>
      </c>
      <c r="F3244" t="str">
        <f t="shared" si="1160"/>
        <v xml:space="preserve">Low-Income Unit Applicable Fraction canot exceed 100% ensure that total units minus employee units is less than LI units for  building 78.
</v>
      </c>
      <c r="G3244" s="9" t="str">
        <f t="shared" ca="1" si="1161"/>
        <v>Enter a value for 'Number of Floors in the Tallest Building' in cell B60.
TRUE</v>
      </c>
    </row>
    <row r="3245" spans="1:7" ht="15" customHeight="1">
      <c r="A3245" t="str">
        <f t="shared" si="1159"/>
        <v/>
      </c>
      <c r="B3245">
        <f>Calculations!A786</f>
        <v>79</v>
      </c>
      <c r="E3245" s="137">
        <f>Calculations!H786</f>
        <v>0</v>
      </c>
      <c r="F3245" t="str">
        <f t="shared" si="1160"/>
        <v xml:space="preserve">Low-Income Unit Applicable Fraction canot exceed 100% ensure that total units minus employee units is less than LI units for  building 79.
</v>
      </c>
      <c r="G3245" s="9" t="str">
        <f t="shared" ca="1" si="1161"/>
        <v>Enter a value for 'Number of Floors in the Tallest Building' in cell B60.
TRUE</v>
      </c>
    </row>
    <row r="3246" spans="1:7" ht="15" customHeight="1">
      <c r="A3246" t="str">
        <f t="shared" si="1159"/>
        <v/>
      </c>
      <c r="B3246">
        <f>Calculations!A787</f>
        <v>80</v>
      </c>
      <c r="E3246" s="137">
        <f>Calculations!H787</f>
        <v>0</v>
      </c>
      <c r="F3246" t="str">
        <f t="shared" si="1160"/>
        <v xml:space="preserve">Low-Income Unit Applicable Fraction canot exceed 100% ensure that total units minus employee units is less than LI units for  building 80.
</v>
      </c>
      <c r="G3246" s="9" t="str">
        <f t="shared" ca="1" si="1161"/>
        <v>Enter a value for 'Number of Floors in the Tallest Building' in cell B60.
TRUE</v>
      </c>
    </row>
    <row r="3247" spans="1:7" ht="15" customHeight="1">
      <c r="A3247" t="str">
        <f t="shared" si="1159"/>
        <v/>
      </c>
      <c r="B3247">
        <f>Calculations!A788</f>
        <v>81</v>
      </c>
      <c r="E3247" s="137">
        <f>Calculations!H788</f>
        <v>0</v>
      </c>
      <c r="F3247" t="str">
        <f t="shared" si="1160"/>
        <v xml:space="preserve">Low-Income Unit Applicable Fraction canot exceed 100% ensure that total units minus employee units is less than LI units for  building 81.
</v>
      </c>
      <c r="G3247" s="9" t="str">
        <f t="shared" ca="1" si="1161"/>
        <v>Enter a value for 'Number of Floors in the Tallest Building' in cell B60.
TRUE</v>
      </c>
    </row>
    <row r="3248" spans="1:7" ht="15" customHeight="1">
      <c r="A3248" t="str">
        <f t="shared" si="1159"/>
        <v/>
      </c>
      <c r="B3248">
        <f>Calculations!A789</f>
        <v>82</v>
      </c>
      <c r="E3248" s="137">
        <f>Calculations!H789</f>
        <v>0</v>
      </c>
      <c r="F3248" t="str">
        <f t="shared" si="1160"/>
        <v xml:space="preserve">Low-Income Unit Applicable Fraction canot exceed 100% ensure that total units minus employee units is less than LI units for  building 82.
</v>
      </c>
      <c r="G3248" s="9" t="str">
        <f t="shared" ca="1" si="1161"/>
        <v>Enter a value for 'Number of Floors in the Tallest Building' in cell B60.
TRUE</v>
      </c>
    </row>
    <row r="3249" spans="1:7" ht="15" customHeight="1">
      <c r="A3249" t="str">
        <f t="shared" si="1159"/>
        <v/>
      </c>
      <c r="B3249">
        <f>Calculations!A790</f>
        <v>83</v>
      </c>
      <c r="E3249" s="137">
        <f>Calculations!H790</f>
        <v>0</v>
      </c>
      <c r="F3249" t="str">
        <f t="shared" si="1160"/>
        <v xml:space="preserve">Low-Income Unit Applicable Fraction canot exceed 100% ensure that total units minus employee units is less than LI units for  building 83.
</v>
      </c>
      <c r="G3249" s="9" t="str">
        <f t="shared" ca="1" si="1161"/>
        <v>Enter a value for 'Number of Floors in the Tallest Building' in cell B60.
TRUE</v>
      </c>
    </row>
    <row r="3250" spans="1:7" ht="15" customHeight="1">
      <c r="A3250" t="str">
        <f t="shared" si="1159"/>
        <v/>
      </c>
      <c r="B3250">
        <f>Calculations!A791</f>
        <v>84</v>
      </c>
      <c r="E3250" s="137">
        <f>Calculations!H791</f>
        <v>0</v>
      </c>
      <c r="F3250" t="str">
        <f t="shared" si="1160"/>
        <v xml:space="preserve">Low-Income Unit Applicable Fraction canot exceed 100% ensure that total units minus employee units is less than LI units for  building 84.
</v>
      </c>
      <c r="G3250" s="9" t="str">
        <f t="shared" ca="1" si="1161"/>
        <v>Enter a value for 'Number of Floors in the Tallest Building' in cell B60.
TRUE</v>
      </c>
    </row>
    <row r="3251" spans="1:7" ht="15" customHeight="1">
      <c r="A3251" t="str">
        <f t="shared" si="1159"/>
        <v/>
      </c>
      <c r="B3251">
        <f>Calculations!A792</f>
        <v>85</v>
      </c>
      <c r="E3251" s="137">
        <f>Calculations!H792</f>
        <v>0</v>
      </c>
      <c r="F3251" t="str">
        <f t="shared" si="1160"/>
        <v xml:space="preserve">Low-Income Unit Applicable Fraction canot exceed 100% ensure that total units minus employee units is less than LI units for  building 85.
</v>
      </c>
      <c r="G3251" s="9" t="str">
        <f t="shared" ca="1" si="1161"/>
        <v>Enter a value for 'Number of Floors in the Tallest Building' in cell B60.
TRUE</v>
      </c>
    </row>
    <row r="3252" spans="1:7" ht="15" customHeight="1">
      <c r="A3252" t="str">
        <f t="shared" si="1159"/>
        <v/>
      </c>
      <c r="B3252">
        <f>Calculations!A793</f>
        <v>86</v>
      </c>
      <c r="E3252" s="137">
        <f>Calculations!H793</f>
        <v>0</v>
      </c>
      <c r="F3252" t="str">
        <f t="shared" si="1160"/>
        <v xml:space="preserve">Low-Income Unit Applicable Fraction canot exceed 100% ensure that total units minus employee units is less than LI units for  building 86.
</v>
      </c>
      <c r="G3252" s="9" t="str">
        <f t="shared" ca="1" si="1161"/>
        <v>Enter a value for 'Number of Floors in the Tallest Building' in cell B60.
TRUE</v>
      </c>
    </row>
    <row r="3253" spans="1:7" ht="15" customHeight="1">
      <c r="A3253" t="str">
        <f t="shared" si="1159"/>
        <v/>
      </c>
      <c r="B3253">
        <f>Calculations!A794</f>
        <v>87</v>
      </c>
      <c r="E3253" s="137">
        <f>Calculations!H794</f>
        <v>0</v>
      </c>
      <c r="F3253" t="str">
        <f t="shared" si="1160"/>
        <v xml:space="preserve">Low-Income Unit Applicable Fraction canot exceed 100% ensure that total units minus employee units is less than LI units for  building 87.
</v>
      </c>
      <c r="G3253" s="9" t="str">
        <f t="shared" ca="1" si="1161"/>
        <v>Enter a value for 'Number of Floors in the Tallest Building' in cell B60.
TRUE</v>
      </c>
    </row>
    <row r="3254" spans="1:7" ht="15" customHeight="1">
      <c r="A3254" t="str">
        <f t="shared" si="1159"/>
        <v/>
      </c>
      <c r="B3254">
        <f>Calculations!A795</f>
        <v>88</v>
      </c>
      <c r="E3254" s="137">
        <f>Calculations!H795</f>
        <v>0</v>
      </c>
      <c r="F3254" t="str">
        <f t="shared" si="1160"/>
        <v xml:space="preserve">Low-Income Unit Applicable Fraction canot exceed 100% ensure that total units minus employee units is less than LI units for  building 88.
</v>
      </c>
      <c r="G3254" s="9" t="str">
        <f t="shared" ca="1" si="1161"/>
        <v>Enter a value for 'Number of Floors in the Tallest Building' in cell B60.
TRUE</v>
      </c>
    </row>
    <row r="3255" spans="1:7" ht="15" customHeight="1">
      <c r="A3255" t="str">
        <f t="shared" si="1159"/>
        <v/>
      </c>
      <c r="B3255">
        <f>Calculations!A796</f>
        <v>89</v>
      </c>
      <c r="E3255" s="137">
        <f>Calculations!H796</f>
        <v>0</v>
      </c>
      <c r="F3255" t="str">
        <f t="shared" si="1160"/>
        <v xml:space="preserve">Low-Income Unit Applicable Fraction canot exceed 100% ensure that total units minus employee units is less than LI units for  building 89.
</v>
      </c>
      <c r="G3255" s="9" t="str">
        <f t="shared" ca="1" si="1161"/>
        <v>Enter a value for 'Number of Floors in the Tallest Building' in cell B60.
TRUE</v>
      </c>
    </row>
    <row r="3256" spans="1:7" ht="15" customHeight="1">
      <c r="A3256" t="str">
        <f t="shared" si="1159"/>
        <v/>
      </c>
      <c r="B3256">
        <f>Calculations!A797</f>
        <v>90</v>
      </c>
      <c r="E3256" s="137">
        <f>Calculations!H797</f>
        <v>0</v>
      </c>
      <c r="F3256" t="str">
        <f t="shared" si="1160"/>
        <v xml:space="preserve">Low-Income Unit Applicable Fraction canot exceed 100% ensure that total units minus employee units is less than LI units for  building 90.
</v>
      </c>
      <c r="G3256" s="9" t="str">
        <f t="shared" ca="1" si="1161"/>
        <v>Enter a value for 'Number of Floors in the Tallest Building' in cell B60.
TRUE</v>
      </c>
    </row>
    <row r="3257" spans="1:7" ht="15" customHeight="1">
      <c r="A3257" t="str">
        <f t="shared" si="1159"/>
        <v/>
      </c>
      <c r="B3257">
        <f>Calculations!A798</f>
        <v>91</v>
      </c>
      <c r="E3257" s="137">
        <f>Calculations!H798</f>
        <v>0</v>
      </c>
      <c r="F3257" t="str">
        <f t="shared" si="1160"/>
        <v xml:space="preserve">Low-Income Unit Applicable Fraction canot exceed 100% ensure that total units minus employee units is less than LI units for  building 91.
</v>
      </c>
      <c r="G3257" s="9" t="str">
        <f t="shared" ca="1" si="1161"/>
        <v>Enter a value for 'Number of Floors in the Tallest Building' in cell B60.
TRUE</v>
      </c>
    </row>
    <row r="3258" spans="1:7" ht="15" customHeight="1">
      <c r="A3258" t="str">
        <f t="shared" si="1159"/>
        <v/>
      </c>
      <c r="B3258">
        <f>Calculations!A799</f>
        <v>92</v>
      </c>
      <c r="E3258" s="137">
        <f>Calculations!H799</f>
        <v>0</v>
      </c>
      <c r="F3258" t="str">
        <f t="shared" si="1160"/>
        <v xml:space="preserve">Low-Income Unit Applicable Fraction canot exceed 100% ensure that total units minus employee units is less than LI units for  building 92.
</v>
      </c>
      <c r="G3258" s="9" t="str">
        <f t="shared" ca="1" si="1161"/>
        <v>Enter a value for 'Number of Floors in the Tallest Building' in cell B60.
TRUE</v>
      </c>
    </row>
    <row r="3259" spans="1:7" ht="15" customHeight="1">
      <c r="A3259" t="str">
        <f t="shared" si="1159"/>
        <v/>
      </c>
      <c r="B3259">
        <f>Calculations!A800</f>
        <v>93</v>
      </c>
      <c r="E3259" s="137">
        <f>Calculations!H800</f>
        <v>0</v>
      </c>
      <c r="F3259" t="str">
        <f t="shared" si="1160"/>
        <v xml:space="preserve">Low-Income Unit Applicable Fraction canot exceed 100% ensure that total units minus employee units is less than LI units for  building 93.
</v>
      </c>
      <c r="G3259" s="9" t="str">
        <f t="shared" ca="1" si="1161"/>
        <v>Enter a value for 'Number of Floors in the Tallest Building' in cell B60.
TRUE</v>
      </c>
    </row>
    <row r="3260" spans="1:7" ht="15" customHeight="1">
      <c r="A3260" t="str">
        <f t="shared" si="1159"/>
        <v/>
      </c>
      <c r="B3260">
        <f>Calculations!A801</f>
        <v>94</v>
      </c>
      <c r="E3260" s="137">
        <f>Calculations!H801</f>
        <v>0</v>
      </c>
      <c r="F3260" t="str">
        <f t="shared" si="1160"/>
        <v xml:space="preserve">Low-Income Unit Applicable Fraction canot exceed 100% ensure that total units minus employee units is less than LI units for  building 94.
</v>
      </c>
      <c r="G3260" s="9" t="str">
        <f t="shared" ca="1" si="1161"/>
        <v>Enter a value for 'Number of Floors in the Tallest Building' in cell B60.
TRUE</v>
      </c>
    </row>
    <row r="3261" spans="1:7" ht="15" customHeight="1">
      <c r="A3261" t="str">
        <f t="shared" si="1159"/>
        <v/>
      </c>
      <c r="B3261">
        <f>Calculations!A802</f>
        <v>95</v>
      </c>
      <c r="E3261" s="137">
        <f>Calculations!H802</f>
        <v>0</v>
      </c>
      <c r="F3261" t="str">
        <f t="shared" si="1160"/>
        <v xml:space="preserve">Low-Income Unit Applicable Fraction canot exceed 100% ensure that total units minus employee units is less than LI units for  building 95.
</v>
      </c>
      <c r="G3261" s="9" t="str">
        <f t="shared" ca="1" si="1161"/>
        <v>Enter a value for 'Number of Floors in the Tallest Building' in cell B60.
TRUE</v>
      </c>
    </row>
    <row r="3262" spans="1:7" ht="15" customHeight="1">
      <c r="A3262" t="str">
        <f t="shared" si="1159"/>
        <v/>
      </c>
      <c r="B3262">
        <f>Calculations!A803</f>
        <v>96</v>
      </c>
      <c r="E3262" s="137">
        <f>Calculations!H803</f>
        <v>0</v>
      </c>
      <c r="F3262" t="str">
        <f t="shared" si="1160"/>
        <v xml:space="preserve">Low-Income Unit Applicable Fraction canot exceed 100% ensure that total units minus employee units is less than LI units for  building 96.
</v>
      </c>
      <c r="G3262" s="9" t="str">
        <f t="shared" ca="1" si="1161"/>
        <v>Enter a value for 'Number of Floors in the Tallest Building' in cell B60.
TRUE</v>
      </c>
    </row>
    <row r="3263" spans="1:7" ht="15" customHeight="1">
      <c r="A3263" t="str">
        <f t="shared" ref="A3263:A3294" si="1162">IF(E3263&gt;1, F3263, "")</f>
        <v/>
      </c>
      <c r="B3263">
        <f>Calculations!A804</f>
        <v>97</v>
      </c>
      <c r="E3263" s="137">
        <f>Calculations!H804</f>
        <v>0</v>
      </c>
      <c r="F3263" t="str">
        <f t="shared" si="1160"/>
        <v xml:space="preserve">Low-Income Unit Applicable Fraction canot exceed 100% ensure that total units minus employee units is less than LI units for  building 97.
</v>
      </c>
      <c r="G3263" s="9" t="str">
        <f t="shared" ca="1" si="1161"/>
        <v>Enter a value for 'Number of Floors in the Tallest Building' in cell B60.
TRUE</v>
      </c>
    </row>
    <row r="3264" spans="1:7" ht="15" customHeight="1">
      <c r="A3264" t="str">
        <f t="shared" si="1162"/>
        <v/>
      </c>
      <c r="B3264">
        <f>Calculations!A805</f>
        <v>98</v>
      </c>
      <c r="E3264" s="137">
        <f>Calculations!H805</f>
        <v>0</v>
      </c>
      <c r="F3264" t="str">
        <f t="shared" si="1160"/>
        <v xml:space="preserve">Low-Income Unit Applicable Fraction canot exceed 100% ensure that total units minus employee units is less than LI units for  building 98.
</v>
      </c>
      <c r="G3264" s="9" t="str">
        <f t="shared" ca="1" si="1161"/>
        <v>Enter a value for 'Number of Floors in the Tallest Building' in cell B60.
TRUE</v>
      </c>
    </row>
    <row r="3265" spans="1:7" ht="15" customHeight="1">
      <c r="A3265" t="str">
        <f t="shared" si="1162"/>
        <v/>
      </c>
      <c r="B3265">
        <f>Calculations!A806</f>
        <v>99</v>
      </c>
      <c r="E3265" s="137">
        <f>Calculations!H806</f>
        <v>0</v>
      </c>
      <c r="F3265" t="str">
        <f t="shared" si="1160"/>
        <v xml:space="preserve">Low-Income Unit Applicable Fraction canot exceed 100% ensure that total units minus employee units is less than LI units for  building 99.
</v>
      </c>
      <c r="G3265" s="9" t="str">
        <f t="shared" ca="1" si="1161"/>
        <v>Enter a value for 'Number of Floors in the Tallest Building' in cell B60.
TRUE</v>
      </c>
    </row>
    <row r="3266" spans="1:7" ht="15" customHeight="1">
      <c r="A3266" t="str">
        <f t="shared" si="1162"/>
        <v/>
      </c>
      <c r="B3266">
        <f>Calculations!A708</f>
        <v>1</v>
      </c>
      <c r="E3266" s="137">
        <f>Calculations!I708</f>
        <v>0</v>
      </c>
      <c r="F3266" t="str">
        <f t="shared" ref="F3266:F3297" si="1163">CONCATENATE("Square Footage Applicable Fraction canot exceed 100% ensure that total sq. feet minus employee sq. feet is less than LI sq. feet for  building ", B3266, ".", CHAR(10))</f>
        <v xml:space="preserve">Square Footage Applicable Fraction canot exceed 100% ensure that total sq. feet minus employee sq. feet is less than LI sq. feet for  building 1.
</v>
      </c>
      <c r="G3266" s="9" t="str">
        <f t="shared" ca="1" si="1161"/>
        <v>Enter a value for 'Number of Floors in the Tallest Building' in cell B60.
TRUE</v>
      </c>
    </row>
    <row r="3267" spans="1:7" ht="15" customHeight="1">
      <c r="A3267" t="str">
        <f t="shared" si="1162"/>
        <v/>
      </c>
      <c r="B3267">
        <f>Calculations!A709</f>
        <v>2</v>
      </c>
      <c r="E3267" s="137">
        <f>Calculations!I709</f>
        <v>0</v>
      </c>
      <c r="F3267" t="str">
        <f t="shared" si="1163"/>
        <v xml:space="preserve">Square Footage Applicable Fraction canot exceed 100% ensure that total sq. feet minus employee sq. feet is less than LI sq. feet for  building 2.
</v>
      </c>
      <c r="G3267" s="9" t="str">
        <f t="shared" ca="1" si="1161"/>
        <v>Enter a value for 'Number of Floors in the Tallest Building' in cell B60.
TRUE</v>
      </c>
    </row>
    <row r="3268" spans="1:7" ht="15" customHeight="1">
      <c r="A3268" t="str">
        <f t="shared" si="1162"/>
        <v/>
      </c>
      <c r="B3268">
        <f>Calculations!A710</f>
        <v>3</v>
      </c>
      <c r="E3268" s="137">
        <f>Calculations!I710</f>
        <v>0</v>
      </c>
      <c r="F3268" t="str">
        <f t="shared" si="1163"/>
        <v xml:space="preserve">Square Footage Applicable Fraction canot exceed 100% ensure that total sq. feet minus employee sq. feet is less than LI sq. feet for  building 3.
</v>
      </c>
      <c r="G3268" s="9" t="str">
        <f t="shared" ca="1" si="1161"/>
        <v>Enter a value for 'Number of Floors in the Tallest Building' in cell B60.
TRUE</v>
      </c>
    </row>
    <row r="3269" spans="1:7" ht="15" customHeight="1">
      <c r="A3269" t="str">
        <f t="shared" si="1162"/>
        <v/>
      </c>
      <c r="B3269">
        <f>Calculations!A711</f>
        <v>4</v>
      </c>
      <c r="E3269" s="137">
        <f>Calculations!I711</f>
        <v>0</v>
      </c>
      <c r="F3269" t="str">
        <f t="shared" si="1163"/>
        <v xml:space="preserve">Square Footage Applicable Fraction canot exceed 100% ensure that total sq. feet minus employee sq. feet is less than LI sq. feet for  building 4.
</v>
      </c>
      <c r="G3269" s="9" t="str">
        <f t="shared" ca="1" si="1161"/>
        <v>Enter a value for 'Number of Floors in the Tallest Building' in cell B60.
TRUE</v>
      </c>
    </row>
    <row r="3270" spans="1:7" ht="15" customHeight="1">
      <c r="A3270" t="str">
        <f t="shared" si="1162"/>
        <v/>
      </c>
      <c r="B3270">
        <f>Calculations!A712</f>
        <v>5</v>
      </c>
      <c r="E3270" s="137">
        <f>Calculations!I712</f>
        <v>0</v>
      </c>
      <c r="F3270" t="str">
        <f t="shared" si="1163"/>
        <v xml:space="preserve">Square Footage Applicable Fraction canot exceed 100% ensure that total sq. feet minus employee sq. feet is less than LI sq. feet for  building 5.
</v>
      </c>
      <c r="G3270" s="9" t="str">
        <f t="shared" ca="1" si="1161"/>
        <v>Enter a value for 'Number of Floors in the Tallest Building' in cell B60.
TRUE</v>
      </c>
    </row>
    <row r="3271" spans="1:7" ht="15" customHeight="1">
      <c r="A3271" t="str">
        <f t="shared" si="1162"/>
        <v/>
      </c>
      <c r="B3271">
        <f>Calculations!A713</f>
        <v>6</v>
      </c>
      <c r="E3271" s="137">
        <f>Calculations!I713</f>
        <v>0</v>
      </c>
      <c r="F3271" t="str">
        <f t="shared" si="1163"/>
        <v xml:space="preserve">Square Footage Applicable Fraction canot exceed 100% ensure that total sq. feet minus employee sq. feet is less than LI sq. feet for  building 6.
</v>
      </c>
      <c r="G3271" s="9" t="str">
        <f t="shared" ca="1" si="1161"/>
        <v>Enter a value for 'Number of Floors in the Tallest Building' in cell B60.
TRUE</v>
      </c>
    </row>
    <row r="3272" spans="1:7" ht="15" customHeight="1">
      <c r="A3272" t="str">
        <f t="shared" si="1162"/>
        <v/>
      </c>
      <c r="B3272">
        <f>Calculations!A714</f>
        <v>7</v>
      </c>
      <c r="E3272" s="137">
        <f>Calculations!I714</f>
        <v>0</v>
      </c>
      <c r="F3272" t="str">
        <f t="shared" si="1163"/>
        <v xml:space="preserve">Square Footage Applicable Fraction canot exceed 100% ensure that total sq. feet minus employee sq. feet is less than LI sq. feet for  building 7.
</v>
      </c>
      <c r="G3272" s="9" t="str">
        <f t="shared" ca="1" si="1161"/>
        <v>Enter a value for 'Number of Floors in the Tallest Building' in cell B60.
TRUE</v>
      </c>
    </row>
    <row r="3273" spans="1:7" ht="15" customHeight="1">
      <c r="A3273" t="str">
        <f t="shared" si="1162"/>
        <v/>
      </c>
      <c r="B3273">
        <f>Calculations!A715</f>
        <v>8</v>
      </c>
      <c r="E3273" s="137">
        <f>Calculations!I715</f>
        <v>0</v>
      </c>
      <c r="F3273" t="str">
        <f t="shared" si="1163"/>
        <v xml:space="preserve">Square Footage Applicable Fraction canot exceed 100% ensure that total sq. feet minus employee sq. feet is less than LI sq. feet for  building 8.
</v>
      </c>
      <c r="G3273" s="9" t="str">
        <f t="shared" ca="1" si="1161"/>
        <v>Enter a value for 'Number of Floors in the Tallest Building' in cell B60.
TRUE</v>
      </c>
    </row>
    <row r="3274" spans="1:7" ht="15" customHeight="1">
      <c r="A3274" t="str">
        <f t="shared" si="1162"/>
        <v/>
      </c>
      <c r="B3274">
        <f>Calculations!A716</f>
        <v>9</v>
      </c>
      <c r="E3274" s="137">
        <f>Calculations!I716</f>
        <v>0</v>
      </c>
      <c r="F3274" t="str">
        <f t="shared" si="1163"/>
        <v xml:space="preserve">Square Footage Applicable Fraction canot exceed 100% ensure that total sq. feet minus employee sq. feet is less than LI sq. feet for  building 9.
</v>
      </c>
      <c r="G3274" s="9" t="str">
        <f t="shared" ca="1" si="1161"/>
        <v>Enter a value for 'Number of Floors in the Tallest Building' in cell B60.
TRUE</v>
      </c>
    </row>
    <row r="3275" spans="1:7" ht="15" customHeight="1">
      <c r="A3275" t="str">
        <f t="shared" si="1162"/>
        <v/>
      </c>
      <c r="B3275">
        <f>Calculations!A717</f>
        <v>10</v>
      </c>
      <c r="E3275" s="137">
        <f>Calculations!I717</f>
        <v>0</v>
      </c>
      <c r="F3275" t="str">
        <f t="shared" si="1163"/>
        <v xml:space="preserve">Square Footage Applicable Fraction canot exceed 100% ensure that total sq. feet minus employee sq. feet is less than LI sq. feet for  building 10.
</v>
      </c>
      <c r="G3275" s="9" t="str">
        <f t="shared" ca="1" si="1161"/>
        <v>Enter a value for 'Number of Floors in the Tallest Building' in cell B60.
TRUE</v>
      </c>
    </row>
    <row r="3276" spans="1:7" ht="15" customHeight="1">
      <c r="A3276" t="str">
        <f t="shared" si="1162"/>
        <v/>
      </c>
      <c r="B3276">
        <f>Calculations!A718</f>
        <v>11</v>
      </c>
      <c r="E3276" s="137">
        <f>Calculations!I718</f>
        <v>0</v>
      </c>
      <c r="F3276" t="str">
        <f t="shared" si="1163"/>
        <v xml:space="preserve">Square Footage Applicable Fraction canot exceed 100% ensure that total sq. feet minus employee sq. feet is less than LI sq. feet for  building 11.
</v>
      </c>
      <c r="G3276" s="9" t="str">
        <f t="shared" ca="1" si="1161"/>
        <v>Enter a value for 'Number of Floors in the Tallest Building' in cell B60.
TRUE</v>
      </c>
    </row>
    <row r="3277" spans="1:7" ht="15" customHeight="1">
      <c r="A3277" t="str">
        <f t="shared" si="1162"/>
        <v/>
      </c>
      <c r="B3277">
        <f>Calculations!A719</f>
        <v>12</v>
      </c>
      <c r="E3277" s="137">
        <f>Calculations!I719</f>
        <v>0</v>
      </c>
      <c r="F3277" t="str">
        <f t="shared" si="1163"/>
        <v xml:space="preserve">Square Footage Applicable Fraction canot exceed 100% ensure that total sq. feet minus employee sq. feet is less than LI sq. feet for  building 12.
</v>
      </c>
      <c r="G3277" s="9" t="str">
        <f t="shared" ca="1" si="1161"/>
        <v>Enter a value for 'Number of Floors in the Tallest Building' in cell B60.
TRUE</v>
      </c>
    </row>
    <row r="3278" spans="1:7" ht="15" customHeight="1">
      <c r="A3278" t="str">
        <f t="shared" si="1162"/>
        <v/>
      </c>
      <c r="B3278">
        <f>Calculations!A720</f>
        <v>13</v>
      </c>
      <c r="E3278" s="137">
        <f>Calculations!I720</f>
        <v>0</v>
      </c>
      <c r="F3278" t="str">
        <f t="shared" si="1163"/>
        <v xml:space="preserve">Square Footage Applicable Fraction canot exceed 100% ensure that total sq. feet minus employee sq. feet is less than LI sq. feet for  building 13.
</v>
      </c>
      <c r="G3278" s="9" t="str">
        <f t="shared" ca="1" si="1161"/>
        <v>Enter a value for 'Number of Floors in the Tallest Building' in cell B60.
TRUE</v>
      </c>
    </row>
    <row r="3279" spans="1:7" ht="15" customHeight="1">
      <c r="A3279" t="str">
        <f t="shared" si="1162"/>
        <v/>
      </c>
      <c r="B3279">
        <f>Calculations!A721</f>
        <v>14</v>
      </c>
      <c r="E3279" s="137">
        <f>Calculations!I721</f>
        <v>0</v>
      </c>
      <c r="F3279" t="str">
        <f t="shared" si="1163"/>
        <v xml:space="preserve">Square Footage Applicable Fraction canot exceed 100% ensure that total sq. feet minus employee sq. feet is less than LI sq. feet for  building 14.
</v>
      </c>
      <c r="G3279" s="9" t="str">
        <f t="shared" ca="1" si="1161"/>
        <v>Enter a value for 'Number of Floors in the Tallest Building' in cell B60.
TRUE</v>
      </c>
    </row>
    <row r="3280" spans="1:7" ht="15" customHeight="1">
      <c r="A3280" t="str">
        <f t="shared" si="1162"/>
        <v/>
      </c>
      <c r="B3280">
        <f>Calculations!A722</f>
        <v>15</v>
      </c>
      <c r="E3280" s="137">
        <f>Calculations!I722</f>
        <v>0</v>
      </c>
      <c r="F3280" t="str">
        <f t="shared" si="1163"/>
        <v xml:space="preserve">Square Footage Applicable Fraction canot exceed 100% ensure that total sq. feet minus employee sq. feet is less than LI sq. feet for  building 15.
</v>
      </c>
      <c r="G3280" s="9" t="str">
        <f t="shared" ca="1" si="1161"/>
        <v>Enter a value for 'Number of Floors in the Tallest Building' in cell B60.
TRUE</v>
      </c>
    </row>
    <row r="3281" spans="1:7" ht="15" customHeight="1">
      <c r="A3281" t="str">
        <f t="shared" si="1162"/>
        <v/>
      </c>
      <c r="B3281">
        <f>Calculations!A723</f>
        <v>16</v>
      </c>
      <c r="E3281" s="137">
        <f>Calculations!I723</f>
        <v>0</v>
      </c>
      <c r="F3281" t="str">
        <f t="shared" si="1163"/>
        <v xml:space="preserve">Square Footage Applicable Fraction canot exceed 100% ensure that total sq. feet minus employee sq. feet is less than LI sq. feet for  building 16.
</v>
      </c>
      <c r="G3281" s="9" t="str">
        <f t="shared" ca="1" si="1161"/>
        <v>Enter a value for 'Number of Floors in the Tallest Building' in cell B60.
TRUE</v>
      </c>
    </row>
    <row r="3282" spans="1:7" ht="15" customHeight="1">
      <c r="A3282" t="str">
        <f t="shared" si="1162"/>
        <v/>
      </c>
      <c r="B3282">
        <f>Calculations!A724</f>
        <v>17</v>
      </c>
      <c r="E3282" s="137">
        <f>Calculations!I724</f>
        <v>0</v>
      </c>
      <c r="F3282" t="str">
        <f t="shared" si="1163"/>
        <v xml:space="preserve">Square Footage Applicable Fraction canot exceed 100% ensure that total sq. feet minus employee sq. feet is less than LI sq. feet for  building 17.
</v>
      </c>
      <c r="G3282" s="9" t="str">
        <f t="shared" ca="1" si="1161"/>
        <v>Enter a value for 'Number of Floors in the Tallest Building' in cell B60.
TRUE</v>
      </c>
    </row>
    <row r="3283" spans="1:7" ht="15" customHeight="1">
      <c r="A3283" t="str">
        <f t="shared" si="1162"/>
        <v/>
      </c>
      <c r="B3283">
        <f>Calculations!A725</f>
        <v>18</v>
      </c>
      <c r="E3283" s="137">
        <f>Calculations!I725</f>
        <v>0</v>
      </c>
      <c r="F3283" t="str">
        <f t="shared" si="1163"/>
        <v xml:space="preserve">Square Footage Applicable Fraction canot exceed 100% ensure that total sq. feet minus employee sq. feet is less than LI sq. feet for  building 18.
</v>
      </c>
      <c r="G3283" s="9" t="str">
        <f t="shared" ca="1" si="1161"/>
        <v>Enter a value for 'Number of Floors in the Tallest Building' in cell B60.
TRUE</v>
      </c>
    </row>
    <row r="3284" spans="1:7" ht="15" customHeight="1">
      <c r="A3284" t="str">
        <f t="shared" si="1162"/>
        <v/>
      </c>
      <c r="B3284">
        <f>Calculations!A726</f>
        <v>19</v>
      </c>
      <c r="E3284" s="137">
        <f>Calculations!I726</f>
        <v>0</v>
      </c>
      <c r="F3284" t="str">
        <f t="shared" si="1163"/>
        <v xml:space="preserve">Square Footage Applicable Fraction canot exceed 100% ensure that total sq. feet minus employee sq. feet is less than LI sq. feet for  building 19.
</v>
      </c>
      <c r="G3284" s="9" t="str">
        <f t="shared" ca="1" si="1161"/>
        <v>Enter a value for 'Number of Floors in the Tallest Building' in cell B60.
TRUE</v>
      </c>
    </row>
    <row r="3285" spans="1:7" ht="15" customHeight="1">
      <c r="A3285" t="str">
        <f t="shared" si="1162"/>
        <v/>
      </c>
      <c r="B3285">
        <f>Calculations!A727</f>
        <v>20</v>
      </c>
      <c r="E3285" s="137">
        <f>Calculations!I727</f>
        <v>0</v>
      </c>
      <c r="F3285" t="str">
        <f t="shared" si="1163"/>
        <v xml:space="preserve">Square Footage Applicable Fraction canot exceed 100% ensure that total sq. feet minus employee sq. feet is less than LI sq. feet for  building 20.
</v>
      </c>
      <c r="G3285" s="9" t="str">
        <f t="shared" ca="1" si="1161"/>
        <v>Enter a value for 'Number of Floors in the Tallest Building' in cell B60.
TRUE</v>
      </c>
    </row>
    <row r="3286" spans="1:7" ht="15" customHeight="1">
      <c r="A3286" t="str">
        <f t="shared" si="1162"/>
        <v/>
      </c>
      <c r="B3286">
        <f>Calculations!A728</f>
        <v>21</v>
      </c>
      <c r="E3286" s="137">
        <f>Calculations!I728</f>
        <v>0</v>
      </c>
      <c r="F3286" t="str">
        <f t="shared" si="1163"/>
        <v xml:space="preserve">Square Footage Applicable Fraction canot exceed 100% ensure that total sq. feet minus employee sq. feet is less than LI sq. feet for  building 21.
</v>
      </c>
      <c r="G3286" s="9" t="str">
        <f t="shared" ca="1" si="1161"/>
        <v>Enter a value for 'Number of Floors in the Tallest Building' in cell B60.
TRUE</v>
      </c>
    </row>
    <row r="3287" spans="1:7" ht="15" customHeight="1">
      <c r="A3287" t="str">
        <f t="shared" si="1162"/>
        <v/>
      </c>
      <c r="B3287">
        <f>Calculations!A729</f>
        <v>22</v>
      </c>
      <c r="E3287" s="137">
        <f>Calculations!I729</f>
        <v>0</v>
      </c>
      <c r="F3287" t="str">
        <f t="shared" si="1163"/>
        <v xml:space="preserve">Square Footage Applicable Fraction canot exceed 100% ensure that total sq. feet minus employee sq. feet is less than LI sq. feet for  building 22.
</v>
      </c>
      <c r="G3287" s="9" t="str">
        <f t="shared" ca="1" si="1161"/>
        <v>Enter a value for 'Number of Floors in the Tallest Building' in cell B60.
TRUE</v>
      </c>
    </row>
    <row r="3288" spans="1:7" ht="15" customHeight="1">
      <c r="A3288" t="str">
        <f t="shared" si="1162"/>
        <v/>
      </c>
      <c r="B3288">
        <f>Calculations!A730</f>
        <v>23</v>
      </c>
      <c r="E3288" s="137">
        <f>Calculations!I730</f>
        <v>0</v>
      </c>
      <c r="F3288" t="str">
        <f t="shared" si="1163"/>
        <v xml:space="preserve">Square Footage Applicable Fraction canot exceed 100% ensure that total sq. feet minus employee sq. feet is less than LI sq. feet for  building 23.
</v>
      </c>
      <c r="G3288" s="9" t="str">
        <f t="shared" ca="1" si="1161"/>
        <v>Enter a value for 'Number of Floors in the Tallest Building' in cell B60.
TRUE</v>
      </c>
    </row>
    <row r="3289" spans="1:7" ht="15" customHeight="1">
      <c r="A3289" t="str">
        <f t="shared" si="1162"/>
        <v/>
      </c>
      <c r="B3289">
        <f>Calculations!A731</f>
        <v>24</v>
      </c>
      <c r="E3289" s="137">
        <f>Calculations!I731</f>
        <v>0</v>
      </c>
      <c r="F3289" t="str">
        <f t="shared" si="1163"/>
        <v xml:space="preserve">Square Footage Applicable Fraction canot exceed 100% ensure that total sq. feet minus employee sq. feet is less than LI sq. feet for  building 24.
</v>
      </c>
      <c r="G3289" s="9" t="str">
        <f t="shared" ca="1" si="1161"/>
        <v>Enter a value for 'Number of Floors in the Tallest Building' in cell B60.
TRUE</v>
      </c>
    </row>
    <row r="3290" spans="1:7" ht="15" customHeight="1">
      <c r="A3290" t="str">
        <f t="shared" si="1162"/>
        <v/>
      </c>
      <c r="B3290">
        <f>Calculations!A732</f>
        <v>25</v>
      </c>
      <c r="E3290" s="137">
        <f>Calculations!I732</f>
        <v>0</v>
      </c>
      <c r="F3290" t="str">
        <f t="shared" si="1163"/>
        <v xml:space="preserve">Square Footage Applicable Fraction canot exceed 100% ensure that total sq. feet minus employee sq. feet is less than LI sq. feet for  building 25.
</v>
      </c>
      <c r="G3290" s="9" t="str">
        <f t="shared" ca="1" si="1161"/>
        <v>Enter a value for 'Number of Floors in the Tallest Building' in cell B60.
TRUE</v>
      </c>
    </row>
    <row r="3291" spans="1:7" ht="15" customHeight="1">
      <c r="A3291" t="str">
        <f t="shared" si="1162"/>
        <v/>
      </c>
      <c r="B3291">
        <f>Calculations!A733</f>
        <v>26</v>
      </c>
      <c r="E3291" s="137">
        <f>Calculations!I733</f>
        <v>0</v>
      </c>
      <c r="F3291" t="str">
        <f t="shared" si="1163"/>
        <v xml:space="preserve">Square Footage Applicable Fraction canot exceed 100% ensure that total sq. feet minus employee sq. feet is less than LI sq. feet for  building 26.
</v>
      </c>
      <c r="G3291" s="9" t="str">
        <f t="shared" ca="1" si="1161"/>
        <v>Enter a value for 'Number of Floors in the Tallest Building' in cell B60.
TRUE</v>
      </c>
    </row>
    <row r="3292" spans="1:7" ht="15" customHeight="1">
      <c r="A3292" t="str">
        <f t="shared" si="1162"/>
        <v/>
      </c>
      <c r="B3292">
        <f>Calculations!A734</f>
        <v>27</v>
      </c>
      <c r="E3292" s="137">
        <f>Calculations!I734</f>
        <v>0</v>
      </c>
      <c r="F3292" t="str">
        <f t="shared" si="1163"/>
        <v xml:space="preserve">Square Footage Applicable Fraction canot exceed 100% ensure that total sq. feet minus employee sq. feet is less than LI sq. feet for  building 27.
</v>
      </c>
      <c r="G3292" s="9" t="str">
        <f t="shared" ca="1" si="1161"/>
        <v>Enter a value for 'Number of Floors in the Tallest Building' in cell B60.
TRUE</v>
      </c>
    </row>
    <row r="3293" spans="1:7" ht="15" customHeight="1">
      <c r="A3293" t="str">
        <f t="shared" si="1162"/>
        <v/>
      </c>
      <c r="B3293">
        <f>Calculations!A735</f>
        <v>28</v>
      </c>
      <c r="E3293" s="137">
        <f>Calculations!I735</f>
        <v>0</v>
      </c>
      <c r="F3293" t="str">
        <f t="shared" si="1163"/>
        <v xml:space="preserve">Square Footage Applicable Fraction canot exceed 100% ensure that total sq. feet minus employee sq. feet is less than LI sq. feet for  building 28.
</v>
      </c>
      <c r="G3293" s="9" t="str">
        <f t="shared" ca="1" si="1161"/>
        <v>Enter a value for 'Number of Floors in the Tallest Building' in cell B60.
TRUE</v>
      </c>
    </row>
    <row r="3294" spans="1:7" ht="15" customHeight="1">
      <c r="A3294" t="str">
        <f t="shared" si="1162"/>
        <v/>
      </c>
      <c r="B3294">
        <f>Calculations!A736</f>
        <v>29</v>
      </c>
      <c r="E3294" s="137">
        <f>Calculations!I736</f>
        <v>0</v>
      </c>
      <c r="F3294" t="str">
        <f t="shared" si="1163"/>
        <v xml:space="preserve">Square Footage Applicable Fraction canot exceed 100% ensure that total sq. feet minus employee sq. feet is less than LI sq. feet for  building 29.
</v>
      </c>
      <c r="G3294" s="9" t="str">
        <f t="shared" ca="1" si="1161"/>
        <v>Enter a value for 'Number of Floors in the Tallest Building' in cell B60.
TRUE</v>
      </c>
    </row>
    <row r="3295" spans="1:7" ht="15" customHeight="1">
      <c r="A3295" t="str">
        <f t="shared" ref="A3295:A3326" si="1164">IF(E3295&gt;1, F3295, "")</f>
        <v/>
      </c>
      <c r="B3295">
        <f>Calculations!A737</f>
        <v>30</v>
      </c>
      <c r="E3295" s="137">
        <f>Calculations!I737</f>
        <v>0</v>
      </c>
      <c r="F3295" t="str">
        <f t="shared" si="1163"/>
        <v xml:space="preserve">Square Footage Applicable Fraction canot exceed 100% ensure that total sq. feet minus employee sq. feet is less than LI sq. feet for  building 30.
</v>
      </c>
      <c r="G3295" s="9" t="str">
        <f t="shared" ca="1" si="1161"/>
        <v>Enter a value for 'Number of Floors in the Tallest Building' in cell B60.
TRUE</v>
      </c>
    </row>
    <row r="3296" spans="1:7" ht="15" customHeight="1">
      <c r="A3296" t="str">
        <f t="shared" si="1164"/>
        <v/>
      </c>
      <c r="B3296">
        <f>Calculations!A738</f>
        <v>31</v>
      </c>
      <c r="E3296" s="137">
        <f>Calculations!I738</f>
        <v>0</v>
      </c>
      <c r="F3296" t="str">
        <f t="shared" si="1163"/>
        <v xml:space="preserve">Square Footage Applicable Fraction canot exceed 100% ensure that total sq. feet minus employee sq. feet is less than LI sq. feet for  building 31.
</v>
      </c>
      <c r="G3296" s="9" t="str">
        <f t="shared" ref="G3296:G3359" ca="1" si="1165">OFFSET(G3296, -1, 0) &amp; A3296</f>
        <v>Enter a value for 'Number of Floors in the Tallest Building' in cell B60.
TRUE</v>
      </c>
    </row>
    <row r="3297" spans="1:7" ht="15" customHeight="1">
      <c r="A3297" t="str">
        <f t="shared" si="1164"/>
        <v/>
      </c>
      <c r="B3297">
        <f>Calculations!A739</f>
        <v>32</v>
      </c>
      <c r="E3297" s="137">
        <f>Calculations!I739</f>
        <v>0</v>
      </c>
      <c r="F3297" t="str">
        <f t="shared" si="1163"/>
        <v xml:space="preserve">Square Footage Applicable Fraction canot exceed 100% ensure that total sq. feet minus employee sq. feet is less than LI sq. feet for  building 32.
</v>
      </c>
      <c r="G3297" s="9" t="str">
        <f t="shared" ca="1" si="1165"/>
        <v>Enter a value for 'Number of Floors in the Tallest Building' in cell B60.
TRUE</v>
      </c>
    </row>
    <row r="3298" spans="1:7" ht="15" customHeight="1">
      <c r="A3298" t="str">
        <f t="shared" si="1164"/>
        <v/>
      </c>
      <c r="B3298">
        <f>Calculations!A740</f>
        <v>33</v>
      </c>
      <c r="E3298" s="137">
        <f>Calculations!I740</f>
        <v>0</v>
      </c>
      <c r="F3298" t="str">
        <f t="shared" ref="F3298:F3329" si="1166">CONCATENATE("Square Footage Applicable Fraction canot exceed 100% ensure that total sq. feet minus employee sq. feet is less than LI sq. feet for  building ", B3298, ".", CHAR(10))</f>
        <v xml:space="preserve">Square Footage Applicable Fraction canot exceed 100% ensure that total sq. feet minus employee sq. feet is less than LI sq. feet for  building 33.
</v>
      </c>
      <c r="G3298" s="9" t="str">
        <f t="shared" ca="1" si="1165"/>
        <v>Enter a value for 'Number of Floors in the Tallest Building' in cell B60.
TRUE</v>
      </c>
    </row>
    <row r="3299" spans="1:7" ht="15" customHeight="1">
      <c r="A3299" t="str">
        <f t="shared" si="1164"/>
        <v/>
      </c>
      <c r="B3299">
        <f>Calculations!A741</f>
        <v>34</v>
      </c>
      <c r="E3299" s="137">
        <f>Calculations!I741</f>
        <v>0</v>
      </c>
      <c r="F3299" t="str">
        <f t="shared" si="1166"/>
        <v xml:space="preserve">Square Footage Applicable Fraction canot exceed 100% ensure that total sq. feet minus employee sq. feet is less than LI sq. feet for  building 34.
</v>
      </c>
      <c r="G3299" s="9" t="str">
        <f t="shared" ca="1" si="1165"/>
        <v>Enter a value for 'Number of Floors in the Tallest Building' in cell B60.
TRUE</v>
      </c>
    </row>
    <row r="3300" spans="1:7" ht="15" customHeight="1">
      <c r="A3300" t="str">
        <f t="shared" si="1164"/>
        <v/>
      </c>
      <c r="B3300">
        <f>Calculations!A742</f>
        <v>35</v>
      </c>
      <c r="E3300" s="137">
        <f>Calculations!I742</f>
        <v>0</v>
      </c>
      <c r="F3300" t="str">
        <f t="shared" si="1166"/>
        <v xml:space="preserve">Square Footage Applicable Fraction canot exceed 100% ensure that total sq. feet minus employee sq. feet is less than LI sq. feet for  building 35.
</v>
      </c>
      <c r="G3300" s="9" t="str">
        <f t="shared" ca="1" si="1165"/>
        <v>Enter a value for 'Number of Floors in the Tallest Building' in cell B60.
TRUE</v>
      </c>
    </row>
    <row r="3301" spans="1:7" ht="15" customHeight="1">
      <c r="A3301" t="str">
        <f t="shared" si="1164"/>
        <v/>
      </c>
      <c r="B3301">
        <f>Calculations!A743</f>
        <v>36</v>
      </c>
      <c r="E3301" s="137">
        <f>Calculations!I743</f>
        <v>0</v>
      </c>
      <c r="F3301" t="str">
        <f t="shared" si="1166"/>
        <v xml:space="preserve">Square Footage Applicable Fraction canot exceed 100% ensure that total sq. feet minus employee sq. feet is less than LI sq. feet for  building 36.
</v>
      </c>
      <c r="G3301" s="9" t="str">
        <f t="shared" ca="1" si="1165"/>
        <v>Enter a value for 'Number of Floors in the Tallest Building' in cell B60.
TRUE</v>
      </c>
    </row>
    <row r="3302" spans="1:7" ht="15" customHeight="1">
      <c r="A3302" t="str">
        <f t="shared" si="1164"/>
        <v/>
      </c>
      <c r="B3302">
        <f>Calculations!A744</f>
        <v>37</v>
      </c>
      <c r="E3302" s="137">
        <f>Calculations!I744</f>
        <v>0</v>
      </c>
      <c r="F3302" t="str">
        <f t="shared" si="1166"/>
        <v xml:space="preserve">Square Footage Applicable Fraction canot exceed 100% ensure that total sq. feet minus employee sq. feet is less than LI sq. feet for  building 37.
</v>
      </c>
      <c r="G3302" s="9" t="str">
        <f t="shared" ca="1" si="1165"/>
        <v>Enter a value for 'Number of Floors in the Tallest Building' in cell B60.
TRUE</v>
      </c>
    </row>
    <row r="3303" spans="1:7" ht="15" customHeight="1">
      <c r="A3303" t="str">
        <f t="shared" si="1164"/>
        <v/>
      </c>
      <c r="B3303">
        <f>Calculations!A745</f>
        <v>38</v>
      </c>
      <c r="E3303" s="137">
        <f>Calculations!I745</f>
        <v>0</v>
      </c>
      <c r="F3303" t="str">
        <f t="shared" si="1166"/>
        <v xml:space="preserve">Square Footage Applicable Fraction canot exceed 100% ensure that total sq. feet minus employee sq. feet is less than LI sq. feet for  building 38.
</v>
      </c>
      <c r="G3303" s="9" t="str">
        <f t="shared" ca="1" si="1165"/>
        <v>Enter a value for 'Number of Floors in the Tallest Building' in cell B60.
TRUE</v>
      </c>
    </row>
    <row r="3304" spans="1:7" ht="15" customHeight="1">
      <c r="A3304" t="str">
        <f t="shared" si="1164"/>
        <v/>
      </c>
      <c r="B3304">
        <f>Calculations!A746</f>
        <v>39</v>
      </c>
      <c r="E3304" s="137">
        <f>Calculations!I746</f>
        <v>0</v>
      </c>
      <c r="F3304" t="str">
        <f t="shared" si="1166"/>
        <v xml:space="preserve">Square Footage Applicable Fraction canot exceed 100% ensure that total sq. feet minus employee sq. feet is less than LI sq. feet for  building 39.
</v>
      </c>
      <c r="G3304" s="9" t="str">
        <f t="shared" ca="1" si="1165"/>
        <v>Enter a value for 'Number of Floors in the Tallest Building' in cell B60.
TRUE</v>
      </c>
    </row>
    <row r="3305" spans="1:7" ht="15" customHeight="1">
      <c r="A3305" t="str">
        <f t="shared" si="1164"/>
        <v/>
      </c>
      <c r="B3305">
        <f>Calculations!A747</f>
        <v>40</v>
      </c>
      <c r="E3305" s="137">
        <f>Calculations!I747</f>
        <v>0</v>
      </c>
      <c r="F3305" t="str">
        <f t="shared" si="1166"/>
        <v xml:space="preserve">Square Footage Applicable Fraction canot exceed 100% ensure that total sq. feet minus employee sq. feet is less than LI sq. feet for  building 40.
</v>
      </c>
      <c r="G3305" s="9" t="str">
        <f t="shared" ca="1" si="1165"/>
        <v>Enter a value for 'Number of Floors in the Tallest Building' in cell B60.
TRUE</v>
      </c>
    </row>
    <row r="3306" spans="1:7" ht="15" customHeight="1">
      <c r="A3306" t="str">
        <f t="shared" si="1164"/>
        <v/>
      </c>
      <c r="B3306">
        <f>Calculations!A748</f>
        <v>41</v>
      </c>
      <c r="E3306" s="137">
        <f>Calculations!I748</f>
        <v>0</v>
      </c>
      <c r="F3306" t="str">
        <f t="shared" si="1166"/>
        <v xml:space="preserve">Square Footage Applicable Fraction canot exceed 100% ensure that total sq. feet minus employee sq. feet is less than LI sq. feet for  building 41.
</v>
      </c>
      <c r="G3306" s="9" t="str">
        <f t="shared" ca="1" si="1165"/>
        <v>Enter a value for 'Number of Floors in the Tallest Building' in cell B60.
TRUE</v>
      </c>
    </row>
    <row r="3307" spans="1:7" ht="15" customHeight="1">
      <c r="A3307" t="str">
        <f t="shared" si="1164"/>
        <v/>
      </c>
      <c r="B3307">
        <f>Calculations!A749</f>
        <v>42</v>
      </c>
      <c r="E3307" s="137">
        <f>Calculations!I749</f>
        <v>0</v>
      </c>
      <c r="F3307" t="str">
        <f t="shared" si="1166"/>
        <v xml:space="preserve">Square Footage Applicable Fraction canot exceed 100% ensure that total sq. feet minus employee sq. feet is less than LI sq. feet for  building 42.
</v>
      </c>
      <c r="G3307" s="9" t="str">
        <f t="shared" ca="1" si="1165"/>
        <v>Enter a value for 'Number of Floors in the Tallest Building' in cell B60.
TRUE</v>
      </c>
    </row>
    <row r="3308" spans="1:7" ht="15" customHeight="1">
      <c r="A3308" t="str">
        <f t="shared" si="1164"/>
        <v/>
      </c>
      <c r="B3308">
        <f>Calculations!A750</f>
        <v>43</v>
      </c>
      <c r="E3308" s="137">
        <f>Calculations!I750</f>
        <v>0</v>
      </c>
      <c r="F3308" t="str">
        <f t="shared" si="1166"/>
        <v xml:space="preserve">Square Footage Applicable Fraction canot exceed 100% ensure that total sq. feet minus employee sq. feet is less than LI sq. feet for  building 43.
</v>
      </c>
      <c r="G3308" s="9" t="str">
        <f t="shared" ca="1" si="1165"/>
        <v>Enter a value for 'Number of Floors in the Tallest Building' in cell B60.
TRUE</v>
      </c>
    </row>
    <row r="3309" spans="1:7" ht="15" customHeight="1">
      <c r="A3309" t="str">
        <f t="shared" si="1164"/>
        <v/>
      </c>
      <c r="B3309">
        <f>Calculations!A751</f>
        <v>44</v>
      </c>
      <c r="E3309" s="137">
        <f>Calculations!I751</f>
        <v>0</v>
      </c>
      <c r="F3309" t="str">
        <f t="shared" si="1166"/>
        <v xml:space="preserve">Square Footage Applicable Fraction canot exceed 100% ensure that total sq. feet minus employee sq. feet is less than LI sq. feet for  building 44.
</v>
      </c>
      <c r="G3309" s="9" t="str">
        <f t="shared" ca="1" si="1165"/>
        <v>Enter a value for 'Number of Floors in the Tallest Building' in cell B60.
TRUE</v>
      </c>
    </row>
    <row r="3310" spans="1:7" ht="15" customHeight="1">
      <c r="A3310" t="str">
        <f t="shared" si="1164"/>
        <v/>
      </c>
      <c r="B3310">
        <f>Calculations!A752</f>
        <v>45</v>
      </c>
      <c r="E3310" s="137">
        <f>Calculations!I752</f>
        <v>0</v>
      </c>
      <c r="F3310" t="str">
        <f t="shared" si="1166"/>
        <v xml:space="preserve">Square Footage Applicable Fraction canot exceed 100% ensure that total sq. feet minus employee sq. feet is less than LI sq. feet for  building 45.
</v>
      </c>
      <c r="G3310" s="9" t="str">
        <f t="shared" ca="1" si="1165"/>
        <v>Enter a value for 'Number of Floors in the Tallest Building' in cell B60.
TRUE</v>
      </c>
    </row>
    <row r="3311" spans="1:7" ht="15" customHeight="1">
      <c r="A3311" t="str">
        <f t="shared" si="1164"/>
        <v/>
      </c>
      <c r="B3311">
        <f>Calculations!A753</f>
        <v>46</v>
      </c>
      <c r="E3311" s="137">
        <f>Calculations!I753</f>
        <v>0</v>
      </c>
      <c r="F3311" t="str">
        <f t="shared" si="1166"/>
        <v xml:space="preserve">Square Footage Applicable Fraction canot exceed 100% ensure that total sq. feet minus employee sq. feet is less than LI sq. feet for  building 46.
</v>
      </c>
      <c r="G3311" s="9" t="str">
        <f t="shared" ca="1" si="1165"/>
        <v>Enter a value for 'Number of Floors in the Tallest Building' in cell B60.
TRUE</v>
      </c>
    </row>
    <row r="3312" spans="1:7" ht="15" customHeight="1">
      <c r="A3312" t="str">
        <f t="shared" si="1164"/>
        <v/>
      </c>
      <c r="B3312">
        <f>Calculations!A754</f>
        <v>47</v>
      </c>
      <c r="E3312" s="137">
        <f>Calculations!I754</f>
        <v>0</v>
      </c>
      <c r="F3312" t="str">
        <f t="shared" si="1166"/>
        <v xml:space="preserve">Square Footage Applicable Fraction canot exceed 100% ensure that total sq. feet minus employee sq. feet is less than LI sq. feet for  building 47.
</v>
      </c>
      <c r="G3312" s="9" t="str">
        <f t="shared" ca="1" si="1165"/>
        <v>Enter a value for 'Number of Floors in the Tallest Building' in cell B60.
TRUE</v>
      </c>
    </row>
    <row r="3313" spans="1:7" ht="15" customHeight="1">
      <c r="A3313" t="str">
        <f t="shared" si="1164"/>
        <v/>
      </c>
      <c r="B3313">
        <f>Calculations!A755</f>
        <v>48</v>
      </c>
      <c r="E3313" s="137">
        <f>Calculations!I755</f>
        <v>0</v>
      </c>
      <c r="F3313" t="str">
        <f t="shared" si="1166"/>
        <v xml:space="preserve">Square Footage Applicable Fraction canot exceed 100% ensure that total sq. feet minus employee sq. feet is less than LI sq. feet for  building 48.
</v>
      </c>
      <c r="G3313" s="9" t="str">
        <f t="shared" ca="1" si="1165"/>
        <v>Enter a value for 'Number of Floors in the Tallest Building' in cell B60.
TRUE</v>
      </c>
    </row>
    <row r="3314" spans="1:7" ht="15" customHeight="1">
      <c r="A3314" t="str">
        <f t="shared" si="1164"/>
        <v/>
      </c>
      <c r="B3314">
        <f>Calculations!A756</f>
        <v>49</v>
      </c>
      <c r="E3314" s="137">
        <f>Calculations!I756</f>
        <v>0</v>
      </c>
      <c r="F3314" t="str">
        <f t="shared" si="1166"/>
        <v xml:space="preserve">Square Footage Applicable Fraction canot exceed 100% ensure that total sq. feet minus employee sq. feet is less than LI sq. feet for  building 49.
</v>
      </c>
      <c r="G3314" s="9" t="str">
        <f t="shared" ca="1" si="1165"/>
        <v>Enter a value for 'Number of Floors in the Tallest Building' in cell B60.
TRUE</v>
      </c>
    </row>
    <row r="3315" spans="1:7" ht="15" customHeight="1">
      <c r="A3315" t="str">
        <f t="shared" si="1164"/>
        <v/>
      </c>
      <c r="B3315">
        <f>Calculations!A757</f>
        <v>50</v>
      </c>
      <c r="E3315" s="137">
        <f>Calculations!I757</f>
        <v>0</v>
      </c>
      <c r="F3315" t="str">
        <f t="shared" si="1166"/>
        <v xml:space="preserve">Square Footage Applicable Fraction canot exceed 100% ensure that total sq. feet minus employee sq. feet is less than LI sq. feet for  building 50.
</v>
      </c>
      <c r="G3315" s="9" t="str">
        <f t="shared" ca="1" si="1165"/>
        <v>Enter a value for 'Number of Floors in the Tallest Building' in cell B60.
TRUE</v>
      </c>
    </row>
    <row r="3316" spans="1:7" ht="15" customHeight="1">
      <c r="A3316" t="str">
        <f t="shared" si="1164"/>
        <v/>
      </c>
      <c r="B3316">
        <f>Calculations!A758</f>
        <v>51</v>
      </c>
      <c r="E3316" s="137">
        <f>Calculations!I758</f>
        <v>0</v>
      </c>
      <c r="F3316" t="str">
        <f t="shared" si="1166"/>
        <v xml:space="preserve">Square Footage Applicable Fraction canot exceed 100% ensure that total sq. feet minus employee sq. feet is less than LI sq. feet for  building 51.
</v>
      </c>
      <c r="G3316" s="9" t="str">
        <f t="shared" ca="1" si="1165"/>
        <v>Enter a value for 'Number of Floors in the Tallest Building' in cell B60.
TRUE</v>
      </c>
    </row>
    <row r="3317" spans="1:7" ht="15" customHeight="1">
      <c r="A3317" t="str">
        <f t="shared" si="1164"/>
        <v/>
      </c>
      <c r="B3317">
        <f>Calculations!A759</f>
        <v>52</v>
      </c>
      <c r="E3317" s="137">
        <f>Calculations!I759</f>
        <v>0</v>
      </c>
      <c r="F3317" t="str">
        <f t="shared" si="1166"/>
        <v xml:space="preserve">Square Footage Applicable Fraction canot exceed 100% ensure that total sq. feet minus employee sq. feet is less than LI sq. feet for  building 52.
</v>
      </c>
      <c r="G3317" s="9" t="str">
        <f t="shared" ca="1" si="1165"/>
        <v>Enter a value for 'Number of Floors in the Tallest Building' in cell B60.
TRUE</v>
      </c>
    </row>
    <row r="3318" spans="1:7" ht="15" customHeight="1">
      <c r="A3318" t="str">
        <f t="shared" si="1164"/>
        <v/>
      </c>
      <c r="B3318">
        <f>Calculations!A760</f>
        <v>53</v>
      </c>
      <c r="E3318" s="137">
        <f>Calculations!I760</f>
        <v>0</v>
      </c>
      <c r="F3318" t="str">
        <f t="shared" si="1166"/>
        <v xml:space="preserve">Square Footage Applicable Fraction canot exceed 100% ensure that total sq. feet minus employee sq. feet is less than LI sq. feet for  building 53.
</v>
      </c>
      <c r="G3318" s="9" t="str">
        <f t="shared" ca="1" si="1165"/>
        <v>Enter a value for 'Number of Floors in the Tallest Building' in cell B60.
TRUE</v>
      </c>
    </row>
    <row r="3319" spans="1:7" ht="15" customHeight="1">
      <c r="A3319" t="str">
        <f t="shared" si="1164"/>
        <v/>
      </c>
      <c r="B3319">
        <f>Calculations!A761</f>
        <v>54</v>
      </c>
      <c r="E3319" s="137">
        <f>Calculations!I761</f>
        <v>0</v>
      </c>
      <c r="F3319" t="str">
        <f t="shared" si="1166"/>
        <v xml:space="preserve">Square Footage Applicable Fraction canot exceed 100% ensure that total sq. feet minus employee sq. feet is less than LI sq. feet for  building 54.
</v>
      </c>
      <c r="G3319" s="9" t="str">
        <f t="shared" ca="1" si="1165"/>
        <v>Enter a value for 'Number of Floors in the Tallest Building' in cell B60.
TRUE</v>
      </c>
    </row>
    <row r="3320" spans="1:7" ht="15" customHeight="1">
      <c r="A3320" t="str">
        <f t="shared" si="1164"/>
        <v/>
      </c>
      <c r="B3320">
        <f>Calculations!A762</f>
        <v>55</v>
      </c>
      <c r="E3320" s="137">
        <f>Calculations!I762</f>
        <v>0</v>
      </c>
      <c r="F3320" t="str">
        <f t="shared" si="1166"/>
        <v xml:space="preserve">Square Footage Applicable Fraction canot exceed 100% ensure that total sq. feet minus employee sq. feet is less than LI sq. feet for  building 55.
</v>
      </c>
      <c r="G3320" s="9" t="str">
        <f t="shared" ca="1" si="1165"/>
        <v>Enter a value for 'Number of Floors in the Tallest Building' in cell B60.
TRUE</v>
      </c>
    </row>
    <row r="3321" spans="1:7" ht="15" customHeight="1">
      <c r="A3321" t="str">
        <f t="shared" si="1164"/>
        <v/>
      </c>
      <c r="B3321">
        <f>Calculations!A763</f>
        <v>56</v>
      </c>
      <c r="E3321" s="137">
        <f>Calculations!I763</f>
        <v>0</v>
      </c>
      <c r="F3321" t="str">
        <f t="shared" si="1166"/>
        <v xml:space="preserve">Square Footage Applicable Fraction canot exceed 100% ensure that total sq. feet minus employee sq. feet is less than LI sq. feet for  building 56.
</v>
      </c>
      <c r="G3321" s="9" t="str">
        <f t="shared" ca="1" si="1165"/>
        <v>Enter a value for 'Number of Floors in the Tallest Building' in cell B60.
TRUE</v>
      </c>
    </row>
    <row r="3322" spans="1:7" ht="15" customHeight="1">
      <c r="A3322" t="str">
        <f t="shared" si="1164"/>
        <v/>
      </c>
      <c r="B3322">
        <f>Calculations!A764</f>
        <v>57</v>
      </c>
      <c r="E3322" s="137">
        <f>Calculations!I764</f>
        <v>0</v>
      </c>
      <c r="F3322" t="str">
        <f t="shared" si="1166"/>
        <v xml:space="preserve">Square Footage Applicable Fraction canot exceed 100% ensure that total sq. feet minus employee sq. feet is less than LI sq. feet for  building 57.
</v>
      </c>
      <c r="G3322" s="9" t="str">
        <f t="shared" ca="1" si="1165"/>
        <v>Enter a value for 'Number of Floors in the Tallest Building' in cell B60.
TRUE</v>
      </c>
    </row>
    <row r="3323" spans="1:7" ht="15" customHeight="1">
      <c r="A3323" t="str">
        <f t="shared" si="1164"/>
        <v/>
      </c>
      <c r="B3323">
        <f>Calculations!A765</f>
        <v>58</v>
      </c>
      <c r="E3323" s="137">
        <f>Calculations!I765</f>
        <v>0</v>
      </c>
      <c r="F3323" t="str">
        <f t="shared" si="1166"/>
        <v xml:space="preserve">Square Footage Applicable Fraction canot exceed 100% ensure that total sq. feet minus employee sq. feet is less than LI sq. feet for  building 58.
</v>
      </c>
      <c r="G3323" s="9" t="str">
        <f t="shared" ca="1" si="1165"/>
        <v>Enter a value for 'Number of Floors in the Tallest Building' in cell B60.
TRUE</v>
      </c>
    </row>
    <row r="3324" spans="1:7" ht="15" customHeight="1">
      <c r="A3324" t="str">
        <f t="shared" si="1164"/>
        <v/>
      </c>
      <c r="B3324">
        <f>Calculations!A766</f>
        <v>59</v>
      </c>
      <c r="E3324" s="137">
        <f>Calculations!I766</f>
        <v>0</v>
      </c>
      <c r="F3324" t="str">
        <f t="shared" si="1166"/>
        <v xml:space="preserve">Square Footage Applicable Fraction canot exceed 100% ensure that total sq. feet minus employee sq. feet is less than LI sq. feet for  building 59.
</v>
      </c>
      <c r="G3324" s="9" t="str">
        <f t="shared" ca="1" si="1165"/>
        <v>Enter a value for 'Number of Floors in the Tallest Building' in cell B60.
TRUE</v>
      </c>
    </row>
    <row r="3325" spans="1:7" ht="15" customHeight="1">
      <c r="A3325" t="str">
        <f t="shared" si="1164"/>
        <v/>
      </c>
      <c r="B3325">
        <f>Calculations!A767</f>
        <v>60</v>
      </c>
      <c r="E3325" s="137">
        <f>Calculations!I767</f>
        <v>0</v>
      </c>
      <c r="F3325" t="str">
        <f t="shared" si="1166"/>
        <v xml:space="preserve">Square Footage Applicable Fraction canot exceed 100% ensure that total sq. feet minus employee sq. feet is less than LI sq. feet for  building 60.
</v>
      </c>
      <c r="G3325" s="9" t="str">
        <f t="shared" ca="1" si="1165"/>
        <v>Enter a value for 'Number of Floors in the Tallest Building' in cell B60.
TRUE</v>
      </c>
    </row>
    <row r="3326" spans="1:7" ht="15" customHeight="1">
      <c r="A3326" t="str">
        <f t="shared" si="1164"/>
        <v/>
      </c>
      <c r="B3326">
        <f>Calculations!A768</f>
        <v>61</v>
      </c>
      <c r="E3326" s="137">
        <f>Calculations!I768</f>
        <v>0</v>
      </c>
      <c r="F3326" t="str">
        <f t="shared" si="1166"/>
        <v xml:space="preserve">Square Footage Applicable Fraction canot exceed 100% ensure that total sq. feet minus employee sq. feet is less than LI sq. feet for  building 61.
</v>
      </c>
      <c r="G3326" s="9" t="str">
        <f t="shared" ca="1" si="1165"/>
        <v>Enter a value for 'Number of Floors in the Tallest Building' in cell B60.
TRUE</v>
      </c>
    </row>
    <row r="3327" spans="1:7" ht="15" customHeight="1">
      <c r="A3327" t="str">
        <f t="shared" ref="A3327:A3358" si="1167">IF(E3327&gt;1, F3327, "")</f>
        <v/>
      </c>
      <c r="B3327">
        <f>Calculations!A769</f>
        <v>62</v>
      </c>
      <c r="E3327" s="137">
        <f>Calculations!I769</f>
        <v>0</v>
      </c>
      <c r="F3327" t="str">
        <f t="shared" si="1166"/>
        <v xml:space="preserve">Square Footage Applicable Fraction canot exceed 100% ensure that total sq. feet minus employee sq. feet is less than LI sq. feet for  building 62.
</v>
      </c>
      <c r="G3327" s="9" t="str">
        <f t="shared" ca="1" si="1165"/>
        <v>Enter a value for 'Number of Floors in the Tallest Building' in cell B60.
TRUE</v>
      </c>
    </row>
    <row r="3328" spans="1:7" ht="15" customHeight="1">
      <c r="A3328" t="str">
        <f t="shared" si="1167"/>
        <v/>
      </c>
      <c r="B3328">
        <f>Calculations!A770</f>
        <v>63</v>
      </c>
      <c r="E3328" s="137">
        <f>Calculations!I770</f>
        <v>0</v>
      </c>
      <c r="F3328" t="str">
        <f t="shared" si="1166"/>
        <v xml:space="preserve">Square Footage Applicable Fraction canot exceed 100% ensure that total sq. feet minus employee sq. feet is less than LI sq. feet for  building 63.
</v>
      </c>
      <c r="G3328" s="9" t="str">
        <f t="shared" ca="1" si="1165"/>
        <v>Enter a value for 'Number of Floors in the Tallest Building' in cell B60.
TRUE</v>
      </c>
    </row>
    <row r="3329" spans="1:7" ht="15" customHeight="1">
      <c r="A3329" t="str">
        <f t="shared" si="1167"/>
        <v/>
      </c>
      <c r="B3329">
        <f>Calculations!A771</f>
        <v>64</v>
      </c>
      <c r="E3329" s="137">
        <f>Calculations!I771</f>
        <v>0</v>
      </c>
      <c r="F3329" t="str">
        <f t="shared" si="1166"/>
        <v xml:space="preserve">Square Footage Applicable Fraction canot exceed 100% ensure that total sq. feet minus employee sq. feet is less than LI sq. feet for  building 64.
</v>
      </c>
      <c r="G3329" s="9" t="str">
        <f t="shared" ca="1" si="1165"/>
        <v>Enter a value for 'Number of Floors in the Tallest Building' in cell B60.
TRUE</v>
      </c>
    </row>
    <row r="3330" spans="1:7" ht="15" customHeight="1">
      <c r="A3330" t="str">
        <f t="shared" si="1167"/>
        <v/>
      </c>
      <c r="B3330">
        <f>Calculations!A772</f>
        <v>65</v>
      </c>
      <c r="E3330" s="137">
        <f>Calculations!I772</f>
        <v>0</v>
      </c>
      <c r="F3330" t="str">
        <f t="shared" ref="F3330:F3364" si="1168">CONCATENATE("Square Footage Applicable Fraction canot exceed 100% ensure that total sq. feet minus employee sq. feet is less than LI sq. feet for  building ", B3330, ".", CHAR(10))</f>
        <v xml:space="preserve">Square Footage Applicable Fraction canot exceed 100% ensure that total sq. feet minus employee sq. feet is less than LI sq. feet for  building 65.
</v>
      </c>
      <c r="G3330" s="9" t="str">
        <f t="shared" ca="1" si="1165"/>
        <v>Enter a value for 'Number of Floors in the Tallest Building' in cell B60.
TRUE</v>
      </c>
    </row>
    <row r="3331" spans="1:7" ht="15" customHeight="1">
      <c r="A3331" t="str">
        <f t="shared" si="1167"/>
        <v/>
      </c>
      <c r="B3331">
        <f>Calculations!A773</f>
        <v>66</v>
      </c>
      <c r="E3331" s="137">
        <f>Calculations!I773</f>
        <v>0</v>
      </c>
      <c r="F3331" t="str">
        <f t="shared" si="1168"/>
        <v xml:space="preserve">Square Footage Applicable Fraction canot exceed 100% ensure that total sq. feet minus employee sq. feet is less than LI sq. feet for  building 66.
</v>
      </c>
      <c r="G3331" s="9" t="str">
        <f t="shared" ca="1" si="1165"/>
        <v>Enter a value for 'Number of Floors in the Tallest Building' in cell B60.
TRUE</v>
      </c>
    </row>
    <row r="3332" spans="1:7" ht="15" customHeight="1">
      <c r="A3332" t="str">
        <f t="shared" si="1167"/>
        <v/>
      </c>
      <c r="B3332">
        <f>Calculations!A774</f>
        <v>67</v>
      </c>
      <c r="E3332" s="137">
        <f>Calculations!I774</f>
        <v>0</v>
      </c>
      <c r="F3332" t="str">
        <f t="shared" si="1168"/>
        <v xml:space="preserve">Square Footage Applicable Fraction canot exceed 100% ensure that total sq. feet minus employee sq. feet is less than LI sq. feet for  building 67.
</v>
      </c>
      <c r="G3332" s="9" t="str">
        <f t="shared" ca="1" si="1165"/>
        <v>Enter a value for 'Number of Floors in the Tallest Building' in cell B60.
TRUE</v>
      </c>
    </row>
    <row r="3333" spans="1:7" ht="15" customHeight="1">
      <c r="A3333" t="str">
        <f t="shared" si="1167"/>
        <v/>
      </c>
      <c r="B3333">
        <f>Calculations!A775</f>
        <v>68</v>
      </c>
      <c r="E3333" s="137">
        <f>Calculations!I775</f>
        <v>0</v>
      </c>
      <c r="F3333" t="str">
        <f t="shared" si="1168"/>
        <v xml:space="preserve">Square Footage Applicable Fraction canot exceed 100% ensure that total sq. feet minus employee sq. feet is less than LI sq. feet for  building 68.
</v>
      </c>
      <c r="G3333" s="9" t="str">
        <f t="shared" ca="1" si="1165"/>
        <v>Enter a value for 'Number of Floors in the Tallest Building' in cell B60.
TRUE</v>
      </c>
    </row>
    <row r="3334" spans="1:7" ht="15" customHeight="1">
      <c r="A3334" t="str">
        <f t="shared" si="1167"/>
        <v/>
      </c>
      <c r="B3334">
        <f>Calculations!A776</f>
        <v>69</v>
      </c>
      <c r="E3334" s="137">
        <f>Calculations!I776</f>
        <v>0</v>
      </c>
      <c r="F3334" t="str">
        <f t="shared" si="1168"/>
        <v xml:space="preserve">Square Footage Applicable Fraction canot exceed 100% ensure that total sq. feet minus employee sq. feet is less than LI sq. feet for  building 69.
</v>
      </c>
      <c r="G3334" s="9" t="str">
        <f t="shared" ca="1" si="1165"/>
        <v>Enter a value for 'Number of Floors in the Tallest Building' in cell B60.
TRUE</v>
      </c>
    </row>
    <row r="3335" spans="1:7" ht="15" customHeight="1">
      <c r="A3335" t="str">
        <f t="shared" si="1167"/>
        <v/>
      </c>
      <c r="B3335">
        <f>Calculations!A777</f>
        <v>70</v>
      </c>
      <c r="E3335" s="137">
        <f>Calculations!I777</f>
        <v>0</v>
      </c>
      <c r="F3335" t="str">
        <f t="shared" si="1168"/>
        <v xml:space="preserve">Square Footage Applicable Fraction canot exceed 100% ensure that total sq. feet minus employee sq. feet is less than LI sq. feet for  building 70.
</v>
      </c>
      <c r="G3335" s="9" t="str">
        <f t="shared" ca="1" si="1165"/>
        <v>Enter a value for 'Number of Floors in the Tallest Building' in cell B60.
TRUE</v>
      </c>
    </row>
    <row r="3336" spans="1:7" ht="15" customHeight="1">
      <c r="A3336" t="str">
        <f t="shared" si="1167"/>
        <v/>
      </c>
      <c r="B3336">
        <f>Calculations!A778</f>
        <v>71</v>
      </c>
      <c r="E3336" s="137">
        <f>Calculations!I778</f>
        <v>0</v>
      </c>
      <c r="F3336" t="str">
        <f t="shared" si="1168"/>
        <v xml:space="preserve">Square Footage Applicable Fraction canot exceed 100% ensure that total sq. feet minus employee sq. feet is less than LI sq. feet for  building 71.
</v>
      </c>
      <c r="G3336" s="9" t="str">
        <f t="shared" ca="1" si="1165"/>
        <v>Enter a value for 'Number of Floors in the Tallest Building' in cell B60.
TRUE</v>
      </c>
    </row>
    <row r="3337" spans="1:7" ht="15" customHeight="1">
      <c r="A3337" t="str">
        <f t="shared" si="1167"/>
        <v/>
      </c>
      <c r="B3337">
        <f>Calculations!A779</f>
        <v>72</v>
      </c>
      <c r="E3337" s="137">
        <f>Calculations!I779</f>
        <v>0</v>
      </c>
      <c r="F3337" t="str">
        <f t="shared" si="1168"/>
        <v xml:space="preserve">Square Footage Applicable Fraction canot exceed 100% ensure that total sq. feet minus employee sq. feet is less than LI sq. feet for  building 72.
</v>
      </c>
      <c r="G3337" s="9" t="str">
        <f t="shared" ca="1" si="1165"/>
        <v>Enter a value for 'Number of Floors in the Tallest Building' in cell B60.
TRUE</v>
      </c>
    </row>
    <row r="3338" spans="1:7" ht="15" customHeight="1">
      <c r="A3338" t="str">
        <f t="shared" si="1167"/>
        <v/>
      </c>
      <c r="B3338">
        <f>Calculations!A780</f>
        <v>73</v>
      </c>
      <c r="E3338" s="137">
        <f>Calculations!I780</f>
        <v>0</v>
      </c>
      <c r="F3338" t="str">
        <f t="shared" si="1168"/>
        <v xml:space="preserve">Square Footage Applicable Fraction canot exceed 100% ensure that total sq. feet minus employee sq. feet is less than LI sq. feet for  building 73.
</v>
      </c>
      <c r="G3338" s="9" t="str">
        <f t="shared" ca="1" si="1165"/>
        <v>Enter a value for 'Number of Floors in the Tallest Building' in cell B60.
TRUE</v>
      </c>
    </row>
    <row r="3339" spans="1:7" ht="15" customHeight="1">
      <c r="A3339" t="str">
        <f t="shared" si="1167"/>
        <v/>
      </c>
      <c r="B3339">
        <f>Calculations!A781</f>
        <v>74</v>
      </c>
      <c r="E3339" s="137">
        <f>Calculations!I781</f>
        <v>0</v>
      </c>
      <c r="F3339" t="str">
        <f t="shared" si="1168"/>
        <v xml:space="preserve">Square Footage Applicable Fraction canot exceed 100% ensure that total sq. feet minus employee sq. feet is less than LI sq. feet for  building 74.
</v>
      </c>
      <c r="G3339" s="9" t="str">
        <f t="shared" ca="1" si="1165"/>
        <v>Enter a value for 'Number of Floors in the Tallest Building' in cell B60.
TRUE</v>
      </c>
    </row>
    <row r="3340" spans="1:7" ht="15" customHeight="1">
      <c r="A3340" t="str">
        <f t="shared" si="1167"/>
        <v/>
      </c>
      <c r="B3340">
        <f>Calculations!A782</f>
        <v>75</v>
      </c>
      <c r="E3340" s="137">
        <f>Calculations!I782</f>
        <v>0</v>
      </c>
      <c r="F3340" t="str">
        <f t="shared" si="1168"/>
        <v xml:space="preserve">Square Footage Applicable Fraction canot exceed 100% ensure that total sq. feet minus employee sq. feet is less than LI sq. feet for  building 75.
</v>
      </c>
      <c r="G3340" s="9" t="str">
        <f t="shared" ca="1" si="1165"/>
        <v>Enter a value for 'Number of Floors in the Tallest Building' in cell B60.
TRUE</v>
      </c>
    </row>
    <row r="3341" spans="1:7" ht="15" customHeight="1">
      <c r="A3341" t="str">
        <f t="shared" si="1167"/>
        <v/>
      </c>
      <c r="B3341">
        <f>Calculations!A783</f>
        <v>76</v>
      </c>
      <c r="E3341" s="137">
        <f>Calculations!I783</f>
        <v>0</v>
      </c>
      <c r="F3341" t="str">
        <f t="shared" si="1168"/>
        <v xml:space="preserve">Square Footage Applicable Fraction canot exceed 100% ensure that total sq. feet minus employee sq. feet is less than LI sq. feet for  building 76.
</v>
      </c>
      <c r="G3341" s="9" t="str">
        <f t="shared" ca="1" si="1165"/>
        <v>Enter a value for 'Number of Floors in the Tallest Building' in cell B60.
TRUE</v>
      </c>
    </row>
    <row r="3342" spans="1:7" ht="15" customHeight="1">
      <c r="A3342" t="str">
        <f t="shared" si="1167"/>
        <v/>
      </c>
      <c r="B3342">
        <f>Calculations!A784</f>
        <v>77</v>
      </c>
      <c r="E3342" s="137">
        <f>Calculations!I784</f>
        <v>0</v>
      </c>
      <c r="F3342" t="str">
        <f t="shared" si="1168"/>
        <v xml:space="preserve">Square Footage Applicable Fraction canot exceed 100% ensure that total sq. feet minus employee sq. feet is less than LI sq. feet for  building 77.
</v>
      </c>
      <c r="G3342" s="9" t="str">
        <f t="shared" ca="1" si="1165"/>
        <v>Enter a value for 'Number of Floors in the Tallest Building' in cell B60.
TRUE</v>
      </c>
    </row>
    <row r="3343" spans="1:7" ht="15" customHeight="1">
      <c r="A3343" t="str">
        <f t="shared" si="1167"/>
        <v/>
      </c>
      <c r="B3343">
        <f>Calculations!A785</f>
        <v>78</v>
      </c>
      <c r="E3343" s="137">
        <f>Calculations!I785</f>
        <v>0</v>
      </c>
      <c r="F3343" t="str">
        <f t="shared" si="1168"/>
        <v xml:space="preserve">Square Footage Applicable Fraction canot exceed 100% ensure that total sq. feet minus employee sq. feet is less than LI sq. feet for  building 78.
</v>
      </c>
      <c r="G3343" s="9" t="str">
        <f t="shared" ca="1" si="1165"/>
        <v>Enter a value for 'Number of Floors in the Tallest Building' in cell B60.
TRUE</v>
      </c>
    </row>
    <row r="3344" spans="1:7" ht="15" customHeight="1">
      <c r="A3344" t="str">
        <f t="shared" si="1167"/>
        <v/>
      </c>
      <c r="B3344">
        <f>Calculations!A786</f>
        <v>79</v>
      </c>
      <c r="E3344" s="137">
        <f>Calculations!I786</f>
        <v>0</v>
      </c>
      <c r="F3344" t="str">
        <f t="shared" si="1168"/>
        <v xml:space="preserve">Square Footage Applicable Fraction canot exceed 100% ensure that total sq. feet minus employee sq. feet is less than LI sq. feet for  building 79.
</v>
      </c>
      <c r="G3344" s="9" t="str">
        <f t="shared" ca="1" si="1165"/>
        <v>Enter a value for 'Number of Floors in the Tallest Building' in cell B60.
TRUE</v>
      </c>
    </row>
    <row r="3345" spans="1:7" ht="15" customHeight="1">
      <c r="A3345" t="str">
        <f t="shared" si="1167"/>
        <v/>
      </c>
      <c r="B3345">
        <f>Calculations!A787</f>
        <v>80</v>
      </c>
      <c r="E3345" s="137">
        <f>Calculations!I787</f>
        <v>0</v>
      </c>
      <c r="F3345" t="str">
        <f t="shared" si="1168"/>
        <v xml:space="preserve">Square Footage Applicable Fraction canot exceed 100% ensure that total sq. feet minus employee sq. feet is less than LI sq. feet for  building 80.
</v>
      </c>
      <c r="G3345" s="9" t="str">
        <f t="shared" ca="1" si="1165"/>
        <v>Enter a value for 'Number of Floors in the Tallest Building' in cell B60.
TRUE</v>
      </c>
    </row>
    <row r="3346" spans="1:7" ht="15" customHeight="1">
      <c r="A3346" t="str">
        <f t="shared" si="1167"/>
        <v/>
      </c>
      <c r="B3346">
        <f>Calculations!A788</f>
        <v>81</v>
      </c>
      <c r="E3346" s="137">
        <f>Calculations!I788</f>
        <v>0</v>
      </c>
      <c r="F3346" t="str">
        <f t="shared" si="1168"/>
        <v xml:space="preserve">Square Footage Applicable Fraction canot exceed 100% ensure that total sq. feet minus employee sq. feet is less than LI sq. feet for  building 81.
</v>
      </c>
      <c r="G3346" s="9" t="str">
        <f t="shared" ca="1" si="1165"/>
        <v>Enter a value for 'Number of Floors in the Tallest Building' in cell B60.
TRUE</v>
      </c>
    </row>
    <row r="3347" spans="1:7" ht="15" customHeight="1">
      <c r="A3347" t="str">
        <f t="shared" si="1167"/>
        <v/>
      </c>
      <c r="B3347">
        <f>Calculations!A789</f>
        <v>82</v>
      </c>
      <c r="E3347" s="137">
        <f>Calculations!I789</f>
        <v>0</v>
      </c>
      <c r="F3347" t="str">
        <f t="shared" si="1168"/>
        <v xml:space="preserve">Square Footage Applicable Fraction canot exceed 100% ensure that total sq. feet minus employee sq. feet is less than LI sq. feet for  building 82.
</v>
      </c>
      <c r="G3347" s="9" t="str">
        <f t="shared" ca="1" si="1165"/>
        <v>Enter a value for 'Number of Floors in the Tallest Building' in cell B60.
TRUE</v>
      </c>
    </row>
    <row r="3348" spans="1:7" ht="15" customHeight="1">
      <c r="A3348" t="str">
        <f t="shared" si="1167"/>
        <v/>
      </c>
      <c r="B3348">
        <f>Calculations!A790</f>
        <v>83</v>
      </c>
      <c r="E3348" s="137">
        <f>Calculations!I790</f>
        <v>0</v>
      </c>
      <c r="F3348" t="str">
        <f t="shared" si="1168"/>
        <v xml:space="preserve">Square Footage Applicable Fraction canot exceed 100% ensure that total sq. feet minus employee sq. feet is less than LI sq. feet for  building 83.
</v>
      </c>
      <c r="G3348" s="9" t="str">
        <f t="shared" ca="1" si="1165"/>
        <v>Enter a value for 'Number of Floors in the Tallest Building' in cell B60.
TRUE</v>
      </c>
    </row>
    <row r="3349" spans="1:7" ht="15" customHeight="1">
      <c r="A3349" t="str">
        <f t="shared" si="1167"/>
        <v/>
      </c>
      <c r="B3349">
        <f>Calculations!A791</f>
        <v>84</v>
      </c>
      <c r="E3349" s="137">
        <f>Calculations!I791</f>
        <v>0</v>
      </c>
      <c r="F3349" t="str">
        <f t="shared" si="1168"/>
        <v xml:space="preserve">Square Footage Applicable Fraction canot exceed 100% ensure that total sq. feet minus employee sq. feet is less than LI sq. feet for  building 84.
</v>
      </c>
      <c r="G3349" s="9" t="str">
        <f t="shared" ca="1" si="1165"/>
        <v>Enter a value for 'Number of Floors in the Tallest Building' in cell B60.
TRUE</v>
      </c>
    </row>
    <row r="3350" spans="1:7" ht="15" customHeight="1">
      <c r="A3350" t="str">
        <f t="shared" si="1167"/>
        <v/>
      </c>
      <c r="B3350">
        <f>Calculations!A792</f>
        <v>85</v>
      </c>
      <c r="E3350" s="137">
        <f>Calculations!I792</f>
        <v>0</v>
      </c>
      <c r="F3350" t="str">
        <f t="shared" si="1168"/>
        <v xml:space="preserve">Square Footage Applicable Fraction canot exceed 100% ensure that total sq. feet minus employee sq. feet is less than LI sq. feet for  building 85.
</v>
      </c>
      <c r="G3350" s="9" t="str">
        <f t="shared" ca="1" si="1165"/>
        <v>Enter a value for 'Number of Floors in the Tallest Building' in cell B60.
TRUE</v>
      </c>
    </row>
    <row r="3351" spans="1:7" ht="15" customHeight="1">
      <c r="A3351" t="str">
        <f t="shared" si="1167"/>
        <v/>
      </c>
      <c r="B3351">
        <f>Calculations!A793</f>
        <v>86</v>
      </c>
      <c r="E3351" s="137">
        <f>Calculations!I793</f>
        <v>0</v>
      </c>
      <c r="F3351" t="str">
        <f t="shared" si="1168"/>
        <v xml:space="preserve">Square Footage Applicable Fraction canot exceed 100% ensure that total sq. feet minus employee sq. feet is less than LI sq. feet for  building 86.
</v>
      </c>
      <c r="G3351" s="9" t="str">
        <f t="shared" ca="1" si="1165"/>
        <v>Enter a value for 'Number of Floors in the Tallest Building' in cell B60.
TRUE</v>
      </c>
    </row>
    <row r="3352" spans="1:7" ht="15" customHeight="1">
      <c r="A3352" t="str">
        <f t="shared" si="1167"/>
        <v/>
      </c>
      <c r="B3352">
        <f>Calculations!A794</f>
        <v>87</v>
      </c>
      <c r="E3352" s="137">
        <f>Calculations!I794</f>
        <v>0</v>
      </c>
      <c r="F3352" t="str">
        <f t="shared" si="1168"/>
        <v xml:space="preserve">Square Footage Applicable Fraction canot exceed 100% ensure that total sq. feet minus employee sq. feet is less than LI sq. feet for  building 87.
</v>
      </c>
      <c r="G3352" s="9" t="str">
        <f t="shared" ca="1" si="1165"/>
        <v>Enter a value for 'Number of Floors in the Tallest Building' in cell B60.
TRUE</v>
      </c>
    </row>
    <row r="3353" spans="1:7" ht="15" customHeight="1">
      <c r="A3353" t="str">
        <f t="shared" si="1167"/>
        <v/>
      </c>
      <c r="B3353">
        <f>Calculations!A795</f>
        <v>88</v>
      </c>
      <c r="E3353" s="137">
        <f>Calculations!I795</f>
        <v>0</v>
      </c>
      <c r="F3353" t="str">
        <f t="shared" si="1168"/>
        <v xml:space="preserve">Square Footage Applicable Fraction canot exceed 100% ensure that total sq. feet minus employee sq. feet is less than LI sq. feet for  building 88.
</v>
      </c>
      <c r="G3353" s="9" t="str">
        <f t="shared" ca="1" si="1165"/>
        <v>Enter a value for 'Number of Floors in the Tallest Building' in cell B60.
TRUE</v>
      </c>
    </row>
    <row r="3354" spans="1:7" ht="15" customHeight="1">
      <c r="A3354" t="str">
        <f t="shared" si="1167"/>
        <v/>
      </c>
      <c r="B3354">
        <f>Calculations!A796</f>
        <v>89</v>
      </c>
      <c r="E3354" s="137">
        <f>Calculations!I796</f>
        <v>0</v>
      </c>
      <c r="F3354" t="str">
        <f t="shared" si="1168"/>
        <v xml:space="preserve">Square Footage Applicable Fraction canot exceed 100% ensure that total sq. feet minus employee sq. feet is less than LI sq. feet for  building 89.
</v>
      </c>
      <c r="G3354" s="9" t="str">
        <f t="shared" ca="1" si="1165"/>
        <v>Enter a value for 'Number of Floors in the Tallest Building' in cell B60.
TRUE</v>
      </c>
    </row>
    <row r="3355" spans="1:7" ht="15" customHeight="1">
      <c r="A3355" t="str">
        <f t="shared" si="1167"/>
        <v/>
      </c>
      <c r="B3355">
        <f>Calculations!A797</f>
        <v>90</v>
      </c>
      <c r="E3355" s="137">
        <f>Calculations!I797</f>
        <v>0</v>
      </c>
      <c r="F3355" t="str">
        <f t="shared" si="1168"/>
        <v xml:space="preserve">Square Footage Applicable Fraction canot exceed 100% ensure that total sq. feet minus employee sq. feet is less than LI sq. feet for  building 90.
</v>
      </c>
      <c r="G3355" s="9" t="str">
        <f t="shared" ca="1" si="1165"/>
        <v>Enter a value for 'Number of Floors in the Tallest Building' in cell B60.
TRUE</v>
      </c>
    </row>
    <row r="3356" spans="1:7" ht="15" customHeight="1">
      <c r="A3356" t="str">
        <f t="shared" si="1167"/>
        <v/>
      </c>
      <c r="B3356">
        <f>Calculations!A798</f>
        <v>91</v>
      </c>
      <c r="E3356" s="137">
        <f>Calculations!I798</f>
        <v>0</v>
      </c>
      <c r="F3356" t="str">
        <f t="shared" si="1168"/>
        <v xml:space="preserve">Square Footage Applicable Fraction canot exceed 100% ensure that total sq. feet minus employee sq. feet is less than LI sq. feet for  building 91.
</v>
      </c>
      <c r="G3356" s="9" t="str">
        <f t="shared" ca="1" si="1165"/>
        <v>Enter a value for 'Number of Floors in the Tallest Building' in cell B60.
TRUE</v>
      </c>
    </row>
    <row r="3357" spans="1:7" ht="15" customHeight="1">
      <c r="A3357" t="str">
        <f t="shared" si="1167"/>
        <v/>
      </c>
      <c r="B3357">
        <f>Calculations!A799</f>
        <v>92</v>
      </c>
      <c r="E3357" s="137">
        <f>Calculations!I799</f>
        <v>0</v>
      </c>
      <c r="F3357" t="str">
        <f t="shared" si="1168"/>
        <v xml:space="preserve">Square Footage Applicable Fraction canot exceed 100% ensure that total sq. feet minus employee sq. feet is less than LI sq. feet for  building 92.
</v>
      </c>
      <c r="G3357" s="9" t="str">
        <f t="shared" ca="1" si="1165"/>
        <v>Enter a value for 'Number of Floors in the Tallest Building' in cell B60.
TRUE</v>
      </c>
    </row>
    <row r="3358" spans="1:7" ht="15" customHeight="1">
      <c r="A3358" t="str">
        <f t="shared" si="1167"/>
        <v/>
      </c>
      <c r="B3358">
        <f>Calculations!A800</f>
        <v>93</v>
      </c>
      <c r="E3358" s="137">
        <f>Calculations!I800</f>
        <v>0</v>
      </c>
      <c r="F3358" t="str">
        <f t="shared" si="1168"/>
        <v xml:space="preserve">Square Footage Applicable Fraction canot exceed 100% ensure that total sq. feet minus employee sq. feet is less than LI sq. feet for  building 93.
</v>
      </c>
      <c r="G3358" s="9" t="str">
        <f t="shared" ca="1" si="1165"/>
        <v>Enter a value for 'Number of Floors in the Tallest Building' in cell B60.
TRUE</v>
      </c>
    </row>
    <row r="3359" spans="1:7" ht="15" customHeight="1">
      <c r="A3359" t="str">
        <f t="shared" ref="A3359:A3364" si="1169">IF(E3359&gt;1, F3359, "")</f>
        <v/>
      </c>
      <c r="B3359">
        <f>Calculations!A801</f>
        <v>94</v>
      </c>
      <c r="E3359" s="137">
        <f>Calculations!I801</f>
        <v>0</v>
      </c>
      <c r="F3359" t="str">
        <f t="shared" si="1168"/>
        <v xml:space="preserve">Square Footage Applicable Fraction canot exceed 100% ensure that total sq. feet minus employee sq. feet is less than LI sq. feet for  building 94.
</v>
      </c>
      <c r="G3359" s="9" t="str">
        <f t="shared" ca="1" si="1165"/>
        <v>Enter a value for 'Number of Floors in the Tallest Building' in cell B60.
TRUE</v>
      </c>
    </row>
    <row r="3360" spans="1:7" ht="15" customHeight="1">
      <c r="A3360" t="str">
        <f t="shared" si="1169"/>
        <v/>
      </c>
      <c r="B3360">
        <f>Calculations!A802</f>
        <v>95</v>
      </c>
      <c r="E3360" s="137">
        <f>Calculations!I802</f>
        <v>0</v>
      </c>
      <c r="F3360" t="str">
        <f t="shared" si="1168"/>
        <v xml:space="preserve">Square Footage Applicable Fraction canot exceed 100% ensure that total sq. feet minus employee sq. feet is less than LI sq. feet for  building 95.
</v>
      </c>
      <c r="G3360" s="9" t="str">
        <f t="shared" ref="G3360:G3369" ca="1" si="1170">OFFSET(G3360, -1, 0) &amp; A3360</f>
        <v>Enter a value for 'Number of Floors in the Tallest Building' in cell B60.
TRUE</v>
      </c>
    </row>
    <row r="3361" spans="1:7" ht="15" customHeight="1">
      <c r="A3361" t="str">
        <f t="shared" si="1169"/>
        <v/>
      </c>
      <c r="B3361">
        <f>Calculations!A803</f>
        <v>96</v>
      </c>
      <c r="E3361" s="137">
        <f>Calculations!I803</f>
        <v>0</v>
      </c>
      <c r="F3361" t="str">
        <f t="shared" si="1168"/>
        <v xml:space="preserve">Square Footage Applicable Fraction canot exceed 100% ensure that total sq. feet minus employee sq. feet is less than LI sq. feet for  building 96.
</v>
      </c>
      <c r="G3361" s="9" t="str">
        <f t="shared" ca="1" si="1170"/>
        <v>Enter a value for 'Number of Floors in the Tallest Building' in cell B60.
TRUE</v>
      </c>
    </row>
    <row r="3362" spans="1:7" ht="15" customHeight="1">
      <c r="A3362" t="str">
        <f t="shared" si="1169"/>
        <v/>
      </c>
      <c r="B3362">
        <f>Calculations!A804</f>
        <v>97</v>
      </c>
      <c r="E3362" s="137">
        <f>Calculations!I804</f>
        <v>0</v>
      </c>
      <c r="F3362" t="str">
        <f t="shared" si="1168"/>
        <v xml:space="preserve">Square Footage Applicable Fraction canot exceed 100% ensure that total sq. feet minus employee sq. feet is less than LI sq. feet for  building 97.
</v>
      </c>
      <c r="G3362" s="9" t="str">
        <f t="shared" ca="1" si="1170"/>
        <v>Enter a value for 'Number of Floors in the Tallest Building' in cell B60.
TRUE</v>
      </c>
    </row>
    <row r="3363" spans="1:7" ht="15" customHeight="1">
      <c r="A3363" t="str">
        <f t="shared" si="1169"/>
        <v/>
      </c>
      <c r="B3363">
        <f>Calculations!A805</f>
        <v>98</v>
      </c>
      <c r="E3363" s="137">
        <f>Calculations!I805</f>
        <v>0</v>
      </c>
      <c r="F3363" t="str">
        <f t="shared" si="1168"/>
        <v xml:space="preserve">Square Footage Applicable Fraction canot exceed 100% ensure that total sq. feet minus employee sq. feet is less than LI sq. feet for  building 98.
</v>
      </c>
      <c r="G3363" s="9" t="str">
        <f t="shared" ca="1" si="1170"/>
        <v>Enter a value for 'Number of Floors in the Tallest Building' in cell B60.
TRUE</v>
      </c>
    </row>
    <row r="3364" spans="1:7" ht="15" customHeight="1">
      <c r="A3364" t="str">
        <f t="shared" si="1169"/>
        <v/>
      </c>
      <c r="B3364">
        <f>Calculations!A806</f>
        <v>99</v>
      </c>
      <c r="E3364" s="137">
        <f>Calculations!I806</f>
        <v>0</v>
      </c>
      <c r="F3364" t="str">
        <f t="shared" si="1168"/>
        <v xml:space="preserve">Square Footage Applicable Fraction canot exceed 100% ensure that total sq. feet minus employee sq. feet is less than LI sq. feet for  building 99.
</v>
      </c>
      <c r="G3364" s="9" t="str">
        <f t="shared" ca="1" si="1170"/>
        <v>Enter a value for 'Number of Floors in the Tallest Building' in cell B60.
TRUE</v>
      </c>
    </row>
    <row r="3365" spans="1:7" ht="15" customHeight="1">
      <c r="E3365" s="137"/>
      <c r="G3365" s="9" t="str">
        <f t="shared" ca="1" si="1170"/>
        <v>Enter a value for 'Number of Floors in the Tallest Building' in cell B60.
TRUE</v>
      </c>
    </row>
    <row r="3366" spans="1:7" ht="15" customHeight="1">
      <c r="G3366" s="9" t="str">
        <f t="shared" ca="1" si="1170"/>
        <v>Enter a value for 'Number of Floors in the Tallest Building' in cell B60.
TRUE</v>
      </c>
    </row>
    <row r="3367" spans="1:7" ht="15" customHeight="1">
      <c r="G3367" s="9" t="str">
        <f t="shared" ca="1" si="1170"/>
        <v>Enter a value for 'Number of Floors in the Tallest Building' in cell B60.
TRUE</v>
      </c>
    </row>
    <row r="3368" spans="1:7" ht="15" customHeight="1">
      <c r="G3368" s="9" t="str">
        <f t="shared" ca="1" si="1170"/>
        <v>Enter a value for 'Number of Floors in the Tallest Building' in cell B60.
TRUE</v>
      </c>
    </row>
    <row r="3369" spans="1:7" ht="15" customHeight="1">
      <c r="G3369" s="9" t="str">
        <f t="shared" ca="1" si="1170"/>
        <v>Enter a value for 'Number of Floors in the Tallest Building' in cell B60.
TRUE</v>
      </c>
    </row>
    <row r="3370" spans="1:7" ht="15" customHeight="1">
      <c r="A3370" s="55" t="s">
        <v>3854</v>
      </c>
      <c r="B3370" s="53"/>
      <c r="C3370" s="53"/>
      <c r="D3370" s="53"/>
      <c r="E3370" s="53"/>
      <c r="F3370" s="53"/>
      <c r="G3370" s="56" t="str">
        <f ca="1">OFFSET(G3370, -1, 0)</f>
        <v>Enter a value for 'Number of Floors in the Tallest Building' in cell B60.
TRUE</v>
      </c>
    </row>
    <row r="3371" spans="1:7" ht="15" customHeight="1">
      <c r="A3371" t="s">
        <v>563</v>
      </c>
    </row>
    <row r="3372" spans="1:7" ht="15" customHeight="1"/>
    <row r="3373" spans="1:7" ht="15" customHeight="1">
      <c r="A3373" s="22" t="s">
        <v>97</v>
      </c>
      <c r="F3373" s="49" t="s">
        <v>3855</v>
      </c>
    </row>
    <row r="3374" spans="1:7" ht="15" customHeight="1">
      <c r="A3374" s="53" t="s">
        <v>3792</v>
      </c>
      <c r="B3374" s="53" t="s">
        <v>3793</v>
      </c>
      <c r="C3374" s="53" t="s">
        <v>3794</v>
      </c>
      <c r="D3374" s="53" t="s">
        <v>3795</v>
      </c>
      <c r="E3374" s="53" t="s">
        <v>3796</v>
      </c>
      <c r="F3374" s="53" t="s">
        <v>3797</v>
      </c>
      <c r="G3374" s="54" t="s">
        <v>3798</v>
      </c>
    </row>
    <row r="3375" spans="1:7" ht="15" customHeight="1">
      <c r="A3375" t="str">
        <f t="shared" ref="A3375:A3405" ca="1" si="1171">IF(E3375="",F3375, "")</f>
        <v xml:space="preserve">Enter a value for 'Window Coverings/Blinds' in cell B4.
</v>
      </c>
      <c r="B3375">
        <f>ROW(Amenities!A4)</f>
        <v>4</v>
      </c>
      <c r="C3375" t="str">
        <f t="shared" ref="C3375:C3405" ca="1" si="1172">INDIRECT($F$3373 &amp; ADDRESS(B3375, 1,4  ))</f>
        <v>Window Coverings/Blinds</v>
      </c>
      <c r="D3375" t="str">
        <f t="shared" ref="D3375:D3405" si="1173">ADDRESS(B3375, 2,4  )</f>
        <v>B4</v>
      </c>
      <c r="E3375" t="str">
        <f t="shared" ref="E3375:E3405" ca="1" si="1174">IF(ISBLANK( INDIRECT($F$3373 &amp; D3375)),"", INDIRECT($F$3373 &amp; D3375))</f>
        <v/>
      </c>
      <c r="F3375" t="str">
        <f t="shared" ref="F3375:F3405" ca="1" si="1175">CONCATENATE("Enter a value for '", C3375, "' in cell ", D3375, ".", CHAR(10))</f>
        <v xml:space="preserve">Enter a value for 'Window Coverings/Blinds' in cell B4.
</v>
      </c>
      <c r="G3375" s="9" t="str">
        <f ca="1">A3375</f>
        <v xml:space="preserve">Enter a value for 'Window Coverings/Blinds' in cell B4.
</v>
      </c>
    </row>
    <row r="3376" spans="1:7" ht="15" customHeight="1">
      <c r="A3376" t="str">
        <f t="shared" ca="1" si="1171"/>
        <v xml:space="preserve">Enter a value for 'Ceiling Fan E-star' in cell B5.
</v>
      </c>
      <c r="B3376">
        <f>ROW(Amenities!A5)</f>
        <v>5</v>
      </c>
      <c r="C3376" t="str">
        <f t="shared" ca="1" si="1172"/>
        <v>Ceiling Fan E-star</v>
      </c>
      <c r="D3376" t="str">
        <f t="shared" si="1173"/>
        <v>B5</v>
      </c>
      <c r="E3376" t="str">
        <f t="shared" ca="1" si="1174"/>
        <v/>
      </c>
      <c r="F3376" t="str">
        <f t="shared" ca="1" si="1175"/>
        <v xml:space="preserve">Enter a value for 'Ceiling Fan E-star' in cell B5.
</v>
      </c>
      <c r="G3376" s="9" t="str">
        <f t="shared" ref="G3376:G3406" ca="1" si="1176">OFFSET(G3376, -1, 0) &amp; A3376</f>
        <v xml:space="preserve">Enter a value for 'Window Coverings/Blinds' in cell B4.
Enter a value for 'Ceiling Fan E-star' in cell B5.
</v>
      </c>
    </row>
    <row r="3377" spans="1:7" ht="15" customHeight="1">
      <c r="A3377" t="str">
        <f t="shared" ca="1" si="1171"/>
        <v xml:space="preserve">Enter a value for 'Storage Closet/Shed' in cell B6.
</v>
      </c>
      <c r="B3377">
        <f>ROW(Amenities!A6)</f>
        <v>6</v>
      </c>
      <c r="C3377" t="str">
        <f t="shared" ca="1" si="1172"/>
        <v>Storage Closet/Shed</v>
      </c>
      <c r="D3377" t="str">
        <f t="shared" si="1173"/>
        <v>B6</v>
      </c>
      <c r="E3377" t="str">
        <f t="shared" ca="1" si="1174"/>
        <v/>
      </c>
      <c r="F3377" t="str">
        <f t="shared" ca="1" si="1175"/>
        <v xml:space="preserve">Enter a value for 'Storage Closet/Shed' in cell B6.
</v>
      </c>
      <c r="G3377" s="9" t="str">
        <f t="shared" ca="1" si="1176"/>
        <v xml:space="preserve">Enter a value for 'Window Coverings/Blinds' in cell B4.
Enter a value for 'Ceiling Fan E-star' in cell B5.
Enter a value for 'Storage Closet/Shed' in cell B6.
</v>
      </c>
    </row>
    <row r="3378" spans="1:7" ht="15" customHeight="1">
      <c r="A3378" t="str">
        <f t="shared" ca="1" si="1171"/>
        <v xml:space="preserve">Enter a value for 'Coat Closet' in cell B7.
</v>
      </c>
      <c r="B3378">
        <f>ROW(Amenities!A7)</f>
        <v>7</v>
      </c>
      <c r="C3378" t="str">
        <f t="shared" ca="1" si="1172"/>
        <v>Coat Closet</v>
      </c>
      <c r="D3378" t="str">
        <f t="shared" si="1173"/>
        <v>B7</v>
      </c>
      <c r="E3378" t="str">
        <f t="shared" ca="1" si="1174"/>
        <v/>
      </c>
      <c r="F3378" t="str">
        <f t="shared" ca="1" si="1175"/>
        <v xml:space="preserve">Enter a value for 'Coat Closet' in cell B7.
</v>
      </c>
      <c r="G3378" s="9" t="str">
        <f t="shared" ca="1" si="1176"/>
        <v xml:space="preserve">Enter a value for 'Window Coverings/Blinds' in cell B4.
Enter a value for 'Ceiling Fan E-star' in cell B5.
Enter a value for 'Storage Closet/Shed' in cell B6.
Enter a value for 'Coat Closet' in cell B7.
</v>
      </c>
    </row>
    <row r="3379" spans="1:7" ht="15" customHeight="1">
      <c r="A3379" t="str">
        <f t="shared" ca="1" si="1171"/>
        <v xml:space="preserve">Enter a value for 'Walk-in Closet' in cell B8.
</v>
      </c>
      <c r="B3379">
        <f>ROW(Amenities!A8)</f>
        <v>8</v>
      </c>
      <c r="C3379" t="str">
        <f t="shared" ca="1" si="1172"/>
        <v>Walk-in Closet</v>
      </c>
      <c r="D3379" t="str">
        <f t="shared" si="1173"/>
        <v>B8</v>
      </c>
      <c r="E3379" t="str">
        <f t="shared" ca="1" si="1174"/>
        <v/>
      </c>
      <c r="F3379" t="str">
        <f t="shared" ca="1" si="1175"/>
        <v xml:space="preserve">Enter a value for 'Walk-in Closet' in cell B8.
</v>
      </c>
      <c r="G3379" s="9" t="str">
        <f t="shared" ca="1" si="1176"/>
        <v xml:space="preserve">Enter a value for 'Window Coverings/Blinds' in cell B4.
Enter a value for 'Ceiling Fan E-star' in cell B5.
Enter a value for 'Storage Closet/Shed' in cell B6.
Enter a value for 'Coat Closet' in cell B7.
Enter a value for 'Walk-in Closet' in cell B8.
</v>
      </c>
    </row>
    <row r="3380" spans="1:7" ht="15" customHeight="1">
      <c r="A3380" t="str">
        <f t="shared" ca="1" si="1171"/>
        <v xml:space="preserve">Enter a value for 'Fireplace' in cell B9.
</v>
      </c>
      <c r="B3380">
        <f>ROW(Amenities!A9)</f>
        <v>9</v>
      </c>
      <c r="C3380" t="str">
        <f t="shared" ca="1" si="1172"/>
        <v>Fireplace</v>
      </c>
      <c r="D3380" t="str">
        <f t="shared" si="1173"/>
        <v>B9</v>
      </c>
      <c r="E3380" t="str">
        <f t="shared" ca="1" si="1174"/>
        <v/>
      </c>
      <c r="F3380" t="str">
        <f t="shared" ca="1" si="1175"/>
        <v xml:space="preserve">Enter a value for 'Fireplace' in cell B9.
</v>
      </c>
      <c r="G3380"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v>
      </c>
    </row>
    <row r="3381" spans="1:7" ht="15" customHeight="1">
      <c r="A3381" t="str">
        <f t="shared" ca="1" si="1171"/>
        <v xml:space="preserve">Enter a value for 'Bathroom Fan E-star' in cell B10.
</v>
      </c>
      <c r="B3381">
        <f>ROW(Amenities!A10)</f>
        <v>10</v>
      </c>
      <c r="C3381" t="str">
        <f t="shared" ca="1" si="1172"/>
        <v>Bathroom Fan E-star</v>
      </c>
      <c r="D3381" t="str">
        <f t="shared" si="1173"/>
        <v>B10</v>
      </c>
      <c r="E3381" t="str">
        <f t="shared" ca="1" si="1174"/>
        <v/>
      </c>
      <c r="F3381" t="str">
        <f t="shared" ca="1" si="1175"/>
        <v xml:space="preserve">Enter a value for 'Bathroom Fan E-star' in cell B10.
</v>
      </c>
      <c r="G3381"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v>
      </c>
    </row>
    <row r="3382" spans="1:7" ht="15" customHeight="1">
      <c r="A3382" t="str">
        <f t="shared" ca="1" si="1171"/>
        <v xml:space="preserve">Enter a value for 'Patio/Porch/Balcony' in cell B11.
</v>
      </c>
      <c r="B3382">
        <f>ROW(Amenities!A11)</f>
        <v>11</v>
      </c>
      <c r="C3382" t="str">
        <f t="shared" ca="1" si="1172"/>
        <v>Patio/Porch/Balcony</v>
      </c>
      <c r="D3382" t="str">
        <f t="shared" si="1173"/>
        <v>B11</v>
      </c>
      <c r="E3382" t="str">
        <f t="shared" ca="1" si="1174"/>
        <v/>
      </c>
      <c r="F3382" t="str">
        <f t="shared" ca="1" si="1175"/>
        <v xml:space="preserve">Enter a value for 'Patio/Porch/Balcony' in cell B11.
</v>
      </c>
      <c r="G3382"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v>
      </c>
    </row>
    <row r="3383" spans="1:7" ht="15" customHeight="1">
      <c r="A3383" t="str">
        <f t="shared" ref="A3383:A3385" ca="1" si="1177">IF(E3383="",F3383, "")</f>
        <v xml:space="preserve">Enter a value for 'Cable Connection' in cell B12.
</v>
      </c>
      <c r="B3383">
        <f>ROW(Amenities!A12)</f>
        <v>12</v>
      </c>
      <c r="C3383" t="str">
        <f t="shared" ref="C3383:C3385" ca="1" si="1178">INDIRECT($F$3373 &amp; ADDRESS(B3383, 1,4  ))</f>
        <v>Cable Connection</v>
      </c>
      <c r="D3383" t="str">
        <f t="shared" ref="D3383:D3385" si="1179">ADDRESS(B3383, 2,4  )</f>
        <v>B12</v>
      </c>
      <c r="E3383" t="str">
        <f t="shared" ref="E3383:E3385" ca="1" si="1180">IF(ISBLANK( INDIRECT($F$3373 &amp; D3383)),"", INDIRECT($F$3373 &amp; D3383))</f>
        <v/>
      </c>
      <c r="F3383" t="str">
        <f t="shared" ref="F3383:F3385" ca="1" si="1181">CONCATENATE("Enter a value for '", C3383, "' in cell ", D3383, ".", CHAR(10))</f>
        <v xml:space="preserve">Enter a value for 'Cable Connection' in cell B12.
</v>
      </c>
      <c r="G3383" s="9" t="str">
        <f t="shared" ref="G3383:G3385" ca="1" si="1182">OFFSET(G3383, -1, 0) &amp; A3383</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v>
      </c>
    </row>
    <row r="3384" spans="1:7" ht="15" customHeight="1">
      <c r="A3384" t="str">
        <f t="shared" ca="1" si="1177"/>
        <v xml:space="preserve">Enter a value for 'Internet Connection' in cell B13.
</v>
      </c>
      <c r="B3384">
        <f>ROW(Amenities!A13)</f>
        <v>13</v>
      </c>
      <c r="C3384" t="str">
        <f t="shared" ca="1" si="1178"/>
        <v>Internet Connection</v>
      </c>
      <c r="D3384" t="str">
        <f t="shared" si="1179"/>
        <v>B13</v>
      </c>
      <c r="E3384" t="str">
        <f t="shared" ca="1" si="1180"/>
        <v/>
      </c>
      <c r="F3384" t="str">
        <f t="shared" ca="1" si="1181"/>
        <v xml:space="preserve">Enter a value for 'Internet Connection' in cell B13.
</v>
      </c>
      <c r="G3384" s="9" t="str">
        <f t="shared" ca="1" si="1182"/>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v>
      </c>
    </row>
    <row r="3385" spans="1:7" ht="15" customHeight="1">
      <c r="A3385" t="str">
        <f t="shared" ca="1" si="1177"/>
        <v xml:space="preserve">Enter a value for 'Units individually metered' in cell B14.
</v>
      </c>
      <c r="B3385">
        <f>ROW(Amenities!A14)</f>
        <v>14</v>
      </c>
      <c r="C3385" t="str">
        <f t="shared" ca="1" si="1178"/>
        <v>Units individually metered</v>
      </c>
      <c r="D3385" t="str">
        <f t="shared" si="1179"/>
        <v>B14</v>
      </c>
      <c r="E3385" t="str">
        <f t="shared" ca="1" si="1180"/>
        <v/>
      </c>
      <c r="F3385" t="str">
        <f t="shared" ca="1" si="1181"/>
        <v xml:space="preserve">Enter a value for 'Units individually metered' in cell B14.
</v>
      </c>
      <c r="G3385" s="9" t="str">
        <f t="shared" ca="1" si="1182"/>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v>
      </c>
    </row>
    <row r="3386" spans="1:7" ht="15" customHeight="1">
      <c r="A3386" t="str">
        <f t="shared" ca="1" si="1171"/>
        <v xml:space="preserve">Enter a value for 'Refrigerator E-star*' in cell B17.
</v>
      </c>
      <c r="B3386">
        <f>ROW(Amenities!A17)</f>
        <v>17</v>
      </c>
      <c r="C3386" t="str">
        <f t="shared" ca="1" si="1172"/>
        <v>Refrigerator E-star*</v>
      </c>
      <c r="D3386" t="str">
        <f t="shared" si="1173"/>
        <v>B17</v>
      </c>
      <c r="E3386" t="str">
        <f t="shared" ca="1" si="1174"/>
        <v/>
      </c>
      <c r="F3386" t="str">
        <f t="shared" ca="1" si="1175"/>
        <v xml:space="preserve">Enter a value for 'Refrigerator E-star*' in cell B17.
</v>
      </c>
      <c r="G3386"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v>
      </c>
    </row>
    <row r="3387" spans="1:7" ht="15" customHeight="1">
      <c r="A3387" t="str">
        <f t="shared" ca="1" si="1171"/>
        <v xml:space="preserve">Enter a value for 'Stove/Oven*' in cell B18.
</v>
      </c>
      <c r="B3387">
        <f>ROW(Amenities!A18)</f>
        <v>18</v>
      </c>
      <c r="C3387" t="str">
        <f t="shared" ca="1" si="1172"/>
        <v>Stove/Oven*</v>
      </c>
      <c r="D3387" t="str">
        <f t="shared" si="1173"/>
        <v>B18</v>
      </c>
      <c r="E3387" t="str">
        <f t="shared" ca="1" si="1174"/>
        <v/>
      </c>
      <c r="F3387" t="str">
        <f t="shared" ca="1" si="1175"/>
        <v xml:space="preserve">Enter a value for 'Stove/Oven*' in cell B18.
</v>
      </c>
      <c r="G3387"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v>
      </c>
    </row>
    <row r="3388" spans="1:7" ht="15" customHeight="1">
      <c r="A3388" t="str">
        <f t="shared" ca="1" si="1171"/>
        <v xml:space="preserve">Enter a value for 'Dishwasher E-star*' in cell B19.
</v>
      </c>
      <c r="B3388">
        <f>ROW(Amenities!A19)</f>
        <v>19</v>
      </c>
      <c r="C3388" t="str">
        <f t="shared" ca="1" si="1172"/>
        <v>Dishwasher E-star*</v>
      </c>
      <c r="D3388" t="str">
        <f t="shared" si="1173"/>
        <v>B19</v>
      </c>
      <c r="E3388" t="str">
        <f t="shared" ca="1" si="1174"/>
        <v/>
      </c>
      <c r="F3388" t="str">
        <f t="shared" ca="1" si="1175"/>
        <v xml:space="preserve">Enter a value for 'Dishwasher E-star*' in cell B19.
</v>
      </c>
      <c r="G3388"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v>
      </c>
    </row>
    <row r="3389" spans="1:7" ht="15" customHeight="1">
      <c r="A3389" t="str">
        <f t="shared" ca="1" si="1171"/>
        <v xml:space="preserve">Enter a value for 'Garbage Disposal*' in cell B20.
</v>
      </c>
      <c r="B3389">
        <f>ROW(Amenities!A20)</f>
        <v>20</v>
      </c>
      <c r="C3389" t="str">
        <f t="shared" ca="1" si="1172"/>
        <v>Garbage Disposal*</v>
      </c>
      <c r="D3389" t="str">
        <f t="shared" si="1173"/>
        <v>B20</v>
      </c>
      <c r="E3389" t="str">
        <f t="shared" ca="1" si="1174"/>
        <v/>
      </c>
      <c r="F3389" t="str">
        <f t="shared" ca="1" si="1175"/>
        <v xml:space="preserve">Enter a value for 'Garbage Disposal*' in cell B20.
</v>
      </c>
      <c r="G3389"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v>
      </c>
    </row>
    <row r="3390" spans="1:7" ht="15" customHeight="1">
      <c r="A3390" t="str">
        <f t="shared" ca="1" si="1171"/>
        <v xml:space="preserve">Enter a value for 'Built-in Microwave' in cell B21.
</v>
      </c>
      <c r="B3390">
        <f>ROW(Amenities!A21)</f>
        <v>21</v>
      </c>
      <c r="C3390" t="str">
        <f t="shared" ca="1" si="1172"/>
        <v>Built-in Microwave</v>
      </c>
      <c r="D3390" t="str">
        <f t="shared" si="1173"/>
        <v>B21</v>
      </c>
      <c r="E3390" t="str">
        <f t="shared" ca="1" si="1174"/>
        <v/>
      </c>
      <c r="F3390" t="str">
        <f t="shared" ca="1" si="1175"/>
        <v xml:space="preserve">Enter a value for 'Built-in Microwave' in cell B21.
</v>
      </c>
      <c r="G3390"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v>
      </c>
    </row>
    <row r="3391" spans="1:7" ht="15" customHeight="1">
      <c r="A3391" t="str">
        <f t="shared" ca="1" si="1171"/>
        <v xml:space="preserve">Enter a value for 'In-unit washer/dryer (included in rent)' in cell B22.
</v>
      </c>
      <c r="B3391">
        <f>ROW(Amenities!A22)</f>
        <v>22</v>
      </c>
      <c r="C3391" t="str">
        <f t="shared" ca="1" si="1172"/>
        <v>In-unit washer/dryer (included in rent)</v>
      </c>
      <c r="D3391" t="str">
        <f t="shared" si="1173"/>
        <v>B22</v>
      </c>
      <c r="E3391" t="str">
        <f t="shared" ca="1" si="1174"/>
        <v/>
      </c>
      <c r="F3391" t="str">
        <f t="shared" ca="1" si="1175"/>
        <v xml:space="preserve">Enter a value for 'In-unit washer/dryer (included in rent)' in cell B22.
</v>
      </c>
      <c r="G3391"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v>
      </c>
    </row>
    <row r="3392" spans="1:7" ht="15" customHeight="1">
      <c r="A3392" t="str">
        <f t="shared" ca="1" si="1171"/>
        <v xml:space="preserve">Enter a value for 'In-unit washer/dryer (not included in rent)' in cell B23.
</v>
      </c>
      <c r="B3392">
        <f>ROW(Amenities!A23)</f>
        <v>23</v>
      </c>
      <c r="C3392" t="str">
        <f t="shared" ca="1" si="1172"/>
        <v>In-unit washer/dryer (not included in rent)</v>
      </c>
      <c r="D3392" t="str">
        <f t="shared" si="1173"/>
        <v>B23</v>
      </c>
      <c r="E3392" t="str">
        <f t="shared" ca="1" si="1174"/>
        <v/>
      </c>
      <c r="F3392" t="str">
        <f t="shared" ca="1" si="1175"/>
        <v xml:space="preserve">Enter a value for 'In-unit washer/dryer (not included in rent)' in cell B23.
</v>
      </c>
      <c r="G3392"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v>
      </c>
    </row>
    <row r="3393" spans="1:7" ht="15" customHeight="1">
      <c r="A3393" t="str">
        <f t="shared" ca="1" si="1171"/>
        <v xml:space="preserve">Enter a value for 'Washer/Dryer Hookups' in cell B24.
</v>
      </c>
      <c r="B3393">
        <f>ROW(Amenities!A24)</f>
        <v>24</v>
      </c>
      <c r="C3393" t="str">
        <f t="shared" ca="1" si="1172"/>
        <v>Washer/Dryer Hookups</v>
      </c>
      <c r="D3393" t="str">
        <f t="shared" si="1173"/>
        <v>B24</v>
      </c>
      <c r="E3393" t="str">
        <f t="shared" ca="1" si="1174"/>
        <v/>
      </c>
      <c r="F3393" t="str">
        <f t="shared" ca="1" si="1175"/>
        <v xml:space="preserve">Enter a value for 'Washer/Dryer Hookups' in cell B24.
</v>
      </c>
      <c r="G3393"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v>
      </c>
    </row>
    <row r="3394" spans="1:7" ht="15" customHeight="1">
      <c r="A3394" t="str">
        <f t="shared" ca="1" si="1171"/>
        <v xml:space="preserve">Enter a value for 'Clubhouse/Community Room' in cell B27.
</v>
      </c>
      <c r="B3394">
        <f>ROW(Amenities!A27)</f>
        <v>27</v>
      </c>
      <c r="C3394" t="str">
        <f t="shared" ca="1" si="1172"/>
        <v>Clubhouse/Community Room</v>
      </c>
      <c r="D3394" t="str">
        <f t="shared" si="1173"/>
        <v>B27</v>
      </c>
      <c r="E3394" t="str">
        <f t="shared" ca="1" si="1174"/>
        <v/>
      </c>
      <c r="F3394" t="str">
        <f t="shared" ca="1" si="1175"/>
        <v xml:space="preserve">Enter a value for 'Clubhouse/Community Room' in cell B27.
</v>
      </c>
      <c r="G3394"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v>
      </c>
    </row>
    <row r="3395" spans="1:7" ht="15" customHeight="1">
      <c r="A3395" t="str">
        <f t="shared" ca="1" si="1171"/>
        <v xml:space="preserve">Enter a value for 'Fitness/Exercise Room' in cell B28.
</v>
      </c>
      <c r="B3395">
        <f>ROW(Amenities!A28)</f>
        <v>28</v>
      </c>
      <c r="C3395" t="str">
        <f t="shared" ca="1" si="1172"/>
        <v>Fitness/Exercise Room</v>
      </c>
      <c r="D3395" t="str">
        <f t="shared" si="1173"/>
        <v>B28</v>
      </c>
      <c r="E3395" t="str">
        <f t="shared" ca="1" si="1174"/>
        <v/>
      </c>
      <c r="F3395" t="str">
        <f t="shared" ca="1" si="1175"/>
        <v xml:space="preserve">Enter a value for 'Fitness/Exercise Room' in cell B28.
</v>
      </c>
      <c r="G3395"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v>
      </c>
    </row>
    <row r="3396" spans="1:7" ht="15" customHeight="1">
      <c r="A3396" t="str">
        <f t="shared" ca="1" si="1171"/>
        <v xml:space="preserve">Enter a value for 'Library' in cell B29.
</v>
      </c>
      <c r="B3396">
        <f>ROW(Amenities!A29)</f>
        <v>29</v>
      </c>
      <c r="C3396" t="str">
        <f t="shared" ca="1" si="1172"/>
        <v>Library</v>
      </c>
      <c r="D3396" t="str">
        <f t="shared" si="1173"/>
        <v>B29</v>
      </c>
      <c r="E3396" t="str">
        <f t="shared" ca="1" si="1174"/>
        <v/>
      </c>
      <c r="F3396" t="str">
        <f t="shared" ca="1" si="1175"/>
        <v xml:space="preserve">Enter a value for 'Library' in cell B29.
</v>
      </c>
      <c r="G3396"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v>
      </c>
    </row>
    <row r="3397" spans="1:7" ht="15" customHeight="1">
      <c r="A3397" t="str">
        <f t="shared" ca="1" si="1171"/>
        <v xml:space="preserve">Enter a value for 'Computer Lab' in cell B30.
</v>
      </c>
      <c r="B3397">
        <f>ROW(Amenities!A30)</f>
        <v>30</v>
      </c>
      <c r="C3397" t="str">
        <f t="shared" ca="1" si="1172"/>
        <v>Computer Lab</v>
      </c>
      <c r="D3397" t="str">
        <f t="shared" si="1173"/>
        <v>B30</v>
      </c>
      <c r="E3397" t="str">
        <f t="shared" ca="1" si="1174"/>
        <v/>
      </c>
      <c r="F3397" t="str">
        <f t="shared" ca="1" si="1175"/>
        <v xml:space="preserve">Enter a value for 'Computer Lab' in cell B30.
</v>
      </c>
      <c r="G3397"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v>
      </c>
    </row>
    <row r="3398" spans="1:7" ht="15" customHeight="1">
      <c r="A3398" t="str">
        <f t="shared" ca="1" si="1171"/>
        <v xml:space="preserve">Enter a value for 'Business Center' in cell B31.
</v>
      </c>
      <c r="B3398">
        <f>ROW(Amenities!A31)</f>
        <v>31</v>
      </c>
      <c r="C3398" t="str">
        <f t="shared" ca="1" si="1172"/>
        <v>Business Center</v>
      </c>
      <c r="D3398" t="str">
        <f t="shared" si="1173"/>
        <v>B31</v>
      </c>
      <c r="E3398" t="str">
        <f t="shared" ca="1" si="1174"/>
        <v/>
      </c>
      <c r="F3398" t="str">
        <f t="shared" ca="1" si="1175"/>
        <v xml:space="preserve">Enter a value for 'Business Center' in cell B31.
</v>
      </c>
      <c r="G3398"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v>
      </c>
    </row>
    <row r="3399" spans="1:7" ht="15" customHeight="1">
      <c r="A3399" t="str">
        <f t="shared" ca="1" si="1171"/>
        <v xml:space="preserve">Enter a value for 'Laundry Room' in cell B32.
</v>
      </c>
      <c r="B3399">
        <f>ROW(Amenities!A32)</f>
        <v>32</v>
      </c>
      <c r="C3399" t="str">
        <f t="shared" ca="1" si="1172"/>
        <v>Laundry Room</v>
      </c>
      <c r="D3399" t="str">
        <f t="shared" si="1173"/>
        <v>B32</v>
      </c>
      <c r="E3399" t="str">
        <f t="shared" ca="1" si="1174"/>
        <v/>
      </c>
      <c r="F3399" t="str">
        <f t="shared" ca="1" si="1175"/>
        <v xml:space="preserve">Enter a value for 'Laundry Room' in cell B32.
</v>
      </c>
      <c r="G3399"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v>
      </c>
    </row>
    <row r="3400" spans="1:7" ht="15" customHeight="1">
      <c r="A3400" t="str">
        <f t="shared" ca="1" si="1171"/>
        <v xml:space="preserve">Enter a value for 'Dining Room' in cell B36.
</v>
      </c>
      <c r="B3400">
        <f>ROW(Amenities!A36)</f>
        <v>36</v>
      </c>
      <c r="C3400" t="str">
        <f t="shared" ca="1" si="1172"/>
        <v>Dining Room</v>
      </c>
      <c r="D3400" t="str">
        <f t="shared" si="1173"/>
        <v>B36</v>
      </c>
      <c r="E3400" t="str">
        <f t="shared" ca="1" si="1174"/>
        <v/>
      </c>
      <c r="F3400" t="str">
        <f t="shared" ca="1" si="1175"/>
        <v xml:space="preserve">Enter a value for 'Dining Room' in cell B36.
</v>
      </c>
      <c r="G3400"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v>
      </c>
    </row>
    <row r="3401" spans="1:7" ht="15" customHeight="1">
      <c r="A3401" t="str">
        <f t="shared" ca="1" si="1171"/>
        <v xml:space="preserve">Enter a value for 'Kitchen' in cell B37.
</v>
      </c>
      <c r="B3401">
        <f>ROW(Amenities!A37)</f>
        <v>37</v>
      </c>
      <c r="C3401" t="str">
        <f t="shared" ca="1" si="1172"/>
        <v>Kitchen</v>
      </c>
      <c r="D3401" t="str">
        <f t="shared" si="1173"/>
        <v>B37</v>
      </c>
      <c r="E3401" t="str">
        <f t="shared" ca="1" si="1174"/>
        <v/>
      </c>
      <c r="F3401" t="str">
        <f t="shared" ca="1" si="1175"/>
        <v xml:space="preserve">Enter a value for 'Kitchen' in cell B37.
</v>
      </c>
      <c r="G3401"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v>
      </c>
    </row>
    <row r="3402" spans="1:7" ht="15" customHeight="1">
      <c r="A3402" t="str">
        <f t="shared" ca="1" si="1171"/>
        <v xml:space="preserve">Enter a value for 'Living/Activity/Game Room' in cell B38.
</v>
      </c>
      <c r="B3402">
        <f>ROW(Amenities!A38)</f>
        <v>38</v>
      </c>
      <c r="C3402" t="str">
        <f t="shared" ca="1" si="1172"/>
        <v>Living/Activity/Game Room</v>
      </c>
      <c r="D3402" t="str">
        <f t="shared" si="1173"/>
        <v>B38</v>
      </c>
      <c r="E3402" t="str">
        <f t="shared" ca="1" si="1174"/>
        <v/>
      </c>
      <c r="F3402" t="str">
        <f t="shared" ca="1" si="1175"/>
        <v xml:space="preserve">Enter a value for 'Living/Activity/Game Room' in cell B38.
</v>
      </c>
      <c r="G3402"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v>
      </c>
    </row>
    <row r="3403" spans="1:7" ht="15" customHeight="1">
      <c r="A3403" t="str">
        <f t="shared" ca="1" si="1171"/>
        <v xml:space="preserve">Enter a value for 'Elevator (quantity)' in cell B40.
</v>
      </c>
      <c r="B3403">
        <f>ROW(Amenities!A40)</f>
        <v>40</v>
      </c>
      <c r="C3403" t="str">
        <f t="shared" ca="1" si="1172"/>
        <v>Elevator (quantity)</v>
      </c>
      <c r="D3403" t="str">
        <f t="shared" si="1173"/>
        <v>B40</v>
      </c>
      <c r="E3403" t="str">
        <f t="shared" ca="1" si="1174"/>
        <v/>
      </c>
      <c r="F3403" t="str">
        <f t="shared" ca="1" si="1175"/>
        <v xml:space="preserve">Enter a value for 'Elevator (quantity)' in cell B40.
</v>
      </c>
      <c r="G3403"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v>
      </c>
    </row>
    <row r="3404" spans="1:7" ht="15" customHeight="1">
      <c r="A3404" t="str">
        <f t="shared" ca="1" si="1171"/>
        <v xml:space="preserve">Enter a value for 'Picnic/BBQ area' in cell B41.
</v>
      </c>
      <c r="B3404">
        <f>ROW(Amenities!A41)</f>
        <v>41</v>
      </c>
      <c r="C3404" t="str">
        <f t="shared" ca="1" si="1172"/>
        <v>Picnic/BBQ area</v>
      </c>
      <c r="D3404" t="str">
        <f t="shared" si="1173"/>
        <v>B41</v>
      </c>
      <c r="E3404" t="str">
        <f t="shared" ca="1" si="1174"/>
        <v/>
      </c>
      <c r="F3404" t="str">
        <f t="shared" ca="1" si="1175"/>
        <v xml:space="preserve">Enter a value for 'Picnic/BBQ area' in cell B41.
</v>
      </c>
      <c r="G3404"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v>
      </c>
    </row>
    <row r="3405" spans="1:7" ht="15" customHeight="1">
      <c r="A3405" t="str">
        <f t="shared" ca="1" si="1171"/>
        <v xml:space="preserve">Enter a value for 'Tot Lot/Playground' in cell B42.
</v>
      </c>
      <c r="B3405">
        <f>ROW(Amenities!A42)</f>
        <v>42</v>
      </c>
      <c r="C3405" t="str">
        <f t="shared" ca="1" si="1172"/>
        <v>Tot Lot/Playground</v>
      </c>
      <c r="D3405" t="str">
        <f t="shared" si="1173"/>
        <v>B42</v>
      </c>
      <c r="E3405" t="str">
        <f t="shared" ca="1" si="1174"/>
        <v/>
      </c>
      <c r="F3405" t="str">
        <f t="shared" ca="1" si="1175"/>
        <v xml:space="preserve">Enter a value for 'Tot Lot/Playground' in cell B42.
</v>
      </c>
      <c r="G3405"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v>
      </c>
    </row>
    <row r="3406" spans="1:7" ht="15" customHeight="1">
      <c r="A3406" t="str">
        <f t="shared" ref="A3406:A3432" ca="1" si="1183">IF(E3406="",F3406, "")</f>
        <v xml:space="preserve">Enter a value for 'Athletic courts' in cell B43.
</v>
      </c>
      <c r="B3406">
        <f>ROW(Amenities!A43)</f>
        <v>43</v>
      </c>
      <c r="C3406" t="str">
        <f t="shared" ref="C3406:C3432" ca="1" si="1184">INDIRECT($F$3373 &amp; ADDRESS(B3406, 1,4  ))</f>
        <v>Athletic courts</v>
      </c>
      <c r="D3406" t="str">
        <f t="shared" ref="D3406:D3432" si="1185">ADDRESS(B3406, 2,4  )</f>
        <v>B43</v>
      </c>
      <c r="E3406" t="str">
        <f t="shared" ref="E3406:E3432" ca="1" si="1186">IF(ISBLANK( INDIRECT($F$3373 &amp; D3406)),"", INDIRECT($F$3373 &amp; D3406))</f>
        <v/>
      </c>
      <c r="F3406" t="str">
        <f t="shared" ref="F3406:F3432" ca="1" si="1187">CONCATENATE("Enter a value for '", C3406, "' in cell ", D3406, ".", CHAR(10))</f>
        <v xml:space="preserve">Enter a value for 'Athletic courts' in cell B43.
</v>
      </c>
      <c r="G3406"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v>
      </c>
    </row>
    <row r="3407" spans="1:7" ht="15" customHeight="1">
      <c r="A3407" t="str">
        <f t="shared" ca="1" si="1183"/>
        <v xml:space="preserve">Enter a value for 'Swimming Pool' in cell B45.
</v>
      </c>
      <c r="B3407">
        <f>ROW(Amenities!A45)</f>
        <v>45</v>
      </c>
      <c r="C3407" t="str">
        <f t="shared" ca="1" si="1184"/>
        <v>Swimming Pool</v>
      </c>
      <c r="D3407" t="str">
        <f t="shared" si="1185"/>
        <v>B45</v>
      </c>
      <c r="E3407" t="str">
        <f t="shared" ca="1" si="1186"/>
        <v/>
      </c>
      <c r="F3407" t="str">
        <f t="shared" ca="1" si="1187"/>
        <v xml:space="preserve">Enter a value for 'Swimming Pool' in cell B45.
</v>
      </c>
      <c r="G3407" s="9" t="str">
        <f t="shared" ref="G3407:G3436" ca="1" si="1188">OFFSET(G3407, -1, 0) &amp; A3407</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v>
      </c>
    </row>
    <row r="3408" spans="1:7" ht="15" customHeight="1">
      <c r="A3408" t="str">
        <f t="shared" ca="1" si="1183"/>
        <v xml:space="preserve">Enter a value for 'Spa/Jacuzzi' in cell B46.
</v>
      </c>
      <c r="B3408">
        <f>ROW(Amenities!A46)</f>
        <v>46</v>
      </c>
      <c r="C3408" t="str">
        <f t="shared" ca="1" si="1184"/>
        <v>Spa/Jacuzzi</v>
      </c>
      <c r="D3408" t="str">
        <f t="shared" si="1185"/>
        <v>B46</v>
      </c>
      <c r="E3408" t="str">
        <f t="shared" ca="1" si="1186"/>
        <v/>
      </c>
      <c r="F3408" t="str">
        <f t="shared" ca="1" si="1187"/>
        <v xml:space="preserve">Enter a value for 'Spa/Jacuzzi' in cell B46.
</v>
      </c>
      <c r="G3408"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v>
      </c>
    </row>
    <row r="3409" spans="1:7" ht="15" customHeight="1">
      <c r="A3409" t="str">
        <f t="shared" ca="1" si="1183"/>
        <v xml:space="preserve">Enter a value for 'Onsite Manager' in cell B52.
</v>
      </c>
      <c r="B3409">
        <f>ROW(Amenities!A52)</f>
        <v>52</v>
      </c>
      <c r="C3409" t="str">
        <f t="shared" ca="1" si="1184"/>
        <v>Onsite Manager</v>
      </c>
      <c r="D3409" t="str">
        <f t="shared" si="1185"/>
        <v>B52</v>
      </c>
      <c r="E3409" t="str">
        <f t="shared" ca="1" si="1186"/>
        <v/>
      </c>
      <c r="F3409" t="str">
        <f t="shared" ca="1" si="1187"/>
        <v xml:space="preserve">Enter a value for 'Onsite Manager' in cell B52.
</v>
      </c>
      <c r="G3409"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v>
      </c>
    </row>
    <row r="3410" spans="1:7" ht="15" customHeight="1">
      <c r="A3410" t="str">
        <f t="shared" ca="1" si="1183"/>
        <v xml:space="preserve">Enter a value for 'Privacy Fencing' in cell B56.
</v>
      </c>
      <c r="B3410">
        <f>ROW(Amenities!A56)</f>
        <v>56</v>
      </c>
      <c r="C3410" t="str">
        <f t="shared" ca="1" si="1184"/>
        <v>Privacy Fencing</v>
      </c>
      <c r="D3410" t="str">
        <f t="shared" si="1185"/>
        <v>B56</v>
      </c>
      <c r="E3410" t="str">
        <f t="shared" ca="1" si="1186"/>
        <v/>
      </c>
      <c r="F3410" t="str">
        <f t="shared" ca="1" si="1187"/>
        <v xml:space="preserve">Enter a value for 'Privacy Fencing' in cell B56.
</v>
      </c>
      <c r="G3410"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v>
      </c>
    </row>
    <row r="3411" spans="1:7" ht="15" customHeight="1">
      <c r="A3411" t="str">
        <f t="shared" ca="1" si="1183"/>
        <v xml:space="preserve">Enter a value for 'Reception Desk' in cell B57.
</v>
      </c>
      <c r="B3411">
        <f>ROW(Amenities!A57)</f>
        <v>57</v>
      </c>
      <c r="C3411" t="str">
        <f t="shared" ca="1" si="1184"/>
        <v>Reception Desk</v>
      </c>
      <c r="D3411" t="str">
        <f t="shared" si="1185"/>
        <v>B57</v>
      </c>
      <c r="E3411" t="str">
        <f t="shared" ca="1" si="1186"/>
        <v/>
      </c>
      <c r="F3411" t="str">
        <f t="shared" ca="1" si="1187"/>
        <v xml:space="preserve">Enter a value for 'Reception Desk' in cell B57.
</v>
      </c>
      <c r="G3411"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v>
      </c>
    </row>
    <row r="3412" spans="1:7" ht="15" customHeight="1">
      <c r="A3412" t="str">
        <f t="shared" ca="1" si="1183"/>
        <v xml:space="preserve">Enter a value for 'Surveillance Cameras' in cell B58.
</v>
      </c>
      <c r="B3412">
        <f>ROW(Amenities!A58)</f>
        <v>58</v>
      </c>
      <c r="C3412" t="str">
        <f t="shared" ca="1" si="1184"/>
        <v>Surveillance Cameras</v>
      </c>
      <c r="D3412" t="str">
        <f t="shared" si="1185"/>
        <v>B58</v>
      </c>
      <c r="E3412" t="str">
        <f t="shared" ca="1" si="1186"/>
        <v/>
      </c>
      <c r="F3412" t="str">
        <f t="shared" ca="1" si="1187"/>
        <v xml:space="preserve">Enter a value for 'Surveillance Cameras' in cell B58.
</v>
      </c>
      <c r="G3412"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v>
      </c>
    </row>
    <row r="3413" spans="1:7" ht="15" customHeight="1">
      <c r="A3413" t="str">
        <f t="shared" ca="1" si="1183"/>
        <v xml:space="preserve">Enter a value for 'Control Access Entry' in cell B59.
</v>
      </c>
      <c r="B3413">
        <f>ROW(Amenities!A59)</f>
        <v>59</v>
      </c>
      <c r="C3413" t="str">
        <f t="shared" ca="1" si="1184"/>
        <v>Control Access Entry</v>
      </c>
      <c r="D3413" t="str">
        <f t="shared" si="1185"/>
        <v>B59</v>
      </c>
      <c r="E3413" t="str">
        <f t="shared" ca="1" si="1186"/>
        <v/>
      </c>
      <c r="F3413" t="str">
        <f t="shared" ca="1" si="1187"/>
        <v xml:space="preserve">Enter a value for 'Control Access Entry' in cell B59.
</v>
      </c>
      <c r="G3413"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v>
      </c>
    </row>
    <row r="3414" spans="1:7" ht="15" customHeight="1">
      <c r="A3414" t="str">
        <f t="shared" ca="1" si="1183"/>
        <v xml:space="preserve">Enter a value for 'Emergency Pull Cords' in cell B60.
</v>
      </c>
      <c r="B3414">
        <f>ROW(Amenities!A60)</f>
        <v>60</v>
      </c>
      <c r="C3414" t="str">
        <f t="shared" ca="1" si="1184"/>
        <v>Emergency Pull Cords</v>
      </c>
      <c r="D3414" t="str">
        <f t="shared" si="1185"/>
        <v>B60</v>
      </c>
      <c r="E3414" t="str">
        <f t="shared" ca="1" si="1186"/>
        <v/>
      </c>
      <c r="F3414" t="str">
        <f t="shared" ca="1" si="1187"/>
        <v xml:space="preserve">Enter a value for 'Emergency Pull Cords' in cell B60.
</v>
      </c>
      <c r="G3414"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5" spans="1:7" ht="15" customHeight="1">
      <c r="A3415" t="str">
        <f t="shared" ca="1" si="1183"/>
        <v/>
      </c>
      <c r="B3415">
        <f>ROW(Amenities!A62)</f>
        <v>62</v>
      </c>
      <c r="C3415" t="str">
        <f t="shared" ca="1" si="1184"/>
        <v>Surface Parking - # of spaces</v>
      </c>
      <c r="D3415" t="str">
        <f t="shared" si="1185"/>
        <v>B62</v>
      </c>
      <c r="E3415">
        <f t="shared" ca="1" si="1186"/>
        <v>0</v>
      </c>
      <c r="F3415" t="str">
        <f t="shared" ca="1" si="1187"/>
        <v xml:space="preserve">Enter a value for 'Surface Parking - # of spaces' in cell B62.
</v>
      </c>
      <c r="G3415"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6" spans="1:7" s="320" customFormat="1" ht="15" customHeight="1">
      <c r="A3416" s="320" t="str">
        <f t="shared" ca="1" si="1183"/>
        <v/>
      </c>
      <c r="B3416" s="320">
        <f>ROW(Amenities!A63)</f>
        <v>63</v>
      </c>
      <c r="C3416" s="320" t="str">
        <f t="shared" ca="1" si="1184"/>
        <v>Carport - # of carports</v>
      </c>
      <c r="D3416" t="str">
        <f t="shared" si="1185"/>
        <v>B63</v>
      </c>
      <c r="E3416">
        <f t="shared" ca="1" si="1186"/>
        <v>0</v>
      </c>
      <c r="F3416" s="320" t="str">
        <f t="shared" ca="1" si="1187"/>
        <v xml:space="preserve">Enter a value for 'Carport - # of carports' in cell B63.
</v>
      </c>
      <c r="G3416" s="432"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7" spans="1:7" ht="15" customHeight="1">
      <c r="A3417" t="str">
        <f t="shared" ca="1" si="1183"/>
        <v/>
      </c>
      <c r="B3417">
        <f>ROW(Amenities!A64)</f>
        <v>64</v>
      </c>
      <c r="C3417" t="str">
        <f t="shared" ca="1" si="1184"/>
        <v>Underground Parking - # of spaces</v>
      </c>
      <c r="D3417" t="str">
        <f t="shared" si="1185"/>
        <v>B64</v>
      </c>
      <c r="E3417">
        <f t="shared" ca="1" si="1186"/>
        <v>0</v>
      </c>
      <c r="F3417" t="str">
        <f t="shared" ca="1" si="1187"/>
        <v xml:space="preserve">Enter a value for 'Underground Parking - # of spaces' in cell B64.
</v>
      </c>
      <c r="G3417"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8" spans="1:7" ht="15" customHeight="1">
      <c r="A3418" t="str">
        <f t="shared" ca="1" si="1183"/>
        <v/>
      </c>
      <c r="B3418">
        <f>ROW(Amenities!A65)</f>
        <v>65</v>
      </c>
      <c r="C3418" t="str">
        <f t="shared" ca="1" si="1184"/>
        <v>Detached Garage - # of garages</v>
      </c>
      <c r="D3418" t="str">
        <f t="shared" si="1185"/>
        <v>B65</v>
      </c>
      <c r="E3418">
        <f t="shared" ca="1" si="1186"/>
        <v>0</v>
      </c>
      <c r="F3418" t="str">
        <f t="shared" ca="1" si="1187"/>
        <v xml:space="preserve">Enter a value for 'Detached Garage - # of garages' in cell B65.
</v>
      </c>
      <c r="G3418"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9" spans="1:7" ht="15" customHeight="1">
      <c r="A3419" t="str">
        <f t="shared" ca="1" si="1183"/>
        <v/>
      </c>
      <c r="B3419">
        <f>ROW(Amenities!A66)</f>
        <v>66</v>
      </c>
      <c r="C3419" t="str">
        <f t="shared" ca="1" si="1184"/>
        <v>Attached Garage - # of garages</v>
      </c>
      <c r="D3419" t="str">
        <f t="shared" si="1185"/>
        <v>B66</v>
      </c>
      <c r="E3419">
        <f t="shared" ca="1" si="1186"/>
        <v>0</v>
      </c>
      <c r="F3419" t="str">
        <f t="shared" ca="1" si="1187"/>
        <v xml:space="preserve">Enter a value for 'Attached Garage - # of garages' in cell B66.
</v>
      </c>
      <c r="G3419"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20" spans="1:7" ht="15" customHeight="1">
      <c r="A3420" t="str">
        <f t="shared" ca="1" si="1183"/>
        <v/>
      </c>
      <c r="B3420">
        <f>ROW(Amenities!A67)</f>
        <v>67</v>
      </c>
      <c r="C3420" t="str">
        <f t="shared" ca="1" si="1184"/>
        <v>Tuck-under / Podium Parking - # of spaces</v>
      </c>
      <c r="D3420" t="str">
        <f t="shared" si="1185"/>
        <v>B67</v>
      </c>
      <c r="E3420">
        <f t="shared" ca="1" si="1186"/>
        <v>0</v>
      </c>
      <c r="F3420" t="str">
        <f t="shared" ca="1" si="1187"/>
        <v xml:space="preserve">Enter a value for 'Tuck-under / Podium Parking - # of spaces' in cell B67.
</v>
      </c>
      <c r="G3420"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21" spans="1:7" ht="15" customHeight="1">
      <c r="A3421" t="str">
        <f t="shared" ref="A3421:A3427" ca="1" si="1189">IF(E3421="",F3421, "")</f>
        <v xml:space="preserve">Enter a value for 'Is Parking in Eligible Basis' in cell B69.
</v>
      </c>
      <c r="B3421">
        <f>ROW(Amenities!A69)</f>
        <v>69</v>
      </c>
      <c r="C3421" t="str">
        <f t="shared" ref="C3421:C3427" ca="1" si="1190">INDIRECT($F$3373 &amp; ADDRESS(B3421, 1,4  ))</f>
        <v>Is Parking in Eligible Basis</v>
      </c>
      <c r="D3421" t="str">
        <f t="shared" ref="D3421:D3427" si="1191">ADDRESS(B3421, 2,4  )</f>
        <v>B69</v>
      </c>
      <c r="E3421" t="str">
        <f t="shared" ref="E3421:E3427" ca="1" si="1192">IF(ISBLANK( INDIRECT($F$3373 &amp; D3421)),"", INDIRECT($F$3373 &amp; D3421))</f>
        <v/>
      </c>
      <c r="F3421" t="str">
        <f t="shared" ref="F3421:F3427" ca="1" si="1193">CONCATENATE("Enter a value for '", C3421, "' in cell ", D3421, ".", CHAR(10))</f>
        <v xml:space="preserve">Enter a value for 'Is Parking in Eligible Basis' in cell B69.
</v>
      </c>
      <c r="G3421" s="9" t="str">
        <f t="shared" ref="G3421:G3427" ca="1" si="1194">OFFSET(G3421, -1, 0) &amp; A3421</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v>
      </c>
    </row>
    <row r="3422" spans="1:7" ht="15" customHeight="1">
      <c r="A3422" t="str">
        <f t="shared" ca="1" si="1189"/>
        <v xml:space="preserve">Enter a value for 'Is there a Fee for Parking' in cell B70.
</v>
      </c>
      <c r="B3422">
        <f>ROW(Amenities!A70)</f>
        <v>70</v>
      </c>
      <c r="C3422" t="str">
        <f t="shared" ca="1" si="1190"/>
        <v>Is there a Fee for Parking</v>
      </c>
      <c r="D3422" t="str">
        <f t="shared" si="1191"/>
        <v>B70</v>
      </c>
      <c r="E3422" t="str">
        <f t="shared" ca="1" si="1192"/>
        <v/>
      </c>
      <c r="F3422" t="str">
        <f t="shared" ca="1" si="1193"/>
        <v xml:space="preserve">Enter a value for 'Is there a Fee for Parking' in cell B70.
</v>
      </c>
      <c r="G3422"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v>
      </c>
    </row>
    <row r="3423" spans="1:7" ht="15" customHeight="1">
      <c r="A3423" t="str">
        <f t="shared" ca="1" si="1189"/>
        <v/>
      </c>
      <c r="B3423">
        <f>ROW(Amenities!A71)</f>
        <v>71</v>
      </c>
      <c r="C3423" t="str">
        <f t="shared" ca="1" si="1190"/>
        <v>Fee Amount/Month ($)</v>
      </c>
      <c r="D3423" t="str">
        <f t="shared" si="1191"/>
        <v>B71</v>
      </c>
      <c r="E3423">
        <f t="shared" ca="1" si="1192"/>
        <v>0</v>
      </c>
      <c r="F3423" t="str">
        <f t="shared" ca="1" si="1193"/>
        <v xml:space="preserve">Enter a value for 'Fee Amount/Month ($)' in cell B71.
</v>
      </c>
      <c r="G3423"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v>
      </c>
    </row>
    <row r="3424" spans="1:7" ht="15" customHeight="1">
      <c r="A3424" t="str">
        <f t="shared" ca="1" si="1189"/>
        <v xml:space="preserve">Enter a value for 'Storage Units or Lockers' in cell B73.
</v>
      </c>
      <c r="B3424">
        <f>ROW(Amenities!A73)</f>
        <v>73</v>
      </c>
      <c r="C3424" t="str">
        <f t="shared" ca="1" si="1190"/>
        <v>Storage Units or Lockers</v>
      </c>
      <c r="D3424" t="str">
        <f t="shared" si="1191"/>
        <v>B73</v>
      </c>
      <c r="E3424" t="str">
        <f t="shared" ca="1" si="1192"/>
        <v/>
      </c>
      <c r="F3424" t="str">
        <f t="shared" ca="1" si="1193"/>
        <v xml:space="preserve">Enter a value for 'Storage Units or Lockers' in cell B73.
</v>
      </c>
      <c r="G3424"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v>
      </c>
    </row>
    <row r="3425" spans="1:11" ht="15" customHeight="1">
      <c r="A3425" t="str">
        <f t="shared" ca="1" si="1189"/>
        <v xml:space="preserve">Enter a value for 'Part of Eligible Basis' in cell B74.
</v>
      </c>
      <c r="B3425">
        <f>ROW(Amenities!A74)</f>
        <v>74</v>
      </c>
      <c r="C3425" t="str">
        <f t="shared" ca="1" si="1190"/>
        <v>Part of Eligible Basis</v>
      </c>
      <c r="D3425" t="str">
        <f t="shared" si="1191"/>
        <v>B74</v>
      </c>
      <c r="E3425" t="str">
        <f t="shared" ca="1" si="1192"/>
        <v/>
      </c>
      <c r="F3425" t="str">
        <f t="shared" ca="1" si="1193"/>
        <v xml:space="preserve">Enter a value for 'Part of Eligible Basis' in cell B74.
</v>
      </c>
      <c r="G3425"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v>
      </c>
    </row>
    <row r="3426" spans="1:11" ht="15" customHeight="1">
      <c r="A3426" t="str">
        <f t="shared" ca="1" si="1189"/>
        <v/>
      </c>
      <c r="B3426">
        <f>ROW(Amenities!A75)</f>
        <v>75</v>
      </c>
      <c r="C3426" t="str">
        <f t="shared" ca="1" si="1190"/>
        <v>Fee Amount/Month ($)</v>
      </c>
      <c r="D3426" t="str">
        <f t="shared" si="1191"/>
        <v>B75</v>
      </c>
      <c r="E3426">
        <f t="shared" ca="1" si="1192"/>
        <v>0</v>
      </c>
      <c r="F3426" t="str">
        <f t="shared" ca="1" si="1193"/>
        <v xml:space="preserve">Enter a value for 'Fee Amount/Month ($)' in cell B75.
</v>
      </c>
      <c r="G3426"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v>
      </c>
    </row>
    <row r="3427" spans="1:11" ht="15" customHeight="1">
      <c r="A3427" t="str">
        <f t="shared" ca="1" si="1189"/>
        <v xml:space="preserve">Enter a value for 'Electric Vehicle (EV) Ready ' in cell B76.
</v>
      </c>
      <c r="B3427">
        <f>ROW(Amenities!A76)</f>
        <v>76</v>
      </c>
      <c r="C3427" t="str">
        <f t="shared" ca="1" si="1190"/>
        <v xml:space="preserve">Electric Vehicle (EV) Ready </v>
      </c>
      <c r="D3427" t="str">
        <f t="shared" si="1191"/>
        <v>B76</v>
      </c>
      <c r="E3427" t="str">
        <f t="shared" ca="1" si="1192"/>
        <v/>
      </c>
      <c r="F3427" t="str">
        <f t="shared" ca="1" si="1193"/>
        <v xml:space="preserve">Enter a value for 'Electric Vehicle (EV) Ready ' in cell B76.
</v>
      </c>
      <c r="G3427"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v>
      </c>
    </row>
    <row r="3428" spans="1:11" ht="15" customHeight="1">
      <c r="A3428" t="str">
        <f t="shared" ref="A3428" ca="1" si="1195">IF(E3428="",F3428, "")</f>
        <v/>
      </c>
      <c r="B3428">
        <f>ROW(Amenities!A77)</f>
        <v>77</v>
      </c>
      <c r="C3428" t="str">
        <f t="shared" ref="C3428" ca="1" si="1196">INDIRECT($F$3373 &amp; ADDRESS(B3428, 1,4  ))</f>
        <v>Number of EV Charging Stations (if applicable)</v>
      </c>
      <c r="D3428" t="str">
        <f t="shared" ref="D3428" si="1197">ADDRESS(B3428, 2,4  )</f>
        <v>B77</v>
      </c>
      <c r="E3428">
        <f t="shared" ref="E3428" ca="1" si="1198">IF(ISBLANK( INDIRECT($F$3373 &amp; D3428)),"", INDIRECT($F$3373 &amp; D3428))</f>
        <v>0</v>
      </c>
      <c r="F3428" t="str">
        <f t="shared" ref="F3428" ca="1" si="1199">CONCATENATE("Enter a value for '", C3428, "' in cell ", D3428, ".", CHAR(10))</f>
        <v xml:space="preserve">Enter a value for 'Number of EV Charging Stations (if applicable)' in cell B77.
</v>
      </c>
      <c r="G3428" s="9" t="str">
        <f t="shared" ref="G3428" ca="1" si="1200">OFFSET(G3428, -1, 0) &amp; A3428</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v>
      </c>
    </row>
    <row r="3429" spans="1:11" ht="15" customHeight="1">
      <c r="A3429" t="str">
        <f t="shared" ca="1" si="1183"/>
        <v xml:space="preserve">Enter a value for 'Age 62+/all occupants' in cell B86.
</v>
      </c>
      <c r="B3429">
        <f>ROW(Amenities!A86)</f>
        <v>86</v>
      </c>
      <c r="C3429" t="str">
        <f t="shared" ca="1" si="1184"/>
        <v>Age 62+/all occupants</v>
      </c>
      <c r="D3429" t="str">
        <f t="shared" si="1185"/>
        <v>B86</v>
      </c>
      <c r="E3429" t="str">
        <f t="shared" ca="1" si="1186"/>
        <v/>
      </c>
      <c r="F3429" t="str">
        <f t="shared" ca="1" si="1187"/>
        <v xml:space="preserve">Enter a value for 'Age 62+/all occupants' in cell B86.
</v>
      </c>
      <c r="G3429"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v>
      </c>
    </row>
    <row r="3430" spans="1:11" ht="15" customHeight="1">
      <c r="A3430" t="str">
        <f t="shared" ca="1" si="1183"/>
        <v xml:space="preserve">Enter a value for 'Age 55+/at least one occupant' in cell B87.
</v>
      </c>
      <c r="B3430">
        <f>ROW(Amenities!A87)</f>
        <v>87</v>
      </c>
      <c r="C3430" t="str">
        <f t="shared" ca="1" si="1184"/>
        <v>Age 55+/at least one occupant</v>
      </c>
      <c r="D3430" t="str">
        <f t="shared" si="1185"/>
        <v>B87</v>
      </c>
      <c r="E3430" t="str">
        <f t="shared" ca="1" si="1186"/>
        <v/>
      </c>
      <c r="F3430" t="str">
        <f t="shared" ca="1" si="1187"/>
        <v xml:space="preserve">Enter a value for 'Age 55+/at least one occupant' in cell B87.
</v>
      </c>
      <c r="G3430"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v>
      </c>
    </row>
    <row r="3431" spans="1:11" ht="15" customHeight="1">
      <c r="A3431" t="str">
        <f t="shared" ca="1" si="1183"/>
        <v xml:space="preserve">Enter a value for 'Service Coordinator' in cell B88.
</v>
      </c>
      <c r="B3431">
        <f>ROW(Amenities!A88)</f>
        <v>88</v>
      </c>
      <c r="C3431" t="str">
        <f t="shared" ca="1" si="1184"/>
        <v>Service Coordinator</v>
      </c>
      <c r="D3431" t="str">
        <f t="shared" si="1185"/>
        <v>B88</v>
      </c>
      <c r="E3431" t="str">
        <f t="shared" ca="1" si="1186"/>
        <v/>
      </c>
      <c r="F3431" t="str">
        <f t="shared" ca="1" si="1187"/>
        <v xml:space="preserve">Enter a value for 'Service Coordinator' in cell B88.
</v>
      </c>
      <c r="G3431"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v>
      </c>
    </row>
    <row r="3432" spans="1:11" ht="15" customHeight="1">
      <c r="A3432" t="str">
        <f t="shared" ca="1" si="1183"/>
        <v xml:space="preserve">Enter a value for 'Additional fees for services' in cell B89.
</v>
      </c>
      <c r="B3432">
        <f>ROW(Amenities!A89)</f>
        <v>89</v>
      </c>
      <c r="C3432" t="str">
        <f t="shared" ca="1" si="1184"/>
        <v>Additional fees for services</v>
      </c>
      <c r="D3432" t="str">
        <f t="shared" si="1185"/>
        <v>B89</v>
      </c>
      <c r="E3432" t="str">
        <f t="shared" ca="1" si="1186"/>
        <v/>
      </c>
      <c r="F3432" t="str">
        <f t="shared" ca="1" si="1187"/>
        <v xml:space="preserve">Enter a value for 'Additional fees for services' in cell B89.
</v>
      </c>
      <c r="G3432"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3" spans="1:11" ht="15" customHeight="1">
      <c r="G3433"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4" spans="1:11" ht="15" customHeight="1">
      <c r="A3434" t="str">
        <f t="shared" ref="A3434:A3449" ca="1" si="1201">IF(AND($J$3434, E3434=""),F3434, "")</f>
        <v/>
      </c>
      <c r="B3434">
        <f>ROW(Amenities!A94)</f>
        <v>94</v>
      </c>
      <c r="C3434" t="str">
        <f t="shared" ref="C3434:C3449" ca="1" si="1202">INDIRECT($F$3373 &amp; ADDRESS(B3434, 1,4  ))</f>
        <v>Utility Model</v>
      </c>
      <c r="D3434" t="str">
        <f t="shared" ref="D3434:D3449" si="1203">ADDRESS(B3434, 2,4  )</f>
        <v>B94</v>
      </c>
      <c r="E3434" t="str">
        <f t="shared" ref="E3434:E3449" ca="1" si="1204">IF(ISBLANK( INDIRECT($F$3373 &amp; D3434)),"", INDIRECT($F$3373 &amp; D3434))</f>
        <v/>
      </c>
      <c r="F3434" t="str">
        <f t="shared" ref="F3434:F3449" ca="1" si="1205">CONCATENATE("Enter a value for '", C3434, "' in cell ", D3434, ".", CHAR(10))</f>
        <v xml:space="preserve">Enter a value for 'Utility Model' in cell B94.
</v>
      </c>
      <c r="G3434"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c r="H3434" t="s">
        <v>3856</v>
      </c>
      <c r="J3434" s="16" t="b">
        <f>OR(Calculations!$B$3,AND(Calculations!$B$4,Calculations!$B$5,NOT(Calculations!$B$6)))</f>
        <v>0</v>
      </c>
      <c r="K3434" s="16" t="s">
        <v>3857</v>
      </c>
    </row>
    <row r="3435" spans="1:11" ht="15" customHeight="1">
      <c r="A3435" t="str">
        <f t="shared" ca="1" si="1201"/>
        <v/>
      </c>
      <c r="B3435">
        <f>ROW(Amenities!A96)</f>
        <v>96</v>
      </c>
      <c r="C3435" t="str">
        <f t="shared" ca="1" si="1202"/>
        <v>Gas</v>
      </c>
      <c r="D3435" t="str">
        <f t="shared" si="1203"/>
        <v>B96</v>
      </c>
      <c r="E3435" t="str">
        <f t="shared" ca="1" si="1204"/>
        <v/>
      </c>
      <c r="F3435" t="str">
        <f t="shared" ca="1" si="1205"/>
        <v xml:space="preserve">Enter a value for 'Gas' in cell B96.
</v>
      </c>
      <c r="G3435"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6" spans="1:11" ht="15" customHeight="1">
      <c r="A3436" t="str">
        <f t="shared" ca="1" si="1201"/>
        <v/>
      </c>
      <c r="B3436">
        <f>ROW(Amenities!A97)</f>
        <v>97</v>
      </c>
      <c r="C3436" t="str">
        <f t="shared" ca="1" si="1202"/>
        <v>Electricity</v>
      </c>
      <c r="D3436" t="str">
        <f t="shared" si="1203"/>
        <v>B97</v>
      </c>
      <c r="E3436" t="str">
        <f t="shared" ca="1" si="1204"/>
        <v/>
      </c>
      <c r="F3436" t="str">
        <f t="shared" ca="1" si="1205"/>
        <v xml:space="preserve">Enter a value for 'Electricity' in cell B97.
</v>
      </c>
      <c r="G3436"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7" spans="1:11" ht="15" customHeight="1">
      <c r="A3437" t="str">
        <f t="shared" ca="1" si="1201"/>
        <v/>
      </c>
      <c r="B3437">
        <f>ROW(Amenities!A98)</f>
        <v>98</v>
      </c>
      <c r="C3437" t="str">
        <f t="shared" ca="1" si="1202"/>
        <v>Water</v>
      </c>
      <c r="D3437" t="str">
        <f t="shared" si="1203"/>
        <v>B98</v>
      </c>
      <c r="E3437" t="str">
        <f t="shared" ca="1" si="1204"/>
        <v/>
      </c>
      <c r="F3437" t="str">
        <f t="shared" ca="1" si="1205"/>
        <v xml:space="preserve">Enter a value for 'Water' in cell B98.
</v>
      </c>
      <c r="G3437" s="9" t="str">
        <f t="shared" ref="G3437:G3449" ca="1" si="1206">OFFSET(G3437, -1, 0) &amp; A3437</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8" spans="1:11" ht="15" customHeight="1">
      <c r="A3438" t="str">
        <f t="shared" ca="1" si="1201"/>
        <v/>
      </c>
      <c r="B3438">
        <f>ROW(Amenities!A99)</f>
        <v>99</v>
      </c>
      <c r="C3438" t="str">
        <f t="shared" ca="1" si="1202"/>
        <v>Sewer</v>
      </c>
      <c r="D3438" t="str">
        <f t="shared" si="1203"/>
        <v>B99</v>
      </c>
      <c r="E3438" t="str">
        <f t="shared" ca="1" si="1204"/>
        <v/>
      </c>
      <c r="F3438" t="str">
        <f t="shared" ca="1" si="1205"/>
        <v xml:space="preserve">Enter a value for 'Sewer' in cell B99.
</v>
      </c>
      <c r="G3438"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9" spans="1:11" ht="15" customHeight="1">
      <c r="A3439" t="str">
        <f t="shared" ca="1" si="1201"/>
        <v/>
      </c>
      <c r="B3439">
        <f>ROW(Amenities!A100)</f>
        <v>100</v>
      </c>
      <c r="C3439" t="str">
        <f t="shared" ca="1" si="1202"/>
        <v>Trash</v>
      </c>
      <c r="D3439" t="str">
        <f t="shared" si="1203"/>
        <v>B100</v>
      </c>
      <c r="E3439" t="str">
        <f t="shared" ca="1" si="1204"/>
        <v/>
      </c>
      <c r="F3439" t="str">
        <f t="shared" ca="1" si="1205"/>
        <v xml:space="preserve">Enter a value for 'Trash' in cell B100.
</v>
      </c>
      <c r="G3439"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0" spans="1:11" ht="15" customHeight="1">
      <c r="A3440" t="str">
        <f t="shared" ca="1" si="1201"/>
        <v/>
      </c>
      <c r="B3440">
        <f>ROW(Amenities!A101)</f>
        <v>101</v>
      </c>
      <c r="C3440" t="str">
        <f t="shared" ca="1" si="1202"/>
        <v>Cable  - If  contracted with cable provider</v>
      </c>
      <c r="D3440" t="str">
        <f t="shared" si="1203"/>
        <v>B101</v>
      </c>
      <c r="E3440" t="str">
        <f t="shared" ca="1" si="1204"/>
        <v/>
      </c>
      <c r="F3440" t="str">
        <f t="shared" ca="1" si="1205"/>
        <v xml:space="preserve">Enter a value for 'Cable  - If  contracted with cable provider' in cell B101.
</v>
      </c>
      <c r="G3440"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1" spans="1:7" ht="15" customHeight="1">
      <c r="A3441" t="str">
        <f t="shared" ca="1" si="1201"/>
        <v/>
      </c>
      <c r="B3441">
        <f>ROW(Amenities!A104)</f>
        <v>104</v>
      </c>
      <c r="C3441" t="str">
        <f t="shared" ca="1" si="1202"/>
        <v>Gas</v>
      </c>
      <c r="D3441" t="str">
        <f t="shared" si="1203"/>
        <v>B104</v>
      </c>
      <c r="E3441" t="str">
        <f t="shared" ca="1" si="1204"/>
        <v/>
      </c>
      <c r="F3441" t="str">
        <f t="shared" ca="1" si="1205"/>
        <v xml:space="preserve">Enter a value for 'Gas' in cell B104.
</v>
      </c>
      <c r="G3441"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2" spans="1:7" ht="15" customHeight="1">
      <c r="A3442" t="str">
        <f t="shared" ca="1" si="1201"/>
        <v/>
      </c>
      <c r="B3442">
        <f>ROW(Amenities!A105)</f>
        <v>105</v>
      </c>
      <c r="C3442" t="str">
        <f t="shared" ca="1" si="1202"/>
        <v>Electricity</v>
      </c>
      <c r="D3442" t="str">
        <f t="shared" si="1203"/>
        <v>B105</v>
      </c>
      <c r="E3442" t="str">
        <f t="shared" ca="1" si="1204"/>
        <v/>
      </c>
      <c r="F3442" t="str">
        <f t="shared" ca="1" si="1205"/>
        <v xml:space="preserve">Enter a value for 'Electricity' in cell B105.
</v>
      </c>
      <c r="G3442"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3" spans="1:7" ht="15" customHeight="1">
      <c r="A3443" t="str">
        <f t="shared" ca="1" si="1201"/>
        <v/>
      </c>
      <c r="B3443">
        <f>ROW(Amenities!A106)</f>
        <v>106</v>
      </c>
      <c r="C3443" t="str">
        <f t="shared" ca="1" si="1202"/>
        <v>Water</v>
      </c>
      <c r="D3443" t="str">
        <f t="shared" si="1203"/>
        <v>B106</v>
      </c>
      <c r="E3443" t="str">
        <f t="shared" ca="1" si="1204"/>
        <v/>
      </c>
      <c r="F3443" t="str">
        <f t="shared" ca="1" si="1205"/>
        <v xml:space="preserve">Enter a value for 'Water' in cell B106.
</v>
      </c>
      <c r="G3443"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4" spans="1:7" ht="15" customHeight="1">
      <c r="A3444" t="str">
        <f t="shared" ca="1" si="1201"/>
        <v/>
      </c>
      <c r="B3444">
        <f>ROW(Amenities!A107)</f>
        <v>107</v>
      </c>
      <c r="C3444" t="str">
        <f t="shared" ca="1" si="1202"/>
        <v>Sewer</v>
      </c>
      <c r="D3444" t="str">
        <f t="shared" si="1203"/>
        <v>B107</v>
      </c>
      <c r="E3444" t="str">
        <f t="shared" ca="1" si="1204"/>
        <v/>
      </c>
      <c r="F3444" t="str">
        <f t="shared" ca="1" si="1205"/>
        <v xml:space="preserve">Enter a value for 'Sewer' in cell B107.
</v>
      </c>
      <c r="G3444"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5" spans="1:7" ht="15" customHeight="1">
      <c r="A3445" t="str">
        <f t="shared" ca="1" si="1201"/>
        <v/>
      </c>
      <c r="B3445">
        <f>ROW(Amenities!A108)</f>
        <v>108</v>
      </c>
      <c r="C3445" t="str">
        <f t="shared" ca="1" si="1202"/>
        <v>Trash</v>
      </c>
      <c r="D3445" t="str">
        <f t="shared" si="1203"/>
        <v>B108</v>
      </c>
      <c r="E3445" t="str">
        <f t="shared" ca="1" si="1204"/>
        <v/>
      </c>
      <c r="F3445" t="str">
        <f t="shared" ca="1" si="1205"/>
        <v xml:space="preserve">Enter a value for 'Trash' in cell B108.
</v>
      </c>
      <c r="G3445"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6" spans="1:7" ht="15" customHeight="1">
      <c r="A3446" t="str">
        <f t="shared" ca="1" si="1201"/>
        <v/>
      </c>
      <c r="B3446">
        <f>ROW(Amenities!A109)</f>
        <v>109</v>
      </c>
      <c r="C3446" t="str">
        <f t="shared" ca="1" si="1202"/>
        <v>Cable</v>
      </c>
      <c r="D3446" t="str">
        <f t="shared" si="1203"/>
        <v>B109</v>
      </c>
      <c r="E3446" t="str">
        <f t="shared" ca="1" si="1204"/>
        <v/>
      </c>
      <c r="F3446" t="str">
        <f t="shared" ca="1" si="1205"/>
        <v xml:space="preserve">Enter a value for 'Cable' in cell B109.
</v>
      </c>
      <c r="G3446"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7" spans="1:7" ht="15" customHeight="1">
      <c r="A3447" t="str">
        <f t="shared" ca="1" si="1201"/>
        <v/>
      </c>
      <c r="B3447">
        <f>ROW(Amenities!A112)</f>
        <v>112</v>
      </c>
      <c r="C3447" t="str">
        <f t="shared" ca="1" si="1202"/>
        <v>Renter's insurance required</v>
      </c>
      <c r="D3447" t="str">
        <f t="shared" si="1203"/>
        <v>B112</v>
      </c>
      <c r="E3447" t="str">
        <f t="shared" ca="1" si="1204"/>
        <v/>
      </c>
      <c r="F3447" t="str">
        <f t="shared" ca="1" si="1205"/>
        <v xml:space="preserve">Enter a value for 'Renter's insurance required' in cell B112.
</v>
      </c>
      <c r="G3447"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8" spans="1:7" ht="15" customHeight="1">
      <c r="A3448" t="str">
        <f t="shared" ca="1" si="1201"/>
        <v/>
      </c>
      <c r="B3448">
        <f>ROW(Amenities!A113)</f>
        <v>113</v>
      </c>
      <c r="C3448" t="str">
        <f t="shared" ca="1" si="1202"/>
        <v>List any changes from Preliminary &amp; Carryover</v>
      </c>
      <c r="D3448" t="str">
        <f t="shared" si="1203"/>
        <v>B113</v>
      </c>
      <c r="E3448" t="str">
        <f t="shared" ca="1" si="1204"/>
        <v/>
      </c>
      <c r="F3448" t="str">
        <f t="shared" ca="1" si="1205"/>
        <v xml:space="preserve">Enter a value for 'List any changes from Preliminary &amp; Carryover' in cell B113.
</v>
      </c>
      <c r="G3448"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9" spans="1:7" ht="15" customHeight="1">
      <c r="A3449" t="str">
        <f t="shared" ca="1" si="1201"/>
        <v/>
      </c>
      <c r="B3449">
        <f>ROW(Amenities!A114)</f>
        <v>114</v>
      </c>
      <c r="C3449" t="str">
        <f t="shared" ca="1" si="1202"/>
        <v>Were changes pre-approved</v>
      </c>
      <c r="D3449" t="str">
        <f t="shared" si="1203"/>
        <v>B114</v>
      </c>
      <c r="E3449" t="str">
        <f t="shared" ca="1" si="1204"/>
        <v/>
      </c>
      <c r="F3449" t="str">
        <f t="shared" ca="1" si="1205"/>
        <v xml:space="preserve">Enter a value for 'Were changes pre-approved' in cell B114.
</v>
      </c>
      <c r="G3449"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50" spans="1:7" ht="15" customHeight="1">
      <c r="G3450" s="9" t="str">
        <f t="shared" ref="G3450:G3451" ca="1" si="1207">OFFSET(G3450, -1, 0) &amp; A3450</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51" spans="1:7" ht="15" customHeight="1">
      <c r="G3451" s="9" t="str">
        <f t="shared" ca="1" si="120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52" spans="1:7" ht="15" customHeight="1">
      <c r="A3452" s="55" t="s">
        <v>3858</v>
      </c>
      <c r="B3452" s="53"/>
      <c r="C3452" s="53"/>
      <c r="D3452" s="53"/>
      <c r="E3452" s="53"/>
      <c r="F3452" s="53"/>
      <c r="G3452" s="56" t="str">
        <f ca="1">OFFSET(G3452, -1, 0)</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53" spans="1:7" ht="15" customHeight="1"/>
    <row r="3454" spans="1:7" ht="15" customHeight="1"/>
    <row r="3455" spans="1:7" ht="15" customHeight="1"/>
    <row r="3456" spans="1:7"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s="320" customFormat="1" ht="15" customHeight="1"/>
    <row r="3486" s="320" customFormat="1" ht="15" customHeight="1"/>
    <row r="3487" ht="15" customHeight="1"/>
    <row r="3488" ht="15" customHeight="1"/>
    <row r="3489" ht="15" customHeight="1"/>
    <row r="3490" ht="15" customHeight="1"/>
    <row r="3491" ht="15" customHeight="1"/>
    <row r="3517" s="320" customFormat="1"/>
    <row r="3547" s="320" customFormat="1"/>
  </sheetData>
  <sheetProtection algorithmName="SHA-512" hashValue="hx8mfreIL7RQwx5avM407lq1vReeJ4+N3H9RGUuFHpEsUbx44ZuDHtTVkJSfRXR9+nE85LZNXkuy4l9w4CizqA==" saltValue="KRSm02BKj3TN86jVWKy7Hg==" spinCount="100000" sheet="1" objects="1" scenarios="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theme="1"/>
  </sheetPr>
  <dimension ref="A1:I253"/>
  <sheetViews>
    <sheetView zoomScale="85" zoomScaleNormal="85" workbookViewId="0">
      <selection activeCell="J5" sqref="J5"/>
    </sheetView>
  </sheetViews>
  <sheetFormatPr defaultRowHeight="15"/>
  <cols>
    <col min="1" max="1" width="33" customWidth="1"/>
    <col min="2" max="2" width="30.5703125" customWidth="1"/>
    <col min="3" max="3" width="44" customWidth="1"/>
    <col min="4" max="4" width="32.140625" customWidth="1"/>
    <col min="5" max="5" width="42.5703125" customWidth="1"/>
    <col min="6" max="6" width="30.5703125" customWidth="1"/>
    <col min="7" max="7" width="36" customWidth="1"/>
    <col min="8" max="8" width="22.5703125" customWidth="1"/>
    <col min="9" max="9" width="26.140625" customWidth="1"/>
    <col min="10" max="13" width="21.5703125" customWidth="1"/>
  </cols>
  <sheetData>
    <row r="1" spans="1:7">
      <c r="A1" s="1" t="s">
        <v>3859</v>
      </c>
    </row>
    <row r="3" spans="1:7">
      <c r="A3" s="1" t="s">
        <v>3860</v>
      </c>
      <c r="C3" s="1" t="s">
        <v>3861</v>
      </c>
    </row>
    <row r="4" spans="1:7">
      <c r="A4" t="s">
        <v>825</v>
      </c>
      <c r="C4" t="s">
        <v>825</v>
      </c>
    </row>
    <row r="5" spans="1:7">
      <c r="A5" t="s">
        <v>606</v>
      </c>
      <c r="C5" t="s">
        <v>606</v>
      </c>
    </row>
    <row r="6" spans="1:7">
      <c r="C6" t="s">
        <v>891</v>
      </c>
    </row>
    <row r="7" spans="1:7">
      <c r="A7" s="1"/>
    </row>
    <row r="8" spans="1:7">
      <c r="A8" s="3" t="s">
        <v>17</v>
      </c>
      <c r="B8" s="3"/>
      <c r="C8" s="3"/>
      <c r="D8" s="3"/>
      <c r="E8" s="3"/>
      <c r="F8" s="3"/>
      <c r="G8" s="3"/>
    </row>
    <row r="10" spans="1:7">
      <c r="A10" s="1" t="s">
        <v>3862</v>
      </c>
      <c r="B10" s="1" t="s">
        <v>2684</v>
      </c>
      <c r="C10" s="1" t="s">
        <v>2685</v>
      </c>
      <c r="D10" s="1" t="s">
        <v>2686</v>
      </c>
      <c r="E10" s="1" t="s">
        <v>3863</v>
      </c>
    </row>
    <row r="11" spans="1:7">
      <c r="A11" t="s">
        <v>333</v>
      </c>
      <c r="B11" t="b">
        <v>0</v>
      </c>
      <c r="C11" t="b">
        <v>1</v>
      </c>
      <c r="D11" t="b">
        <v>0</v>
      </c>
      <c r="E11" t="s">
        <v>3864</v>
      </c>
    </row>
    <row r="12" spans="1:7">
      <c r="A12" t="s">
        <v>3865</v>
      </c>
      <c r="B12" t="b">
        <v>1</v>
      </c>
      <c r="C12" t="b">
        <v>1</v>
      </c>
      <c r="D12" t="b">
        <v>1</v>
      </c>
      <c r="E12" t="s">
        <v>3866</v>
      </c>
    </row>
    <row r="13" spans="1:7">
      <c r="A13" t="s">
        <v>3867</v>
      </c>
      <c r="B13" t="b">
        <v>0</v>
      </c>
      <c r="C13" t="b">
        <v>1</v>
      </c>
      <c r="D13" t="b">
        <v>1</v>
      </c>
      <c r="E13" t="s">
        <v>3868</v>
      </c>
    </row>
    <row r="14" spans="1:7">
      <c r="A14" t="s">
        <v>3869</v>
      </c>
      <c r="B14" t="b">
        <v>1</v>
      </c>
      <c r="C14" t="b">
        <v>0</v>
      </c>
      <c r="D14" t="b">
        <v>1</v>
      </c>
    </row>
    <row r="15" spans="1:7">
      <c r="A15" t="s">
        <v>3870</v>
      </c>
      <c r="B15" t="b">
        <v>0</v>
      </c>
      <c r="C15" t="b">
        <v>0</v>
      </c>
      <c r="D15" t="b">
        <v>1</v>
      </c>
    </row>
    <row r="19" spans="1:9">
      <c r="A19" s="1" t="s">
        <v>225</v>
      </c>
      <c r="B19" s="1" t="s">
        <v>2682</v>
      </c>
      <c r="C19" s="1" t="s">
        <v>2683</v>
      </c>
      <c r="D19" s="1" t="s">
        <v>3871</v>
      </c>
      <c r="E19" s="1" t="s">
        <v>3872</v>
      </c>
      <c r="F19" s="1" t="s">
        <v>3873</v>
      </c>
      <c r="G19" s="1" t="s">
        <v>3874</v>
      </c>
      <c r="H19" s="895" t="s">
        <v>4224</v>
      </c>
      <c r="I19" s="895" t="s">
        <v>4225</v>
      </c>
    </row>
    <row r="20" spans="1:9">
      <c r="A20" t="s">
        <v>3875</v>
      </c>
      <c r="B20" t="b">
        <v>0</v>
      </c>
      <c r="C20" t="b">
        <v>1</v>
      </c>
      <c r="D20" t="b">
        <v>0</v>
      </c>
      <c r="E20">
        <v>10000</v>
      </c>
      <c r="G20" t="b">
        <v>0</v>
      </c>
      <c r="H20" s="265">
        <v>1600000</v>
      </c>
    </row>
    <row r="21" spans="1:9">
      <c r="A21" t="s">
        <v>3876</v>
      </c>
      <c r="B21" t="b">
        <v>0</v>
      </c>
      <c r="C21" t="b">
        <v>1</v>
      </c>
      <c r="D21" t="b">
        <v>1</v>
      </c>
      <c r="E21">
        <v>1</v>
      </c>
      <c r="F21" t="s">
        <v>3877</v>
      </c>
      <c r="G21" t="b">
        <v>0</v>
      </c>
      <c r="H21" s="265">
        <v>1600000</v>
      </c>
      <c r="I21">
        <v>650000</v>
      </c>
    </row>
    <row r="22" spans="1:9">
      <c r="A22" t="s">
        <v>3878</v>
      </c>
      <c r="B22" t="b">
        <v>1</v>
      </c>
      <c r="C22" t="b">
        <v>1</v>
      </c>
      <c r="D22" t="b">
        <v>0</v>
      </c>
      <c r="E22">
        <v>10000</v>
      </c>
      <c r="G22" t="b">
        <v>0</v>
      </c>
      <c r="H22" s="265">
        <v>1600000</v>
      </c>
    </row>
    <row r="23" spans="1:9">
      <c r="A23" t="s">
        <v>3879</v>
      </c>
      <c r="B23" t="b">
        <v>1</v>
      </c>
      <c r="C23" t="b">
        <v>1</v>
      </c>
      <c r="D23" t="b">
        <v>1</v>
      </c>
      <c r="E23">
        <v>1</v>
      </c>
      <c r="F23" t="s">
        <v>3877</v>
      </c>
      <c r="G23" t="b">
        <v>0</v>
      </c>
      <c r="H23" s="265">
        <v>1600000</v>
      </c>
      <c r="I23">
        <v>650000</v>
      </c>
    </row>
    <row r="24" spans="1:9">
      <c r="A24" t="s">
        <v>3880</v>
      </c>
      <c r="B24" t="b">
        <v>1</v>
      </c>
      <c r="C24" t="b">
        <v>0</v>
      </c>
      <c r="D24" t="b">
        <v>0</v>
      </c>
      <c r="E24">
        <v>10000</v>
      </c>
      <c r="G24" t="b">
        <v>0</v>
      </c>
      <c r="H24" s="265"/>
    </row>
    <row r="25" spans="1:9">
      <c r="A25" t="s">
        <v>3881</v>
      </c>
      <c r="B25" t="b">
        <v>1</v>
      </c>
      <c r="C25" t="b">
        <v>0</v>
      </c>
      <c r="D25" t="b">
        <v>1</v>
      </c>
      <c r="E25">
        <v>11000</v>
      </c>
      <c r="F25" t="s">
        <v>3882</v>
      </c>
      <c r="G25" t="b">
        <v>0</v>
      </c>
      <c r="I25">
        <v>1800000</v>
      </c>
    </row>
    <row r="26" spans="1:9">
      <c r="A26" t="s">
        <v>3883</v>
      </c>
      <c r="B26" t="b">
        <v>1</v>
      </c>
      <c r="C26" t="b">
        <v>0</v>
      </c>
      <c r="D26" t="b">
        <v>1</v>
      </c>
      <c r="E26">
        <v>1</v>
      </c>
      <c r="F26" t="s">
        <v>3882</v>
      </c>
      <c r="G26" t="b">
        <v>1</v>
      </c>
      <c r="I26">
        <v>700000</v>
      </c>
    </row>
    <row r="30" spans="1:9">
      <c r="A30" s="1" t="s">
        <v>219</v>
      </c>
      <c r="B30" s="1" t="s">
        <v>3884</v>
      </c>
      <c r="C30" s="1" t="s">
        <v>3885</v>
      </c>
      <c r="D30" s="1" t="s">
        <v>3886</v>
      </c>
      <c r="E30" s="1" t="s">
        <v>3887</v>
      </c>
    </row>
    <row r="31" spans="1:9">
      <c r="A31" t="s">
        <v>3888</v>
      </c>
      <c r="B31" t="b">
        <v>1</v>
      </c>
      <c r="C31" t="b">
        <v>0</v>
      </c>
      <c r="D31" t="b">
        <v>0</v>
      </c>
      <c r="E31" t="b">
        <v>0</v>
      </c>
    </row>
    <row r="32" spans="1:9">
      <c r="A32" t="s">
        <v>3889</v>
      </c>
      <c r="B32" t="b">
        <v>0</v>
      </c>
      <c r="C32" t="b">
        <v>1</v>
      </c>
      <c r="D32" t="b">
        <v>0</v>
      </c>
      <c r="E32" t="b">
        <v>0</v>
      </c>
    </row>
    <row r="33" spans="1:9">
      <c r="A33" t="s">
        <v>3890</v>
      </c>
      <c r="B33" t="b">
        <v>0</v>
      </c>
      <c r="C33" t="b">
        <v>0</v>
      </c>
      <c r="D33" t="b">
        <v>0</v>
      </c>
      <c r="E33" t="b">
        <v>1</v>
      </c>
    </row>
    <row r="34" spans="1:9">
      <c r="A34" t="s">
        <v>3891</v>
      </c>
      <c r="B34" t="b">
        <v>0</v>
      </c>
      <c r="C34" t="b">
        <v>0</v>
      </c>
      <c r="D34" t="b">
        <v>1</v>
      </c>
      <c r="E34" t="b">
        <v>0</v>
      </c>
    </row>
    <row r="36" spans="1:9">
      <c r="A36" s="1" t="s">
        <v>279</v>
      </c>
      <c r="C36" s="1" t="s">
        <v>275</v>
      </c>
      <c r="D36" s="1" t="s">
        <v>3892</v>
      </c>
      <c r="F36" s="1" t="s">
        <v>274</v>
      </c>
      <c r="G36" s="1" t="s">
        <v>2986</v>
      </c>
      <c r="H36" s="1" t="s">
        <v>2987</v>
      </c>
    </row>
    <row r="37" spans="1:9">
      <c r="A37" t="s">
        <v>3893</v>
      </c>
      <c r="C37" t="s">
        <v>589</v>
      </c>
      <c r="D37">
        <v>1</v>
      </c>
      <c r="F37" t="s">
        <v>2986</v>
      </c>
      <c r="G37" t="b">
        <v>1</v>
      </c>
      <c r="H37" t="b">
        <v>0</v>
      </c>
    </row>
    <row r="38" spans="1:9">
      <c r="A38" t="s">
        <v>3894</v>
      </c>
      <c r="C38" t="s">
        <v>3895</v>
      </c>
      <c r="D38">
        <v>2</v>
      </c>
      <c r="F38" t="s">
        <v>2987</v>
      </c>
      <c r="G38" t="b">
        <v>0</v>
      </c>
      <c r="H38" t="b">
        <v>1</v>
      </c>
    </row>
    <row r="39" spans="1:9">
      <c r="A39" t="s">
        <v>3896</v>
      </c>
      <c r="F39" t="s">
        <v>3897</v>
      </c>
      <c r="G39" t="b">
        <v>0</v>
      </c>
      <c r="H39" t="b">
        <v>0</v>
      </c>
    </row>
    <row r="40" spans="1:9">
      <c r="A40" t="s">
        <v>3898</v>
      </c>
    </row>
    <row r="44" spans="1:9">
      <c r="G44" s="362" t="s">
        <v>3899</v>
      </c>
      <c r="H44" s="362" t="s">
        <v>3900</v>
      </c>
      <c r="I44" s="362" t="s">
        <v>264</v>
      </c>
    </row>
    <row r="45" spans="1:9">
      <c r="A45" s="1" t="s">
        <v>249</v>
      </c>
      <c r="C45" s="1" t="s">
        <v>3901</v>
      </c>
      <c r="E45" s="362" t="s">
        <v>3902</v>
      </c>
      <c r="F45" s="88"/>
      <c r="G45" s="363" t="s">
        <v>3903</v>
      </c>
      <c r="H45" s="363" t="s">
        <v>584</v>
      </c>
      <c r="I45" s="363" t="s">
        <v>3904</v>
      </c>
    </row>
    <row r="46" spans="1:9">
      <c r="A46" t="s">
        <v>3905</v>
      </c>
      <c r="C46" t="s">
        <v>127</v>
      </c>
      <c r="E46" s="363" t="s">
        <v>3906</v>
      </c>
      <c r="G46" s="363" t="s">
        <v>3907</v>
      </c>
      <c r="H46" s="364" t="s">
        <v>3908</v>
      </c>
      <c r="I46" s="364" t="s">
        <v>3909</v>
      </c>
    </row>
    <row r="47" spans="1:9">
      <c r="A47" t="s">
        <v>3910</v>
      </c>
      <c r="C47" t="s">
        <v>863</v>
      </c>
      <c r="E47" s="364" t="s">
        <v>3911</v>
      </c>
      <c r="G47" s="364" t="s">
        <v>3912</v>
      </c>
      <c r="H47" s="363" t="s">
        <v>3913</v>
      </c>
      <c r="I47" s="363" t="s">
        <v>3914</v>
      </c>
    </row>
    <row r="48" spans="1:9">
      <c r="A48" t="s">
        <v>3915</v>
      </c>
      <c r="C48" t="s">
        <v>3868</v>
      </c>
      <c r="E48" s="363" t="s">
        <v>3916</v>
      </c>
      <c r="G48" s="364" t="s">
        <v>3917</v>
      </c>
      <c r="H48" s="364"/>
      <c r="I48" s="364" t="s">
        <v>3918</v>
      </c>
    </row>
    <row r="49" spans="1:9">
      <c r="A49" s="1"/>
      <c r="G49" s="363" t="s">
        <v>3919</v>
      </c>
      <c r="H49" s="363"/>
      <c r="I49" s="363" t="s">
        <v>3920</v>
      </c>
    </row>
    <row r="50" spans="1:9">
      <c r="A50" s="1"/>
      <c r="G50" s="364" t="s">
        <v>3921</v>
      </c>
      <c r="H50" s="493"/>
    </row>
    <row r="51" spans="1:9">
      <c r="A51" s="1" t="s">
        <v>1669</v>
      </c>
      <c r="B51" s="1" t="s">
        <v>1670</v>
      </c>
      <c r="C51" t="s">
        <v>1671</v>
      </c>
      <c r="D51" t="s">
        <v>1672</v>
      </c>
      <c r="E51" s="362" t="s">
        <v>267</v>
      </c>
      <c r="F51" s="872" t="s">
        <v>262</v>
      </c>
      <c r="G51" s="363" t="s">
        <v>3922</v>
      </c>
      <c r="H51" s="493"/>
    </row>
    <row r="52" spans="1:9">
      <c r="A52" t="s">
        <v>3908</v>
      </c>
      <c r="B52" t="s">
        <v>3908</v>
      </c>
      <c r="C52" s="317" t="s">
        <v>3923</v>
      </c>
      <c r="D52" s="317" t="s">
        <v>3923</v>
      </c>
      <c r="E52" s="363" t="s">
        <v>1783</v>
      </c>
      <c r="F52" s="871" t="s">
        <v>3924</v>
      </c>
      <c r="G52" s="364" t="s">
        <v>3925</v>
      </c>
    </row>
    <row r="53" spans="1:9">
      <c r="A53" t="s">
        <v>3926</v>
      </c>
      <c r="B53" t="s">
        <v>3926</v>
      </c>
      <c r="C53" s="317" t="s">
        <v>3927</v>
      </c>
      <c r="D53" s="317" t="s">
        <v>3927</v>
      </c>
      <c r="E53" s="364" t="s">
        <v>3928</v>
      </c>
      <c r="F53" s="486" t="s">
        <v>3929</v>
      </c>
      <c r="G53" s="363" t="s">
        <v>3930</v>
      </c>
    </row>
    <row r="54" spans="1:9">
      <c r="A54" t="s">
        <v>3931</v>
      </c>
      <c r="B54" t="s">
        <v>3931</v>
      </c>
      <c r="C54" s="317" t="s">
        <v>3932</v>
      </c>
      <c r="D54" s="317" t="s">
        <v>3932</v>
      </c>
      <c r="E54" s="363" t="s">
        <v>3868</v>
      </c>
      <c r="F54" s="871" t="s">
        <v>3933</v>
      </c>
      <c r="G54" s="364" t="s">
        <v>3934</v>
      </c>
    </row>
    <row r="55" spans="1:9">
      <c r="A55" t="s">
        <v>3935</v>
      </c>
      <c r="B55" t="s">
        <v>3935</v>
      </c>
      <c r="C55" s="317"/>
      <c r="D55" s="317"/>
      <c r="E55" s="364" t="s">
        <v>2775</v>
      </c>
      <c r="F55" s="486" t="s">
        <v>2775</v>
      </c>
      <c r="G55" s="363" t="s">
        <v>3936</v>
      </c>
    </row>
    <row r="56" spans="1:9">
      <c r="A56" t="s">
        <v>3937</v>
      </c>
      <c r="B56" t="s">
        <v>3937</v>
      </c>
      <c r="C56" s="317"/>
      <c r="D56" s="317"/>
      <c r="E56" s="363" t="s">
        <v>3938</v>
      </c>
      <c r="F56" s="871" t="s">
        <v>3939</v>
      </c>
      <c r="G56" s="364" t="s">
        <v>3940</v>
      </c>
    </row>
    <row r="57" spans="1:9">
      <c r="A57" t="s">
        <v>3941</v>
      </c>
      <c r="B57" t="s">
        <v>3941</v>
      </c>
      <c r="C57" s="317"/>
      <c r="D57" s="317"/>
      <c r="E57" s="364" t="s">
        <v>3942</v>
      </c>
      <c r="F57" s="870" t="s">
        <v>3943</v>
      </c>
      <c r="G57" s="363" t="s">
        <v>3944</v>
      </c>
    </row>
    <row r="58" spans="1:9">
      <c r="A58" t="s">
        <v>3945</v>
      </c>
      <c r="B58" t="s">
        <v>3945</v>
      </c>
      <c r="C58" s="317"/>
      <c r="D58" s="317"/>
      <c r="E58" s="363"/>
      <c r="G58" s="364" t="s">
        <v>3946</v>
      </c>
    </row>
    <row r="59" spans="1:9">
      <c r="C59" s="317"/>
      <c r="D59" s="317"/>
      <c r="G59" s="879" t="s">
        <v>2775</v>
      </c>
    </row>
    <row r="60" spans="1:9">
      <c r="A60" s="3" t="s">
        <v>19</v>
      </c>
      <c r="B60" s="3"/>
      <c r="C60" s="3"/>
      <c r="D60" s="3"/>
      <c r="E60" s="3"/>
      <c r="F60" s="3"/>
      <c r="G60" s="3"/>
    </row>
    <row r="62" spans="1:9">
      <c r="A62" s="1" t="s">
        <v>110</v>
      </c>
      <c r="B62" s="1" t="s">
        <v>3947</v>
      </c>
      <c r="E62" s="1" t="s">
        <v>3948</v>
      </c>
      <c r="F62" s="1" t="s">
        <v>3049</v>
      </c>
      <c r="G62" s="1" t="s">
        <v>3949</v>
      </c>
    </row>
    <row r="63" spans="1:9">
      <c r="A63" s="469">
        <v>0.2</v>
      </c>
      <c r="B63" s="470">
        <v>0</v>
      </c>
      <c r="E63" t="s">
        <v>3950</v>
      </c>
      <c r="F63" t="s">
        <v>1223</v>
      </c>
      <c r="G63" t="b">
        <v>1</v>
      </c>
    </row>
    <row r="64" spans="1:9">
      <c r="A64" s="8">
        <v>0.3</v>
      </c>
      <c r="B64" s="94">
        <v>0</v>
      </c>
      <c r="E64" t="s">
        <v>3952</v>
      </c>
      <c r="F64" t="s">
        <v>1223</v>
      </c>
      <c r="G64" t="b">
        <v>0</v>
      </c>
    </row>
    <row r="65" spans="1:7">
      <c r="A65" s="8">
        <v>0.4</v>
      </c>
      <c r="B65" s="94">
        <v>92.5</v>
      </c>
      <c r="E65" t="s">
        <v>3953</v>
      </c>
      <c r="F65" t="s">
        <v>1224</v>
      </c>
      <c r="G65" t="b">
        <v>1</v>
      </c>
    </row>
    <row r="66" spans="1:7">
      <c r="A66" s="8">
        <v>0.5</v>
      </c>
      <c r="B66" s="94">
        <v>72.5</v>
      </c>
      <c r="E66" t="s">
        <v>3955</v>
      </c>
      <c r="F66" t="s">
        <v>1224</v>
      </c>
      <c r="G66" t="b">
        <v>0</v>
      </c>
    </row>
    <row r="67" spans="1:7">
      <c r="A67" s="8">
        <v>0.6</v>
      </c>
      <c r="B67" s="94">
        <v>50</v>
      </c>
      <c r="E67" t="s">
        <v>3956</v>
      </c>
      <c r="F67" t="s">
        <v>1225</v>
      </c>
      <c r="G67" t="b">
        <v>1</v>
      </c>
    </row>
    <row r="68" spans="1:7">
      <c r="A68" s="469">
        <v>0.7</v>
      </c>
      <c r="B68" s="470">
        <v>0</v>
      </c>
      <c r="E68" t="s">
        <v>3958</v>
      </c>
      <c r="F68" t="s">
        <v>1225</v>
      </c>
      <c r="G68" t="b">
        <v>0</v>
      </c>
    </row>
    <row r="69" spans="1:7">
      <c r="A69" s="469">
        <v>0.8</v>
      </c>
      <c r="B69" s="470">
        <v>0</v>
      </c>
      <c r="E69" t="s">
        <v>3959</v>
      </c>
      <c r="F69" t="s">
        <v>1225</v>
      </c>
      <c r="G69" t="b">
        <v>1</v>
      </c>
    </row>
    <row r="70" spans="1:7">
      <c r="A70" s="70">
        <v>1</v>
      </c>
      <c r="B70" s="94">
        <v>0</v>
      </c>
      <c r="E70" t="s">
        <v>3961</v>
      </c>
      <c r="F70" t="s">
        <v>1225</v>
      </c>
      <c r="G70" t="b">
        <v>0</v>
      </c>
    </row>
    <row r="71" spans="1:7">
      <c r="A71" s="14" t="s">
        <v>2703</v>
      </c>
      <c r="B71" s="94">
        <v>0</v>
      </c>
      <c r="E71" t="s">
        <v>3962</v>
      </c>
      <c r="F71" t="s">
        <v>1226</v>
      </c>
      <c r="G71" t="b">
        <v>1</v>
      </c>
    </row>
    <row r="72" spans="1:7">
      <c r="E72" t="s">
        <v>3964</v>
      </c>
      <c r="F72" t="s">
        <v>1226</v>
      </c>
      <c r="G72" t="b">
        <v>0</v>
      </c>
    </row>
    <row r="73" spans="1:7">
      <c r="E73" t="s">
        <v>3965</v>
      </c>
      <c r="F73" t="s">
        <v>1226</v>
      </c>
      <c r="G73" t="b">
        <v>1</v>
      </c>
    </row>
    <row r="74" spans="1:7">
      <c r="E74" t="s">
        <v>3967</v>
      </c>
      <c r="F74" t="s">
        <v>1226</v>
      </c>
      <c r="G74" t="b">
        <v>0</v>
      </c>
    </row>
    <row r="75" spans="1:7">
      <c r="E75" t="s">
        <v>3968</v>
      </c>
      <c r="F75" t="s">
        <v>1227</v>
      </c>
      <c r="G75" t="b">
        <v>1</v>
      </c>
    </row>
    <row r="76" spans="1:7">
      <c r="E76" t="s">
        <v>3970</v>
      </c>
      <c r="F76" t="s">
        <v>1227</v>
      </c>
      <c r="G76" t="b">
        <v>0</v>
      </c>
    </row>
    <row r="77" spans="1:7">
      <c r="E77" t="s">
        <v>3971</v>
      </c>
      <c r="F77" t="s">
        <v>2723</v>
      </c>
      <c r="G77" t="b">
        <v>1</v>
      </c>
    </row>
    <row r="78" spans="1:7">
      <c r="E78" t="s">
        <v>3973</v>
      </c>
      <c r="F78" t="s">
        <v>2723</v>
      </c>
      <c r="G78" t="b">
        <v>0</v>
      </c>
    </row>
    <row r="88" spans="1:7">
      <c r="A88" s="3" t="s">
        <v>66</v>
      </c>
      <c r="B88" s="3"/>
      <c r="C88" s="3"/>
      <c r="D88" s="3"/>
      <c r="E88" s="3"/>
      <c r="F88" s="3"/>
      <c r="G88" s="3"/>
    </row>
    <row r="89" spans="1:7">
      <c r="A89" s="1"/>
    </row>
    <row r="90" spans="1:7">
      <c r="A90" s="1" t="s">
        <v>3974</v>
      </c>
      <c r="B90" s="1" t="s">
        <v>3975</v>
      </c>
    </row>
    <row r="91" spans="1:7">
      <c r="A91" t="s">
        <v>3976</v>
      </c>
      <c r="B91" t="b">
        <v>0</v>
      </c>
    </row>
    <row r="92" spans="1:7">
      <c r="A92" t="s">
        <v>3977</v>
      </c>
      <c r="B92" t="b">
        <v>1</v>
      </c>
    </row>
    <row r="93" spans="1:7">
      <c r="A93" t="s">
        <v>2701</v>
      </c>
      <c r="B93" t="b">
        <v>1</v>
      </c>
    </row>
    <row r="96" spans="1:7">
      <c r="A96" s="1" t="s">
        <v>514</v>
      </c>
      <c r="B96" s="1" t="s">
        <v>3080</v>
      </c>
    </row>
    <row r="97" spans="1:3">
      <c r="A97" t="s">
        <v>3868</v>
      </c>
      <c r="B97">
        <v>0</v>
      </c>
    </row>
    <row r="98" spans="1:3">
      <c r="A98" t="s">
        <v>3978</v>
      </c>
      <c r="B98">
        <v>5</v>
      </c>
    </row>
    <row r="99" spans="1:3">
      <c r="A99" t="s">
        <v>3979</v>
      </c>
      <c r="B99">
        <v>10</v>
      </c>
    </row>
    <row r="100" spans="1:3">
      <c r="A100" t="s">
        <v>3980</v>
      </c>
      <c r="B100">
        <v>15</v>
      </c>
    </row>
    <row r="104" spans="1:3">
      <c r="A104" s="1" t="s">
        <v>516</v>
      </c>
      <c r="B104" s="1" t="s">
        <v>3981</v>
      </c>
      <c r="C104" s="1" t="s">
        <v>3080</v>
      </c>
    </row>
    <row r="105" spans="1:3">
      <c r="A105" t="s">
        <v>4196</v>
      </c>
      <c r="B105">
        <v>30</v>
      </c>
      <c r="C105">
        <v>25</v>
      </c>
    </row>
    <row r="106" spans="1:3">
      <c r="A106" t="s">
        <v>4197</v>
      </c>
      <c r="B106">
        <v>40</v>
      </c>
      <c r="C106">
        <v>40</v>
      </c>
    </row>
    <row r="110" spans="1:3">
      <c r="A110" s="1" t="s">
        <v>2770</v>
      </c>
      <c r="B110" s="1" t="s">
        <v>3080</v>
      </c>
      <c r="C110" s="1" t="s">
        <v>3982</v>
      </c>
    </row>
    <row r="111" spans="1:3">
      <c r="A111" t="s">
        <v>891</v>
      </c>
      <c r="B111">
        <v>0</v>
      </c>
      <c r="C111" t="b">
        <v>0</v>
      </c>
    </row>
    <row r="112" spans="1:3">
      <c r="A112" t="s">
        <v>2128</v>
      </c>
      <c r="B112">
        <v>8</v>
      </c>
      <c r="C112" t="b">
        <v>1</v>
      </c>
    </row>
    <row r="113" spans="1:7">
      <c r="A113" t="s">
        <v>2131</v>
      </c>
      <c r="B113">
        <v>8</v>
      </c>
      <c r="C113" t="b">
        <v>0</v>
      </c>
    </row>
    <row r="116" spans="1:7">
      <c r="A116" s="3" t="s">
        <v>27</v>
      </c>
      <c r="B116" s="3"/>
      <c r="C116" s="3"/>
      <c r="D116" s="3"/>
      <c r="E116" s="3"/>
      <c r="F116" s="3"/>
      <c r="G116" s="3"/>
    </row>
    <row r="118" spans="1:7">
      <c r="A118" s="1" t="s">
        <v>3983</v>
      </c>
      <c r="C118" t="s">
        <v>375</v>
      </c>
    </row>
    <row r="119" spans="1:7">
      <c r="A119" t="s">
        <v>3984</v>
      </c>
      <c r="C119" t="s">
        <v>3985</v>
      </c>
    </row>
    <row r="120" spans="1:7">
      <c r="A120" t="s">
        <v>3986</v>
      </c>
      <c r="C120" t="s">
        <v>3987</v>
      </c>
    </row>
    <row r="123" spans="1:7">
      <c r="A123" s="3" t="s">
        <v>12</v>
      </c>
      <c r="B123" s="3"/>
      <c r="C123" s="3"/>
      <c r="D123" s="3"/>
      <c r="E123" s="3"/>
      <c r="F123" s="3"/>
      <c r="G123" s="3"/>
    </row>
    <row r="124" spans="1:7">
      <c r="A124" s="1"/>
    </row>
    <row r="125" spans="1:7">
      <c r="A125" s="1" t="s">
        <v>3988</v>
      </c>
      <c r="B125" s="1" t="s">
        <v>3989</v>
      </c>
      <c r="C125" s="1" t="s">
        <v>3990</v>
      </c>
      <c r="D125" s="1" t="s">
        <v>3991</v>
      </c>
    </row>
    <row r="126" spans="1:7">
      <c r="A126" t="s">
        <v>3992</v>
      </c>
      <c r="B126" s="8">
        <v>0.12</v>
      </c>
      <c r="C126" s="8">
        <v>0.1</v>
      </c>
      <c r="D126" s="8">
        <v>0.08</v>
      </c>
    </row>
    <row r="127" spans="1:7">
      <c r="A127" t="s">
        <v>224</v>
      </c>
      <c r="B127" s="8">
        <v>0.1</v>
      </c>
      <c r="C127" s="8">
        <v>0.08</v>
      </c>
      <c r="D127" s="8">
        <v>0.06</v>
      </c>
    </row>
    <row r="128" spans="1:7">
      <c r="A128" s="1"/>
    </row>
    <row r="131" spans="1:7">
      <c r="A131" s="1" t="s">
        <v>157</v>
      </c>
      <c r="B131" s="312" t="s">
        <v>3993</v>
      </c>
      <c r="C131" s="1" t="s">
        <v>3994</v>
      </c>
      <c r="D131" s="1" t="s">
        <v>133</v>
      </c>
      <c r="E131" t="s">
        <v>3995</v>
      </c>
      <c r="F131" s="1" t="s">
        <v>3996</v>
      </c>
      <c r="G131" s="1" t="s">
        <v>3997</v>
      </c>
    </row>
    <row r="132" spans="1:7">
      <c r="A132" t="s">
        <v>3998</v>
      </c>
      <c r="B132" s="8" t="b">
        <v>1</v>
      </c>
      <c r="C132" t="s">
        <v>2223</v>
      </c>
      <c r="D132" t="s">
        <v>3999</v>
      </c>
      <c r="E132" t="s">
        <v>4000</v>
      </c>
      <c r="F132" t="s">
        <v>4001</v>
      </c>
      <c r="G132" t="b">
        <v>0</v>
      </c>
    </row>
    <row r="133" spans="1:7">
      <c r="A133" t="s">
        <v>4002</v>
      </c>
      <c r="B133" s="8" t="b">
        <v>1</v>
      </c>
      <c r="C133" t="s">
        <v>155</v>
      </c>
      <c r="D133" t="s">
        <v>4003</v>
      </c>
      <c r="E133" t="s">
        <v>4004</v>
      </c>
      <c r="F133" t="s">
        <v>4005</v>
      </c>
      <c r="G133" t="b">
        <v>1</v>
      </c>
    </row>
    <row r="134" spans="1:7">
      <c r="A134" t="s">
        <v>4006</v>
      </c>
      <c r="B134" s="8" t="b">
        <v>0</v>
      </c>
      <c r="C134" t="s">
        <v>2255</v>
      </c>
      <c r="D134" t="s">
        <v>4007</v>
      </c>
      <c r="E134" t="s">
        <v>4008</v>
      </c>
    </row>
    <row r="135" spans="1:7">
      <c r="A135" t="s">
        <v>4009</v>
      </c>
      <c r="B135" s="8" t="b">
        <v>0</v>
      </c>
      <c r="C135" t="s">
        <v>182</v>
      </c>
    </row>
    <row r="136" spans="1:7">
      <c r="A136" t="s">
        <v>4010</v>
      </c>
      <c r="B136" s="8" t="b">
        <v>0</v>
      </c>
      <c r="C136" t="s">
        <v>2258</v>
      </c>
      <c r="D136" s="8"/>
    </row>
    <row r="137" spans="1:7">
      <c r="A137" t="s">
        <v>4011</v>
      </c>
      <c r="B137" s="469" t="b">
        <v>0</v>
      </c>
      <c r="C137" t="s">
        <v>4012</v>
      </c>
      <c r="D137" s="487" t="s">
        <v>4013</v>
      </c>
      <c r="E137" s="487" t="s">
        <v>4014</v>
      </c>
    </row>
    <row r="138" spans="1:7">
      <c r="A138" t="s">
        <v>4015</v>
      </c>
      <c r="B138" s="469" t="b">
        <v>0</v>
      </c>
      <c r="C138" t="s">
        <v>2261</v>
      </c>
      <c r="D138" s="484" t="s">
        <v>4016</v>
      </c>
      <c r="E138" s="484" t="s">
        <v>4017</v>
      </c>
    </row>
    <row r="139" spans="1:7">
      <c r="A139" t="s">
        <v>4018</v>
      </c>
      <c r="B139" s="469" t="b">
        <v>0</v>
      </c>
      <c r="C139" t="s">
        <v>2263</v>
      </c>
      <c r="D139" s="485" t="s">
        <v>4019</v>
      </c>
      <c r="E139" s="485" t="s">
        <v>4020</v>
      </c>
    </row>
    <row r="140" spans="1:7">
      <c r="A140" t="s">
        <v>4021</v>
      </c>
      <c r="B140" s="469" t="b">
        <v>0</v>
      </c>
      <c r="C140" t="s">
        <v>2265</v>
      </c>
      <c r="D140" s="484" t="s">
        <v>4022</v>
      </c>
      <c r="E140" s="484" t="s">
        <v>4008</v>
      </c>
    </row>
    <row r="141" spans="1:7">
      <c r="A141" t="s">
        <v>4023</v>
      </c>
      <c r="B141" s="469" t="b">
        <v>0</v>
      </c>
      <c r="C141" t="s">
        <v>190</v>
      </c>
      <c r="D141" s="485" t="s">
        <v>4024</v>
      </c>
    </row>
    <row r="142" spans="1:7">
      <c r="A142" t="s">
        <v>4025</v>
      </c>
      <c r="B142" s="469" t="b">
        <v>0</v>
      </c>
      <c r="C142" t="s">
        <v>192</v>
      </c>
      <c r="D142" s="484" t="s">
        <v>4026</v>
      </c>
    </row>
    <row r="143" spans="1:7">
      <c r="B143" s="469"/>
      <c r="C143" t="s">
        <v>2268</v>
      </c>
      <c r="D143" s="485" t="s">
        <v>4008</v>
      </c>
    </row>
    <row r="144" spans="1:7">
      <c r="B144" s="469"/>
      <c r="C144" t="s">
        <v>2223</v>
      </c>
    </row>
    <row r="145" spans="1:7">
      <c r="B145" s="469"/>
      <c r="C145" t="s">
        <v>195</v>
      </c>
    </row>
    <row r="146" spans="1:7">
      <c r="A146" t="s">
        <v>4027</v>
      </c>
    </row>
    <row r="147" spans="1:7">
      <c r="A147" t="s">
        <v>2281</v>
      </c>
    </row>
    <row r="148" spans="1:7">
      <c r="A148" t="s">
        <v>4028</v>
      </c>
    </row>
    <row r="152" spans="1:7">
      <c r="A152" s="3" t="s">
        <v>70</v>
      </c>
      <c r="B152" s="3"/>
      <c r="C152" s="3"/>
      <c r="D152" s="3"/>
      <c r="E152" s="3"/>
      <c r="F152" s="3"/>
      <c r="G152" s="3"/>
    </row>
    <row r="154" spans="1:7">
      <c r="A154" s="1" t="s">
        <v>4029</v>
      </c>
      <c r="C154" t="s">
        <v>4030</v>
      </c>
      <c r="E154" t="s">
        <v>587</v>
      </c>
    </row>
    <row r="155" spans="1:7">
      <c r="A155" t="s">
        <v>4031</v>
      </c>
      <c r="C155" t="s">
        <v>4032</v>
      </c>
      <c r="E155" t="s">
        <v>4033</v>
      </c>
    </row>
    <row r="156" spans="1:7">
      <c r="A156" t="s">
        <v>4034</v>
      </c>
      <c r="C156" t="s">
        <v>4035</v>
      </c>
      <c r="E156" t="s">
        <v>4036</v>
      </c>
    </row>
    <row r="157" spans="1:7">
      <c r="C157" t="s">
        <v>4037</v>
      </c>
      <c r="E157" t="s">
        <v>3868</v>
      </c>
    </row>
    <row r="158" spans="1:7">
      <c r="C158" t="s">
        <v>4038</v>
      </c>
    </row>
    <row r="159" spans="1:7">
      <c r="A159" s="1"/>
    </row>
    <row r="160" spans="1:7">
      <c r="A160" s="3" t="s">
        <v>4039</v>
      </c>
      <c r="B160" s="3"/>
      <c r="C160" s="3"/>
      <c r="D160" s="3"/>
      <c r="E160" s="3"/>
      <c r="F160" s="3"/>
      <c r="G160" s="3"/>
    </row>
    <row r="161" spans="1:5">
      <c r="A161" s="1"/>
    </row>
    <row r="162" spans="1:5">
      <c r="A162" t="s">
        <v>4040</v>
      </c>
      <c r="B162" t="s">
        <v>2967</v>
      </c>
      <c r="D162" t="s">
        <v>436</v>
      </c>
      <c r="E162" t="s">
        <v>2967</v>
      </c>
    </row>
    <row r="163" spans="1:5">
      <c r="A163" t="b">
        <v>1</v>
      </c>
      <c r="B163" t="s">
        <v>4041</v>
      </c>
      <c r="D163" t="b">
        <v>1</v>
      </c>
      <c r="E163" t="s">
        <v>4042</v>
      </c>
    </row>
    <row r="164" spans="1:5">
      <c r="A164" t="b">
        <v>0</v>
      </c>
      <c r="B164" t="s">
        <v>4043</v>
      </c>
      <c r="D164" t="b">
        <v>0</v>
      </c>
      <c r="E164" t="s">
        <v>4044</v>
      </c>
    </row>
    <row r="167" spans="1:5">
      <c r="A167" s="1" t="s">
        <v>4045</v>
      </c>
      <c r="B167" t="s">
        <v>2967</v>
      </c>
      <c r="D167" t="s">
        <v>4046</v>
      </c>
      <c r="E167" t="s">
        <v>2967</v>
      </c>
    </row>
    <row r="168" spans="1:5">
      <c r="A168" t="b">
        <v>1</v>
      </c>
      <c r="B168" t="s">
        <v>4047</v>
      </c>
      <c r="D168" t="b">
        <v>1</v>
      </c>
      <c r="E168" s="123" t="s">
        <v>4247</v>
      </c>
    </row>
    <row r="169" spans="1:5">
      <c r="A169" s="1" t="b">
        <v>0</v>
      </c>
      <c r="B169" t="s">
        <v>4048</v>
      </c>
      <c r="D169" t="b">
        <v>0</v>
      </c>
      <c r="E169" s="123" t="s">
        <v>4248</v>
      </c>
    </row>
    <row r="172" spans="1:5">
      <c r="A172" t="s">
        <v>4049</v>
      </c>
      <c r="B172" t="s">
        <v>2967</v>
      </c>
      <c r="D172" t="s">
        <v>926</v>
      </c>
      <c r="E172" t="s">
        <v>2967</v>
      </c>
    </row>
    <row r="173" spans="1:5">
      <c r="A173" t="b">
        <v>1</v>
      </c>
      <c r="B173" t="s">
        <v>4050</v>
      </c>
      <c r="D173" t="b">
        <v>1</v>
      </c>
      <c r="E173" t="s">
        <v>4051</v>
      </c>
    </row>
    <row r="174" spans="1:5">
      <c r="A174" t="b">
        <v>0</v>
      </c>
      <c r="B174" t="s">
        <v>4052</v>
      </c>
      <c r="D174" t="b">
        <v>0</v>
      </c>
      <c r="E174" t="s">
        <v>4053</v>
      </c>
    </row>
    <row r="177" spans="1:7">
      <c r="A177" t="s">
        <v>4054</v>
      </c>
      <c r="B177" t="s">
        <v>2967</v>
      </c>
      <c r="D177" t="s">
        <v>4055</v>
      </c>
      <c r="E177" t="s">
        <v>2967</v>
      </c>
    </row>
    <row r="178" spans="1:7">
      <c r="A178" t="b">
        <v>1</v>
      </c>
      <c r="B178" t="s">
        <v>4056</v>
      </c>
      <c r="D178" t="b">
        <v>1</v>
      </c>
      <c r="E178" t="s">
        <v>4057</v>
      </c>
    </row>
    <row r="179" spans="1:7">
      <c r="A179" t="b">
        <v>0</v>
      </c>
      <c r="B179" t="s">
        <v>4058</v>
      </c>
      <c r="D179" t="b">
        <v>0</v>
      </c>
      <c r="E179" t="s">
        <v>4059</v>
      </c>
    </row>
    <row r="182" spans="1:7">
      <c r="A182" t="s">
        <v>4060</v>
      </c>
      <c r="B182" t="s">
        <v>2967</v>
      </c>
      <c r="D182" t="s">
        <v>4061</v>
      </c>
      <c r="E182" t="s">
        <v>2967</v>
      </c>
    </row>
    <row r="183" spans="1:7">
      <c r="A183" t="b">
        <v>1</v>
      </c>
      <c r="B183" t="s">
        <v>1475</v>
      </c>
      <c r="D183" t="b">
        <v>1</v>
      </c>
      <c r="E183" s="281" t="s">
        <v>1476</v>
      </c>
    </row>
    <row r="184" spans="1:7">
      <c r="A184" t="b">
        <v>0</v>
      </c>
      <c r="B184" t="s">
        <v>4062</v>
      </c>
      <c r="D184" t="b">
        <v>0</v>
      </c>
      <c r="E184" s="282" t="s">
        <v>4063</v>
      </c>
    </row>
    <row r="187" spans="1:7">
      <c r="A187" t="s">
        <v>4064</v>
      </c>
      <c r="B187" t="s">
        <v>2967</v>
      </c>
      <c r="D187" s="868" t="s">
        <v>2701</v>
      </c>
      <c r="E187" s="869" t="s">
        <v>2967</v>
      </c>
    </row>
    <row r="188" spans="1:7">
      <c r="A188" t="b">
        <v>1</v>
      </c>
      <c r="B188" s="281" t="s">
        <v>4065</v>
      </c>
      <c r="D188" s="484" t="b">
        <v>1</v>
      </c>
      <c r="E188" s="281" t="s">
        <v>4066</v>
      </c>
    </row>
    <row r="189" spans="1:7">
      <c r="A189" t="b">
        <v>0</v>
      </c>
      <c r="B189" s="282" t="s">
        <v>4067</v>
      </c>
      <c r="D189" t="b">
        <v>0</v>
      </c>
      <c r="E189" t="s">
        <v>1140</v>
      </c>
    </row>
    <row r="191" spans="1:7">
      <c r="A191" s="3" t="s">
        <v>4068</v>
      </c>
      <c r="B191" s="3"/>
      <c r="C191" s="3"/>
      <c r="D191" s="3"/>
      <c r="E191" s="3"/>
      <c r="F191" s="3"/>
      <c r="G191" s="3"/>
    </row>
    <row r="193" spans="1:3">
      <c r="A193" s="487" t="s">
        <v>4069</v>
      </c>
      <c r="B193" s="487" t="s">
        <v>4070</v>
      </c>
      <c r="C193" s="18"/>
    </row>
    <row r="194" spans="1:3">
      <c r="A194" s="484" t="s">
        <v>4071</v>
      </c>
      <c r="B194" s="484" t="s">
        <v>4072</v>
      </c>
      <c r="C194" s="18"/>
    </row>
    <row r="195" spans="1:3">
      <c r="A195" s="485" t="s">
        <v>4073</v>
      </c>
      <c r="B195" s="485" t="s">
        <v>4074</v>
      </c>
    </row>
    <row r="196" spans="1:3">
      <c r="A196" s="484" t="s">
        <v>4075</v>
      </c>
      <c r="B196" s="484"/>
    </row>
    <row r="197" spans="1:3">
      <c r="A197" s="485" t="s">
        <v>4076</v>
      </c>
    </row>
    <row r="198" spans="1:3">
      <c r="A198" s="484" t="s">
        <v>4077</v>
      </c>
    </row>
    <row r="199" spans="1:3">
      <c r="A199" s="485" t="s">
        <v>4078</v>
      </c>
    </row>
    <row r="200" spans="1:3">
      <c r="A200" s="484" t="s">
        <v>4079</v>
      </c>
    </row>
    <row r="201" spans="1:3">
      <c r="A201" s="485" t="s">
        <v>4080</v>
      </c>
    </row>
    <row r="202" spans="1:3">
      <c r="A202" s="486"/>
    </row>
    <row r="203" spans="1:3">
      <c r="A203" s="420" t="s">
        <v>127</v>
      </c>
    </row>
    <row r="204" spans="1:3" ht="16.5">
      <c r="A204" s="422" t="s">
        <v>4081</v>
      </c>
    </row>
    <row r="205" spans="1:3" ht="16.5">
      <c r="A205" s="422" t="s">
        <v>4082</v>
      </c>
    </row>
    <row r="206" spans="1:3" ht="16.5">
      <c r="A206" s="422" t="s">
        <v>4083</v>
      </c>
    </row>
    <row r="207" spans="1:3" ht="16.5">
      <c r="A207" s="422" t="s">
        <v>4084</v>
      </c>
    </row>
    <row r="208" spans="1:3" ht="16.5">
      <c r="A208" s="422" t="s">
        <v>4085</v>
      </c>
    </row>
    <row r="209" spans="1:1" ht="16.5">
      <c r="A209" s="422" t="s">
        <v>1639</v>
      </c>
    </row>
    <row r="210" spans="1:1" ht="16.5">
      <c r="A210" s="422" t="s">
        <v>4086</v>
      </c>
    </row>
    <row r="211" spans="1:1" ht="16.5">
      <c r="A211" s="422" t="s">
        <v>4087</v>
      </c>
    </row>
    <row r="212" spans="1:1" ht="16.5">
      <c r="A212" s="422" t="s">
        <v>4088</v>
      </c>
    </row>
    <row r="213" spans="1:1" ht="16.5">
      <c r="A213" s="422" t="s">
        <v>4089</v>
      </c>
    </row>
    <row r="214" spans="1:1" ht="16.5">
      <c r="A214" s="422" t="s">
        <v>4090</v>
      </c>
    </row>
    <row r="215" spans="1:1" ht="16.5">
      <c r="A215" s="422" t="s">
        <v>4091</v>
      </c>
    </row>
    <row r="216" spans="1:1" ht="16.5">
      <c r="A216" s="422" t="s">
        <v>4092</v>
      </c>
    </row>
    <row r="217" spans="1:1" ht="16.5">
      <c r="A217" s="422" t="s">
        <v>4093</v>
      </c>
    </row>
    <row r="218" spans="1:1" ht="16.5">
      <c r="A218" s="422" t="s">
        <v>4094</v>
      </c>
    </row>
    <row r="219" spans="1:1" ht="16.5">
      <c r="A219" s="422" t="s">
        <v>4095</v>
      </c>
    </row>
    <row r="220" spans="1:1" ht="16.5">
      <c r="A220" s="422" t="s">
        <v>4096</v>
      </c>
    </row>
    <row r="221" spans="1:1" ht="16.5">
      <c r="A221" s="422" t="s">
        <v>4097</v>
      </c>
    </row>
    <row r="222" spans="1:1" ht="16.5">
      <c r="A222" s="422" t="s">
        <v>4098</v>
      </c>
    </row>
    <row r="223" spans="1:1" ht="16.5">
      <c r="A223" s="422" t="s">
        <v>4099</v>
      </c>
    </row>
    <row r="224" spans="1:1" ht="16.5">
      <c r="A224" s="422" t="s">
        <v>4100</v>
      </c>
    </row>
    <row r="225" spans="1:1" ht="16.5">
      <c r="A225" s="422" t="s">
        <v>4101</v>
      </c>
    </row>
    <row r="226" spans="1:1" ht="16.5">
      <c r="A226" s="422" t="s">
        <v>4102</v>
      </c>
    </row>
    <row r="227" spans="1:1" ht="16.5">
      <c r="A227" s="422" t="s">
        <v>4103</v>
      </c>
    </row>
    <row r="228" spans="1:1" ht="16.5">
      <c r="A228" s="422" t="s">
        <v>4104</v>
      </c>
    </row>
    <row r="229" spans="1:1" ht="16.5">
      <c r="A229" s="422" t="s">
        <v>4105</v>
      </c>
    </row>
    <row r="230" spans="1:1" ht="16.5">
      <c r="A230" s="422" t="s">
        <v>4106</v>
      </c>
    </row>
    <row r="231" spans="1:1" ht="16.5">
      <c r="A231" s="422" t="s">
        <v>4107</v>
      </c>
    </row>
    <row r="232" spans="1:1" ht="16.5">
      <c r="A232" s="422" t="s">
        <v>4108</v>
      </c>
    </row>
    <row r="233" spans="1:1" ht="16.5">
      <c r="A233" s="422" t="s">
        <v>4109</v>
      </c>
    </row>
    <row r="234" spans="1:1" ht="16.5">
      <c r="A234" s="422" t="s">
        <v>4110</v>
      </c>
    </row>
    <row r="235" spans="1:1" ht="16.5">
      <c r="A235" s="422" t="s">
        <v>4111</v>
      </c>
    </row>
    <row r="236" spans="1:1" ht="16.5">
      <c r="A236" s="422" t="s">
        <v>4112</v>
      </c>
    </row>
    <row r="237" spans="1:1" ht="16.5">
      <c r="A237" s="422" t="s">
        <v>4113</v>
      </c>
    </row>
    <row r="238" spans="1:1" ht="16.5">
      <c r="A238" s="422" t="s">
        <v>4114</v>
      </c>
    </row>
    <row r="239" spans="1:1" ht="16.5">
      <c r="A239" s="422" t="s">
        <v>4115</v>
      </c>
    </row>
    <row r="240" spans="1:1" ht="16.5">
      <c r="A240" s="422" t="s">
        <v>4116</v>
      </c>
    </row>
    <row r="241" spans="1:1" ht="16.5">
      <c r="A241" s="422" t="s">
        <v>4117</v>
      </c>
    </row>
    <row r="242" spans="1:1" ht="16.5">
      <c r="A242" s="422" t="s">
        <v>4118</v>
      </c>
    </row>
    <row r="243" spans="1:1" ht="16.5">
      <c r="A243" s="422" t="s">
        <v>4119</v>
      </c>
    </row>
    <row r="244" spans="1:1" ht="16.5">
      <c r="A244" s="422" t="s">
        <v>4120</v>
      </c>
    </row>
    <row r="245" spans="1:1" ht="16.5">
      <c r="A245" s="422" t="s">
        <v>4121</v>
      </c>
    </row>
    <row r="246" spans="1:1" ht="16.5">
      <c r="A246" s="422" t="s">
        <v>4122</v>
      </c>
    </row>
    <row r="247" spans="1:1" ht="16.5">
      <c r="A247" s="422" t="s">
        <v>4123</v>
      </c>
    </row>
    <row r="248" spans="1:1" ht="16.5">
      <c r="A248" s="422" t="s">
        <v>4124</v>
      </c>
    </row>
    <row r="249" spans="1:1" ht="16.5">
      <c r="A249" s="422" t="s">
        <v>4125</v>
      </c>
    </row>
    <row r="250" spans="1:1" ht="16.5">
      <c r="A250" s="422" t="s">
        <v>4126</v>
      </c>
    </row>
    <row r="251" spans="1:1" ht="16.5">
      <c r="A251" s="422" t="s">
        <v>4127</v>
      </c>
    </row>
    <row r="252" spans="1:1" ht="16.5">
      <c r="A252" s="422" t="s">
        <v>4128</v>
      </c>
    </row>
    <row r="253" spans="1:1" ht="16.5">
      <c r="A253" s="422" t="s">
        <v>4129</v>
      </c>
    </row>
  </sheetData>
  <sheetProtection algorithmName="SHA-512" hashValue="oqgovYQMicNM9J3OjCXtGQ+9zqOiEZ20APEmczFx2hPpaz1X0CYwLfbbKaS9diNISi2h7zXJU/hrImCl1lsPiA==" saltValue="YS9Q/xmqbEasShYz/KZ1Sg==" spinCount="100000" sheet="1" objects="1" scenarios="1"/>
  <sortState xmlns:xlrd2="http://schemas.microsoft.com/office/spreadsheetml/2017/richdata2" ref="G46:G58">
    <sortCondition ref="G58"/>
  </sortState>
  <dataValidations count="2">
    <dataValidation type="list" allowBlank="1" showInputMessage="1" showErrorMessage="1" sqref="D137" xr:uid="{31C6A3A7-F976-4186-BD1C-3AA25BCDA000}">
      <formula1>$D$138:$D$143</formula1>
    </dataValidation>
    <dataValidation type="list" allowBlank="1" showInputMessage="1" showErrorMessage="1" sqref="E137" xr:uid="{2F484827-5D69-45F2-9DB2-3C1167C62CE7}">
      <formula1>$E$138:$E$140</formula1>
    </dataValidation>
  </dataValidations>
  <pageMargins left="0.7" right="0.7" top="0.75" bottom="0.75" header="0.3" footer="0.3"/>
  <pageSetup orientation="portrait" r:id="rId1"/>
  <tableParts count="4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FE1BE-5B4B-470F-A4D2-B554247C30EF}">
  <sheetPr codeName="Sheet28"/>
  <dimension ref="C2:BB65"/>
  <sheetViews>
    <sheetView workbookViewId="0"/>
  </sheetViews>
  <sheetFormatPr defaultRowHeight="15"/>
  <sheetData>
    <row r="2" spans="3:54">
      <c r="C2" s="14" t="s">
        <v>4130</v>
      </c>
      <c r="D2">
        <v>21</v>
      </c>
      <c r="E2" s="14" t="s">
        <v>4082</v>
      </c>
      <c r="F2">
        <v>1</v>
      </c>
      <c r="G2" s="14" t="s">
        <v>1236</v>
      </c>
      <c r="H2">
        <v>261</v>
      </c>
      <c r="I2" s="14" t="s">
        <v>3888</v>
      </c>
      <c r="J2">
        <v>5</v>
      </c>
      <c r="K2" s="14" t="s">
        <v>327</v>
      </c>
      <c r="L2">
        <v>5</v>
      </c>
      <c r="M2" s="14" t="s">
        <v>4131</v>
      </c>
      <c r="N2">
        <v>6</v>
      </c>
      <c r="O2" s="14" t="s">
        <v>3905</v>
      </c>
      <c r="P2">
        <v>5</v>
      </c>
      <c r="Q2" s="14" t="s">
        <v>3865</v>
      </c>
      <c r="R2">
        <v>19</v>
      </c>
      <c r="S2" s="14" t="s">
        <v>325</v>
      </c>
      <c r="T2">
        <v>21</v>
      </c>
      <c r="U2" s="14" t="s">
        <v>3882</v>
      </c>
      <c r="V2">
        <v>168</v>
      </c>
      <c r="W2" s="14" t="s">
        <v>3864</v>
      </c>
      <c r="X2">
        <v>52</v>
      </c>
      <c r="Y2" s="14" t="s">
        <v>3908</v>
      </c>
      <c r="Z2">
        <v>55</v>
      </c>
      <c r="AA2" s="14" t="s">
        <v>3923</v>
      </c>
      <c r="AB2">
        <v>61</v>
      </c>
      <c r="AC2" s="14" t="s">
        <v>1783</v>
      </c>
      <c r="AD2">
        <v>64</v>
      </c>
      <c r="AE2" s="14" t="s">
        <v>3903</v>
      </c>
      <c r="AF2">
        <v>82</v>
      </c>
      <c r="AG2" s="14" t="s">
        <v>3908</v>
      </c>
      <c r="AH2">
        <v>100</v>
      </c>
      <c r="AI2" s="14" t="s">
        <v>3923</v>
      </c>
      <c r="AJ2">
        <v>117</v>
      </c>
      <c r="AK2" s="14" t="s">
        <v>584</v>
      </c>
      <c r="AL2">
        <v>126</v>
      </c>
      <c r="AM2" s="14" t="s">
        <v>3904</v>
      </c>
      <c r="AN2">
        <v>129</v>
      </c>
      <c r="AO2" s="14" t="s">
        <v>3929</v>
      </c>
      <c r="AP2">
        <v>134</v>
      </c>
      <c r="AQ2" s="14" t="s">
        <v>3984</v>
      </c>
      <c r="AR2">
        <v>1</v>
      </c>
      <c r="AS2" s="14" t="s">
        <v>863</v>
      </c>
      <c r="AT2">
        <v>-1</v>
      </c>
      <c r="AU2" s="14" t="s">
        <v>4132</v>
      </c>
      <c r="AV2">
        <v>11</v>
      </c>
      <c r="AW2" s="14" t="s">
        <v>3950</v>
      </c>
      <c r="AX2">
        <v>6</v>
      </c>
      <c r="AY2" s="14" t="s">
        <v>2252</v>
      </c>
      <c r="AZ2">
        <v>1</v>
      </c>
      <c r="BA2" s="14" t="s">
        <v>2255</v>
      </c>
      <c r="BB2">
        <v>29</v>
      </c>
    </row>
    <row r="3" spans="3:54">
      <c r="C3" s="14" t="s">
        <v>4133</v>
      </c>
      <c r="D3">
        <v>20</v>
      </c>
      <c r="E3" s="14" t="s">
        <v>4081</v>
      </c>
      <c r="F3">
        <v>2</v>
      </c>
      <c r="G3" s="14" t="s">
        <v>1237</v>
      </c>
      <c r="H3">
        <v>198</v>
      </c>
      <c r="I3" s="14" t="s">
        <v>3889</v>
      </c>
      <c r="J3">
        <v>3</v>
      </c>
      <c r="K3" s="14" t="s">
        <v>4134</v>
      </c>
      <c r="L3">
        <v>6</v>
      </c>
      <c r="M3" s="14" t="s">
        <v>4135</v>
      </c>
      <c r="N3">
        <v>7</v>
      </c>
      <c r="O3" s="14" t="s">
        <v>3915</v>
      </c>
      <c r="P3">
        <v>6</v>
      </c>
      <c r="Q3" s="14" t="s">
        <v>4136</v>
      </c>
      <c r="R3">
        <v>11</v>
      </c>
      <c r="S3" s="14" t="s">
        <v>4137</v>
      </c>
      <c r="T3">
        <v>22</v>
      </c>
      <c r="U3" s="14" t="s">
        <v>3877</v>
      </c>
      <c r="V3">
        <v>169</v>
      </c>
      <c r="W3" s="14" t="s">
        <v>3866</v>
      </c>
      <c r="X3">
        <v>53</v>
      </c>
      <c r="Y3" s="14" t="s">
        <v>3926</v>
      </c>
      <c r="Z3">
        <v>57</v>
      </c>
      <c r="AA3" s="14" t="s">
        <v>3927</v>
      </c>
      <c r="AB3">
        <v>62</v>
      </c>
      <c r="AC3" s="14" t="s">
        <v>3928</v>
      </c>
      <c r="AD3">
        <v>65</v>
      </c>
      <c r="AE3" s="14" t="s">
        <v>3917</v>
      </c>
      <c r="AF3">
        <v>83</v>
      </c>
      <c r="AG3" s="14" t="s">
        <v>3926</v>
      </c>
      <c r="AH3">
        <v>101</v>
      </c>
      <c r="AI3" s="14" t="s">
        <v>3927</v>
      </c>
      <c r="AJ3">
        <v>118</v>
      </c>
      <c r="AK3" s="14" t="s">
        <v>3908</v>
      </c>
      <c r="AL3">
        <v>127</v>
      </c>
      <c r="AM3" s="14" t="s">
        <v>3909</v>
      </c>
      <c r="AN3">
        <v>130</v>
      </c>
      <c r="AO3" s="14" t="s">
        <v>3933</v>
      </c>
      <c r="AP3">
        <v>135</v>
      </c>
      <c r="AQ3" s="14" t="s">
        <v>4138</v>
      </c>
      <c r="AR3">
        <v>2</v>
      </c>
      <c r="AS3" s="14" t="s">
        <v>127</v>
      </c>
      <c r="AT3">
        <v>-2</v>
      </c>
      <c r="AU3" s="14" t="s">
        <v>4139</v>
      </c>
      <c r="AV3">
        <v>5</v>
      </c>
      <c r="AW3" s="14" t="s">
        <v>3951</v>
      </c>
      <c r="AX3">
        <v>50</v>
      </c>
      <c r="AY3" s="14" t="s">
        <v>4140</v>
      </c>
      <c r="AZ3">
        <v>2</v>
      </c>
      <c r="BA3" s="14" t="s">
        <v>4141</v>
      </c>
      <c r="BB3">
        <v>33</v>
      </c>
    </row>
    <row r="4" spans="3:54">
      <c r="C4" s="14" t="s">
        <v>4142</v>
      </c>
      <c r="D4">
        <v>22</v>
      </c>
      <c r="E4" s="14" t="s">
        <v>4084</v>
      </c>
      <c r="F4">
        <v>3</v>
      </c>
      <c r="G4" s="14" t="s">
        <v>1238</v>
      </c>
      <c r="H4">
        <v>199</v>
      </c>
      <c r="I4" s="14" t="s">
        <v>3891</v>
      </c>
      <c r="J4">
        <v>4</v>
      </c>
      <c r="K4" s="14" t="s">
        <v>4143</v>
      </c>
      <c r="L4">
        <v>7</v>
      </c>
      <c r="M4" s="14" t="s">
        <v>4144</v>
      </c>
      <c r="N4">
        <v>8</v>
      </c>
      <c r="O4" s="14" t="s">
        <v>3910</v>
      </c>
      <c r="P4">
        <v>7</v>
      </c>
      <c r="Q4" s="14" t="s">
        <v>3867</v>
      </c>
      <c r="R4">
        <v>20</v>
      </c>
      <c r="S4" s="14" t="s">
        <v>4145</v>
      </c>
      <c r="T4">
        <v>23</v>
      </c>
      <c r="W4" s="14" t="s">
        <v>3868</v>
      </c>
      <c r="X4">
        <v>94</v>
      </c>
      <c r="Y4" s="14" t="s">
        <v>3931</v>
      </c>
      <c r="Z4">
        <v>98</v>
      </c>
      <c r="AA4" s="14" t="s">
        <v>3932</v>
      </c>
      <c r="AB4">
        <v>125</v>
      </c>
      <c r="AC4" s="14" t="s">
        <v>3868</v>
      </c>
      <c r="AD4">
        <v>66</v>
      </c>
      <c r="AE4" s="14" t="s">
        <v>3919</v>
      </c>
      <c r="AF4">
        <v>84</v>
      </c>
      <c r="AG4" s="14" t="s">
        <v>3931</v>
      </c>
      <c r="AH4">
        <v>102</v>
      </c>
      <c r="AI4" s="14" t="s">
        <v>3932</v>
      </c>
      <c r="AJ4">
        <v>122</v>
      </c>
      <c r="AK4" s="14" t="s">
        <v>3913</v>
      </c>
      <c r="AL4">
        <v>128</v>
      </c>
      <c r="AM4" s="14" t="s">
        <v>3914</v>
      </c>
      <c r="AN4">
        <v>131</v>
      </c>
      <c r="AO4" s="14" t="s">
        <v>3939</v>
      </c>
      <c r="AP4">
        <v>136</v>
      </c>
      <c r="AQ4" s="14" t="s">
        <v>1187</v>
      </c>
      <c r="AR4">
        <v>3</v>
      </c>
      <c r="AU4" s="14" t="s">
        <v>4146</v>
      </c>
      <c r="AV4">
        <v>6</v>
      </c>
      <c r="AW4" s="14" t="s">
        <v>3952</v>
      </c>
      <c r="AX4">
        <v>41</v>
      </c>
      <c r="BA4" s="14" t="s">
        <v>4147</v>
      </c>
      <c r="BB4">
        <v>-1</v>
      </c>
    </row>
    <row r="5" spans="3:54">
      <c r="C5" s="14" t="s">
        <v>2477</v>
      </c>
      <c r="D5">
        <v>10</v>
      </c>
      <c r="E5" s="14" t="s">
        <v>4083</v>
      </c>
      <c r="F5">
        <v>4</v>
      </c>
      <c r="G5" s="14" t="s">
        <v>1239</v>
      </c>
      <c r="H5">
        <v>200</v>
      </c>
      <c r="I5" s="14" t="s">
        <v>3890</v>
      </c>
      <c r="J5">
        <v>6</v>
      </c>
      <c r="K5" s="14" t="s">
        <v>2775</v>
      </c>
      <c r="L5">
        <v>8</v>
      </c>
      <c r="M5" s="14" t="s">
        <v>4148</v>
      </c>
      <c r="N5">
        <v>9</v>
      </c>
      <c r="O5" s="14" t="s">
        <v>4149</v>
      </c>
      <c r="P5">
        <v>8</v>
      </c>
      <c r="Q5" s="14" t="s">
        <v>3869</v>
      </c>
      <c r="R5">
        <v>12</v>
      </c>
      <c r="S5" s="14" t="s">
        <v>4150</v>
      </c>
      <c r="T5">
        <v>24</v>
      </c>
      <c r="Y5" s="14" t="s">
        <v>3935</v>
      </c>
      <c r="Z5">
        <v>99</v>
      </c>
      <c r="AC5" s="14" t="s">
        <v>2775</v>
      </c>
      <c r="AD5">
        <v>67</v>
      </c>
      <c r="AE5" s="14" t="s">
        <v>3921</v>
      </c>
      <c r="AF5">
        <v>85</v>
      </c>
      <c r="AG5" s="14" t="s">
        <v>3935</v>
      </c>
      <c r="AH5">
        <v>103</v>
      </c>
      <c r="AM5" s="14" t="s">
        <v>3918</v>
      </c>
      <c r="AN5">
        <v>132</v>
      </c>
      <c r="AO5" s="14" t="s">
        <v>3943</v>
      </c>
      <c r="AP5">
        <v>137</v>
      </c>
      <c r="AU5" s="14" t="s">
        <v>4151</v>
      </c>
      <c r="AV5">
        <v>7</v>
      </c>
      <c r="AW5" s="14" t="s">
        <v>3953</v>
      </c>
      <c r="AX5">
        <v>7</v>
      </c>
      <c r="BA5" s="14" t="s">
        <v>4152</v>
      </c>
      <c r="BB5">
        <v>7</v>
      </c>
    </row>
    <row r="6" spans="3:54">
      <c r="C6" s="14" t="s">
        <v>2478</v>
      </c>
      <c r="D6">
        <v>11</v>
      </c>
      <c r="E6" s="14" t="s">
        <v>4085</v>
      </c>
      <c r="F6">
        <v>5</v>
      </c>
      <c r="G6" s="14" t="s">
        <v>1240</v>
      </c>
      <c r="H6">
        <v>201</v>
      </c>
      <c r="K6" s="14" t="s">
        <v>329</v>
      </c>
      <c r="L6">
        <v>11</v>
      </c>
      <c r="M6" s="14" t="s">
        <v>4153</v>
      </c>
      <c r="N6">
        <v>10</v>
      </c>
      <c r="Q6" s="14" t="s">
        <v>4154</v>
      </c>
      <c r="R6">
        <v>13</v>
      </c>
      <c r="S6" s="14" t="s">
        <v>4155</v>
      </c>
      <c r="T6">
        <v>25</v>
      </c>
      <c r="Y6" s="14" t="s">
        <v>3937</v>
      </c>
      <c r="Z6">
        <v>54</v>
      </c>
      <c r="AC6" s="14" t="s">
        <v>3938</v>
      </c>
      <c r="AD6">
        <v>68</v>
      </c>
      <c r="AE6" s="14" t="s">
        <v>3922</v>
      </c>
      <c r="AF6">
        <v>86</v>
      </c>
      <c r="AG6" s="14" t="s">
        <v>3937</v>
      </c>
      <c r="AH6">
        <v>104</v>
      </c>
      <c r="AM6" s="14" t="s">
        <v>3920</v>
      </c>
      <c r="AN6">
        <v>133</v>
      </c>
      <c r="AO6" s="14" t="s">
        <v>3924</v>
      </c>
      <c r="AP6">
        <v>138</v>
      </c>
      <c r="AU6" s="14" t="s">
        <v>4156</v>
      </c>
      <c r="AV6">
        <v>8</v>
      </c>
      <c r="AW6" s="14" t="s">
        <v>3954</v>
      </c>
      <c r="AX6">
        <v>51</v>
      </c>
      <c r="BA6" s="14" t="s">
        <v>194</v>
      </c>
      <c r="BB6">
        <v>37</v>
      </c>
    </row>
    <row r="7" spans="3:54">
      <c r="C7" s="14" t="s">
        <v>2479</v>
      </c>
      <c r="D7">
        <v>12</v>
      </c>
      <c r="E7" s="14" t="s">
        <v>1639</v>
      </c>
      <c r="F7">
        <v>6</v>
      </c>
      <c r="G7" s="14" t="s">
        <v>1241</v>
      </c>
      <c r="H7">
        <v>202</v>
      </c>
      <c r="K7" s="14" t="s">
        <v>4157</v>
      </c>
      <c r="L7">
        <v>12</v>
      </c>
      <c r="Q7" s="14" t="s">
        <v>333</v>
      </c>
      <c r="R7">
        <v>14</v>
      </c>
      <c r="S7" s="14" t="s">
        <v>4158</v>
      </c>
      <c r="T7">
        <v>26</v>
      </c>
      <c r="Y7" s="14" t="s">
        <v>3941</v>
      </c>
      <c r="Z7">
        <v>56</v>
      </c>
      <c r="AC7" s="14" t="s">
        <v>3942</v>
      </c>
      <c r="AD7">
        <v>69</v>
      </c>
      <c r="AE7" s="14" t="s">
        <v>3925</v>
      </c>
      <c r="AF7">
        <v>87</v>
      </c>
      <c r="AG7" s="14" t="s">
        <v>3941</v>
      </c>
      <c r="AH7">
        <v>105</v>
      </c>
      <c r="AO7" s="14" t="s">
        <v>2775</v>
      </c>
      <c r="AP7">
        <v>139</v>
      </c>
      <c r="AU7" s="14" t="s">
        <v>4159</v>
      </c>
      <c r="AV7">
        <v>12</v>
      </c>
      <c r="AW7" s="14" t="s">
        <v>3955</v>
      </c>
      <c r="AX7">
        <v>42</v>
      </c>
      <c r="BA7" s="14" t="s">
        <v>4160</v>
      </c>
      <c r="BB7">
        <v>8</v>
      </c>
    </row>
    <row r="8" spans="3:54">
      <c r="C8" s="14" t="s">
        <v>2480</v>
      </c>
      <c r="D8">
        <v>13</v>
      </c>
      <c r="E8" s="14" t="s">
        <v>4086</v>
      </c>
      <c r="F8">
        <v>7</v>
      </c>
      <c r="G8" s="14" t="s">
        <v>1242</v>
      </c>
      <c r="H8">
        <v>203</v>
      </c>
      <c r="K8" s="14" t="s">
        <v>325</v>
      </c>
      <c r="L8">
        <v>13</v>
      </c>
      <c r="Q8" s="14" t="s">
        <v>4161</v>
      </c>
      <c r="R8">
        <v>15</v>
      </c>
      <c r="S8" s="14" t="s">
        <v>4162</v>
      </c>
      <c r="T8">
        <v>27</v>
      </c>
      <c r="Y8" s="14" t="s">
        <v>3945</v>
      </c>
      <c r="Z8">
        <v>58</v>
      </c>
      <c r="AE8" s="14" t="s">
        <v>3930</v>
      </c>
      <c r="AF8">
        <v>88</v>
      </c>
      <c r="AG8" s="14" t="s">
        <v>3945</v>
      </c>
      <c r="AH8">
        <v>106</v>
      </c>
      <c r="AU8" s="14" t="s">
        <v>4163</v>
      </c>
      <c r="AV8">
        <v>13</v>
      </c>
      <c r="AW8" s="14" t="s">
        <v>3956</v>
      </c>
      <c r="AX8">
        <v>12</v>
      </c>
      <c r="BA8" s="14" t="s">
        <v>192</v>
      </c>
      <c r="BB8">
        <v>36</v>
      </c>
    </row>
    <row r="9" spans="3:54">
      <c r="C9" s="14" t="s">
        <v>2481</v>
      </c>
      <c r="D9">
        <v>14</v>
      </c>
      <c r="E9" s="14" t="s">
        <v>4164</v>
      </c>
      <c r="F9">
        <v>8</v>
      </c>
      <c r="G9" s="14" t="s">
        <v>1243</v>
      </c>
      <c r="H9">
        <v>204</v>
      </c>
      <c r="K9" s="14" t="s">
        <v>896</v>
      </c>
      <c r="L9">
        <v>14</v>
      </c>
      <c r="Q9" s="14" t="s">
        <v>4165</v>
      </c>
      <c r="R9">
        <v>16</v>
      </c>
      <c r="S9" s="14" t="s">
        <v>4166</v>
      </c>
      <c r="T9">
        <v>28</v>
      </c>
      <c r="AE9" s="14" t="s">
        <v>3934</v>
      </c>
      <c r="AF9">
        <v>89</v>
      </c>
      <c r="AU9" s="14" t="s">
        <v>4167</v>
      </c>
      <c r="AV9">
        <v>9</v>
      </c>
      <c r="AW9" s="14" t="s">
        <v>3957</v>
      </c>
      <c r="AX9">
        <v>52</v>
      </c>
      <c r="BA9" s="14" t="s">
        <v>2259</v>
      </c>
      <c r="BB9">
        <v>27</v>
      </c>
    </row>
    <row r="10" spans="3:54">
      <c r="C10" s="14" t="s">
        <v>2482</v>
      </c>
      <c r="D10">
        <v>15</v>
      </c>
      <c r="E10" s="14" t="s">
        <v>4087</v>
      </c>
      <c r="F10">
        <v>9</v>
      </c>
      <c r="G10" s="14" t="s">
        <v>1244</v>
      </c>
      <c r="H10">
        <v>205</v>
      </c>
      <c r="K10" s="14" t="s">
        <v>330</v>
      </c>
      <c r="L10">
        <v>15</v>
      </c>
      <c r="Q10" s="14" t="s">
        <v>3870</v>
      </c>
      <c r="R10">
        <v>17</v>
      </c>
      <c r="S10" s="14" t="s">
        <v>4168</v>
      </c>
      <c r="T10">
        <v>29</v>
      </c>
      <c r="AE10" s="14" t="s">
        <v>3936</v>
      </c>
      <c r="AF10">
        <v>90</v>
      </c>
      <c r="AU10" s="14" t="s">
        <v>2703</v>
      </c>
      <c r="AV10">
        <v>10</v>
      </c>
      <c r="AW10" s="14" t="s">
        <v>3958</v>
      </c>
      <c r="AX10">
        <v>43</v>
      </c>
      <c r="BA10" s="14" t="s">
        <v>2268</v>
      </c>
      <c r="BB10">
        <v>28</v>
      </c>
    </row>
    <row r="11" spans="3:54">
      <c r="C11" s="14" t="s">
        <v>2483</v>
      </c>
      <c r="D11">
        <v>16</v>
      </c>
      <c r="E11" s="14" t="s">
        <v>4088</v>
      </c>
      <c r="F11">
        <v>10</v>
      </c>
      <c r="G11" s="14" t="s">
        <v>1245</v>
      </c>
      <c r="H11">
        <v>206</v>
      </c>
      <c r="K11" s="14" t="s">
        <v>326</v>
      </c>
      <c r="L11">
        <v>17</v>
      </c>
      <c r="Q11" s="14" t="s">
        <v>891</v>
      </c>
      <c r="R11">
        <v>18</v>
      </c>
      <c r="S11" s="14" t="s">
        <v>4169</v>
      </c>
      <c r="T11">
        <v>30</v>
      </c>
      <c r="AE11" s="14" t="s">
        <v>3940</v>
      </c>
      <c r="AF11">
        <v>91</v>
      </c>
      <c r="AW11" s="14" t="s">
        <v>3959</v>
      </c>
      <c r="AX11">
        <v>17</v>
      </c>
      <c r="BA11" s="14" t="s">
        <v>182</v>
      </c>
      <c r="BB11">
        <v>9</v>
      </c>
    </row>
    <row r="12" spans="3:54">
      <c r="C12" s="14" t="s">
        <v>4170</v>
      </c>
      <c r="D12">
        <v>18</v>
      </c>
      <c r="E12" s="14" t="s">
        <v>4089</v>
      </c>
      <c r="F12">
        <v>11</v>
      </c>
      <c r="G12" s="14" t="s">
        <v>1246</v>
      </c>
      <c r="H12">
        <v>207</v>
      </c>
      <c r="K12" s="14" t="s">
        <v>331</v>
      </c>
      <c r="L12">
        <v>18</v>
      </c>
      <c r="S12" s="14" t="s">
        <v>4171</v>
      </c>
      <c r="T12">
        <v>31</v>
      </c>
      <c r="AE12" s="14" t="s">
        <v>3944</v>
      </c>
      <c r="AF12">
        <v>92</v>
      </c>
      <c r="AW12" s="14" t="s">
        <v>3961</v>
      </c>
      <c r="AX12">
        <v>44</v>
      </c>
      <c r="BA12" s="14" t="s">
        <v>195</v>
      </c>
      <c r="BB12">
        <v>34</v>
      </c>
    </row>
    <row r="13" spans="3:54">
      <c r="C13" s="14" t="s">
        <v>4172</v>
      </c>
      <c r="D13">
        <v>17</v>
      </c>
      <c r="E13" s="14" t="s">
        <v>4090</v>
      </c>
      <c r="F13">
        <v>12</v>
      </c>
      <c r="G13" s="14" t="s">
        <v>1247</v>
      </c>
      <c r="H13">
        <v>208</v>
      </c>
      <c r="S13" s="14" t="s">
        <v>4173</v>
      </c>
      <c r="T13">
        <v>32</v>
      </c>
      <c r="AE13" s="14" t="s">
        <v>3946</v>
      </c>
      <c r="AF13">
        <v>93</v>
      </c>
      <c r="AW13" s="14" t="s">
        <v>3960</v>
      </c>
      <c r="AX13">
        <v>53</v>
      </c>
      <c r="BA13" s="14" t="s">
        <v>4174</v>
      </c>
      <c r="BB13">
        <v>24</v>
      </c>
    </row>
    <row r="14" spans="3:54">
      <c r="C14" s="14" t="s">
        <v>2484</v>
      </c>
      <c r="D14">
        <v>19</v>
      </c>
      <c r="E14" s="14" t="s">
        <v>4094</v>
      </c>
      <c r="F14">
        <v>13</v>
      </c>
      <c r="G14" s="14" t="s">
        <v>1248</v>
      </c>
      <c r="H14">
        <v>209</v>
      </c>
      <c r="S14" s="14" t="s">
        <v>4175</v>
      </c>
      <c r="T14">
        <v>33</v>
      </c>
      <c r="AE14" s="14" t="s">
        <v>3907</v>
      </c>
      <c r="AF14">
        <v>161</v>
      </c>
      <c r="AW14" s="14" t="s">
        <v>3962</v>
      </c>
      <c r="AX14">
        <v>20</v>
      </c>
      <c r="BA14" s="14" t="s">
        <v>4176</v>
      </c>
      <c r="BB14">
        <v>23</v>
      </c>
    </row>
    <row r="15" spans="3:54">
      <c r="C15" s="14" t="s">
        <v>4218</v>
      </c>
      <c r="D15">
        <v>23</v>
      </c>
      <c r="E15" s="14" t="s">
        <v>4091</v>
      </c>
      <c r="F15">
        <v>14</v>
      </c>
      <c r="G15" s="14" t="s">
        <v>1249</v>
      </c>
      <c r="H15">
        <v>210</v>
      </c>
      <c r="S15" s="14" t="s">
        <v>4177</v>
      </c>
      <c r="T15">
        <v>34</v>
      </c>
      <c r="AE15" s="14" t="s">
        <v>3912</v>
      </c>
      <c r="AF15">
        <v>162</v>
      </c>
      <c r="AW15" s="14" t="s">
        <v>3963</v>
      </c>
      <c r="AX15">
        <v>54</v>
      </c>
      <c r="BA15" s="14" t="s">
        <v>2261</v>
      </c>
      <c r="BB15">
        <v>11</v>
      </c>
    </row>
    <row r="16" spans="3:54">
      <c r="E16" s="14" t="s">
        <v>4092</v>
      </c>
      <c r="F16">
        <v>15</v>
      </c>
      <c r="G16" s="14" t="s">
        <v>1250</v>
      </c>
      <c r="H16">
        <v>211</v>
      </c>
      <c r="S16" s="14" t="s">
        <v>4178</v>
      </c>
      <c r="T16">
        <v>35</v>
      </c>
      <c r="AE16" s="14" t="s">
        <v>2775</v>
      </c>
      <c r="AF16">
        <v>163</v>
      </c>
      <c r="AW16" s="14" t="s">
        <v>3964</v>
      </c>
      <c r="AX16">
        <v>45</v>
      </c>
      <c r="BA16" s="14" t="s">
        <v>4179</v>
      </c>
      <c r="BB16">
        <v>3</v>
      </c>
    </row>
    <row r="17" spans="5:54">
      <c r="E17" s="14" t="s">
        <v>4093</v>
      </c>
      <c r="F17">
        <v>16</v>
      </c>
      <c r="G17" s="14" t="s">
        <v>1251</v>
      </c>
      <c r="H17">
        <v>212</v>
      </c>
      <c r="S17" s="14" t="s">
        <v>2492</v>
      </c>
      <c r="T17">
        <v>36</v>
      </c>
      <c r="AW17" s="14" t="s">
        <v>3965</v>
      </c>
      <c r="AX17">
        <v>21</v>
      </c>
      <c r="BA17" s="14" t="s">
        <v>2775</v>
      </c>
      <c r="BB17">
        <v>15</v>
      </c>
    </row>
    <row r="18" spans="5:54">
      <c r="E18" s="14" t="s">
        <v>4095</v>
      </c>
      <c r="F18">
        <v>17</v>
      </c>
      <c r="G18" s="14" t="s">
        <v>3077</v>
      </c>
      <c r="H18">
        <v>213</v>
      </c>
      <c r="S18" s="14" t="s">
        <v>2495</v>
      </c>
      <c r="T18">
        <v>37</v>
      </c>
      <c r="AW18" s="14" t="s">
        <v>3966</v>
      </c>
      <c r="AX18">
        <v>55</v>
      </c>
      <c r="BA18" s="14" t="s">
        <v>4180</v>
      </c>
      <c r="BB18">
        <v>31</v>
      </c>
    </row>
    <row r="19" spans="5:54">
      <c r="E19" s="14" t="s">
        <v>4096</v>
      </c>
      <c r="F19">
        <v>18</v>
      </c>
      <c r="G19" s="14" t="s">
        <v>1253</v>
      </c>
      <c r="H19">
        <v>214</v>
      </c>
      <c r="S19" s="14" t="s">
        <v>2498</v>
      </c>
      <c r="T19">
        <v>38</v>
      </c>
      <c r="AW19" s="14" t="s">
        <v>3967</v>
      </c>
      <c r="AX19">
        <v>46</v>
      </c>
      <c r="BA19" s="14" t="s">
        <v>190</v>
      </c>
      <c r="BB19">
        <v>35</v>
      </c>
    </row>
    <row r="20" spans="5:54">
      <c r="E20" s="14" t="s">
        <v>4097</v>
      </c>
      <c r="F20">
        <v>19</v>
      </c>
      <c r="G20" s="14" t="s">
        <v>1254</v>
      </c>
      <c r="H20">
        <v>215</v>
      </c>
      <c r="S20" s="14" t="s">
        <v>2501</v>
      </c>
      <c r="T20">
        <v>39</v>
      </c>
      <c r="AW20" s="14" t="s">
        <v>3968</v>
      </c>
      <c r="AX20">
        <v>27</v>
      </c>
      <c r="BA20" s="14" t="s">
        <v>4181</v>
      </c>
      <c r="BB20">
        <v>32</v>
      </c>
    </row>
    <row r="21" spans="5:54">
      <c r="E21" s="14" t="s">
        <v>4100</v>
      </c>
      <c r="F21">
        <v>20</v>
      </c>
      <c r="G21" s="14" t="s">
        <v>1255</v>
      </c>
      <c r="H21">
        <v>216</v>
      </c>
      <c r="S21" s="14" t="s">
        <v>2504</v>
      </c>
      <c r="T21">
        <v>40</v>
      </c>
      <c r="AW21" s="14" t="s">
        <v>3969</v>
      </c>
      <c r="AX21">
        <v>56</v>
      </c>
      <c r="BA21" s="14" t="s">
        <v>155</v>
      </c>
      <c r="BB21">
        <v>30</v>
      </c>
    </row>
    <row r="22" spans="5:54">
      <c r="E22" s="14" t="s">
        <v>4099</v>
      </c>
      <c r="F22">
        <v>21</v>
      </c>
      <c r="G22" s="14" t="s">
        <v>1256</v>
      </c>
      <c r="H22">
        <v>217</v>
      </c>
      <c r="S22" s="14" t="s">
        <v>2507</v>
      </c>
      <c r="T22">
        <v>41</v>
      </c>
      <c r="AW22" s="14" t="s">
        <v>3970</v>
      </c>
      <c r="AX22">
        <v>47</v>
      </c>
      <c r="BA22" s="14" t="s">
        <v>2223</v>
      </c>
      <c r="BB22">
        <v>22</v>
      </c>
    </row>
    <row r="23" spans="5:54">
      <c r="E23" s="14" t="s">
        <v>4098</v>
      </c>
      <c r="F23">
        <v>22</v>
      </c>
      <c r="G23" s="14" t="s">
        <v>1257</v>
      </c>
      <c r="H23">
        <v>218</v>
      </c>
      <c r="AW23" s="14" t="s">
        <v>3971</v>
      </c>
      <c r="AX23">
        <v>48</v>
      </c>
      <c r="BA23" s="14" t="s">
        <v>4182</v>
      </c>
      <c r="BB23">
        <v>21</v>
      </c>
    </row>
    <row r="24" spans="5:54">
      <c r="E24" s="14" t="s">
        <v>4101</v>
      </c>
      <c r="F24">
        <v>23</v>
      </c>
      <c r="G24" s="14" t="s">
        <v>1258</v>
      </c>
      <c r="H24">
        <v>219</v>
      </c>
      <c r="AW24" s="14" t="s">
        <v>3973</v>
      </c>
      <c r="AX24">
        <v>49</v>
      </c>
      <c r="BA24" s="14" t="s">
        <v>2251</v>
      </c>
      <c r="BB24">
        <v>1</v>
      </c>
    </row>
    <row r="25" spans="5:54">
      <c r="E25" s="14" t="s">
        <v>4102</v>
      </c>
      <c r="F25">
        <v>24</v>
      </c>
      <c r="G25" s="14" t="s">
        <v>1259</v>
      </c>
      <c r="H25">
        <v>220</v>
      </c>
      <c r="AW25" s="14" t="s">
        <v>3972</v>
      </c>
      <c r="AX25">
        <v>57</v>
      </c>
      <c r="BA25" s="14" t="s">
        <v>2258</v>
      </c>
      <c r="BB25">
        <v>14</v>
      </c>
    </row>
    <row r="26" spans="5:54">
      <c r="E26" s="14" t="s">
        <v>4104</v>
      </c>
      <c r="F26">
        <v>25</v>
      </c>
      <c r="G26" s="14" t="s">
        <v>1260</v>
      </c>
      <c r="H26">
        <v>221</v>
      </c>
      <c r="BA26" s="14" t="s">
        <v>4183</v>
      </c>
      <c r="BB26">
        <v>16</v>
      </c>
    </row>
    <row r="27" spans="5:54">
      <c r="E27" s="14" t="s">
        <v>4103</v>
      </c>
      <c r="F27">
        <v>26</v>
      </c>
      <c r="G27" s="14" t="s">
        <v>1261</v>
      </c>
      <c r="H27">
        <v>222</v>
      </c>
      <c r="BA27" s="14" t="s">
        <v>2263</v>
      </c>
      <c r="BB27">
        <v>4</v>
      </c>
    </row>
    <row r="28" spans="5:54">
      <c r="E28" s="14" t="s">
        <v>4105</v>
      </c>
      <c r="F28">
        <v>27</v>
      </c>
      <c r="G28" s="14" t="s">
        <v>1262</v>
      </c>
      <c r="H28">
        <v>223</v>
      </c>
      <c r="BA28" s="14" t="s">
        <v>2265</v>
      </c>
      <c r="BB28">
        <v>5</v>
      </c>
    </row>
    <row r="29" spans="5:54">
      <c r="E29" s="14" t="s">
        <v>4112</v>
      </c>
      <c r="F29">
        <v>28</v>
      </c>
      <c r="G29" s="14" t="s">
        <v>1263</v>
      </c>
      <c r="H29">
        <v>224</v>
      </c>
      <c r="BA29" s="14" t="s">
        <v>1182</v>
      </c>
      <c r="BB29">
        <v>12</v>
      </c>
    </row>
    <row r="30" spans="5:54">
      <c r="E30" s="14" t="s">
        <v>4113</v>
      </c>
      <c r="F30">
        <v>29</v>
      </c>
      <c r="G30" s="14" t="s">
        <v>1264</v>
      </c>
      <c r="H30">
        <v>225</v>
      </c>
      <c r="BA30" s="14" t="s">
        <v>4184</v>
      </c>
      <c r="BB30">
        <v>13</v>
      </c>
    </row>
    <row r="31" spans="5:54">
      <c r="E31" s="14" t="s">
        <v>4106</v>
      </c>
      <c r="F31">
        <v>30</v>
      </c>
      <c r="G31" s="14" t="s">
        <v>1265</v>
      </c>
      <c r="H31">
        <v>226</v>
      </c>
      <c r="BA31" s="14" t="s">
        <v>4185</v>
      </c>
      <c r="BB31">
        <v>2</v>
      </c>
    </row>
    <row r="32" spans="5:54">
      <c r="E32" s="14" t="s">
        <v>4108</v>
      </c>
      <c r="F32">
        <v>31</v>
      </c>
      <c r="G32" s="14" t="s">
        <v>1266</v>
      </c>
      <c r="H32">
        <v>227</v>
      </c>
      <c r="BA32" s="14" t="s">
        <v>4186</v>
      </c>
      <c r="BB32">
        <v>18</v>
      </c>
    </row>
    <row r="33" spans="5:8">
      <c r="E33" s="14" t="s">
        <v>4109</v>
      </c>
      <c r="F33">
        <v>32</v>
      </c>
      <c r="G33" s="14" t="s">
        <v>1267</v>
      </c>
      <c r="H33">
        <v>228</v>
      </c>
    </row>
    <row r="34" spans="5:8">
      <c r="E34" s="14" t="s">
        <v>4110</v>
      </c>
      <c r="F34">
        <v>33</v>
      </c>
      <c r="G34" s="14" t="s">
        <v>1268</v>
      </c>
      <c r="H34">
        <v>229</v>
      </c>
    </row>
    <row r="35" spans="5:8">
      <c r="E35" s="14" t="s">
        <v>4107</v>
      </c>
      <c r="F35">
        <v>34</v>
      </c>
      <c r="G35" s="14" t="s">
        <v>1269</v>
      </c>
      <c r="H35">
        <v>230</v>
      </c>
    </row>
    <row r="36" spans="5:8">
      <c r="E36" s="14" t="s">
        <v>4111</v>
      </c>
      <c r="F36">
        <v>35</v>
      </c>
      <c r="G36" s="14" t="s">
        <v>1270</v>
      </c>
      <c r="H36">
        <v>231</v>
      </c>
    </row>
    <row r="37" spans="5:8">
      <c r="E37" s="14" t="s">
        <v>4114</v>
      </c>
      <c r="F37">
        <v>36</v>
      </c>
      <c r="G37" s="14" t="s">
        <v>1271</v>
      </c>
      <c r="H37">
        <v>232</v>
      </c>
    </row>
    <row r="38" spans="5:8">
      <c r="E38" s="14" t="s">
        <v>4115</v>
      </c>
      <c r="F38">
        <v>37</v>
      </c>
      <c r="G38" s="14" t="s">
        <v>1272</v>
      </c>
      <c r="H38">
        <v>233</v>
      </c>
    </row>
    <row r="39" spans="5:8">
      <c r="E39" s="14" t="s">
        <v>4116</v>
      </c>
      <c r="F39">
        <v>38</v>
      </c>
      <c r="G39" s="14" t="s">
        <v>1273</v>
      </c>
      <c r="H39">
        <v>234</v>
      </c>
    </row>
    <row r="40" spans="5:8">
      <c r="E40" s="14" t="s">
        <v>4117</v>
      </c>
      <c r="F40">
        <v>39</v>
      </c>
      <c r="G40" s="14" t="s">
        <v>1274</v>
      </c>
      <c r="H40">
        <v>235</v>
      </c>
    </row>
    <row r="41" spans="5:8">
      <c r="E41" s="14" t="s">
        <v>4118</v>
      </c>
      <c r="F41">
        <v>40</v>
      </c>
      <c r="G41" s="14" t="s">
        <v>1275</v>
      </c>
      <c r="H41">
        <v>236</v>
      </c>
    </row>
    <row r="42" spans="5:8">
      <c r="E42" s="14" t="s">
        <v>4119</v>
      </c>
      <c r="F42">
        <v>41</v>
      </c>
      <c r="G42" s="14" t="s">
        <v>1276</v>
      </c>
      <c r="H42">
        <v>237</v>
      </c>
    </row>
    <row r="43" spans="5:8">
      <c r="E43" s="14" t="s">
        <v>4120</v>
      </c>
      <c r="F43">
        <v>42</v>
      </c>
      <c r="G43" s="14" t="s">
        <v>1277</v>
      </c>
      <c r="H43">
        <v>238</v>
      </c>
    </row>
    <row r="44" spans="5:8">
      <c r="E44" s="14" t="s">
        <v>4121</v>
      </c>
      <c r="F44">
        <v>43</v>
      </c>
      <c r="G44" s="14" t="s">
        <v>1278</v>
      </c>
      <c r="H44">
        <v>239</v>
      </c>
    </row>
    <row r="45" spans="5:8">
      <c r="E45" s="14" t="s">
        <v>4122</v>
      </c>
      <c r="F45">
        <v>44</v>
      </c>
      <c r="G45" s="14" t="s">
        <v>1279</v>
      </c>
      <c r="H45">
        <v>240</v>
      </c>
    </row>
    <row r="46" spans="5:8">
      <c r="E46" s="14" t="s">
        <v>4123</v>
      </c>
      <c r="F46">
        <v>45</v>
      </c>
      <c r="G46" s="14" t="s">
        <v>1280</v>
      </c>
      <c r="H46">
        <v>241</v>
      </c>
    </row>
    <row r="47" spans="5:8">
      <c r="E47" s="14" t="s">
        <v>4125</v>
      </c>
      <c r="F47">
        <v>46</v>
      </c>
      <c r="G47" s="14" t="s">
        <v>1281</v>
      </c>
      <c r="H47">
        <v>242</v>
      </c>
    </row>
    <row r="48" spans="5:8">
      <c r="E48" s="14" t="s">
        <v>4124</v>
      </c>
      <c r="F48">
        <v>47</v>
      </c>
      <c r="G48" s="14" t="s">
        <v>1282</v>
      </c>
      <c r="H48">
        <v>243</v>
      </c>
    </row>
    <row r="49" spans="5:8">
      <c r="E49" s="14" t="s">
        <v>4126</v>
      </c>
      <c r="F49">
        <v>48</v>
      </c>
      <c r="G49" s="14" t="s">
        <v>1283</v>
      </c>
      <c r="H49">
        <v>244</v>
      </c>
    </row>
    <row r="50" spans="5:8">
      <c r="E50" s="14" t="s">
        <v>4128</v>
      </c>
      <c r="F50">
        <v>49</v>
      </c>
      <c r="G50" s="14" t="s">
        <v>1284</v>
      </c>
      <c r="H50">
        <v>245</v>
      </c>
    </row>
    <row r="51" spans="5:8">
      <c r="E51" s="14" t="s">
        <v>4127</v>
      </c>
      <c r="F51">
        <v>50</v>
      </c>
      <c r="G51" s="14" t="s">
        <v>1285</v>
      </c>
      <c r="H51">
        <v>246</v>
      </c>
    </row>
    <row r="52" spans="5:8">
      <c r="E52" s="14" t="s">
        <v>4129</v>
      </c>
      <c r="F52">
        <v>51</v>
      </c>
      <c r="G52" s="14" t="s">
        <v>1286</v>
      </c>
      <c r="H52">
        <v>247</v>
      </c>
    </row>
    <row r="53" spans="5:8">
      <c r="G53" s="14" t="s">
        <v>3078</v>
      </c>
      <c r="H53">
        <v>248</v>
      </c>
    </row>
    <row r="54" spans="5:8">
      <c r="G54" s="14" t="s">
        <v>1288</v>
      </c>
      <c r="H54">
        <v>249</v>
      </c>
    </row>
    <row r="55" spans="5:8">
      <c r="G55" s="14" t="s">
        <v>1289</v>
      </c>
      <c r="H55">
        <v>250</v>
      </c>
    </row>
    <row r="56" spans="5:8">
      <c r="G56" s="14" t="s">
        <v>1290</v>
      </c>
      <c r="H56">
        <v>251</v>
      </c>
    </row>
    <row r="57" spans="5:8">
      <c r="G57" s="14" t="s">
        <v>1291</v>
      </c>
      <c r="H57">
        <v>252</v>
      </c>
    </row>
    <row r="58" spans="5:8">
      <c r="G58" s="14" t="s">
        <v>1292</v>
      </c>
      <c r="H58">
        <v>253</v>
      </c>
    </row>
    <row r="59" spans="5:8">
      <c r="G59" s="14" t="s">
        <v>1293</v>
      </c>
      <c r="H59">
        <v>254</v>
      </c>
    </row>
    <row r="60" spans="5:8">
      <c r="G60" s="14" t="s">
        <v>4187</v>
      </c>
      <c r="H60">
        <v>255</v>
      </c>
    </row>
    <row r="61" spans="5:8">
      <c r="G61" s="14" t="s">
        <v>1295</v>
      </c>
      <c r="H61">
        <v>256</v>
      </c>
    </row>
    <row r="62" spans="5:8">
      <c r="G62" s="14" t="s">
        <v>1296</v>
      </c>
      <c r="H62">
        <v>257</v>
      </c>
    </row>
    <row r="63" spans="5:8">
      <c r="G63" s="14" t="s">
        <v>1297</v>
      </c>
      <c r="H63">
        <v>258</v>
      </c>
    </row>
    <row r="64" spans="5:8">
      <c r="G64" s="14" t="s">
        <v>1298</v>
      </c>
      <c r="H64">
        <v>259</v>
      </c>
    </row>
    <row r="65" spans="7:8">
      <c r="G65" s="14" t="s">
        <v>1299</v>
      </c>
      <c r="H65">
        <v>260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922B7-1801-454F-BFD6-13EEDEADD4A3}">
  <sheetPr codeName="Sheet29">
    <tabColor rgb="FF92D050"/>
  </sheetPr>
  <dimension ref="A1:BB467"/>
  <sheetViews>
    <sheetView zoomScaleNormal="100" workbookViewId="0"/>
  </sheetViews>
  <sheetFormatPr defaultRowHeight="15"/>
  <cols>
    <col min="1" max="1" width="62.7109375" customWidth="1"/>
    <col min="2" max="2" width="75.28515625" customWidth="1"/>
    <col min="3" max="3" width="36.85546875" customWidth="1"/>
    <col min="4" max="4" width="21.42578125" customWidth="1"/>
    <col min="5" max="5" width="29.5703125" customWidth="1"/>
    <col min="6" max="6" width="21.42578125" customWidth="1"/>
  </cols>
  <sheetData>
    <row r="1" spans="1:54" ht="42">
      <c r="A1" s="4" t="s">
        <v>116</v>
      </c>
      <c r="B1" s="635" t="s">
        <v>117</v>
      </c>
      <c r="C1" s="534"/>
    </row>
    <row r="2" spans="1:54" ht="45" customHeight="1">
      <c r="A2" s="898" t="s">
        <v>16</v>
      </c>
      <c r="B2" s="898"/>
    </row>
    <row r="3" spans="1:54" s="531" customFormat="1" ht="15.95" customHeight="1">
      <c r="A3" s="899" t="s">
        <v>118</v>
      </c>
      <c r="B3" s="899"/>
      <c r="C3" s="538"/>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row>
    <row r="4" spans="1:54">
      <c r="A4" s="1" t="s">
        <v>119</v>
      </c>
      <c r="B4" s="537"/>
      <c r="C4" s="18"/>
    </row>
    <row r="5" spans="1:54">
      <c r="A5" s="1" t="s">
        <v>120</v>
      </c>
      <c r="B5" s="537"/>
    </row>
    <row r="6" spans="1:54">
      <c r="A6" s="1" t="s">
        <v>121</v>
      </c>
      <c r="B6" s="537"/>
    </row>
    <row r="7" spans="1:54">
      <c r="A7" s="352" t="s">
        <v>122</v>
      </c>
      <c r="B7" s="537"/>
    </row>
    <row r="8" spans="1:54">
      <c r="A8" s="1" t="s">
        <v>123</v>
      </c>
      <c r="B8" s="687"/>
    </row>
    <row r="9" spans="1:54" ht="15" customHeight="1">
      <c r="A9" s="896"/>
      <c r="B9" s="896"/>
      <c r="C9" s="510"/>
    </row>
    <row r="10" spans="1:54" s="531" customFormat="1" ht="18.600000000000001" customHeight="1">
      <c r="A10" s="546" t="s">
        <v>124</v>
      </c>
      <c r="B10" s="546"/>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row>
    <row r="11" spans="1:54">
      <c r="A11" s="1" t="s">
        <v>119</v>
      </c>
      <c r="B11" s="537"/>
    </row>
    <row r="12" spans="1:54">
      <c r="A12" s="1" t="s">
        <v>125</v>
      </c>
      <c r="B12" s="537"/>
    </row>
    <row r="13" spans="1:54">
      <c r="A13" s="1" t="s">
        <v>126</v>
      </c>
      <c r="B13" s="537"/>
    </row>
    <row r="14" spans="1:54">
      <c r="A14" s="1" t="s">
        <v>127</v>
      </c>
      <c r="B14" s="537"/>
    </row>
    <row r="15" spans="1:54">
      <c r="A15" s="352" t="s">
        <v>128</v>
      </c>
      <c r="B15" s="537"/>
    </row>
    <row r="16" spans="1:54">
      <c r="A16" s="1" t="s">
        <v>120</v>
      </c>
      <c r="B16" s="537"/>
    </row>
    <row r="17" spans="1:3">
      <c r="A17" s="1" t="s">
        <v>121</v>
      </c>
      <c r="B17" s="537"/>
    </row>
    <row r="18" spans="1:3">
      <c r="A18" s="1" t="s">
        <v>129</v>
      </c>
      <c r="B18" s="537"/>
    </row>
    <row r="19" spans="1:3">
      <c r="A19" s="1" t="s">
        <v>123</v>
      </c>
      <c r="B19" s="537"/>
    </row>
    <row r="20" spans="1:3" ht="45">
      <c r="A20" s="510" t="s">
        <v>130</v>
      </c>
      <c r="B20" s="537"/>
    </row>
    <row r="21" spans="1:3" ht="45">
      <c r="A21" s="510" t="s">
        <v>131</v>
      </c>
      <c r="B21" s="537"/>
    </row>
    <row r="22" spans="1:3">
      <c r="A22" s="510"/>
      <c r="B22" s="847"/>
    </row>
    <row r="23" spans="1:3">
      <c r="A23" s="547" t="s">
        <v>132</v>
      </c>
      <c r="B23" s="547"/>
      <c r="C23" s="18"/>
    </row>
    <row r="24" spans="1:3">
      <c r="A24" s="510" t="s">
        <v>133</v>
      </c>
      <c r="B24" s="293"/>
    </row>
    <row r="25" spans="1:3" ht="30">
      <c r="A25" s="510" t="s">
        <v>134</v>
      </c>
      <c r="B25" s="287"/>
    </row>
    <row r="26" spans="1:3">
      <c r="A26" s="548" t="s">
        <v>135</v>
      </c>
      <c r="B26" s="287"/>
    </row>
    <row r="27" spans="1:3" ht="30">
      <c r="A27" s="560" t="s">
        <v>136</v>
      </c>
      <c r="B27" s="287"/>
    </row>
    <row r="28" spans="1:3">
      <c r="A28" s="548" t="s">
        <v>137</v>
      </c>
      <c r="B28" s="284"/>
      <c r="C28" s="123"/>
    </row>
    <row r="29" spans="1:3">
      <c r="A29" s="549" t="s">
        <v>138</v>
      </c>
      <c r="B29" s="287"/>
    </row>
    <row r="30" spans="1:3" ht="15" customHeight="1">
      <c r="A30" s="795" t="s">
        <v>139</v>
      </c>
      <c r="B30" s="795"/>
      <c r="C30" s="123"/>
    </row>
    <row r="31" spans="1:3">
      <c r="A31" s="547" t="s">
        <v>140</v>
      </c>
      <c r="B31" s="547" t="s">
        <v>141</v>
      </c>
      <c r="C31" s="123"/>
    </row>
    <row r="32" spans="1:3">
      <c r="A32" s="294"/>
      <c r="B32" s="294"/>
      <c r="C32" s="123"/>
    </row>
    <row r="33" spans="1:3">
      <c r="A33" s="294"/>
      <c r="B33" s="294"/>
      <c r="C33" s="123"/>
    </row>
    <row r="34" spans="1:3">
      <c r="A34" s="294"/>
      <c r="B34" s="294"/>
      <c r="C34" s="123"/>
    </row>
    <row r="35" spans="1:3">
      <c r="A35" s="294"/>
      <c r="B35" s="294"/>
      <c r="C35" s="123"/>
    </row>
    <row r="36" spans="1:3">
      <c r="A36" s="294"/>
      <c r="B36" s="294"/>
      <c r="C36" s="123"/>
    </row>
    <row r="37" spans="1:3" ht="42.95" customHeight="1">
      <c r="A37" s="510" t="s">
        <v>142</v>
      </c>
      <c r="B37" s="532"/>
    </row>
    <row r="38" spans="1:3" ht="15" customHeight="1">
      <c r="A38" s="547" t="s">
        <v>143</v>
      </c>
      <c r="B38" s="547"/>
      <c r="C38" s="547"/>
    </row>
    <row r="39" spans="1:3" ht="15" customHeight="1">
      <c r="A39" s="547" t="s">
        <v>144</v>
      </c>
      <c r="B39" s="547" t="s">
        <v>145</v>
      </c>
      <c r="C39" s="547" t="s">
        <v>146</v>
      </c>
    </row>
    <row r="40" spans="1:3" ht="15" customHeight="1">
      <c r="A40" s="287"/>
      <c r="B40" s="541"/>
      <c r="C40" s="295"/>
    </row>
    <row r="41" spans="1:3" ht="15" customHeight="1">
      <c r="A41" s="287"/>
      <c r="B41" s="541"/>
      <c r="C41" s="295"/>
    </row>
    <row r="42" spans="1:3" ht="15" customHeight="1">
      <c r="A42" s="287"/>
      <c r="B42" s="541"/>
      <c r="C42" s="295"/>
    </row>
    <row r="43" spans="1:3" ht="15" customHeight="1">
      <c r="A43" s="547" t="s">
        <v>147</v>
      </c>
      <c r="B43" s="547"/>
      <c r="C43" s="547"/>
    </row>
    <row r="44" spans="1:3" ht="30">
      <c r="A44" s="547" t="s">
        <v>148</v>
      </c>
      <c r="B44" s="547" t="s">
        <v>149</v>
      </c>
      <c r="C44" s="819" t="s">
        <v>150</v>
      </c>
    </row>
    <row r="45" spans="1:3">
      <c r="A45" s="287"/>
      <c r="B45" s="541"/>
      <c r="C45" s="864"/>
    </row>
    <row r="46" spans="1:3">
      <c r="A46" s="287"/>
      <c r="B46" s="541"/>
      <c r="C46" s="864"/>
    </row>
    <row r="47" spans="1:3">
      <c r="A47" s="287"/>
      <c r="B47" s="541"/>
      <c r="C47" s="864"/>
    </row>
    <row r="48" spans="1:3">
      <c r="A48" s="287"/>
      <c r="B48" s="541"/>
      <c r="C48" s="864"/>
    </row>
    <row r="49" spans="1:54" ht="15" customHeight="1">
      <c r="A49" s="896"/>
      <c r="B49" s="896"/>
      <c r="C49" s="510"/>
    </row>
    <row r="50" spans="1:54" s="531" customFormat="1" ht="18.75">
      <c r="A50" s="544" t="s">
        <v>151</v>
      </c>
      <c r="B50" s="550"/>
      <c r="C50" s="18"/>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row>
    <row r="51" spans="1:54">
      <c r="A51" s="1" t="s">
        <v>152</v>
      </c>
      <c r="B51" s="537"/>
    </row>
    <row r="52" spans="1:54">
      <c r="A52" s="1" t="s">
        <v>125</v>
      </c>
      <c r="B52" s="537"/>
    </row>
    <row r="53" spans="1:54">
      <c r="A53" s="1" t="s">
        <v>126</v>
      </c>
      <c r="B53" s="537"/>
    </row>
    <row r="54" spans="1:54">
      <c r="A54" s="1" t="s">
        <v>127</v>
      </c>
      <c r="B54" s="537"/>
    </row>
    <row r="55" spans="1:54">
      <c r="A55" s="352" t="s">
        <v>128</v>
      </c>
      <c r="B55" s="561"/>
    </row>
    <row r="56" spans="1:54">
      <c r="A56" s="1" t="s">
        <v>120</v>
      </c>
      <c r="B56" s="537"/>
    </row>
    <row r="57" spans="1:54">
      <c r="A57" s="1" t="s">
        <v>121</v>
      </c>
      <c r="B57" s="537"/>
    </row>
    <row r="58" spans="1:54">
      <c r="A58" s="1" t="s">
        <v>129</v>
      </c>
      <c r="B58" s="537"/>
    </row>
    <row r="59" spans="1:54">
      <c r="A59" s="1" t="s">
        <v>123</v>
      </c>
      <c r="B59" s="687"/>
    </row>
    <row r="60" spans="1:54">
      <c r="A60" s="510" t="s">
        <v>153</v>
      </c>
      <c r="B60" s="537"/>
    </row>
    <row r="61" spans="1:54" ht="45">
      <c r="A61" s="510" t="s">
        <v>130</v>
      </c>
      <c r="B61" s="537"/>
    </row>
    <row r="62" spans="1:54" ht="45">
      <c r="A62" s="510" t="s">
        <v>131</v>
      </c>
      <c r="B62" s="537"/>
    </row>
    <row r="63" spans="1:54">
      <c r="A63" s="896"/>
      <c r="B63" s="896"/>
    </row>
    <row r="64" spans="1:54" s="531" customFormat="1" ht="18.75">
      <c r="A64" s="544" t="s">
        <v>154</v>
      </c>
      <c r="B64" s="550"/>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row>
    <row r="65" spans="1:54">
      <c r="A65" s="1" t="s">
        <v>119</v>
      </c>
      <c r="B65" s="537"/>
    </row>
    <row r="66" spans="1:54">
      <c r="A66" s="1" t="s">
        <v>125</v>
      </c>
      <c r="B66" s="537"/>
    </row>
    <row r="67" spans="1:54">
      <c r="A67" s="1" t="s">
        <v>126</v>
      </c>
      <c r="B67" s="537"/>
    </row>
    <row r="68" spans="1:54">
      <c r="A68" s="1" t="s">
        <v>127</v>
      </c>
      <c r="B68" s="537"/>
    </row>
    <row r="69" spans="1:54">
      <c r="A69" s="352" t="s">
        <v>128</v>
      </c>
      <c r="B69" s="561"/>
    </row>
    <row r="70" spans="1:54">
      <c r="A70" s="1" t="s">
        <v>120</v>
      </c>
      <c r="B70" s="537"/>
    </row>
    <row r="71" spans="1:54">
      <c r="A71" s="1" t="s">
        <v>121</v>
      </c>
      <c r="B71" s="537"/>
    </row>
    <row r="72" spans="1:54">
      <c r="A72" s="1" t="s">
        <v>129</v>
      </c>
      <c r="B72" s="537"/>
    </row>
    <row r="73" spans="1:54">
      <c r="A73" s="1" t="s">
        <v>123</v>
      </c>
      <c r="B73" s="537"/>
    </row>
    <row r="74" spans="1:54" ht="15.75" customHeight="1">
      <c r="A74" s="897"/>
      <c r="B74" s="897"/>
    </row>
    <row r="75" spans="1:54" s="531" customFormat="1" ht="18.75">
      <c r="A75" s="544" t="s">
        <v>155</v>
      </c>
      <c r="B75" s="550"/>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row>
    <row r="76" spans="1:54">
      <c r="A76" s="1" t="s">
        <v>119</v>
      </c>
      <c r="B76" s="537"/>
    </row>
    <row r="77" spans="1:54">
      <c r="A77" s="1" t="s">
        <v>125</v>
      </c>
      <c r="B77" s="537"/>
    </row>
    <row r="78" spans="1:54">
      <c r="A78" s="1" t="s">
        <v>126</v>
      </c>
      <c r="B78" s="537"/>
    </row>
    <row r="79" spans="1:54">
      <c r="A79" s="1" t="s">
        <v>127</v>
      </c>
      <c r="B79" s="537"/>
    </row>
    <row r="80" spans="1:54">
      <c r="A80" s="352" t="s">
        <v>128</v>
      </c>
      <c r="B80" s="561"/>
    </row>
    <row r="81" spans="1:54">
      <c r="A81" s="1" t="s">
        <v>120</v>
      </c>
      <c r="B81" s="537"/>
    </row>
    <row r="82" spans="1:54">
      <c r="A82" s="1" t="s">
        <v>121</v>
      </c>
      <c r="B82" s="537"/>
    </row>
    <row r="83" spans="1:54">
      <c r="A83" s="1" t="s">
        <v>129</v>
      </c>
      <c r="B83" s="537"/>
    </row>
    <row r="84" spans="1:54">
      <c r="A84" s="1" t="s">
        <v>123</v>
      </c>
      <c r="B84" s="537"/>
    </row>
    <row r="85" spans="1:54">
      <c r="A85" s="897"/>
      <c r="B85" s="897"/>
    </row>
    <row r="86" spans="1:54" s="531" customFormat="1" ht="18.75">
      <c r="A86" s="544" t="s">
        <v>156</v>
      </c>
      <c r="B86" s="550"/>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row>
    <row r="87" spans="1:54">
      <c r="A87" s="1" t="s">
        <v>119</v>
      </c>
      <c r="B87" s="537"/>
    </row>
    <row r="88" spans="1:54">
      <c r="A88" s="1" t="s">
        <v>125</v>
      </c>
      <c r="B88" s="537"/>
    </row>
    <row r="89" spans="1:54">
      <c r="A89" s="1" t="s">
        <v>126</v>
      </c>
      <c r="B89" s="537"/>
    </row>
    <row r="90" spans="1:54">
      <c r="A90" s="1" t="s">
        <v>127</v>
      </c>
      <c r="B90" s="537"/>
    </row>
    <row r="91" spans="1:54">
      <c r="A91" s="352" t="s">
        <v>128</v>
      </c>
      <c r="B91" s="561"/>
    </row>
    <row r="92" spans="1:54">
      <c r="A92" s="1" t="s">
        <v>120</v>
      </c>
      <c r="B92" s="537"/>
    </row>
    <row r="93" spans="1:54">
      <c r="A93" s="1" t="s">
        <v>121</v>
      </c>
      <c r="B93" s="537"/>
    </row>
    <row r="94" spans="1:54">
      <c r="A94" s="1" t="s">
        <v>129</v>
      </c>
      <c r="B94" s="537"/>
    </row>
    <row r="95" spans="1:54">
      <c r="A95" s="1" t="s">
        <v>123</v>
      </c>
      <c r="B95" s="537"/>
    </row>
    <row r="96" spans="1:54">
      <c r="A96" s="510" t="s">
        <v>153</v>
      </c>
      <c r="B96" s="537"/>
    </row>
    <row r="97" spans="1:54" ht="15.75" customHeight="1">
      <c r="A97" s="1" t="s">
        <v>157</v>
      </c>
      <c r="B97" s="537"/>
    </row>
    <row r="98" spans="1:54">
      <c r="A98" s="1" t="s">
        <v>158</v>
      </c>
      <c r="B98" s="537"/>
    </row>
    <row r="99" spans="1:54">
      <c r="A99" s="1" t="s">
        <v>159</v>
      </c>
      <c r="B99" s="537"/>
      <c r="C99" s="18"/>
    </row>
    <row r="100" spans="1:54">
      <c r="A100" s="896"/>
      <c r="B100" s="896"/>
      <c r="C100" s="18"/>
    </row>
    <row r="101" spans="1:54" s="531" customFormat="1" ht="18.75">
      <c r="A101" s="544" t="s">
        <v>160</v>
      </c>
      <c r="B101" s="550"/>
      <c r="C101" s="534"/>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row>
    <row r="102" spans="1:54">
      <c r="A102" s="1" t="s">
        <v>119</v>
      </c>
      <c r="B102" s="537"/>
      <c r="C102" t="s">
        <v>161</v>
      </c>
    </row>
    <row r="103" spans="1:54">
      <c r="A103" s="1" t="s">
        <v>125</v>
      </c>
      <c r="B103" s="537"/>
    </row>
    <row r="104" spans="1:54">
      <c r="A104" s="1" t="s">
        <v>126</v>
      </c>
      <c r="B104" s="537"/>
    </row>
    <row r="105" spans="1:54">
      <c r="A105" s="1" t="s">
        <v>127</v>
      </c>
      <c r="B105" s="537"/>
    </row>
    <row r="106" spans="1:54">
      <c r="A106" s="352" t="s">
        <v>128</v>
      </c>
      <c r="B106" s="561"/>
    </row>
    <row r="107" spans="1:54">
      <c r="A107" s="1" t="s">
        <v>120</v>
      </c>
      <c r="B107" s="537"/>
    </row>
    <row r="108" spans="1:54">
      <c r="A108" s="1" t="s">
        <v>121</v>
      </c>
      <c r="B108" s="537"/>
    </row>
    <row r="109" spans="1:54">
      <c r="A109" s="1" t="s">
        <v>129</v>
      </c>
      <c r="B109" s="537"/>
    </row>
    <row r="110" spans="1:54">
      <c r="A110" s="1" t="s">
        <v>123</v>
      </c>
      <c r="B110" s="537"/>
    </row>
    <row r="111" spans="1:54">
      <c r="A111" s="1" t="s">
        <v>157</v>
      </c>
      <c r="B111" s="537"/>
    </row>
    <row r="112" spans="1:54">
      <c r="A112" s="1" t="s">
        <v>162</v>
      </c>
      <c r="B112" s="537"/>
    </row>
    <row r="113" spans="1:3">
      <c r="A113" s="547" t="s">
        <v>163</v>
      </c>
      <c r="B113" s="547"/>
      <c r="C113" s="18"/>
    </row>
    <row r="114" spans="1:3" ht="75">
      <c r="A114" s="510" t="s">
        <v>164</v>
      </c>
      <c r="B114" s="287"/>
      <c r="C114" s="123"/>
    </row>
    <row r="115" spans="1:3" ht="30">
      <c r="A115" s="510" t="s">
        <v>165</v>
      </c>
      <c r="B115" s="287"/>
      <c r="C115" s="123"/>
    </row>
    <row r="116" spans="1:3" ht="19.5" customHeight="1">
      <c r="A116" s="1" t="s">
        <v>166</v>
      </c>
      <c r="B116" s="287"/>
    </row>
    <row r="117" spans="1:3" ht="27.95" customHeight="1">
      <c r="A117" s="510" t="s">
        <v>167</v>
      </c>
      <c r="B117" s="287"/>
    </row>
    <row r="118" spans="1:3" ht="44.45" customHeight="1">
      <c r="A118" s="510" t="s">
        <v>168</v>
      </c>
      <c r="B118" s="287"/>
      <c r="C118" s="510"/>
    </row>
    <row r="119" spans="1:3" ht="48.6" customHeight="1">
      <c r="A119" s="510" t="s">
        <v>169</v>
      </c>
      <c r="B119" s="287"/>
      <c r="C119" s="510"/>
    </row>
    <row r="120" spans="1:3">
      <c r="A120" s="548" t="s">
        <v>170</v>
      </c>
      <c r="B120" s="287"/>
      <c r="C120" s="535"/>
    </row>
    <row r="121" spans="1:3">
      <c r="A121" s="510" t="s">
        <v>171</v>
      </c>
      <c r="B121" s="284"/>
      <c r="C121" s="510"/>
    </row>
    <row r="122" spans="1:3" ht="30.95" customHeight="1">
      <c r="A122" s="865" t="s">
        <v>172</v>
      </c>
      <c r="B122" s="287"/>
      <c r="C122" s="510"/>
    </row>
    <row r="123" spans="1:3" ht="45">
      <c r="A123" s="510" t="s">
        <v>173</v>
      </c>
      <c r="B123" s="287"/>
      <c r="C123" s="510"/>
    </row>
    <row r="124" spans="1:3">
      <c r="A124" s="102" t="s">
        <v>174</v>
      </c>
      <c r="B124" s="287"/>
    </row>
    <row r="125" spans="1:3" ht="45">
      <c r="A125" s="510" t="s">
        <v>175</v>
      </c>
      <c r="B125" s="287"/>
      <c r="C125" s="510"/>
    </row>
    <row r="126" spans="1:3">
      <c r="A126" s="102" t="s">
        <v>174</v>
      </c>
      <c r="B126" s="287"/>
    </row>
    <row r="127" spans="1:3">
      <c r="A127" s="1" t="s">
        <v>176</v>
      </c>
      <c r="B127" s="542"/>
    </row>
    <row r="128" spans="1:3">
      <c r="A128" s="1" t="s">
        <v>177</v>
      </c>
      <c r="B128" s="287"/>
    </row>
    <row r="129" spans="1:54" ht="120">
      <c r="A129" s="510" t="s">
        <v>178</v>
      </c>
      <c r="B129" s="543"/>
      <c r="C129" s="510"/>
    </row>
    <row r="130" spans="1:54">
      <c r="A130" s="896"/>
      <c r="B130" s="896"/>
      <c r="C130" s="510"/>
    </row>
    <row r="131" spans="1:54" s="531" customFormat="1" ht="18.75">
      <c r="A131" s="544" t="s">
        <v>179</v>
      </c>
      <c r="B131" s="550"/>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row>
    <row r="132" spans="1:54">
      <c r="A132" s="1" t="s">
        <v>119</v>
      </c>
      <c r="B132" s="537"/>
    </row>
    <row r="133" spans="1:54">
      <c r="A133" s="1" t="s">
        <v>125</v>
      </c>
      <c r="B133" s="537"/>
    </row>
    <row r="134" spans="1:54">
      <c r="A134" s="1" t="s">
        <v>126</v>
      </c>
      <c r="B134" s="537"/>
    </row>
    <row r="135" spans="1:54">
      <c r="A135" s="1" t="s">
        <v>127</v>
      </c>
      <c r="B135" s="537"/>
    </row>
    <row r="136" spans="1:54">
      <c r="A136" s="352" t="s">
        <v>128</v>
      </c>
      <c r="B136" s="561"/>
    </row>
    <row r="137" spans="1:54">
      <c r="A137" s="1" t="s">
        <v>120</v>
      </c>
      <c r="B137" s="537"/>
    </row>
    <row r="138" spans="1:54">
      <c r="A138" s="1" t="s">
        <v>121</v>
      </c>
      <c r="B138" s="537"/>
    </row>
    <row r="139" spans="1:54">
      <c r="A139" s="1" t="s">
        <v>129</v>
      </c>
      <c r="B139" s="536"/>
    </row>
    <row r="140" spans="1:54">
      <c r="A140" s="1" t="s">
        <v>123</v>
      </c>
      <c r="B140" s="537"/>
    </row>
    <row r="141" spans="1:54">
      <c r="A141" s="896"/>
      <c r="B141" s="896"/>
    </row>
    <row r="142" spans="1:54" s="531" customFormat="1" ht="18.75">
      <c r="A142" s="544" t="s">
        <v>180</v>
      </c>
      <c r="B142" s="550"/>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row>
    <row r="143" spans="1:54">
      <c r="A143" s="1" t="s">
        <v>119</v>
      </c>
      <c r="B143" s="537"/>
    </row>
    <row r="144" spans="1:54">
      <c r="A144" s="1" t="s">
        <v>125</v>
      </c>
      <c r="B144" s="537"/>
    </row>
    <row r="145" spans="1:54">
      <c r="A145" s="1" t="s">
        <v>126</v>
      </c>
      <c r="B145" s="537"/>
    </row>
    <row r="146" spans="1:54">
      <c r="A146" s="1" t="s">
        <v>127</v>
      </c>
      <c r="B146" s="537"/>
    </row>
    <row r="147" spans="1:54">
      <c r="A147" s="1" t="s">
        <v>181</v>
      </c>
      <c r="B147" s="536"/>
    </row>
    <row r="148" spans="1:54">
      <c r="A148" s="1" t="s">
        <v>120</v>
      </c>
      <c r="B148" s="537"/>
    </row>
    <row r="149" spans="1:54">
      <c r="A149" s="1" t="s">
        <v>121</v>
      </c>
      <c r="B149" s="537"/>
    </row>
    <row r="150" spans="1:54">
      <c r="A150" s="1" t="s">
        <v>129</v>
      </c>
      <c r="B150" s="536"/>
    </row>
    <row r="151" spans="1:54">
      <c r="A151" s="1" t="s">
        <v>123</v>
      </c>
      <c r="B151" s="537"/>
    </row>
    <row r="152" spans="1:54">
      <c r="A152" s="1" t="s">
        <v>153</v>
      </c>
      <c r="B152" s="537"/>
    </row>
    <row r="153" spans="1:54" ht="45">
      <c r="A153" s="510" t="s">
        <v>130</v>
      </c>
      <c r="B153" s="537"/>
    </row>
    <row r="154" spans="1:54" ht="45">
      <c r="A154" s="510" t="s">
        <v>131</v>
      </c>
      <c r="B154" s="537"/>
    </row>
    <row r="155" spans="1:54">
      <c r="A155" s="896"/>
      <c r="B155" s="896"/>
    </row>
    <row r="156" spans="1:54" s="531" customFormat="1" ht="18.75">
      <c r="A156" s="544" t="s">
        <v>182</v>
      </c>
      <c r="B156" s="550"/>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row>
    <row r="157" spans="1:54">
      <c r="A157" s="1" t="s">
        <v>119</v>
      </c>
      <c r="B157" s="537"/>
    </row>
    <row r="158" spans="1:54">
      <c r="A158" s="1" t="s">
        <v>125</v>
      </c>
      <c r="B158" s="537"/>
    </row>
    <row r="159" spans="1:54">
      <c r="A159" s="1" t="s">
        <v>126</v>
      </c>
      <c r="B159" s="537"/>
    </row>
    <row r="160" spans="1:54">
      <c r="A160" s="1" t="s">
        <v>127</v>
      </c>
      <c r="B160" s="537"/>
    </row>
    <row r="161" spans="1:54">
      <c r="A161" s="352" t="s">
        <v>128</v>
      </c>
      <c r="B161" s="561"/>
    </row>
    <row r="162" spans="1:54">
      <c r="A162" s="1" t="s">
        <v>120</v>
      </c>
      <c r="B162" s="537"/>
    </row>
    <row r="163" spans="1:54">
      <c r="A163" s="1" t="s">
        <v>121</v>
      </c>
      <c r="B163" s="537"/>
    </row>
    <row r="164" spans="1:54">
      <c r="A164" s="1" t="s">
        <v>129</v>
      </c>
      <c r="B164" s="536"/>
    </row>
    <row r="165" spans="1:54">
      <c r="A165" s="1" t="s">
        <v>123</v>
      </c>
      <c r="B165" s="537"/>
    </row>
    <row r="166" spans="1:54">
      <c r="A166" s="1" t="s">
        <v>153</v>
      </c>
      <c r="B166" s="537"/>
    </row>
    <row r="167" spans="1:54" ht="45">
      <c r="A167" s="510" t="s">
        <v>130</v>
      </c>
      <c r="B167" s="537"/>
    </row>
    <row r="168" spans="1:54" ht="45">
      <c r="A168" s="510" t="s">
        <v>131</v>
      </c>
      <c r="B168" s="537"/>
    </row>
    <row r="169" spans="1:54">
      <c r="A169" s="896"/>
      <c r="B169" s="896"/>
    </row>
    <row r="170" spans="1:54" s="531" customFormat="1" ht="18.75">
      <c r="A170" s="544" t="s">
        <v>183</v>
      </c>
      <c r="B170" s="55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row>
    <row r="171" spans="1:54">
      <c r="A171" s="1" t="s">
        <v>119</v>
      </c>
      <c r="B171" s="537"/>
    </row>
    <row r="172" spans="1:54">
      <c r="A172" s="1" t="s">
        <v>125</v>
      </c>
      <c r="B172" s="537"/>
    </row>
    <row r="173" spans="1:54">
      <c r="A173" s="1" t="s">
        <v>126</v>
      </c>
      <c r="B173" s="537"/>
    </row>
    <row r="174" spans="1:54">
      <c r="A174" s="1" t="s">
        <v>127</v>
      </c>
      <c r="B174" s="537"/>
    </row>
    <row r="175" spans="1:54">
      <c r="A175" s="352" t="s">
        <v>128</v>
      </c>
      <c r="B175" s="561"/>
    </row>
    <row r="176" spans="1:54">
      <c r="A176" s="1" t="s">
        <v>120</v>
      </c>
      <c r="B176" s="537"/>
    </row>
    <row r="177" spans="1:54">
      <c r="A177" s="1" t="s">
        <v>121</v>
      </c>
      <c r="B177" s="537"/>
    </row>
    <row r="178" spans="1:54">
      <c r="A178" s="1" t="s">
        <v>129</v>
      </c>
      <c r="B178" s="537"/>
    </row>
    <row r="179" spans="1:54">
      <c r="A179" s="1" t="s">
        <v>123</v>
      </c>
      <c r="B179" s="537"/>
    </row>
    <row r="180" spans="1:54">
      <c r="A180" s="1" t="s">
        <v>153</v>
      </c>
      <c r="B180" s="537"/>
    </row>
    <row r="181" spans="1:54" ht="45">
      <c r="A181" s="510" t="s">
        <v>130</v>
      </c>
      <c r="B181" s="537"/>
    </row>
    <row r="182" spans="1:54" ht="45">
      <c r="A182" s="510" t="s">
        <v>131</v>
      </c>
      <c r="B182" s="537"/>
    </row>
    <row r="183" spans="1:54" ht="15" customHeight="1">
      <c r="A183" s="896"/>
      <c r="B183" s="896"/>
    </row>
    <row r="184" spans="1:54" s="531" customFormat="1" ht="18.75">
      <c r="A184" s="544" t="s">
        <v>184</v>
      </c>
      <c r="B184" s="550"/>
      <c r="C184" s="18"/>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row>
    <row r="185" spans="1:54">
      <c r="A185" s="1" t="s">
        <v>119</v>
      </c>
      <c r="B185" s="537"/>
    </row>
    <row r="186" spans="1:54">
      <c r="A186" s="1" t="s">
        <v>125</v>
      </c>
      <c r="B186" s="537"/>
    </row>
    <row r="187" spans="1:54">
      <c r="A187" s="1" t="s">
        <v>126</v>
      </c>
      <c r="B187" s="537"/>
    </row>
    <row r="188" spans="1:54">
      <c r="A188" s="1" t="s">
        <v>127</v>
      </c>
      <c r="B188" s="537"/>
    </row>
    <row r="189" spans="1:54">
      <c r="A189" s="352" t="s">
        <v>128</v>
      </c>
      <c r="B189" s="561"/>
    </row>
    <row r="190" spans="1:54">
      <c r="A190" s="1" t="s">
        <v>120</v>
      </c>
      <c r="B190" s="537"/>
    </row>
    <row r="191" spans="1:54">
      <c r="A191" s="1" t="s">
        <v>121</v>
      </c>
      <c r="B191" s="537"/>
    </row>
    <row r="192" spans="1:54">
      <c r="A192" s="1" t="s">
        <v>129</v>
      </c>
      <c r="B192" s="536"/>
    </row>
    <row r="193" spans="1:2">
      <c r="A193" s="1" t="s">
        <v>123</v>
      </c>
      <c r="B193" s="537"/>
    </row>
    <row r="194" spans="1:2">
      <c r="A194" s="1" t="s">
        <v>153</v>
      </c>
      <c r="B194" s="537"/>
    </row>
    <row r="195" spans="1:2" ht="45">
      <c r="A195" s="510" t="s">
        <v>130</v>
      </c>
      <c r="B195" s="537"/>
    </row>
    <row r="196" spans="1:2" ht="45">
      <c r="A196" s="510" t="s">
        <v>131</v>
      </c>
      <c r="B196" s="537"/>
    </row>
    <row r="197" spans="1:2">
      <c r="A197" s="896"/>
      <c r="B197" s="896"/>
    </row>
    <row r="198" spans="1:2" ht="18.75">
      <c r="A198" s="544" t="s">
        <v>185</v>
      </c>
      <c r="B198" s="545"/>
    </row>
    <row r="199" spans="1:2">
      <c r="A199" s="1" t="s">
        <v>119</v>
      </c>
      <c r="B199" s="537"/>
    </row>
    <row r="200" spans="1:2">
      <c r="A200" s="1" t="s">
        <v>186</v>
      </c>
      <c r="B200" s="537"/>
    </row>
    <row r="201" spans="1:2">
      <c r="A201" s="1" t="s">
        <v>125</v>
      </c>
      <c r="B201" s="537"/>
    </row>
    <row r="202" spans="1:2">
      <c r="A202" s="1" t="s">
        <v>126</v>
      </c>
      <c r="B202" s="537"/>
    </row>
    <row r="203" spans="1:2">
      <c r="A203" s="1" t="s">
        <v>127</v>
      </c>
      <c r="B203" s="537"/>
    </row>
    <row r="204" spans="1:2">
      <c r="A204" s="352" t="s">
        <v>128</v>
      </c>
      <c r="B204" s="561"/>
    </row>
    <row r="205" spans="1:2">
      <c r="A205" s="1" t="s">
        <v>120</v>
      </c>
      <c r="B205" s="537"/>
    </row>
    <row r="206" spans="1:2">
      <c r="A206" s="1" t="s">
        <v>121</v>
      </c>
      <c r="B206" s="537"/>
    </row>
    <row r="207" spans="1:2">
      <c r="A207" s="1" t="s">
        <v>129</v>
      </c>
      <c r="B207" s="537"/>
    </row>
    <row r="208" spans="1:2">
      <c r="A208" s="1" t="s">
        <v>123</v>
      </c>
      <c r="B208" s="537"/>
    </row>
    <row r="209" spans="1:2">
      <c r="A209" s="896"/>
      <c r="B209" s="896"/>
    </row>
    <row r="210" spans="1:2" ht="18.75">
      <c r="A210" s="544" t="s">
        <v>185</v>
      </c>
      <c r="B210" s="545"/>
    </row>
    <row r="211" spans="1:2">
      <c r="A211" s="1" t="s">
        <v>119</v>
      </c>
      <c r="B211" s="537"/>
    </row>
    <row r="212" spans="1:2">
      <c r="A212" s="1" t="s">
        <v>186</v>
      </c>
      <c r="B212" s="537"/>
    </row>
    <row r="213" spans="1:2">
      <c r="A213" s="1" t="s">
        <v>125</v>
      </c>
      <c r="B213" s="537"/>
    </row>
    <row r="214" spans="1:2">
      <c r="A214" s="1" t="s">
        <v>126</v>
      </c>
      <c r="B214" s="537"/>
    </row>
    <row r="215" spans="1:2">
      <c r="A215" s="1" t="s">
        <v>127</v>
      </c>
      <c r="B215" s="537"/>
    </row>
    <row r="216" spans="1:2">
      <c r="A216" s="352" t="s">
        <v>128</v>
      </c>
      <c r="B216" s="561"/>
    </row>
    <row r="217" spans="1:2">
      <c r="A217" s="1" t="s">
        <v>120</v>
      </c>
      <c r="B217" s="537"/>
    </row>
    <row r="218" spans="1:2">
      <c r="A218" s="1" t="s">
        <v>121</v>
      </c>
      <c r="B218" s="537"/>
    </row>
    <row r="219" spans="1:2">
      <c r="A219" s="1" t="s">
        <v>129</v>
      </c>
      <c r="B219" s="537"/>
    </row>
    <row r="220" spans="1:2">
      <c r="A220" s="1" t="s">
        <v>123</v>
      </c>
      <c r="B220" s="537"/>
    </row>
    <row r="221" spans="1:2">
      <c r="A221" s="896"/>
      <c r="B221" s="896"/>
    </row>
    <row r="222" spans="1:2" ht="18.75">
      <c r="A222" s="544" t="s">
        <v>185</v>
      </c>
      <c r="B222" s="545"/>
    </row>
    <row r="223" spans="1:2">
      <c r="A223" s="1" t="s">
        <v>119</v>
      </c>
      <c r="B223" s="537"/>
    </row>
    <row r="224" spans="1:2">
      <c r="A224" s="1" t="s">
        <v>186</v>
      </c>
      <c r="B224" s="537"/>
    </row>
    <row r="225" spans="1:2">
      <c r="A225" s="1" t="s">
        <v>125</v>
      </c>
      <c r="B225" s="537"/>
    </row>
    <row r="226" spans="1:2">
      <c r="A226" s="1" t="s">
        <v>126</v>
      </c>
      <c r="B226" s="537"/>
    </row>
    <row r="227" spans="1:2">
      <c r="A227" s="1" t="s">
        <v>127</v>
      </c>
      <c r="B227" s="537"/>
    </row>
    <row r="228" spans="1:2">
      <c r="A228" s="352" t="s">
        <v>128</v>
      </c>
      <c r="B228" s="561"/>
    </row>
    <row r="229" spans="1:2">
      <c r="A229" s="1" t="s">
        <v>120</v>
      </c>
      <c r="B229" s="537"/>
    </row>
    <row r="230" spans="1:2">
      <c r="A230" s="1" t="s">
        <v>121</v>
      </c>
      <c r="B230" s="537"/>
    </row>
    <row r="231" spans="1:2">
      <c r="A231" s="1" t="s">
        <v>129</v>
      </c>
      <c r="B231" s="536"/>
    </row>
    <row r="232" spans="1:2">
      <c r="A232" s="1" t="s">
        <v>123</v>
      </c>
      <c r="B232" s="537"/>
    </row>
    <row r="233" spans="1:2">
      <c r="A233" s="896"/>
      <c r="B233" s="896"/>
    </row>
    <row r="234" spans="1:2" ht="18.75">
      <c r="A234" s="544" t="s">
        <v>187</v>
      </c>
      <c r="B234" s="545"/>
    </row>
    <row r="235" spans="1:2">
      <c r="A235" s="1" t="s">
        <v>119</v>
      </c>
      <c r="B235" s="537"/>
    </row>
    <row r="236" spans="1:2">
      <c r="A236" s="1" t="s">
        <v>125</v>
      </c>
      <c r="B236" s="537"/>
    </row>
    <row r="237" spans="1:2">
      <c r="A237" s="1" t="s">
        <v>126</v>
      </c>
      <c r="B237" s="537"/>
    </row>
    <row r="238" spans="1:2">
      <c r="A238" s="1" t="s">
        <v>127</v>
      </c>
      <c r="B238" s="537"/>
    </row>
    <row r="239" spans="1:2">
      <c r="A239" s="352" t="s">
        <v>128</v>
      </c>
      <c r="B239" s="561"/>
    </row>
    <row r="240" spans="1:2">
      <c r="A240" s="1" t="s">
        <v>120</v>
      </c>
      <c r="B240" s="537"/>
    </row>
    <row r="241" spans="1:2">
      <c r="A241" s="1" t="s">
        <v>121</v>
      </c>
      <c r="B241" s="537"/>
    </row>
    <row r="242" spans="1:2">
      <c r="A242" s="1" t="s">
        <v>129</v>
      </c>
      <c r="B242" s="536"/>
    </row>
    <row r="243" spans="1:2">
      <c r="A243" s="1" t="s">
        <v>123</v>
      </c>
      <c r="B243" s="537"/>
    </row>
    <row r="244" spans="1:2">
      <c r="A244" s="896"/>
      <c r="B244" s="896"/>
    </row>
    <row r="245" spans="1:2" ht="18.75">
      <c r="A245" s="544" t="s">
        <v>188</v>
      </c>
      <c r="B245" s="545"/>
    </row>
    <row r="246" spans="1:2">
      <c r="A246" s="1" t="s">
        <v>119</v>
      </c>
      <c r="B246" s="537"/>
    </row>
    <row r="247" spans="1:2">
      <c r="A247" s="1" t="s">
        <v>125</v>
      </c>
      <c r="B247" s="537"/>
    </row>
    <row r="248" spans="1:2">
      <c r="A248" s="1" t="s">
        <v>126</v>
      </c>
      <c r="B248" s="537"/>
    </row>
    <row r="249" spans="1:2">
      <c r="A249" s="1" t="s">
        <v>127</v>
      </c>
      <c r="B249" s="537"/>
    </row>
    <row r="250" spans="1:2">
      <c r="A250" s="352" t="s">
        <v>128</v>
      </c>
      <c r="B250" s="561"/>
    </row>
    <row r="251" spans="1:2">
      <c r="A251" s="1" t="s">
        <v>120</v>
      </c>
      <c r="B251" s="537"/>
    </row>
    <row r="252" spans="1:2">
      <c r="A252" s="1" t="s">
        <v>121</v>
      </c>
      <c r="B252" s="537"/>
    </row>
    <row r="253" spans="1:2">
      <c r="A253" s="1" t="s">
        <v>129</v>
      </c>
      <c r="B253" s="536"/>
    </row>
    <row r="254" spans="1:2">
      <c r="A254" s="1" t="s">
        <v>123</v>
      </c>
      <c r="B254" s="537"/>
    </row>
    <row r="255" spans="1:2">
      <c r="A255" s="896"/>
      <c r="B255" s="896"/>
    </row>
    <row r="256" spans="1:2" ht="18.75">
      <c r="A256" s="544" t="s">
        <v>189</v>
      </c>
      <c r="B256" s="545"/>
    </row>
    <row r="257" spans="1:2">
      <c r="A257" s="1" t="s">
        <v>119</v>
      </c>
      <c r="B257" s="537"/>
    </row>
    <row r="258" spans="1:2">
      <c r="A258" s="1" t="s">
        <v>125</v>
      </c>
      <c r="B258" s="537"/>
    </row>
    <row r="259" spans="1:2">
      <c r="A259" s="1" t="s">
        <v>126</v>
      </c>
      <c r="B259" s="537"/>
    </row>
    <row r="260" spans="1:2">
      <c r="A260" s="1" t="s">
        <v>127</v>
      </c>
      <c r="B260" s="537"/>
    </row>
    <row r="261" spans="1:2">
      <c r="A261" s="352" t="s">
        <v>128</v>
      </c>
      <c r="B261" s="561"/>
    </row>
    <row r="262" spans="1:2">
      <c r="A262" s="1" t="s">
        <v>120</v>
      </c>
      <c r="B262" s="537"/>
    </row>
    <row r="263" spans="1:2">
      <c r="A263" s="1" t="s">
        <v>121</v>
      </c>
      <c r="B263" s="537"/>
    </row>
    <row r="264" spans="1:2">
      <c r="A264" s="1" t="s">
        <v>129</v>
      </c>
      <c r="B264" s="537"/>
    </row>
    <row r="265" spans="1:2">
      <c r="A265" s="1" t="s">
        <v>123</v>
      </c>
      <c r="B265" s="537"/>
    </row>
    <row r="266" spans="1:2">
      <c r="A266" s="896"/>
      <c r="B266" s="896"/>
    </row>
    <row r="267" spans="1:2" ht="18.75">
      <c r="A267" s="544" t="s">
        <v>190</v>
      </c>
      <c r="B267" s="545"/>
    </row>
    <row r="268" spans="1:2">
      <c r="A268" s="1" t="s">
        <v>119</v>
      </c>
      <c r="B268" s="537"/>
    </row>
    <row r="269" spans="1:2">
      <c r="A269" s="1" t="s">
        <v>125</v>
      </c>
      <c r="B269" s="537"/>
    </row>
    <row r="270" spans="1:2">
      <c r="A270" s="1" t="s">
        <v>126</v>
      </c>
      <c r="B270" s="537"/>
    </row>
    <row r="271" spans="1:2">
      <c r="A271" s="1" t="s">
        <v>127</v>
      </c>
      <c r="B271" s="537"/>
    </row>
    <row r="272" spans="1:2">
      <c r="A272" s="352" t="s">
        <v>128</v>
      </c>
      <c r="B272" s="561"/>
    </row>
    <row r="273" spans="1:2">
      <c r="A273" s="1" t="s">
        <v>120</v>
      </c>
      <c r="B273" s="537"/>
    </row>
    <row r="274" spans="1:2">
      <c r="A274" s="1" t="s">
        <v>121</v>
      </c>
      <c r="B274" s="537"/>
    </row>
    <row r="275" spans="1:2">
      <c r="A275" s="1" t="s">
        <v>129</v>
      </c>
      <c r="B275" s="537"/>
    </row>
    <row r="276" spans="1:2">
      <c r="A276" s="1" t="s">
        <v>123</v>
      </c>
      <c r="B276" s="537"/>
    </row>
    <row r="277" spans="1:2">
      <c r="A277" s="896"/>
      <c r="B277" s="896"/>
    </row>
    <row r="278" spans="1:2" ht="18.75">
      <c r="A278" s="544" t="s">
        <v>191</v>
      </c>
      <c r="B278" s="545"/>
    </row>
    <row r="279" spans="1:2">
      <c r="A279" s="1" t="s">
        <v>119</v>
      </c>
      <c r="B279" s="537"/>
    </row>
    <row r="280" spans="1:2">
      <c r="A280" s="1" t="s">
        <v>125</v>
      </c>
      <c r="B280" s="537"/>
    </row>
    <row r="281" spans="1:2">
      <c r="A281" s="1" t="s">
        <v>126</v>
      </c>
      <c r="B281" s="537"/>
    </row>
    <row r="282" spans="1:2">
      <c r="A282" s="1" t="s">
        <v>127</v>
      </c>
      <c r="B282" s="537"/>
    </row>
    <row r="283" spans="1:2">
      <c r="A283" s="352" t="s">
        <v>128</v>
      </c>
      <c r="B283" s="561"/>
    </row>
    <row r="284" spans="1:2">
      <c r="A284" s="1" t="s">
        <v>120</v>
      </c>
      <c r="B284" s="537"/>
    </row>
    <row r="285" spans="1:2">
      <c r="A285" s="1" t="s">
        <v>121</v>
      </c>
      <c r="B285" s="537"/>
    </row>
    <row r="286" spans="1:2">
      <c r="A286" s="1" t="s">
        <v>129</v>
      </c>
      <c r="B286" s="537"/>
    </row>
    <row r="287" spans="1:2">
      <c r="A287" s="1" t="s">
        <v>123</v>
      </c>
      <c r="B287" s="537"/>
    </row>
    <row r="288" spans="1:2">
      <c r="A288" s="896"/>
      <c r="B288" s="896"/>
    </row>
    <row r="289" spans="1:2" ht="18.75">
      <c r="A289" s="544" t="s">
        <v>192</v>
      </c>
      <c r="B289" s="545"/>
    </row>
    <row r="290" spans="1:2">
      <c r="A290" s="1" t="s">
        <v>119</v>
      </c>
      <c r="B290" s="537"/>
    </row>
    <row r="291" spans="1:2">
      <c r="A291" s="1" t="s">
        <v>125</v>
      </c>
      <c r="B291" s="537"/>
    </row>
    <row r="292" spans="1:2">
      <c r="A292" s="1" t="s">
        <v>126</v>
      </c>
      <c r="B292" s="537"/>
    </row>
    <row r="293" spans="1:2">
      <c r="A293" s="1" t="s">
        <v>127</v>
      </c>
      <c r="B293" s="537"/>
    </row>
    <row r="294" spans="1:2">
      <c r="A294" s="1" t="s">
        <v>181</v>
      </c>
      <c r="B294" s="537"/>
    </row>
    <row r="295" spans="1:2">
      <c r="A295" s="1" t="s">
        <v>120</v>
      </c>
      <c r="B295" s="537"/>
    </row>
    <row r="296" spans="1:2">
      <c r="A296" s="1" t="s">
        <v>121</v>
      </c>
      <c r="B296" s="537"/>
    </row>
    <row r="297" spans="1:2">
      <c r="A297" s="1" t="s">
        <v>129</v>
      </c>
      <c r="B297" s="537"/>
    </row>
    <row r="298" spans="1:2">
      <c r="A298" s="1" t="s">
        <v>123</v>
      </c>
      <c r="B298" s="537"/>
    </row>
    <row r="299" spans="1:2">
      <c r="A299" s="896"/>
      <c r="B299" s="896"/>
    </row>
    <row r="300" spans="1:2" ht="18.75">
      <c r="A300" s="544" t="s">
        <v>193</v>
      </c>
      <c r="B300" s="545"/>
    </row>
    <row r="301" spans="1:2">
      <c r="A301" s="1" t="s">
        <v>119</v>
      </c>
      <c r="B301" s="537"/>
    </row>
    <row r="302" spans="1:2">
      <c r="A302" s="1" t="s">
        <v>125</v>
      </c>
      <c r="B302" s="537"/>
    </row>
    <row r="303" spans="1:2">
      <c r="A303" s="1" t="s">
        <v>126</v>
      </c>
      <c r="B303" s="537"/>
    </row>
    <row r="304" spans="1:2">
      <c r="A304" s="1" t="s">
        <v>127</v>
      </c>
      <c r="B304" s="537"/>
    </row>
    <row r="305" spans="1:2">
      <c r="A305" s="352" t="s">
        <v>128</v>
      </c>
      <c r="B305" s="561"/>
    </row>
    <row r="306" spans="1:2">
      <c r="A306" s="1" t="s">
        <v>120</v>
      </c>
      <c r="B306" s="537"/>
    </row>
    <row r="307" spans="1:2">
      <c r="A307" s="1" t="s">
        <v>121</v>
      </c>
      <c r="B307" s="537"/>
    </row>
    <row r="308" spans="1:2">
      <c r="A308" s="1" t="s">
        <v>129</v>
      </c>
      <c r="B308" s="537"/>
    </row>
    <row r="309" spans="1:2">
      <c r="A309" s="1" t="s">
        <v>123</v>
      </c>
      <c r="B309" s="537"/>
    </row>
    <row r="310" spans="1:2">
      <c r="A310" s="896"/>
      <c r="B310" s="896"/>
    </row>
    <row r="311" spans="1:2" ht="18.75">
      <c r="A311" s="544" t="s">
        <v>194</v>
      </c>
      <c r="B311" s="545"/>
    </row>
    <row r="312" spans="1:2">
      <c r="A312" s="1" t="s">
        <v>119</v>
      </c>
      <c r="B312" s="537"/>
    </row>
    <row r="313" spans="1:2">
      <c r="A313" s="1" t="s">
        <v>125</v>
      </c>
      <c r="B313" s="537"/>
    </row>
    <row r="314" spans="1:2">
      <c r="A314" s="1" t="s">
        <v>126</v>
      </c>
      <c r="B314" s="537"/>
    </row>
    <row r="315" spans="1:2">
      <c r="A315" s="1" t="s">
        <v>127</v>
      </c>
      <c r="B315" s="537"/>
    </row>
    <row r="316" spans="1:2">
      <c r="A316" s="352" t="s">
        <v>128</v>
      </c>
      <c r="B316" s="561"/>
    </row>
    <row r="317" spans="1:2">
      <c r="A317" s="1" t="s">
        <v>120</v>
      </c>
      <c r="B317" s="537"/>
    </row>
    <row r="318" spans="1:2">
      <c r="A318" s="1" t="s">
        <v>121</v>
      </c>
      <c r="B318" s="537"/>
    </row>
    <row r="319" spans="1:2">
      <c r="A319" s="1" t="s">
        <v>129</v>
      </c>
      <c r="B319" s="537"/>
    </row>
    <row r="320" spans="1:2">
      <c r="A320" s="1" t="s">
        <v>123</v>
      </c>
      <c r="B320" s="537"/>
    </row>
    <row r="321" spans="1:2">
      <c r="A321" s="896"/>
      <c r="B321" s="896"/>
    </row>
    <row r="322" spans="1:2" ht="18.75">
      <c r="A322" s="544" t="s">
        <v>195</v>
      </c>
      <c r="B322" s="545"/>
    </row>
    <row r="323" spans="1:2">
      <c r="A323" s="1" t="s">
        <v>119</v>
      </c>
      <c r="B323" s="537"/>
    </row>
    <row r="324" spans="1:2">
      <c r="A324" s="1" t="s">
        <v>125</v>
      </c>
      <c r="B324" s="537"/>
    </row>
    <row r="325" spans="1:2">
      <c r="A325" s="1" t="s">
        <v>126</v>
      </c>
      <c r="B325" s="537"/>
    </row>
    <row r="326" spans="1:2">
      <c r="A326" s="1" t="s">
        <v>127</v>
      </c>
      <c r="B326" s="537"/>
    </row>
    <row r="327" spans="1:2">
      <c r="A327" s="352" t="s">
        <v>128</v>
      </c>
      <c r="B327" s="561"/>
    </row>
    <row r="328" spans="1:2">
      <c r="A328" s="1" t="s">
        <v>120</v>
      </c>
      <c r="B328" s="537"/>
    </row>
    <row r="329" spans="1:2">
      <c r="A329" s="1" t="s">
        <v>121</v>
      </c>
      <c r="B329" s="537"/>
    </row>
    <row r="330" spans="1:2">
      <c r="A330" s="1" t="s">
        <v>129</v>
      </c>
      <c r="B330" s="537"/>
    </row>
    <row r="331" spans="1:2">
      <c r="A331" s="1" t="s">
        <v>123</v>
      </c>
      <c r="B331" s="687"/>
    </row>
    <row r="332" spans="1:2">
      <c r="A332" s="896"/>
      <c r="B332" s="896"/>
    </row>
    <row r="333" spans="1:2" ht="18.75">
      <c r="A333" s="544" t="s">
        <v>196</v>
      </c>
      <c r="B333" s="545"/>
    </row>
    <row r="334" spans="1:2">
      <c r="A334" s="1" t="s">
        <v>119</v>
      </c>
      <c r="B334" s="537"/>
    </row>
    <row r="335" spans="1:2">
      <c r="A335" s="1" t="s">
        <v>125</v>
      </c>
      <c r="B335" s="537"/>
    </row>
    <row r="336" spans="1:2">
      <c r="A336" s="1" t="s">
        <v>126</v>
      </c>
      <c r="B336" s="537"/>
    </row>
    <row r="337" spans="1:2">
      <c r="A337" s="1" t="s">
        <v>127</v>
      </c>
      <c r="B337" s="537"/>
    </row>
    <row r="338" spans="1:2">
      <c r="A338" s="352" t="s">
        <v>128</v>
      </c>
      <c r="B338" s="561"/>
    </row>
    <row r="339" spans="1:2">
      <c r="A339" s="1" t="s">
        <v>120</v>
      </c>
      <c r="B339" s="537"/>
    </row>
    <row r="340" spans="1:2">
      <c r="A340" s="1" t="s">
        <v>121</v>
      </c>
      <c r="B340" s="537"/>
    </row>
    <row r="341" spans="1:2">
      <c r="A341" s="1" t="s">
        <v>129</v>
      </c>
      <c r="B341" s="537"/>
    </row>
    <row r="342" spans="1:2">
      <c r="A342" s="1" t="s">
        <v>123</v>
      </c>
      <c r="B342" s="537"/>
    </row>
    <row r="343" spans="1:2">
      <c r="A343" s="1" t="s">
        <v>197</v>
      </c>
      <c r="B343" s="784"/>
    </row>
    <row r="344" spans="1:2">
      <c r="A344" s="896"/>
      <c r="B344" s="896"/>
    </row>
    <row r="345" spans="1:2" ht="18.75">
      <c r="A345" s="544" t="s">
        <v>198</v>
      </c>
      <c r="B345" s="545"/>
    </row>
    <row r="346" spans="1:2">
      <c r="A346" s="1" t="s">
        <v>119</v>
      </c>
      <c r="B346" s="537"/>
    </row>
    <row r="347" spans="1:2">
      <c r="A347" s="1" t="s">
        <v>125</v>
      </c>
      <c r="B347" s="537"/>
    </row>
    <row r="348" spans="1:2">
      <c r="A348" s="1" t="s">
        <v>126</v>
      </c>
      <c r="B348" s="537"/>
    </row>
    <row r="349" spans="1:2">
      <c r="A349" s="1" t="s">
        <v>127</v>
      </c>
      <c r="B349" s="537"/>
    </row>
    <row r="350" spans="1:2">
      <c r="A350" s="352" t="s">
        <v>128</v>
      </c>
      <c r="B350" s="561"/>
    </row>
    <row r="351" spans="1:2">
      <c r="A351" s="1" t="s">
        <v>120</v>
      </c>
      <c r="B351" s="537"/>
    </row>
    <row r="352" spans="1:2">
      <c r="A352" s="1" t="s">
        <v>121</v>
      </c>
      <c r="B352" s="537"/>
    </row>
    <row r="353" spans="1:2">
      <c r="A353" s="1" t="s">
        <v>129</v>
      </c>
      <c r="B353" s="537"/>
    </row>
    <row r="354" spans="1:2">
      <c r="A354" s="1" t="s">
        <v>123</v>
      </c>
      <c r="B354" s="537"/>
    </row>
    <row r="355" spans="1:2">
      <c r="A355" s="896"/>
      <c r="B355" s="896"/>
    </row>
    <row r="356" spans="1:2" ht="18.75">
      <c r="A356" s="544" t="s">
        <v>199</v>
      </c>
      <c r="B356" s="545"/>
    </row>
    <row r="357" spans="1:2">
      <c r="A357" s="1" t="s">
        <v>119</v>
      </c>
      <c r="B357" s="537"/>
    </row>
    <row r="358" spans="1:2">
      <c r="A358" s="1" t="s">
        <v>125</v>
      </c>
      <c r="B358" s="537"/>
    </row>
    <row r="359" spans="1:2">
      <c r="A359" s="1" t="s">
        <v>126</v>
      </c>
      <c r="B359" s="537"/>
    </row>
    <row r="360" spans="1:2">
      <c r="A360" s="1" t="s">
        <v>127</v>
      </c>
      <c r="B360" s="537"/>
    </row>
    <row r="361" spans="1:2">
      <c r="A361" s="352" t="s">
        <v>128</v>
      </c>
      <c r="B361" s="561"/>
    </row>
    <row r="362" spans="1:2">
      <c r="A362" s="1" t="s">
        <v>120</v>
      </c>
      <c r="B362" s="537"/>
    </row>
    <row r="363" spans="1:2">
      <c r="A363" s="1" t="s">
        <v>121</v>
      </c>
      <c r="B363" s="537"/>
    </row>
    <row r="364" spans="1:2">
      <c r="A364" s="1" t="s">
        <v>129</v>
      </c>
      <c r="B364" s="537"/>
    </row>
    <row r="365" spans="1:2">
      <c r="A365" s="1" t="s">
        <v>123</v>
      </c>
      <c r="B365" s="537"/>
    </row>
    <row r="366" spans="1:2">
      <c r="A366" s="896"/>
      <c r="B366" s="896"/>
    </row>
    <row r="367" spans="1:2" ht="18.75">
      <c r="A367" s="544" t="s">
        <v>200</v>
      </c>
      <c r="B367" s="545"/>
    </row>
    <row r="368" spans="1:2" ht="14.25" customHeight="1">
      <c r="A368" s="1" t="s">
        <v>201</v>
      </c>
      <c r="B368" s="537"/>
    </row>
    <row r="369" spans="1:2" ht="14.25" customHeight="1">
      <c r="A369" s="1" t="s">
        <v>202</v>
      </c>
      <c r="B369" s="537"/>
    </row>
    <row r="370" spans="1:2">
      <c r="A370" s="1" t="s">
        <v>125</v>
      </c>
      <c r="B370" s="537"/>
    </row>
    <row r="371" spans="1:2">
      <c r="A371" s="1" t="s">
        <v>126</v>
      </c>
      <c r="B371" s="537"/>
    </row>
    <row r="372" spans="1:2">
      <c r="A372" s="1" t="s">
        <v>127</v>
      </c>
      <c r="B372" s="537"/>
    </row>
    <row r="373" spans="1:2">
      <c r="A373" s="352" t="s">
        <v>128</v>
      </c>
      <c r="B373" s="561"/>
    </row>
    <row r="374" spans="1:2">
      <c r="A374" s="1" t="s">
        <v>120</v>
      </c>
      <c r="B374" s="537"/>
    </row>
    <row r="375" spans="1:2">
      <c r="A375" s="1" t="s">
        <v>121</v>
      </c>
      <c r="B375" s="537"/>
    </row>
    <row r="376" spans="1:2">
      <c r="A376" s="1" t="s">
        <v>129</v>
      </c>
      <c r="B376" s="537"/>
    </row>
    <row r="377" spans="1:2">
      <c r="A377" s="1" t="s">
        <v>123</v>
      </c>
      <c r="B377" s="537"/>
    </row>
    <row r="378" spans="1:2">
      <c r="A378" s="896"/>
      <c r="B378" s="896"/>
    </row>
    <row r="379" spans="1:2" ht="18.75">
      <c r="A379" s="544" t="s">
        <v>203</v>
      </c>
      <c r="B379" s="545"/>
    </row>
    <row r="380" spans="1:2">
      <c r="A380" s="1" t="s">
        <v>204</v>
      </c>
      <c r="B380" s="537"/>
    </row>
    <row r="381" spans="1:2">
      <c r="A381" s="1" t="s">
        <v>202</v>
      </c>
      <c r="B381" s="537"/>
    </row>
    <row r="382" spans="1:2">
      <c r="A382" s="1" t="s">
        <v>125</v>
      </c>
      <c r="B382" s="537"/>
    </row>
    <row r="383" spans="1:2">
      <c r="A383" s="1" t="s">
        <v>126</v>
      </c>
      <c r="B383" s="537"/>
    </row>
    <row r="384" spans="1:2">
      <c r="A384" s="1" t="s">
        <v>127</v>
      </c>
      <c r="B384" s="537"/>
    </row>
    <row r="385" spans="1:2">
      <c r="A385" s="352" t="s">
        <v>128</v>
      </c>
      <c r="B385" s="561"/>
    </row>
    <row r="386" spans="1:2">
      <c r="A386" s="1" t="s">
        <v>120</v>
      </c>
      <c r="B386" s="537"/>
    </row>
    <row r="387" spans="1:2">
      <c r="A387" s="1" t="s">
        <v>121</v>
      </c>
      <c r="B387" s="537"/>
    </row>
    <row r="388" spans="1:2">
      <c r="A388" s="1" t="s">
        <v>129</v>
      </c>
      <c r="B388" s="537"/>
    </row>
    <row r="389" spans="1:2">
      <c r="A389" s="1" t="s">
        <v>123</v>
      </c>
      <c r="B389" s="537"/>
    </row>
    <row r="390" spans="1:2">
      <c r="A390" s="896"/>
      <c r="B390" s="896"/>
    </row>
    <row r="391" spans="1:2" ht="18.75">
      <c r="A391" s="544" t="s">
        <v>205</v>
      </c>
      <c r="B391" s="545"/>
    </row>
    <row r="392" spans="1:2">
      <c r="A392" s="1" t="s">
        <v>204</v>
      </c>
      <c r="B392" s="537"/>
    </row>
    <row r="393" spans="1:2">
      <c r="A393" s="1" t="s">
        <v>125</v>
      </c>
      <c r="B393" s="537"/>
    </row>
    <row r="394" spans="1:2">
      <c r="A394" s="1" t="s">
        <v>126</v>
      </c>
      <c r="B394" s="537"/>
    </row>
    <row r="395" spans="1:2">
      <c r="A395" s="1" t="s">
        <v>127</v>
      </c>
      <c r="B395" s="537"/>
    </row>
    <row r="396" spans="1:2">
      <c r="A396" s="352" t="s">
        <v>128</v>
      </c>
      <c r="B396" s="561"/>
    </row>
    <row r="397" spans="1:2">
      <c r="A397" s="1" t="s">
        <v>120</v>
      </c>
      <c r="B397" s="537"/>
    </row>
    <row r="398" spans="1:2">
      <c r="A398" s="1" t="s">
        <v>121</v>
      </c>
      <c r="B398" s="537"/>
    </row>
    <row r="399" spans="1:2">
      <c r="A399" s="1" t="s">
        <v>129</v>
      </c>
      <c r="B399" s="537"/>
    </row>
    <row r="400" spans="1:2">
      <c r="A400" s="1" t="s">
        <v>123</v>
      </c>
      <c r="B400" s="687"/>
    </row>
    <row r="401" spans="1:2">
      <c r="A401" s="1"/>
      <c r="B401" s="860"/>
    </row>
    <row r="402" spans="1:2" ht="18.75">
      <c r="A402" s="544" t="s">
        <v>206</v>
      </c>
      <c r="B402" s="545"/>
    </row>
    <row r="403" spans="1:2">
      <c r="A403" s="1" t="s">
        <v>204</v>
      </c>
      <c r="B403" s="537"/>
    </row>
    <row r="404" spans="1:2">
      <c r="A404" s="1" t="s">
        <v>125</v>
      </c>
      <c r="B404" s="537"/>
    </row>
    <row r="405" spans="1:2">
      <c r="A405" s="1" t="s">
        <v>126</v>
      </c>
      <c r="B405" s="537"/>
    </row>
    <row r="406" spans="1:2">
      <c r="A406" s="1" t="s">
        <v>127</v>
      </c>
      <c r="B406" s="537"/>
    </row>
    <row r="407" spans="1:2">
      <c r="A407" s="352" t="s">
        <v>128</v>
      </c>
      <c r="B407" s="561"/>
    </row>
    <row r="408" spans="1:2">
      <c r="A408" s="1" t="s">
        <v>120</v>
      </c>
      <c r="B408" s="537"/>
    </row>
    <row r="409" spans="1:2">
      <c r="A409" s="1" t="s">
        <v>121</v>
      </c>
      <c r="B409" s="537"/>
    </row>
    <row r="410" spans="1:2">
      <c r="A410" s="1" t="s">
        <v>129</v>
      </c>
      <c r="B410" s="537"/>
    </row>
    <row r="411" spans="1:2">
      <c r="A411" s="1" t="s">
        <v>123</v>
      </c>
      <c r="B411" s="537"/>
    </row>
    <row r="412" spans="1:2">
      <c r="A412" s="896"/>
      <c r="B412" s="896"/>
    </row>
    <row r="413" spans="1:2" ht="18.75">
      <c r="A413" s="544" t="s">
        <v>207</v>
      </c>
      <c r="B413" s="545"/>
    </row>
    <row r="414" spans="1:2">
      <c r="A414" s="1" t="s">
        <v>119</v>
      </c>
      <c r="B414" s="537"/>
    </row>
    <row r="415" spans="1:2">
      <c r="A415" s="1" t="s">
        <v>125</v>
      </c>
      <c r="B415" s="537"/>
    </row>
    <row r="416" spans="1:2">
      <c r="A416" s="1" t="s">
        <v>126</v>
      </c>
      <c r="B416" s="537"/>
    </row>
    <row r="417" spans="1:24">
      <c r="A417" s="1" t="s">
        <v>127</v>
      </c>
      <c r="B417" s="537"/>
    </row>
    <row r="418" spans="1:24">
      <c r="A418" s="352" t="s">
        <v>128</v>
      </c>
      <c r="B418" s="561"/>
    </row>
    <row r="419" spans="1:24">
      <c r="A419" s="1" t="s">
        <v>208</v>
      </c>
      <c r="B419" s="537"/>
    </row>
    <row r="420" spans="1:24">
      <c r="A420" s="1" t="s">
        <v>209</v>
      </c>
      <c r="B420" s="537"/>
    </row>
    <row r="421" spans="1:24">
      <c r="A421" s="1" t="s">
        <v>129</v>
      </c>
      <c r="B421" s="537"/>
    </row>
    <row r="422" spans="1:24">
      <c r="A422" s="1" t="s">
        <v>123</v>
      </c>
      <c r="B422" s="537"/>
    </row>
    <row r="423" spans="1:24">
      <c r="A423" s="896"/>
      <c r="B423" s="896"/>
    </row>
    <row r="424" spans="1:24" s="530" customFormat="1" ht="18.75">
      <c r="A424" s="551" t="s">
        <v>210</v>
      </c>
      <c r="B424" s="552"/>
      <c r="C424"/>
      <c r="D424"/>
      <c r="E424"/>
      <c r="F424"/>
      <c r="G424"/>
      <c r="H424"/>
      <c r="I424"/>
      <c r="J424"/>
      <c r="K424"/>
      <c r="L424"/>
      <c r="M424"/>
      <c r="N424"/>
      <c r="O424"/>
      <c r="P424"/>
      <c r="Q424"/>
      <c r="R424"/>
      <c r="S424"/>
      <c r="T424"/>
      <c r="U424"/>
      <c r="V424"/>
      <c r="W424"/>
      <c r="X424"/>
    </row>
    <row r="425" spans="1:24" ht="18.75">
      <c r="A425" s="544" t="s">
        <v>211</v>
      </c>
      <c r="B425" s="545"/>
    </row>
    <row r="426" spans="1:24">
      <c r="A426" s="1" t="s">
        <v>119</v>
      </c>
      <c r="B426" s="537"/>
    </row>
    <row r="427" spans="1:24">
      <c r="A427" s="1" t="s">
        <v>125</v>
      </c>
      <c r="B427" s="537"/>
    </row>
    <row r="428" spans="1:24">
      <c r="A428" s="1" t="s">
        <v>126</v>
      </c>
      <c r="B428" s="537"/>
    </row>
    <row r="429" spans="1:24">
      <c r="A429" s="1" t="s">
        <v>127</v>
      </c>
      <c r="B429" s="537"/>
    </row>
    <row r="430" spans="1:24">
      <c r="A430" s="352" t="s">
        <v>128</v>
      </c>
      <c r="B430" s="561"/>
    </row>
    <row r="431" spans="1:24">
      <c r="A431" s="1" t="s">
        <v>120</v>
      </c>
      <c r="B431" s="537"/>
    </row>
    <row r="432" spans="1:24">
      <c r="A432" s="1" t="s">
        <v>121</v>
      </c>
      <c r="B432" s="537"/>
    </row>
    <row r="433" spans="1:2">
      <c r="A433" s="1" t="s">
        <v>129</v>
      </c>
      <c r="B433" s="537"/>
    </row>
    <row r="434" spans="1:2">
      <c r="A434" s="1" t="s">
        <v>123</v>
      </c>
      <c r="B434" s="537"/>
    </row>
    <row r="435" spans="1:2">
      <c r="A435" s="896"/>
      <c r="B435" s="896"/>
    </row>
    <row r="436" spans="1:2" ht="18.75">
      <c r="A436" s="544" t="s">
        <v>212</v>
      </c>
      <c r="B436" s="545"/>
    </row>
    <row r="437" spans="1:2">
      <c r="A437" s="1" t="s">
        <v>119</v>
      </c>
      <c r="B437" s="537"/>
    </row>
    <row r="438" spans="1:2">
      <c r="A438" s="1" t="s">
        <v>125</v>
      </c>
      <c r="B438" s="537"/>
    </row>
    <row r="439" spans="1:2">
      <c r="A439" s="1" t="s">
        <v>126</v>
      </c>
      <c r="B439" s="537"/>
    </row>
    <row r="440" spans="1:2">
      <c r="A440" s="1" t="s">
        <v>127</v>
      </c>
      <c r="B440" s="537"/>
    </row>
    <row r="441" spans="1:2">
      <c r="A441" s="352" t="s">
        <v>128</v>
      </c>
      <c r="B441" s="561"/>
    </row>
    <row r="442" spans="1:2">
      <c r="A442" s="1" t="s">
        <v>120</v>
      </c>
      <c r="B442" s="537"/>
    </row>
    <row r="443" spans="1:2">
      <c r="A443" s="1" t="s">
        <v>121</v>
      </c>
      <c r="B443" s="537"/>
    </row>
    <row r="444" spans="1:2">
      <c r="A444" s="1" t="s">
        <v>129</v>
      </c>
      <c r="B444" s="537"/>
    </row>
    <row r="445" spans="1:2">
      <c r="A445" s="1" t="s">
        <v>123</v>
      </c>
      <c r="B445" s="537"/>
    </row>
    <row r="446" spans="1:2">
      <c r="A446" s="896"/>
      <c r="B446" s="896"/>
    </row>
    <row r="447" spans="1:2" ht="18.75">
      <c r="A447" s="544" t="s">
        <v>213</v>
      </c>
      <c r="B447" s="545"/>
    </row>
    <row r="448" spans="1:2">
      <c r="A448" s="1" t="s">
        <v>119</v>
      </c>
      <c r="B448" s="537"/>
    </row>
    <row r="449" spans="1:2">
      <c r="A449" s="1" t="s">
        <v>125</v>
      </c>
      <c r="B449" s="537"/>
    </row>
    <row r="450" spans="1:2">
      <c r="A450" s="1" t="s">
        <v>126</v>
      </c>
      <c r="B450" s="537"/>
    </row>
    <row r="451" spans="1:2">
      <c r="A451" s="1" t="s">
        <v>127</v>
      </c>
      <c r="B451" s="537"/>
    </row>
    <row r="452" spans="1:2">
      <c r="A452" s="352" t="s">
        <v>128</v>
      </c>
      <c r="B452" s="561"/>
    </row>
    <row r="453" spans="1:2">
      <c r="A453" s="1" t="s">
        <v>120</v>
      </c>
      <c r="B453" s="537"/>
    </row>
    <row r="454" spans="1:2">
      <c r="A454" s="1" t="s">
        <v>121</v>
      </c>
      <c r="B454" s="537"/>
    </row>
    <row r="455" spans="1:2">
      <c r="A455" s="1" t="s">
        <v>129</v>
      </c>
      <c r="B455" s="537"/>
    </row>
    <row r="456" spans="1:2">
      <c r="A456" s="1" t="s">
        <v>123</v>
      </c>
      <c r="B456" s="537"/>
    </row>
    <row r="457" spans="1:2">
      <c r="A457" s="896"/>
      <c r="B457" s="896"/>
    </row>
    <row r="458" spans="1:2" ht="18.75">
      <c r="A458" s="544" t="s">
        <v>214</v>
      </c>
      <c r="B458" s="545"/>
    </row>
    <row r="459" spans="1:2">
      <c r="A459" s="1" t="s">
        <v>119</v>
      </c>
      <c r="B459" s="537"/>
    </row>
    <row r="460" spans="1:2">
      <c r="A460" s="1" t="s">
        <v>125</v>
      </c>
      <c r="B460" s="537"/>
    </row>
    <row r="461" spans="1:2">
      <c r="A461" s="1" t="s">
        <v>126</v>
      </c>
      <c r="B461" s="537"/>
    </row>
    <row r="462" spans="1:2">
      <c r="A462" s="1" t="s">
        <v>127</v>
      </c>
      <c r="B462" s="537"/>
    </row>
    <row r="463" spans="1:2">
      <c r="A463" s="352" t="s">
        <v>128</v>
      </c>
      <c r="B463" s="561"/>
    </row>
    <row r="464" spans="1:2" ht="12.6" customHeight="1">
      <c r="A464" s="1" t="s">
        <v>120</v>
      </c>
      <c r="B464" s="537"/>
    </row>
    <row r="465" spans="1:2">
      <c r="A465" s="1" t="s">
        <v>121</v>
      </c>
      <c r="B465" s="537"/>
    </row>
    <row r="466" spans="1:2">
      <c r="A466" s="1" t="s">
        <v>129</v>
      </c>
      <c r="B466" s="537"/>
    </row>
    <row r="467" spans="1:2">
      <c r="A467" s="1" t="s">
        <v>123</v>
      </c>
      <c r="B467" s="537"/>
    </row>
  </sheetData>
  <sheetProtection algorithmName="SHA-512" hashValue="ny/TNOF3jELTeMhPFX2qPKQo1U6UtVr0p5iHryxEQwkXVwKfUVachXi3z8SwubUdVtmyIuAXZKaBxBSwczCNBQ==" saltValue="6SxO7JpYQ39JZzvDFK9QJQ==" spinCount="100000" sheet="1" objects="1" scenarios="1"/>
  <dataConsolidate/>
  <mergeCells count="36">
    <mergeCell ref="A2:B2"/>
    <mergeCell ref="A63:B63"/>
    <mergeCell ref="A49:B49"/>
    <mergeCell ref="A9:B9"/>
    <mergeCell ref="A3:B3"/>
    <mergeCell ref="A155:B155"/>
    <mergeCell ref="A141:B141"/>
    <mergeCell ref="A130:B130"/>
    <mergeCell ref="A100:B100"/>
    <mergeCell ref="A74:B74"/>
    <mergeCell ref="A85:B85"/>
    <mergeCell ref="A233:B233"/>
    <mergeCell ref="A221:B221"/>
    <mergeCell ref="A209:B209"/>
    <mergeCell ref="A197:B197"/>
    <mergeCell ref="A169:B169"/>
    <mergeCell ref="A183:B183"/>
    <mergeCell ref="A288:B288"/>
    <mergeCell ref="A277:B277"/>
    <mergeCell ref="A266:B266"/>
    <mergeCell ref="A255:B255"/>
    <mergeCell ref="A244:B244"/>
    <mergeCell ref="A457:B457"/>
    <mergeCell ref="A446:B446"/>
    <mergeCell ref="A435:B435"/>
    <mergeCell ref="A423:B423"/>
    <mergeCell ref="A412:B412"/>
    <mergeCell ref="A332:B332"/>
    <mergeCell ref="A321:B321"/>
    <mergeCell ref="A310:B310"/>
    <mergeCell ref="A299:B299"/>
    <mergeCell ref="A390:B390"/>
    <mergeCell ref="A378:B378"/>
    <mergeCell ref="A366:B366"/>
    <mergeCell ref="A355:B355"/>
    <mergeCell ref="A344:B344"/>
  </mergeCells>
  <dataValidations count="17">
    <dataValidation type="list" allowBlank="1" showInputMessage="1" showErrorMessage="1" errorTitle="Owning an Interest " error="Please select a valid value for NP/PHA owning an interest." sqref="B115" xr:uid="{9F065954-6442-4197-A5B6-7007D24CDE2F}">
      <formula1>Yes_No_List</formula1>
    </dataValidation>
    <dataValidation type="list" allowBlank="1" showInputMessage="1" showErrorMessage="1" errorTitle="Tax Credits in Other States" error="Please select a valid value for previous tax credits in other states." sqref="B27" xr:uid="{F46957E4-2F9E-4EEF-87C0-F1F39BE0FAD5}">
      <formula1>Yes_No_List</formula1>
    </dataValidation>
    <dataValidation type="list" allowBlank="1" showInputMessage="1" showErrorMessage="1" errorTitle="Previous Tax Credits in Colorado" error="Please select a valid value for previous tax credits in Colorado." sqref="B25" xr:uid="{3FA395FC-0098-4B0D-B41C-5E863E1A2F49}">
      <formula1>Yes_No_List</formula1>
    </dataValidation>
    <dataValidation type="list" allowBlank="1" showInputMessage="1" showErrorMessage="1" errorTitle="Entity Type" error="Please supply a valid value for Entity Type." sqref="B24" xr:uid="{5DE35456-B401-4D77-9CD9-935A0195A503}">
      <formula1>Entity_Type_List</formula1>
    </dataValidation>
    <dataValidation type="custom" allowBlank="1" showInputMessage="1" showErrorMessage="1" errorTitle="State Equity Factor" error="Please enter a number for State Equity Factor and ensure that the number does not exceed 4 deimals." sqref="B424" xr:uid="{FC912CA2-71DF-4139-A918-711C2F4C99AF}">
      <formula1>ROUND(MOD(10000*B424,1), 3)= 0</formula1>
    </dataValidation>
    <dataValidation allowBlank="1" showInputMessage="1" showErrorMessage="1" errorTitle="State Equity Factor" error="Please enter a number for State Equity Factor and ensure that the number does not exceed 4 deimals." sqref="B16:B17 B56:B57" xr:uid="{C5D87039-8F2F-474B-B546-955AE8D7EB51}"/>
    <dataValidation type="custom" allowBlank="1" showInputMessage="1" showErrorMessage="1" errorTitle="Numbers Only" error="Please enter a ten digit number" sqref="B7 B18" xr:uid="{6D8C4B87-1BA1-4E09-8986-81619D3BED5C}">
      <formula1>AND(B7&gt;1111111111,B7&lt;9999999999)</formula1>
    </dataValidation>
    <dataValidation type="custom" allowBlank="1" showInputMessage="1" showErrorMessage="1" sqref="B463 B91 B136 B161 B189 B204 B216 B305 B239 B228 B175 B147 B106 B80 B294 B283 B272 B250 B261 B55 B69 B316 B327 B338 B350 B361 B373 B385 B407 B418 B430 B441 B452 B15 B396" xr:uid="{B5510F6D-3E58-4D82-935E-FA4E3CE82378}">
      <formula1>AND(B15&gt;11111,B15&lt;99999)</formula1>
    </dataValidation>
    <dataValidation type="custom" allowBlank="1" showInputMessage="1" showErrorMessage="1" errorTitle="Enter numbers only" error="Please eneter a ten digit number" sqref="B58" xr:uid="{3FDB2673-47C9-44F4-BD0A-43865A86DFC2}">
      <formula1>AND(B58&gt;1111111111,B58&lt;9999999999)</formula1>
    </dataValidation>
    <dataValidation allowBlank="1" showInputMessage="1" errorTitle="State Equity Factor" error="Please enter a number for State Equity Factor and ensure that the number does not exceed 4 deimals." sqref="B73 B70:B71 B66:B67 B20:B22 B195:B196 B61:B62 B153:B154 B167:B168 B181:B182" xr:uid="{6F7FFBA1-4B66-461B-8E79-0A8B36FB0EE4}"/>
    <dataValidation type="custom" allowBlank="1" showInputMessage="1" showErrorMessage="1" sqref="B72 B109 B139 B164 B178 B192 B207 B219 B231 B242 B83 B253 B150 B466 B297 B264 B275 B286 B308 B319 B330 B341 B353 B364 B376 B388 B410 B421 B433 B444 B455 B94 B399" xr:uid="{64650D1E-0A99-45A5-8FC5-72F6C4EAA2E6}">
      <formula1>AND(B72&gt;1111111111,B72&lt;9999999999)</formula1>
    </dataValidation>
    <dataValidation type="list" allowBlank="1" showInputMessage="1" showErrorMessage="1" sqref="B111" xr:uid="{41D0AB3A-EAEA-4324-99AA-DA7CF710978C}">
      <formula1>Legal_Status_List</formula1>
    </dataValidation>
    <dataValidation type="date" allowBlank="1" showInputMessage="1" showErrorMessage="1" sqref="B127" xr:uid="{D21985E2-6DD1-4D8A-A183-839B42B94878}">
      <formula1>1</formula1>
      <formula2>56980</formula2>
    </dataValidation>
    <dataValidation type="textLength" operator="lessThanOrEqual" allowBlank="1" showInputMessage="1" showErrorMessage="1" errorTitle="50 Character Limit" error="Must be less than 50 characters" sqref="B4 B11 B51 B65 B76 B87 B102 B132 B143 B171 B185 B199 B211 B223 B235 B246 B257 B268 B279 B290 B301 B312 B323 B334 B346 B357 B368:B369 B380:B381 B403 B414 B426 B437 B448 B459 B392" xr:uid="{0CA7A7B9-1843-4BE3-9900-BDD3BFFDB318}">
      <formula1>50</formula1>
    </dataValidation>
    <dataValidation type="list" allowBlank="1" showInputMessage="1" showErrorMessage="1" errorTitle="Developments in Service" error="Please select a valid value for developments in service." sqref="B29" xr:uid="{B4AC0444-696E-4376-8160-84217076D0C2}">
      <formula1>Yes_No_List</formula1>
    </dataValidation>
    <dataValidation type="whole" allowBlank="1" showInputMessage="1" showErrorMessage="1" sqref="B98" xr:uid="{DA86EF3D-BB91-4BE5-A5F2-2124F1E0CAA9}">
      <formula1>0</formula1>
      <formula2>999999999</formula2>
    </dataValidation>
    <dataValidation type="list" allowBlank="1" showInputMessage="1" showErrorMessage="1" errorTitle="Legal Status" error="Select value from Legal Status dropdown" sqref="B97" xr:uid="{6411D959-F936-4FCB-A6E6-6221F16A04F4}">
      <formula1>Legal_Status_List</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State Equity Factor" error="Please enter a number for State Equity Factor and ensure that the number does not exceed 4 deimals." xr:uid="{292EB839-8909-40F6-BE9E-C5DB18AF4486}">
          <x14:formula1>
            <xm:f>Lookup!$A$204:$A$253</xm:f>
          </x14:formula1>
          <xm:sqref>B227 B238</xm:sqref>
        </x14:dataValidation>
        <x14:dataValidation type="list" allowBlank="1" showInputMessage="1" showErrorMessage="1" errorTitle="Status of Entity" error="Please select from the Status of Entity dropdown." xr:uid="{F5F264EB-BA68-4162-82F7-26816E394A10}">
          <x14:formula1>
            <xm:f>Lookup!$B$194:$B$195</xm:f>
          </x14:formula1>
          <xm:sqref>B99</xm:sqref>
        </x14:dataValidation>
        <x14:dataValidation type="list" allowBlank="1" showInputMessage="1" showErrorMessage="1" xr:uid="{3D0E1EF3-D7EA-4D26-84EA-6FF4AA9E177F}">
          <x14:formula1>
            <xm:f>Lookup!$A$204:$A$253</xm:f>
          </x14:formula1>
          <xm:sqref>B14 B462 B451 B440 B429 B417 B406 B384 B372 B360 B349 B337 B326 B315 B304 B282 B293 B271 B260 B249 B215 B203 B188 B174 B160 B135 B146 B105 B90 B79 B68 B54 B395</xm:sqref>
        </x14:dataValidation>
        <x14:dataValidation type="list" allowBlank="1" showInputMessage="1" showErrorMessage="1" xr:uid="{E472F258-F38F-423C-B57F-5061B6B9F3BD}">
          <x14:formula1>
            <xm:f>Lookup!$A$4:$A$5</xm:f>
          </x14:formula1>
          <xm:sqref>B114 B119 B123 B125</xm:sqref>
        </x14:dataValidation>
        <x14:dataValidation type="list" allowBlank="1" showInputMessage="1" showErrorMessage="1" xr:uid="{A687B62C-43D4-48B5-9660-1740E581009B}">
          <x14:formula1>
            <xm:f>Lookup!$F$132:$F$133</xm:f>
          </x14:formula1>
          <xm:sqref>B343</xm:sqref>
        </x14:dataValidation>
        <x14:dataValidation type="list" allowBlank="1" showInputMessage="1" showErrorMessage="1" xr:uid="{D3060AAA-3346-4176-940C-68699D29796B}">
          <x14:formula1>
            <xm:f>Lookup!$D$138:$D$143</xm:f>
          </x14:formula1>
          <xm:sqref>E40:E42 E45:E48</xm:sqref>
        </x14:dataValidation>
        <x14:dataValidation type="list" allowBlank="1" showInputMessage="1" showErrorMessage="1" xr:uid="{2C3A6B11-5FFA-4726-851D-36AD7D038867}">
          <x14:formula1>
            <xm:f>Lookup!$E$138:$E$140</xm:f>
          </x14:formula1>
          <xm:sqref>F40:F42 F45:F48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HE145"/>
  <sheetViews>
    <sheetView showGridLines="0" zoomScaleNormal="100" workbookViewId="0"/>
  </sheetViews>
  <sheetFormatPr defaultColWidth="9" defaultRowHeight="15"/>
  <cols>
    <col min="1" max="1" width="58.140625" style="59" customWidth="1"/>
    <col min="2" max="2" width="38.7109375" style="59" customWidth="1"/>
    <col min="3" max="3" width="170.140625" style="59" customWidth="1"/>
    <col min="4" max="16384" width="9" style="59"/>
  </cols>
  <sheetData>
    <row r="1" spans="1:4" ht="21">
      <c r="A1" s="4" t="s">
        <v>4250</v>
      </c>
      <c r="B1" s="2"/>
      <c r="C1" s="449"/>
      <c r="D1" s="88"/>
    </row>
    <row r="2" spans="1:4" ht="14.25" customHeight="1">
      <c r="A2" s="88" t="s">
        <v>215</v>
      </c>
      <c r="B2" s="310" t="s">
        <v>4251</v>
      </c>
      <c r="C2" s="88"/>
      <c r="D2" s="88"/>
    </row>
    <row r="4" spans="1:4">
      <c r="A4" s="1" t="s">
        <v>216</v>
      </c>
      <c r="B4" s="450"/>
      <c r="C4" s="10"/>
      <c r="D4" s="184"/>
    </row>
    <row r="5" spans="1:4">
      <c r="A5" s="1" t="s">
        <v>217</v>
      </c>
      <c r="B5" s="451"/>
      <c r="C5" s="10" t="s">
        <v>218</v>
      </c>
      <c r="D5" s="184"/>
    </row>
    <row r="6" spans="1:4">
      <c r="A6" s="1" t="s">
        <v>219</v>
      </c>
      <c r="B6" s="284"/>
      <c r="C6"/>
      <c r="D6" s="184"/>
    </row>
    <row r="7" spans="1:4">
      <c r="A7" s="1" t="s">
        <v>220</v>
      </c>
      <c r="B7" s="452"/>
      <c r="C7" s="10" t="s">
        <v>221</v>
      </c>
      <c r="D7" s="184"/>
    </row>
    <row r="8" spans="1:4">
      <c r="A8" s="510" t="s">
        <v>222</v>
      </c>
      <c r="B8" s="452"/>
      <c r="C8" s="267" t="s">
        <v>223</v>
      </c>
      <c r="D8" s="184"/>
    </row>
    <row r="9" spans="1:4">
      <c r="A9" s="333" t="s">
        <v>224</v>
      </c>
      <c r="B9" s="452"/>
      <c r="C9" s="267"/>
      <c r="D9" s="184"/>
    </row>
    <row r="10" spans="1:4">
      <c r="A10" s="60" t="s">
        <v>225</v>
      </c>
      <c r="B10" s="452"/>
      <c r="C10" s="10"/>
      <c r="D10" s="184"/>
    </row>
    <row r="11" spans="1:4">
      <c r="A11" s="423" t="s">
        <v>226</v>
      </c>
      <c r="B11" s="888" t="str">
        <f>Calculations!B11</f>
        <v/>
      </c>
      <c r="C11" s="10"/>
      <c r="D11" s="184"/>
    </row>
    <row r="12" spans="1:4">
      <c r="A12" s="423" t="s">
        <v>227</v>
      </c>
      <c r="B12" s="452"/>
      <c r="C12" s="10"/>
      <c r="D12" s="184"/>
    </row>
    <row r="13" spans="1:4">
      <c r="A13" s="60" t="s">
        <v>228</v>
      </c>
      <c r="B13" s="452"/>
      <c r="C13" s="10"/>
      <c r="D13" s="88"/>
    </row>
    <row r="14" spans="1:4">
      <c r="A14" s="423" t="s">
        <v>229</v>
      </c>
      <c r="B14" s="452"/>
      <c r="C14" s="10"/>
      <c r="D14" s="88"/>
    </row>
    <row r="15" spans="1:4">
      <c r="A15" s="1" t="s">
        <v>230</v>
      </c>
      <c r="B15" s="452"/>
      <c r="C15" s="10" t="s">
        <v>231</v>
      </c>
      <c r="D15" s="184"/>
    </row>
    <row r="16" spans="1:4">
      <c r="A16" s="60" t="s">
        <v>232</v>
      </c>
      <c r="B16" s="453"/>
      <c r="C16" s="10"/>
      <c r="D16" s="184"/>
    </row>
    <row r="17" spans="1:213" ht="14.1" customHeight="1">
      <c r="A17" s="60" t="s">
        <v>233</v>
      </c>
      <c r="B17" s="453"/>
      <c r="C17" s="10"/>
      <c r="D17" s="184"/>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c r="EL17" s="88"/>
      <c r="EM17" s="88"/>
      <c r="EN17" s="88"/>
      <c r="EO17" s="88"/>
      <c r="EP17" s="88"/>
      <c r="EQ17" s="88"/>
      <c r="ER17" s="88"/>
      <c r="ES17" s="88"/>
      <c r="ET17" s="88"/>
      <c r="EU17" s="88"/>
      <c r="EV17" s="88"/>
      <c r="EW17" s="88"/>
      <c r="EX17" s="88"/>
      <c r="EY17" s="88"/>
      <c r="EZ17" s="88"/>
      <c r="FA17" s="88"/>
      <c r="FB17" s="88"/>
      <c r="FC17" s="88"/>
      <c r="FD17" s="88"/>
      <c r="FE17" s="88"/>
      <c r="FF17" s="88"/>
      <c r="FG17" s="88"/>
      <c r="FH17" s="88"/>
      <c r="FI17" s="88"/>
      <c r="FJ17" s="88"/>
      <c r="FK17" s="88"/>
      <c r="FL17" s="88"/>
      <c r="FM17" s="88"/>
      <c r="FN17" s="88"/>
      <c r="FO17" s="88"/>
      <c r="FP17" s="88"/>
      <c r="FQ17" s="88"/>
      <c r="FR17" s="88"/>
      <c r="FS17" s="88"/>
      <c r="FT17" s="88"/>
      <c r="FU17" s="88"/>
      <c r="FV17" s="88"/>
      <c r="FW17" s="88"/>
      <c r="FX17" s="88"/>
      <c r="FY17" s="88"/>
      <c r="FZ17" s="88"/>
      <c r="GA17" s="88"/>
      <c r="GB17" s="88"/>
      <c r="GC17" s="88"/>
      <c r="GD17" s="88"/>
      <c r="GE17" s="88"/>
      <c r="GF17" s="88"/>
      <c r="GG17" s="88"/>
      <c r="GH17" s="88"/>
      <c r="GI17" s="88"/>
      <c r="GJ17" s="88"/>
      <c r="GK17" s="88"/>
      <c r="GL17" s="88"/>
      <c r="GM17" s="88"/>
      <c r="GN17" s="88"/>
      <c r="GO17" s="88"/>
      <c r="GP17" s="88"/>
      <c r="GQ17" s="88"/>
      <c r="GR17" s="88"/>
      <c r="GS17" s="88"/>
      <c r="GT17" s="88"/>
      <c r="GU17" s="88"/>
      <c r="GV17" s="88"/>
      <c r="GW17" s="88"/>
      <c r="GX17" s="88"/>
      <c r="GY17" s="88"/>
      <c r="GZ17" s="88"/>
      <c r="HA17" s="88"/>
      <c r="HB17" s="88"/>
      <c r="HC17" s="88"/>
      <c r="HD17" s="88"/>
      <c r="HE17" s="88"/>
    </row>
    <row r="18" spans="1:213" ht="14.1" customHeight="1">
      <c r="A18" s="60" t="s">
        <v>234</v>
      </c>
      <c r="B18" s="453"/>
      <c r="C18" s="10"/>
      <c r="D18" s="184"/>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row>
    <row r="19" spans="1:213">
      <c r="A19" s="1" t="s">
        <v>235</v>
      </c>
      <c r="B19" s="454">
        <v>0.09</v>
      </c>
      <c r="C19" s="10"/>
      <c r="D19" s="184"/>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row>
    <row r="20" spans="1:213" ht="14.25" customHeight="1">
      <c r="A20" s="510" t="s">
        <v>236</v>
      </c>
      <c r="B20" s="887">
        <v>0.04</v>
      </c>
      <c r="C20" s="527"/>
      <c r="D20" s="184"/>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88"/>
      <c r="FO20" s="88"/>
      <c r="FP20" s="88"/>
      <c r="FQ20" s="88"/>
      <c r="FR20" s="88"/>
      <c r="FS20" s="88"/>
      <c r="FT20" s="88"/>
      <c r="FU20" s="88"/>
      <c r="FV20" s="88"/>
      <c r="FW20" s="88"/>
      <c r="FX20" s="88"/>
      <c r="FY20" s="88"/>
      <c r="FZ20" s="88"/>
      <c r="GA20" s="88"/>
      <c r="GB20" s="88"/>
      <c r="GC20" s="88"/>
      <c r="GD20" s="88"/>
      <c r="GE20" s="88"/>
      <c r="GF20" s="88"/>
      <c r="GG20" s="88"/>
      <c r="GH20" s="88"/>
      <c r="GI20" s="88"/>
      <c r="GJ20" s="88"/>
      <c r="GK20" s="88"/>
      <c r="GL20" s="88"/>
      <c r="GM20" s="88"/>
      <c r="GN20" s="88"/>
      <c r="GO20" s="88"/>
      <c r="GP20" s="88"/>
      <c r="GQ20" s="88"/>
      <c r="GR20" s="88"/>
      <c r="GS20" s="88"/>
      <c r="GT20" s="88"/>
      <c r="GU20" s="88"/>
      <c r="GV20" s="88"/>
      <c r="GW20" s="88"/>
      <c r="GX20" s="88"/>
      <c r="GY20" s="88"/>
      <c r="GZ20" s="88"/>
      <c r="HA20" s="88"/>
      <c r="HB20" s="88"/>
      <c r="HC20" s="88"/>
      <c r="HD20" s="88"/>
      <c r="HE20" s="88"/>
    </row>
    <row r="21" spans="1:213">
      <c r="A21" s="510" t="s">
        <v>237</v>
      </c>
      <c r="B21" s="454">
        <v>0.04</v>
      </c>
      <c r="C21" s="900"/>
      <c r="D21" s="61"/>
      <c r="E21" s="61"/>
      <c r="F21" s="61"/>
      <c r="G21" s="61"/>
      <c r="H21" s="61"/>
      <c r="I21" s="61"/>
      <c r="J21" s="61"/>
      <c r="K21" s="61"/>
      <c r="L21" s="61"/>
      <c r="M21" s="61"/>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row>
    <row r="22" spans="1:213" customFormat="1">
      <c r="C22" s="900"/>
    </row>
    <row r="23" spans="1:213" ht="14.25" customHeight="1">
      <c r="A23" s="1"/>
      <c r="B23" s="524"/>
      <c r="C23" s="447"/>
      <c r="D23" s="62"/>
      <c r="E23" s="62"/>
      <c r="F23" s="62"/>
      <c r="G23" s="62"/>
      <c r="H23" s="62"/>
      <c r="I23" s="62"/>
      <c r="J23" s="62"/>
      <c r="K23" s="62"/>
      <c r="L23" s="62"/>
      <c r="M23" s="62"/>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row>
    <row r="24" spans="1:213">
      <c r="A24" s="1" t="s">
        <v>238</v>
      </c>
      <c r="B24" s="284"/>
      <c r="C24" s="10" t="s">
        <v>231</v>
      </c>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row>
    <row r="25" spans="1:213">
      <c r="A25" s="17" t="s">
        <v>239</v>
      </c>
      <c r="B25" s="284"/>
      <c r="C25" s="10"/>
      <c r="D25" s="88"/>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row>
    <row r="26" spans="1:213">
      <c r="A26" s="1" t="s">
        <v>240</v>
      </c>
      <c r="B26" s="318"/>
      <c r="C26" s="10" t="s">
        <v>241</v>
      </c>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c r="FZ26" s="88"/>
      <c r="GA26" s="88"/>
      <c r="GB26" s="88"/>
      <c r="GC26" s="88"/>
      <c r="GD26" s="88"/>
      <c r="GE26" s="88"/>
      <c r="GF26" s="88"/>
      <c r="GG26" s="88"/>
      <c r="GH26" s="88"/>
      <c r="GI26" s="88"/>
      <c r="GJ26" s="88"/>
      <c r="GK26" s="88"/>
      <c r="GL26" s="88"/>
      <c r="GM26" s="88"/>
      <c r="GN26" s="88"/>
      <c r="GO26" s="88"/>
      <c r="GP26" s="88"/>
      <c r="GQ26" s="88"/>
      <c r="GR26" s="88"/>
      <c r="GS26" s="88"/>
      <c r="GT26" s="88"/>
      <c r="GU26" s="88"/>
      <c r="GV26" s="88"/>
      <c r="GW26" s="88"/>
      <c r="GX26" s="88"/>
      <c r="GY26" s="88"/>
      <c r="GZ26" s="88"/>
      <c r="HA26" s="88"/>
      <c r="HB26" s="88"/>
      <c r="HC26" s="88"/>
      <c r="HD26" s="88"/>
      <c r="HE26" s="88"/>
    </row>
    <row r="27" spans="1:213">
      <c r="A27" s="8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row>
    <row r="28" spans="1:213">
      <c r="A28" s="3" t="s">
        <v>242</v>
      </c>
      <c r="B28" s="3"/>
      <c r="C28" s="3"/>
      <c r="D28" s="455"/>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88"/>
      <c r="FO28" s="88"/>
      <c r="FP28" s="88"/>
      <c r="FQ28" s="88"/>
      <c r="FR28" s="88"/>
      <c r="FS28" s="88"/>
      <c r="FT28" s="88"/>
      <c r="FU28" s="88"/>
      <c r="FV28" s="88"/>
      <c r="FW28" s="88"/>
      <c r="FX28" s="88"/>
      <c r="FY28" s="88"/>
      <c r="FZ28" s="88"/>
      <c r="GA28" s="88"/>
      <c r="GB28" s="88"/>
      <c r="GC28" s="88"/>
      <c r="GD28" s="88"/>
      <c r="GE28" s="88"/>
      <c r="GF28" s="88"/>
      <c r="GG28" s="88"/>
      <c r="GH28" s="88"/>
      <c r="GI28" s="88"/>
      <c r="GJ28" s="88"/>
      <c r="GK28" s="88"/>
      <c r="GL28" s="88"/>
      <c r="GM28" s="88"/>
      <c r="GN28" s="88"/>
      <c r="GO28" s="88"/>
      <c r="GP28" s="88"/>
      <c r="GQ28" s="88"/>
      <c r="GR28" s="88"/>
      <c r="GS28" s="88"/>
      <c r="GT28" s="88"/>
      <c r="GU28" s="88"/>
      <c r="GV28" s="88"/>
      <c r="GW28" s="88"/>
      <c r="GX28" s="88"/>
      <c r="GY28" s="88"/>
      <c r="GZ28" s="88"/>
      <c r="HA28" s="88"/>
      <c r="HB28" s="88"/>
      <c r="HC28" s="88"/>
      <c r="HD28" s="88"/>
      <c r="HE28" s="88"/>
    </row>
    <row r="29" spans="1:213">
      <c r="A29" s="1" t="s">
        <v>140</v>
      </c>
      <c r="B29" s="284"/>
      <c r="C29" s="62"/>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88"/>
      <c r="GC29" s="88"/>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row>
    <row r="30" spans="1:213">
      <c r="A30" s="1" t="s">
        <v>125</v>
      </c>
      <c r="B30" s="284"/>
      <c r="C30" s="10"/>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c r="GT30" s="88"/>
      <c r="GU30" s="88"/>
      <c r="GV30" s="88"/>
      <c r="GW30" s="88"/>
      <c r="GX30" s="88"/>
      <c r="GY30" s="88"/>
      <c r="GZ30" s="88"/>
      <c r="HA30" s="88"/>
      <c r="HB30" s="88"/>
      <c r="HC30" s="88"/>
      <c r="HD30" s="88"/>
      <c r="HE30" s="88"/>
    </row>
    <row r="31" spans="1:213">
      <c r="A31" s="60" t="s">
        <v>243</v>
      </c>
      <c r="B31" s="284"/>
      <c r="C31" s="10"/>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row>
    <row r="32" spans="1:213">
      <c r="A32" s="60" t="s">
        <v>181</v>
      </c>
      <c r="B32" s="284"/>
      <c r="C32" s="10"/>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row>
    <row r="33" spans="1:213">
      <c r="A33" s="60" t="s">
        <v>244</v>
      </c>
      <c r="B33" s="284"/>
      <c r="C33" s="10"/>
      <c r="D33" s="88"/>
      <c r="E33" s="88"/>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row>
    <row r="34" spans="1:213">
      <c r="A34" s="60" t="s">
        <v>245</v>
      </c>
      <c r="B34" s="452"/>
      <c r="C34" s="10"/>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row>
    <row r="35" spans="1:213">
      <c r="A35" s="129" t="s">
        <v>246</v>
      </c>
      <c r="B35" s="452"/>
      <c r="C35" s="10"/>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row>
    <row r="36" spans="1:213">
      <c r="A36" s="456" t="s">
        <v>247</v>
      </c>
      <c r="B36" s="452"/>
      <c r="C36" s="10"/>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row>
    <row r="37" spans="1:213">
      <c r="A37" s="456" t="s">
        <v>248</v>
      </c>
      <c r="B37" s="452"/>
      <c r="C37" s="10"/>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row>
    <row r="38" spans="1:213">
      <c r="A38" s="1" t="s">
        <v>249</v>
      </c>
      <c r="B38" s="452"/>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c r="GO38" s="88"/>
      <c r="GP38" s="88"/>
      <c r="GQ38" s="88"/>
      <c r="GR38" s="88"/>
      <c r="GS38" s="88"/>
      <c r="GT38" s="88"/>
      <c r="GU38" s="88"/>
      <c r="GV38" s="88"/>
      <c r="GW38" s="88"/>
      <c r="GX38" s="88"/>
      <c r="GY38" s="88"/>
      <c r="GZ38" s="88"/>
      <c r="HA38" s="88"/>
      <c r="HB38" s="88"/>
      <c r="HC38" s="88"/>
      <c r="HD38" s="88"/>
      <c r="HE38" s="88"/>
    </row>
    <row r="39" spans="1:213">
      <c r="A39" s="525" t="s">
        <v>250</v>
      </c>
      <c r="B39" s="284"/>
      <c r="C39" s="255"/>
      <c r="D39"/>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c r="EW39" s="88"/>
      <c r="EX39" s="88"/>
      <c r="EY39" s="88"/>
      <c r="EZ39" s="88"/>
      <c r="FA39" s="88"/>
      <c r="FB39" s="88"/>
      <c r="FC39" s="88"/>
      <c r="FD39" s="88"/>
      <c r="FE39" s="88"/>
      <c r="FF39" s="88"/>
      <c r="FG39" s="88"/>
      <c r="FH39" s="88"/>
      <c r="FI39" s="88"/>
      <c r="FJ39" s="88"/>
      <c r="FK39" s="88"/>
      <c r="FL39" s="88"/>
      <c r="FM39" s="88"/>
      <c r="FN39" s="88"/>
      <c r="FO39" s="88"/>
      <c r="FP39" s="88"/>
      <c r="FQ39" s="88"/>
      <c r="FR39" s="88"/>
      <c r="FS39" s="88"/>
      <c r="FT39" s="88"/>
      <c r="FU39" s="88"/>
      <c r="FV39" s="88"/>
      <c r="FW39" s="88"/>
      <c r="FX39" s="88"/>
      <c r="FY39" s="88"/>
      <c r="FZ39" s="88"/>
      <c r="GA39" s="88"/>
      <c r="GB39" s="88"/>
      <c r="GC39" s="88"/>
      <c r="GD39" s="88"/>
      <c r="GE39" s="88"/>
      <c r="GF39" s="88"/>
      <c r="GG39" s="88"/>
      <c r="GH39" s="88"/>
      <c r="GI39" s="88"/>
      <c r="GJ39" s="88"/>
      <c r="GK39" s="88"/>
      <c r="GL39" s="88"/>
      <c r="GM39" s="88"/>
      <c r="GN39" s="88"/>
      <c r="GO39" s="88"/>
      <c r="GP39" s="88"/>
      <c r="GQ39" s="88"/>
      <c r="GR39" s="88"/>
      <c r="GS39" s="88"/>
      <c r="GT39" s="88"/>
      <c r="GU39" s="88"/>
      <c r="GV39" s="88"/>
      <c r="GW39" s="88"/>
      <c r="GX39" s="88"/>
      <c r="GY39" s="88"/>
      <c r="GZ39" s="88"/>
      <c r="HA39" s="88"/>
      <c r="HB39" s="88"/>
      <c r="HC39" s="88"/>
      <c r="HD39" s="88"/>
      <c r="HE39" s="88"/>
    </row>
    <row r="40" spans="1:213">
      <c r="A40" s="525" t="s">
        <v>251</v>
      </c>
      <c r="B40" s="452"/>
      <c r="C40" s="255"/>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c r="FW40" s="88"/>
      <c r="FX40" s="88"/>
      <c r="FY40" s="88"/>
      <c r="FZ40" s="88"/>
      <c r="GA40" s="88"/>
      <c r="GB40" s="88"/>
      <c r="GC40" s="88"/>
      <c r="GD40" s="88"/>
      <c r="GE40" s="88"/>
      <c r="GF40" s="88"/>
      <c r="GG40" s="88"/>
      <c r="GH40" s="88"/>
      <c r="GI40" s="88"/>
      <c r="GJ40" s="88"/>
      <c r="GK40" s="88"/>
      <c r="GL40" s="88"/>
      <c r="GM40" s="88"/>
      <c r="GN40" s="88"/>
      <c r="GO40" s="88"/>
      <c r="GP40" s="88"/>
      <c r="GQ40" s="88"/>
      <c r="GR40" s="88"/>
      <c r="GS40" s="88"/>
      <c r="GT40" s="88"/>
      <c r="GU40" s="88"/>
      <c r="GV40" s="88"/>
      <c r="GW40" s="88"/>
      <c r="GX40" s="88"/>
      <c r="GY40" s="88"/>
      <c r="GZ40" s="88"/>
      <c r="HA40" s="88"/>
      <c r="HB40" s="88"/>
      <c r="HC40" s="88"/>
      <c r="HD40" s="88"/>
      <c r="HE40" s="88"/>
    </row>
    <row r="41" spans="1:213">
      <c r="A41" s="525" t="s">
        <v>252</v>
      </c>
      <c r="B41" s="284"/>
      <c r="C41" s="255"/>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c r="FZ41" s="88"/>
      <c r="GA41" s="88"/>
      <c r="GB41" s="88"/>
      <c r="GC41" s="88"/>
      <c r="GD41" s="88"/>
      <c r="GE41" s="88"/>
      <c r="GF41" s="88"/>
      <c r="GG41" s="88"/>
      <c r="GH41" s="88"/>
      <c r="GI41" s="88"/>
      <c r="GJ41" s="88"/>
      <c r="GK41" s="88"/>
      <c r="GL41" s="88"/>
      <c r="GM41" s="88"/>
      <c r="GN41" s="88"/>
      <c r="GO41" s="88"/>
      <c r="GP41" s="88"/>
      <c r="GQ41" s="88"/>
      <c r="GR41" s="88"/>
      <c r="GS41" s="88"/>
      <c r="GT41" s="88"/>
      <c r="GU41" s="88"/>
      <c r="GV41" s="88"/>
      <c r="GW41" s="88"/>
      <c r="GX41" s="88"/>
      <c r="GY41" s="88"/>
      <c r="GZ41" s="88"/>
      <c r="HA41" s="88"/>
      <c r="HB41" s="88"/>
      <c r="HC41" s="88"/>
      <c r="HD41" s="88"/>
      <c r="HE41" s="88"/>
    </row>
    <row r="42" spans="1:213" ht="24.75">
      <c r="A42" s="1" t="s">
        <v>253</v>
      </c>
      <c r="B42" s="452"/>
      <c r="C42" s="255" t="s">
        <v>254</v>
      </c>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c r="FZ42" s="88"/>
      <c r="GA42" s="88"/>
      <c r="GB42" s="88"/>
      <c r="GC42" s="88"/>
      <c r="GD42" s="88"/>
      <c r="GE42" s="88"/>
      <c r="GF42" s="88"/>
      <c r="GG42" s="88"/>
      <c r="GH42" s="88"/>
      <c r="GI42" s="88"/>
      <c r="GJ42" s="88"/>
      <c r="GK42" s="88"/>
      <c r="GL42" s="88"/>
      <c r="GM42" s="88"/>
      <c r="GN42" s="88"/>
      <c r="GO42" s="88"/>
      <c r="GP42" s="88"/>
      <c r="GQ42" s="88"/>
      <c r="GR42" s="88"/>
      <c r="GS42" s="88"/>
      <c r="GT42" s="88"/>
      <c r="GU42" s="88"/>
      <c r="GV42" s="88"/>
      <c r="GW42" s="88"/>
      <c r="GX42" s="88"/>
      <c r="GY42" s="88"/>
      <c r="GZ42" s="88"/>
      <c r="HA42" s="88"/>
      <c r="HB42" s="88"/>
      <c r="HC42" s="88"/>
      <c r="HD42" s="88"/>
      <c r="HE42" s="88"/>
    </row>
    <row r="43" spans="1:213">
      <c r="A43" s="525" t="s">
        <v>255</v>
      </c>
      <c r="B43" s="452"/>
      <c r="C43" s="255"/>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c r="FZ43" s="88"/>
      <c r="GA43" s="88"/>
      <c r="GB43" s="88"/>
      <c r="GC43" s="88"/>
      <c r="GD43" s="88"/>
      <c r="GE43" s="88"/>
      <c r="GF43" s="88"/>
      <c r="GG43" s="88"/>
      <c r="GH43" s="88"/>
      <c r="GI43" s="88"/>
      <c r="GJ43" s="88"/>
      <c r="GK43" s="88"/>
      <c r="GL43" s="88"/>
      <c r="GM43" s="88"/>
      <c r="GN43" s="88"/>
      <c r="GO43" s="88"/>
      <c r="GP43" s="88"/>
      <c r="GQ43" s="88"/>
      <c r="GR43" s="88"/>
      <c r="GS43" s="88"/>
      <c r="GT43" s="88"/>
      <c r="GU43" s="88"/>
      <c r="GV43" s="88"/>
      <c r="GW43" s="88"/>
      <c r="GX43" s="88"/>
      <c r="GY43" s="88"/>
      <c r="GZ43" s="88"/>
      <c r="HA43" s="88"/>
      <c r="HB43" s="88"/>
      <c r="HC43" s="88"/>
      <c r="HD43" s="88"/>
      <c r="HE43" s="88"/>
    </row>
    <row r="44" spans="1:213">
      <c r="A44" s="525" t="s">
        <v>256</v>
      </c>
      <c r="B44" s="452"/>
      <c r="C44" s="255"/>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c r="FW44" s="88"/>
      <c r="FX44" s="88"/>
      <c r="FY44" s="88"/>
      <c r="FZ44" s="88"/>
      <c r="GA44" s="88"/>
      <c r="GB44" s="88"/>
      <c r="GC44" s="88"/>
      <c r="GD44" s="88"/>
      <c r="GE44" s="88"/>
      <c r="GF44" s="88"/>
      <c r="GG44" s="88"/>
      <c r="GH44" s="88"/>
      <c r="GI44" s="88"/>
      <c r="GJ44" s="88"/>
      <c r="GK44" s="88"/>
      <c r="GL44" s="88"/>
      <c r="GM44" s="88"/>
      <c r="GN44" s="88"/>
      <c r="GO44" s="88"/>
      <c r="GP44" s="88"/>
      <c r="GQ44" s="88"/>
      <c r="GR44" s="88"/>
      <c r="GS44" s="88"/>
      <c r="GT44" s="88"/>
      <c r="GU44" s="88"/>
      <c r="GV44" s="88"/>
      <c r="GW44" s="88"/>
      <c r="GX44" s="88"/>
      <c r="GY44" s="88"/>
      <c r="GZ44" s="88"/>
      <c r="HA44" s="88"/>
      <c r="HB44" s="88"/>
      <c r="HC44" s="88"/>
      <c r="HD44" s="88"/>
      <c r="HE44" s="88"/>
    </row>
    <row r="45" spans="1:213">
      <c r="A45" s="1" t="s">
        <v>257</v>
      </c>
      <c r="B45" s="452"/>
      <c r="C45" s="255"/>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c r="FZ45" s="88"/>
      <c r="GA45" s="88"/>
      <c r="GB45" s="88"/>
      <c r="GC45" s="88"/>
      <c r="GD45" s="88"/>
      <c r="GE45" s="88"/>
      <c r="GF45" s="88"/>
      <c r="GG45" s="88"/>
      <c r="GH45" s="88"/>
      <c r="GI45" s="88"/>
      <c r="GJ45" s="88"/>
      <c r="GK45" s="88"/>
      <c r="GL45" s="88"/>
      <c r="GM45" s="88"/>
      <c r="GN45" s="88"/>
      <c r="GO45" s="88"/>
      <c r="GP45" s="88"/>
      <c r="GQ45" s="88"/>
      <c r="GR45" s="88"/>
      <c r="GS45" s="88"/>
      <c r="GT45" s="88"/>
      <c r="GU45" s="88"/>
      <c r="GV45" s="88"/>
      <c r="GW45" s="88"/>
      <c r="GX45" s="88"/>
      <c r="GY45" s="88"/>
      <c r="GZ45" s="88"/>
      <c r="HA45" s="88"/>
      <c r="HB45" s="88"/>
      <c r="HC45" s="88"/>
      <c r="HD45" s="88"/>
      <c r="HE45" s="88"/>
    </row>
    <row r="46" spans="1:213">
      <c r="A46" s="352" t="s">
        <v>258</v>
      </c>
      <c r="B46" s="284"/>
      <c r="C46" s="255"/>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88"/>
      <c r="GC46" s="88"/>
      <c r="GD46" s="88"/>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row>
    <row r="47" spans="1:213">
      <c r="A47" s="352" t="s">
        <v>259</v>
      </c>
      <c r="B47" s="284"/>
      <c r="C47" s="255"/>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row>
    <row r="48" spans="1:213">
      <c r="A48" s="352" t="s">
        <v>260</v>
      </c>
      <c r="B48" s="284"/>
      <c r="C48" s="255"/>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88"/>
      <c r="GC48" s="88"/>
      <c r="GD48" s="88"/>
      <c r="GE48" s="88"/>
      <c r="GF48" s="88"/>
      <c r="GG48" s="88"/>
      <c r="GH48" s="88"/>
      <c r="GI48" s="88"/>
      <c r="GJ48" s="88"/>
      <c r="GK48" s="88"/>
      <c r="GL48" s="88"/>
      <c r="GM48" s="88"/>
      <c r="GN48" s="88"/>
      <c r="GO48" s="88"/>
      <c r="GP48" s="88"/>
      <c r="GQ48" s="88"/>
      <c r="GR48" s="88"/>
      <c r="GS48" s="88"/>
      <c r="GT48" s="88"/>
      <c r="GU48" s="88"/>
      <c r="GV48" s="88"/>
      <c r="GW48" s="88"/>
      <c r="GX48" s="88"/>
      <c r="GY48" s="88"/>
      <c r="GZ48" s="88"/>
      <c r="HA48" s="88"/>
      <c r="HB48" s="88"/>
      <c r="HC48" s="88"/>
      <c r="HD48" s="88"/>
      <c r="HE48" s="88"/>
    </row>
    <row r="49" spans="1:213">
      <c r="A49" s="352" t="s">
        <v>261</v>
      </c>
      <c r="B49" s="284"/>
      <c r="C49" s="255"/>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8"/>
      <c r="GK49" s="88"/>
      <c r="GL49" s="88"/>
      <c r="GM49" s="88"/>
      <c r="GN49" s="88"/>
      <c r="GO49" s="88"/>
      <c r="GP49" s="88"/>
      <c r="GQ49" s="88"/>
      <c r="GR49" s="88"/>
      <c r="GS49" s="88"/>
      <c r="GT49" s="88"/>
      <c r="GU49" s="88"/>
      <c r="GV49" s="88"/>
      <c r="GW49" s="88"/>
      <c r="GX49" s="88"/>
      <c r="GY49" s="88"/>
      <c r="GZ49" s="88"/>
      <c r="HA49" s="88"/>
      <c r="HB49" s="88"/>
      <c r="HC49" s="88"/>
      <c r="HD49" s="88"/>
      <c r="HE49" s="88"/>
    </row>
    <row r="50" spans="1:213">
      <c r="A50" s="352" t="s">
        <v>262</v>
      </c>
      <c r="B50" s="284"/>
      <c r="C50" s="255"/>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88"/>
      <c r="FO50" s="88"/>
      <c r="FP50" s="88"/>
      <c r="FQ50" s="88"/>
      <c r="FR50" s="88"/>
      <c r="FS50" s="88"/>
      <c r="FT50" s="88"/>
      <c r="FU50" s="88"/>
      <c r="FV50" s="88"/>
      <c r="FW50" s="88"/>
      <c r="FX50" s="88"/>
      <c r="FY50" s="88"/>
      <c r="FZ50" s="88"/>
      <c r="GA50" s="88"/>
      <c r="GB50" s="88"/>
      <c r="GC50" s="88"/>
      <c r="GD50" s="88"/>
      <c r="GE50" s="88"/>
      <c r="GF50" s="88"/>
      <c r="GG50" s="88"/>
      <c r="GH50" s="88"/>
      <c r="GI50" s="88"/>
      <c r="GJ50" s="88"/>
      <c r="GK50" s="88"/>
      <c r="GL50" s="88"/>
      <c r="GM50" s="88"/>
      <c r="GN50" s="88"/>
      <c r="GO50" s="88"/>
      <c r="GP50" s="88"/>
      <c r="GQ50" s="88"/>
      <c r="GR50" s="88"/>
      <c r="GS50" s="88"/>
      <c r="GT50" s="88"/>
      <c r="GU50" s="88"/>
      <c r="GV50" s="88"/>
      <c r="GW50" s="88"/>
      <c r="GX50" s="88"/>
      <c r="GY50" s="88"/>
      <c r="GZ50" s="88"/>
      <c r="HA50" s="88"/>
      <c r="HB50" s="88"/>
      <c r="HC50" s="88"/>
      <c r="HD50" s="88"/>
      <c r="HE50" s="88"/>
    </row>
    <row r="51" spans="1:213">
      <c r="A51" s="352" t="s">
        <v>263</v>
      </c>
      <c r="B51" s="284"/>
      <c r="C51" s="255"/>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row>
    <row r="52" spans="1:213">
      <c r="A52" s="352" t="s">
        <v>264</v>
      </c>
      <c r="B52" s="284"/>
      <c r="C52" s="255"/>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c r="FW52" s="88"/>
      <c r="FX52" s="88"/>
      <c r="FY52" s="88"/>
      <c r="FZ52" s="88"/>
      <c r="GA52" s="88"/>
      <c r="GB52" s="88"/>
      <c r="GC52" s="88"/>
      <c r="GD52" s="88"/>
      <c r="GE52" s="88"/>
      <c r="GF52" s="88"/>
      <c r="GG52" s="88"/>
      <c r="GH52" s="88"/>
      <c r="GI52" s="88"/>
      <c r="GJ52" s="88"/>
      <c r="GK52" s="88"/>
      <c r="GL52" s="88"/>
      <c r="GM52" s="88"/>
      <c r="GN52" s="88"/>
      <c r="GO52" s="88"/>
      <c r="GP52" s="88"/>
      <c r="GQ52" s="88"/>
      <c r="GR52" s="88"/>
      <c r="GS52" s="88"/>
      <c r="GT52" s="88"/>
      <c r="GU52" s="88"/>
      <c r="GV52" s="88"/>
      <c r="GW52" s="88"/>
      <c r="GX52" s="88"/>
      <c r="GY52" s="88"/>
      <c r="GZ52" s="88"/>
      <c r="HA52" s="88"/>
      <c r="HB52" s="88"/>
      <c r="HC52" s="88"/>
      <c r="HD52" s="88"/>
      <c r="HE52" s="88"/>
    </row>
    <row r="53" spans="1:213" s="18" customFormat="1">
      <c r="A53" s="352" t="s">
        <v>265</v>
      </c>
      <c r="B53" s="539"/>
      <c r="C53" s="540"/>
    </row>
    <row r="54" spans="1:213">
      <c r="A54" s="1" t="s">
        <v>266</v>
      </c>
      <c r="B54" s="452"/>
      <c r="C54" s="255"/>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c r="EW54" s="88"/>
      <c r="EX54" s="88"/>
      <c r="EY54" s="88"/>
      <c r="EZ54" s="88"/>
      <c r="FA54" s="88"/>
      <c r="FB54" s="88"/>
      <c r="FC54" s="88"/>
      <c r="FD54" s="88"/>
      <c r="FE54" s="88"/>
      <c r="FF54" s="88"/>
      <c r="FG54" s="88"/>
      <c r="FH54" s="88"/>
      <c r="FI54" s="88"/>
      <c r="FJ54" s="88"/>
      <c r="FK54" s="88"/>
      <c r="FL54" s="88"/>
      <c r="FM54" s="88"/>
      <c r="FN54" s="88"/>
      <c r="FO54" s="88"/>
      <c r="FP54" s="88"/>
      <c r="FQ54" s="88"/>
      <c r="FR54" s="88"/>
      <c r="FS54" s="88"/>
      <c r="FT54" s="88"/>
      <c r="FU54" s="88"/>
      <c r="FV54" s="88"/>
      <c r="FW54" s="88"/>
      <c r="FX54" s="88"/>
      <c r="FY54" s="88"/>
      <c r="FZ54" s="88"/>
      <c r="GA54" s="88"/>
      <c r="GB54" s="88"/>
      <c r="GC54" s="88"/>
      <c r="GD54" s="88"/>
      <c r="GE54" s="88"/>
      <c r="GF54" s="88"/>
      <c r="GG54" s="88"/>
      <c r="GH54" s="88"/>
      <c r="GI54" s="88"/>
      <c r="GJ54" s="88"/>
      <c r="GK54" s="88"/>
      <c r="GL54" s="88"/>
      <c r="GM54" s="88"/>
      <c r="GN54" s="88"/>
      <c r="GO54" s="88"/>
      <c r="GP54" s="88"/>
      <c r="GQ54" s="88"/>
      <c r="GR54" s="88"/>
      <c r="GS54" s="88"/>
      <c r="GT54" s="88"/>
      <c r="GU54" s="88"/>
      <c r="GV54" s="88"/>
      <c r="GW54" s="88"/>
      <c r="GX54" s="88"/>
      <c r="GY54" s="88"/>
      <c r="GZ54" s="88"/>
      <c r="HA54" s="88"/>
      <c r="HB54" s="88"/>
      <c r="HC54" s="88"/>
      <c r="HD54" s="88"/>
      <c r="HE54" s="88"/>
    </row>
    <row r="55" spans="1:213">
      <c r="A55" s="1" t="s">
        <v>267</v>
      </c>
      <c r="B55" s="285"/>
      <c r="C55" s="255"/>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c r="GF55" s="88"/>
      <c r="GG55" s="88"/>
      <c r="GH55" s="88"/>
      <c r="GI55" s="88"/>
      <c r="GJ55" s="88"/>
      <c r="GK55" s="88"/>
      <c r="GL55" s="88"/>
      <c r="GM55" s="88"/>
      <c r="GN55" s="88"/>
      <c r="GO55" s="88"/>
      <c r="GP55" s="88"/>
      <c r="GQ55" s="88"/>
      <c r="GR55" s="88"/>
      <c r="GS55" s="88"/>
      <c r="GT55" s="88"/>
      <c r="GU55" s="88"/>
      <c r="GV55" s="88"/>
      <c r="GW55" s="88"/>
      <c r="GX55" s="88"/>
      <c r="GY55" s="88"/>
      <c r="GZ55" s="88"/>
      <c r="HA55" s="88"/>
      <c r="HB55" s="88"/>
      <c r="HC55" s="88"/>
      <c r="HD55" s="88"/>
      <c r="HE55" s="88"/>
    </row>
    <row r="56" spans="1:213" customFormat="1">
      <c r="A56" s="1" t="s">
        <v>268</v>
      </c>
      <c r="B56" s="789"/>
      <c r="C56" s="255"/>
    </row>
    <row r="57" spans="1:213">
      <c r="A57" s="1" t="s">
        <v>269</v>
      </c>
      <c r="B57" s="452"/>
      <c r="C57" s="6"/>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c r="FA57" s="88"/>
      <c r="FB57" s="88"/>
      <c r="FC57" s="88"/>
      <c r="FD57" s="88"/>
      <c r="FE57" s="88"/>
      <c r="FF57" s="88"/>
      <c r="FG57" s="88"/>
      <c r="FH57" s="88"/>
      <c r="FI57" s="88"/>
      <c r="FJ57" s="88"/>
      <c r="FK57" s="88"/>
      <c r="FL57" s="88"/>
      <c r="FM57" s="88"/>
      <c r="FN57" s="88"/>
      <c r="FO57" s="88"/>
      <c r="FP57" s="88"/>
      <c r="FQ57" s="88"/>
      <c r="FR57" s="88"/>
      <c r="FS57" s="88"/>
      <c r="FT57" s="88"/>
      <c r="FU57" s="88"/>
      <c r="FV57" s="88"/>
      <c r="FW57" s="88"/>
      <c r="FX57" s="88"/>
      <c r="FY57" s="88"/>
      <c r="FZ57" s="88"/>
      <c r="GA57" s="88"/>
      <c r="GB57" s="88"/>
      <c r="GC57" s="88"/>
      <c r="GD57" s="88"/>
      <c r="GE57" s="88"/>
      <c r="GF57" s="88"/>
      <c r="GG57" s="88"/>
      <c r="GH57" s="88"/>
      <c r="GI57" s="88"/>
      <c r="GJ57" s="88"/>
      <c r="GK57" s="88"/>
      <c r="GL57" s="88"/>
      <c r="GM57" s="88"/>
      <c r="GN57" s="88"/>
      <c r="GO57" s="88"/>
      <c r="GP57" s="88"/>
      <c r="GQ57" s="88"/>
      <c r="GR57" s="88"/>
      <c r="GS57" s="88"/>
      <c r="GT57" s="88"/>
      <c r="GU57" s="88"/>
      <c r="GV57" s="88"/>
      <c r="GW57" s="88"/>
      <c r="GX57" s="88"/>
      <c r="GY57" s="88"/>
      <c r="GZ57" s="88"/>
      <c r="HA57" s="88"/>
      <c r="HB57" s="88"/>
      <c r="HC57" s="88"/>
      <c r="HD57" s="88"/>
      <c r="HE57" s="88"/>
    </row>
    <row r="58" spans="1:213">
      <c r="A58" s="1" t="s">
        <v>270</v>
      </c>
      <c r="B58" s="452"/>
      <c r="C58" s="6"/>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c r="FN58" s="88"/>
      <c r="FO58" s="88"/>
      <c r="FP58" s="88"/>
      <c r="FQ58" s="88"/>
      <c r="FR58" s="88"/>
      <c r="FS58" s="88"/>
      <c r="FT58" s="88"/>
      <c r="FU58" s="88"/>
      <c r="FV58" s="88"/>
      <c r="FW58" s="88"/>
      <c r="FX58" s="88"/>
      <c r="FY58" s="88"/>
      <c r="FZ58" s="88"/>
      <c r="GA58" s="88"/>
      <c r="GB58" s="88"/>
      <c r="GC58" s="88"/>
      <c r="GD58" s="88"/>
      <c r="GE58" s="88"/>
      <c r="GF58" s="88"/>
      <c r="GG58" s="88"/>
      <c r="GH58" s="88"/>
      <c r="GI58" s="88"/>
      <c r="GJ58" s="88"/>
      <c r="GK58" s="88"/>
      <c r="GL58" s="88"/>
      <c r="GM58" s="88"/>
      <c r="GN58" s="88"/>
      <c r="GO58" s="88"/>
      <c r="GP58" s="88"/>
      <c r="GQ58" s="88"/>
      <c r="GR58" s="88"/>
      <c r="GS58" s="88"/>
      <c r="GT58" s="88"/>
      <c r="GU58" s="88"/>
      <c r="GV58" s="88"/>
      <c r="GW58" s="88"/>
      <c r="GX58" s="88"/>
      <c r="GY58" s="88"/>
      <c r="GZ58" s="88"/>
      <c r="HA58" s="88"/>
      <c r="HB58" s="88"/>
      <c r="HC58" s="88"/>
      <c r="HD58" s="88"/>
      <c r="HE58" s="88"/>
    </row>
    <row r="59" spans="1:213" customFormat="1">
      <c r="A59" s="1" t="s">
        <v>271</v>
      </c>
      <c r="B59" s="285"/>
      <c r="C59" s="6" t="s">
        <v>272</v>
      </c>
    </row>
    <row r="60" spans="1:213" customFormat="1">
      <c r="A60" s="1" t="s">
        <v>273</v>
      </c>
      <c r="B60" s="285"/>
      <c r="C60" s="6" t="s">
        <v>272</v>
      </c>
    </row>
    <row r="61" spans="1:213">
      <c r="A61" s="1" t="s">
        <v>274</v>
      </c>
      <c r="B61" s="452"/>
      <c r="C61"/>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c r="EW61" s="88"/>
      <c r="EX61" s="88"/>
      <c r="EY61" s="88"/>
      <c r="EZ61" s="88"/>
      <c r="FA61" s="88"/>
      <c r="FB61" s="88"/>
      <c r="FC61" s="88"/>
      <c r="FD61" s="88"/>
      <c r="FE61" s="88"/>
      <c r="FF61" s="88"/>
      <c r="FG61" s="88"/>
      <c r="FH61" s="88"/>
      <c r="FI61" s="88"/>
      <c r="FJ61" s="88"/>
      <c r="FK61" s="88"/>
      <c r="FL61" s="88"/>
      <c r="FM61" s="88"/>
      <c r="FN61" s="88"/>
      <c r="FO61" s="88"/>
      <c r="FP61" s="88"/>
      <c r="FQ61" s="88"/>
      <c r="FR61" s="88"/>
      <c r="FS61" s="88"/>
      <c r="FT61" s="88"/>
      <c r="FU61" s="88"/>
      <c r="FV61" s="88"/>
      <c r="FW61" s="88"/>
      <c r="FX61" s="88"/>
      <c r="FY61" s="88"/>
      <c r="FZ61" s="88"/>
      <c r="GA61" s="88"/>
      <c r="GB61" s="88"/>
      <c r="GC61" s="88"/>
      <c r="GD61" s="88"/>
      <c r="GE61" s="88"/>
      <c r="GF61" s="88"/>
      <c r="GG61" s="88"/>
      <c r="GH61" s="88"/>
      <c r="GI61" s="88"/>
      <c r="GJ61" s="88"/>
      <c r="GK61" s="88"/>
      <c r="GL61" s="88"/>
      <c r="GM61" s="88"/>
      <c r="GN61" s="88"/>
      <c r="GO61" s="88"/>
      <c r="GP61" s="88"/>
      <c r="GQ61" s="88"/>
      <c r="GR61" s="88"/>
      <c r="GS61" s="88"/>
      <c r="GT61" s="88"/>
      <c r="GU61" s="88"/>
      <c r="GV61" s="88"/>
      <c r="GW61" s="88"/>
      <c r="GX61" s="88"/>
      <c r="GY61" s="88"/>
      <c r="GZ61" s="88"/>
      <c r="HA61" s="88"/>
      <c r="HB61" s="88"/>
      <c r="HC61" s="88"/>
      <c r="HD61" s="88"/>
      <c r="HE61" s="88"/>
    </row>
    <row r="62" spans="1:213">
      <c r="A62" s="1" t="s">
        <v>275</v>
      </c>
      <c r="B62" s="284"/>
      <c r="C62" s="6"/>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c r="FW62" s="88"/>
      <c r="FX62" s="88"/>
      <c r="FY62" s="88"/>
      <c r="FZ62" s="88"/>
      <c r="GA62" s="88"/>
      <c r="GB62" s="88"/>
      <c r="GC62" s="88"/>
      <c r="GD62" s="88"/>
      <c r="GE62" s="88"/>
      <c r="GF62" s="88"/>
      <c r="GG62" s="88"/>
      <c r="GH62" s="88"/>
      <c r="GI62" s="88"/>
      <c r="GJ62" s="88"/>
      <c r="GK62" s="88"/>
      <c r="GL62" s="88"/>
      <c r="GM62" s="88"/>
      <c r="GN62" s="88"/>
      <c r="GO62" s="88"/>
      <c r="GP62" s="88"/>
      <c r="GQ62" s="88"/>
      <c r="GR62" s="88"/>
      <c r="GS62" s="88"/>
      <c r="GT62" s="88"/>
      <c r="GU62" s="88"/>
      <c r="GV62" s="88"/>
      <c r="GW62" s="88"/>
      <c r="GX62" s="88"/>
      <c r="GY62" s="88"/>
      <c r="GZ62" s="88"/>
      <c r="HA62" s="88"/>
      <c r="HB62" s="88"/>
      <c r="HC62" s="88"/>
      <c r="HD62" s="88"/>
      <c r="HE62" s="88"/>
    </row>
    <row r="63" spans="1:213">
      <c r="A63" s="1" t="s">
        <v>276</v>
      </c>
      <c r="B63" s="504"/>
      <c r="C63" s="6" t="s">
        <v>272</v>
      </c>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c r="FW63" s="88"/>
      <c r="FX63" s="88"/>
      <c r="FY63" s="88"/>
      <c r="FZ63" s="88"/>
      <c r="GA63" s="88"/>
      <c r="GB63" s="88"/>
      <c r="GC63" s="88"/>
      <c r="GD63" s="88"/>
      <c r="GE63" s="88"/>
      <c r="GF63" s="88"/>
      <c r="GG63" s="88"/>
      <c r="GH63" s="88"/>
      <c r="GI63" s="88"/>
      <c r="GJ63" s="88"/>
      <c r="GK63" s="88"/>
      <c r="GL63" s="88"/>
      <c r="GM63" s="88"/>
      <c r="GN63" s="88"/>
      <c r="GO63" s="88"/>
      <c r="GP63" s="88"/>
      <c r="GQ63" s="88"/>
      <c r="GR63" s="88"/>
      <c r="GS63" s="88"/>
      <c r="GT63" s="88"/>
      <c r="GU63" s="88"/>
      <c r="GV63" s="88"/>
      <c r="GW63" s="88"/>
      <c r="GX63" s="88"/>
      <c r="GY63" s="88"/>
      <c r="GZ63" s="88"/>
      <c r="HA63" s="88"/>
      <c r="HB63" s="88"/>
      <c r="HC63" s="88"/>
      <c r="HD63" s="88"/>
      <c r="HE63" s="88"/>
    </row>
    <row r="64" spans="1:213">
      <c r="A64" s="1" t="s">
        <v>277</v>
      </c>
      <c r="B64" s="478"/>
      <c r="C64" s="6" t="s">
        <v>272</v>
      </c>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c r="GI64" s="88"/>
      <c r="GJ64" s="88"/>
      <c r="GK64" s="88"/>
      <c r="GL64" s="88"/>
      <c r="GM64" s="88"/>
      <c r="GN64" s="88"/>
      <c r="GO64" s="88"/>
      <c r="GP64" s="88"/>
      <c r="GQ64" s="88"/>
      <c r="GR64" s="88"/>
      <c r="GS64" s="88"/>
      <c r="GT64" s="88"/>
      <c r="GU64" s="88"/>
      <c r="GV64" s="88"/>
      <c r="GW64" s="88"/>
      <c r="GX64" s="88"/>
      <c r="GY64" s="88"/>
      <c r="GZ64" s="88"/>
      <c r="HA64" s="88"/>
      <c r="HB64" s="88"/>
      <c r="HC64" s="88"/>
      <c r="HD64" s="88"/>
      <c r="HE64" s="88"/>
    </row>
    <row r="65" spans="1:213">
      <c r="A65" s="1" t="s">
        <v>278</v>
      </c>
      <c r="B65" s="478"/>
      <c r="C65" s="6" t="s">
        <v>272</v>
      </c>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c r="FA65" s="88"/>
      <c r="FB65" s="88"/>
      <c r="FC65" s="88"/>
      <c r="FD65" s="88"/>
      <c r="FE65" s="88"/>
      <c r="FF65" s="88"/>
      <c r="FG65" s="88"/>
      <c r="FH65" s="88"/>
      <c r="FI65" s="88"/>
      <c r="FJ65" s="88"/>
      <c r="FK65" s="88"/>
      <c r="FL65" s="88"/>
      <c r="FM65" s="88"/>
      <c r="FN65" s="88"/>
      <c r="FO65" s="88"/>
      <c r="FP65" s="88"/>
      <c r="FQ65" s="88"/>
      <c r="FR65" s="88"/>
      <c r="FS65" s="88"/>
      <c r="FT65" s="88"/>
      <c r="FU65" s="88"/>
      <c r="FV65" s="88"/>
      <c r="FW65" s="88"/>
      <c r="FX65" s="88"/>
      <c r="FY65" s="88"/>
      <c r="FZ65" s="88"/>
      <c r="GA65" s="88"/>
      <c r="GB65" s="88"/>
      <c r="GC65" s="88"/>
      <c r="GD65" s="88"/>
      <c r="GE65" s="88"/>
      <c r="GF65" s="88"/>
      <c r="GG65" s="88"/>
      <c r="GH65" s="88"/>
      <c r="GI65" s="88"/>
      <c r="GJ65" s="88"/>
      <c r="GK65" s="88"/>
      <c r="GL65" s="88"/>
      <c r="GM65" s="88"/>
      <c r="GN65" s="88"/>
      <c r="GO65" s="88"/>
      <c r="GP65" s="88"/>
      <c r="GQ65" s="88"/>
      <c r="GR65" s="88"/>
      <c r="GS65" s="88"/>
      <c r="GT65" s="88"/>
      <c r="GU65" s="88"/>
      <c r="GV65" s="88"/>
      <c r="GW65" s="88"/>
      <c r="GX65" s="88"/>
      <c r="GY65" s="88"/>
      <c r="GZ65" s="88"/>
      <c r="HA65" s="88"/>
      <c r="HB65" s="88"/>
      <c r="HC65" s="88"/>
      <c r="HD65" s="88"/>
      <c r="HE65" s="88"/>
    </row>
    <row r="66" spans="1:213">
      <c r="A66" s="1" t="s">
        <v>279</v>
      </c>
      <c r="B66" s="452"/>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88"/>
      <c r="FO66" s="88"/>
      <c r="FP66" s="88"/>
      <c r="FQ66" s="88"/>
      <c r="FR66" s="88"/>
      <c r="FS66" s="88"/>
      <c r="FT66" s="88"/>
      <c r="FU66" s="88"/>
      <c r="FV66" s="88"/>
      <c r="FW66" s="88"/>
      <c r="FX66" s="88"/>
      <c r="FY66" s="88"/>
      <c r="FZ66" s="88"/>
      <c r="GA66" s="88"/>
      <c r="GB66" s="88"/>
      <c r="GC66" s="88"/>
      <c r="GD66" s="88"/>
      <c r="GE66" s="88"/>
      <c r="GF66" s="88"/>
      <c r="GG66" s="88"/>
      <c r="GH66" s="88"/>
      <c r="GI66" s="88"/>
      <c r="GJ66" s="88"/>
      <c r="GK66" s="88"/>
      <c r="GL66" s="88"/>
      <c r="GM66" s="88"/>
      <c r="GN66" s="88"/>
      <c r="GO66" s="88"/>
      <c r="GP66" s="88"/>
      <c r="GQ66" s="88"/>
      <c r="GR66" s="88"/>
      <c r="GS66" s="88"/>
      <c r="GT66" s="88"/>
      <c r="GU66" s="88"/>
      <c r="GV66" s="88"/>
      <c r="GW66" s="88"/>
      <c r="GX66" s="88"/>
      <c r="GY66" s="88"/>
      <c r="GZ66" s="88"/>
      <c r="HA66" s="88"/>
      <c r="HB66" s="88"/>
      <c r="HC66" s="88"/>
      <c r="HD66" s="88"/>
      <c r="HE66" s="88"/>
    </row>
    <row r="67" spans="1:213" s="685" customFormat="1">
      <c r="A67" s="684"/>
      <c r="B67" s="684"/>
      <c r="C67" s="684"/>
      <c r="D67" s="684"/>
      <c r="E67" s="684"/>
      <c r="F67" s="684"/>
      <c r="G67" s="684"/>
      <c r="H67" s="684"/>
      <c r="I67" s="684"/>
      <c r="J67" s="684"/>
      <c r="K67" s="684"/>
      <c r="L67" s="684"/>
      <c r="M67" s="684"/>
      <c r="N67" s="684"/>
      <c r="O67" s="684"/>
      <c r="P67" s="684"/>
      <c r="Q67" s="684"/>
      <c r="R67" s="684"/>
      <c r="S67" s="684"/>
      <c r="T67" s="684"/>
      <c r="U67" s="684"/>
      <c r="V67" s="684"/>
      <c r="W67" s="684"/>
      <c r="X67" s="684"/>
      <c r="Y67" s="684"/>
      <c r="Z67" s="684"/>
      <c r="AA67" s="684"/>
      <c r="AB67" s="684"/>
      <c r="AC67" s="684"/>
      <c r="AD67" s="684"/>
      <c r="AE67" s="684"/>
      <c r="AF67" s="684"/>
      <c r="AG67" s="684"/>
      <c r="AH67" s="684"/>
      <c r="AI67" s="684"/>
      <c r="AJ67" s="684"/>
      <c r="AK67" s="684"/>
      <c r="AL67" s="684"/>
      <c r="AM67" s="684"/>
      <c r="AN67" s="684"/>
      <c r="AO67" s="684"/>
      <c r="AP67" s="684"/>
      <c r="AQ67" s="684"/>
      <c r="AR67" s="684"/>
      <c r="AS67" s="684"/>
      <c r="AT67" s="684"/>
      <c r="AU67" s="684"/>
      <c r="AV67" s="684"/>
      <c r="AW67" s="684"/>
      <c r="AX67" s="684"/>
      <c r="AY67" s="684"/>
      <c r="AZ67" s="684"/>
      <c r="BA67" s="684"/>
      <c r="BB67" s="684"/>
      <c r="BC67" s="684"/>
      <c r="BD67" s="684"/>
      <c r="BE67" s="684"/>
      <c r="BF67" s="684"/>
      <c r="BG67" s="684"/>
      <c r="BH67" s="684"/>
      <c r="BI67" s="684"/>
      <c r="BJ67" s="684"/>
      <c r="BK67" s="684"/>
      <c r="BL67" s="684"/>
      <c r="BM67" s="684"/>
      <c r="BN67" s="684"/>
      <c r="BO67" s="684"/>
      <c r="BP67" s="684"/>
      <c r="BQ67" s="684"/>
      <c r="BR67" s="684"/>
      <c r="BS67" s="684"/>
      <c r="BT67" s="684"/>
      <c r="BU67" s="684"/>
      <c r="BV67" s="684"/>
      <c r="BW67" s="684"/>
      <c r="BX67" s="684"/>
      <c r="BY67" s="684"/>
      <c r="BZ67" s="684"/>
      <c r="CA67" s="684"/>
      <c r="CB67" s="684"/>
      <c r="CC67" s="684"/>
      <c r="CD67" s="684"/>
      <c r="CE67" s="684"/>
      <c r="CF67" s="684"/>
      <c r="CG67" s="684"/>
      <c r="CH67" s="684"/>
      <c r="CI67" s="684"/>
      <c r="CJ67" s="684"/>
      <c r="CK67" s="684"/>
      <c r="CL67" s="684"/>
      <c r="CM67" s="684"/>
      <c r="CN67" s="684"/>
      <c r="CO67" s="684"/>
      <c r="CP67" s="684"/>
      <c r="CQ67" s="684"/>
      <c r="CR67" s="684"/>
      <c r="CS67" s="684"/>
      <c r="CT67" s="684"/>
      <c r="CU67" s="684"/>
      <c r="CV67" s="684"/>
      <c r="CW67" s="684"/>
      <c r="CX67" s="684"/>
      <c r="CY67" s="684"/>
      <c r="CZ67" s="684"/>
      <c r="DA67" s="684"/>
      <c r="DB67" s="684"/>
      <c r="DC67" s="684"/>
      <c r="DD67" s="684"/>
      <c r="DE67" s="684"/>
      <c r="DF67" s="684"/>
      <c r="DG67" s="684"/>
      <c r="DH67" s="684"/>
      <c r="DI67" s="684"/>
      <c r="DJ67" s="684"/>
      <c r="DK67" s="684"/>
      <c r="DL67" s="684"/>
      <c r="DM67" s="684"/>
      <c r="DN67" s="684"/>
      <c r="DO67" s="684"/>
      <c r="DP67" s="684"/>
      <c r="DQ67" s="684"/>
      <c r="DR67" s="684"/>
      <c r="DS67" s="684"/>
      <c r="DT67" s="684"/>
      <c r="DU67" s="684"/>
      <c r="DV67" s="684"/>
      <c r="DW67" s="684"/>
      <c r="DX67" s="684"/>
      <c r="DY67" s="684"/>
      <c r="DZ67" s="684"/>
      <c r="EA67" s="684"/>
      <c r="EB67" s="684"/>
      <c r="EC67" s="684"/>
      <c r="ED67" s="684"/>
      <c r="EE67" s="684"/>
      <c r="EF67" s="684"/>
      <c r="EG67" s="684"/>
      <c r="EH67" s="684"/>
      <c r="EI67" s="684"/>
      <c r="EJ67" s="684"/>
      <c r="EK67" s="684"/>
      <c r="EL67" s="684"/>
      <c r="EM67" s="684"/>
      <c r="EN67" s="684"/>
      <c r="EO67" s="684"/>
      <c r="EP67" s="684"/>
      <c r="EQ67" s="684"/>
      <c r="ER67" s="684"/>
      <c r="ES67" s="684"/>
      <c r="ET67" s="684"/>
      <c r="EU67" s="684"/>
      <c r="EV67" s="684"/>
      <c r="EW67" s="684"/>
      <c r="EX67" s="684"/>
      <c r="EY67" s="684"/>
      <c r="EZ67" s="684"/>
      <c r="FA67" s="684"/>
      <c r="FB67" s="684"/>
      <c r="FC67" s="684"/>
      <c r="FD67" s="684"/>
      <c r="FE67" s="684"/>
      <c r="FF67" s="684"/>
      <c r="FG67" s="684"/>
      <c r="FH67" s="684"/>
      <c r="FI67" s="684"/>
      <c r="FJ67" s="684"/>
      <c r="FK67" s="684"/>
      <c r="FL67" s="684"/>
      <c r="FM67" s="684"/>
      <c r="FN67" s="684"/>
      <c r="FO67" s="684"/>
      <c r="FP67" s="684"/>
      <c r="FQ67" s="684"/>
      <c r="FR67" s="684"/>
      <c r="FS67" s="684"/>
      <c r="FT67" s="684"/>
      <c r="FU67" s="684"/>
      <c r="FV67" s="684"/>
      <c r="FW67" s="684"/>
      <c r="FX67" s="684"/>
      <c r="FY67" s="684"/>
      <c r="FZ67" s="684"/>
      <c r="GA67" s="684"/>
      <c r="GB67" s="684"/>
      <c r="GC67" s="684"/>
      <c r="GD67" s="684"/>
      <c r="GE67" s="684"/>
      <c r="GF67" s="684"/>
      <c r="GG67" s="684"/>
      <c r="GH67" s="684"/>
      <c r="GI67" s="684"/>
      <c r="GJ67" s="684"/>
      <c r="GK67" s="684"/>
      <c r="GL67" s="684"/>
      <c r="GM67" s="684"/>
      <c r="GN67" s="684"/>
      <c r="GO67" s="684"/>
      <c r="GP67" s="684"/>
      <c r="GQ67" s="684"/>
      <c r="GR67" s="684"/>
      <c r="GS67" s="684"/>
      <c r="GT67" s="684"/>
      <c r="GU67" s="684"/>
      <c r="GV67" s="684"/>
      <c r="GW67" s="684"/>
      <c r="GX67" s="684"/>
      <c r="GY67" s="684"/>
      <c r="GZ67" s="684"/>
      <c r="HA67" s="684"/>
      <c r="HB67" s="684"/>
      <c r="HC67" s="684"/>
      <c r="HD67" s="684"/>
      <c r="HE67" s="684"/>
    </row>
    <row r="68" spans="1:213">
      <c r="A68" s="1" t="s">
        <v>280</v>
      </c>
      <c r="B68" s="284"/>
      <c r="C68" s="255" t="s">
        <v>281</v>
      </c>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88"/>
      <c r="FO68" s="88"/>
      <c r="FP68" s="88"/>
      <c r="FQ68" s="88"/>
      <c r="FR68" s="88"/>
      <c r="FS68" s="88"/>
      <c r="FT68" s="88"/>
      <c r="FU68" s="88"/>
      <c r="FV68" s="88"/>
      <c r="FW68" s="88"/>
      <c r="FX68" s="88"/>
      <c r="FY68" s="88"/>
      <c r="FZ68" s="88"/>
      <c r="GA68" s="88"/>
      <c r="GB68" s="88"/>
      <c r="GC68" s="88"/>
      <c r="GD68" s="88"/>
      <c r="GE68" s="88"/>
      <c r="GF68" s="88"/>
      <c r="GG68" s="88"/>
      <c r="GH68" s="88"/>
      <c r="GI68" s="88"/>
      <c r="GJ68" s="88"/>
      <c r="GK68" s="88"/>
      <c r="GL68" s="88"/>
      <c r="GM68" s="88"/>
      <c r="GN68" s="88"/>
      <c r="GO68" s="88"/>
      <c r="GP68" s="88"/>
      <c r="GQ68" s="88"/>
      <c r="GR68" s="88"/>
      <c r="GS68" s="88"/>
      <c r="GT68" s="88"/>
      <c r="GU68" s="88"/>
      <c r="GV68" s="88"/>
      <c r="GW68" s="88"/>
      <c r="GX68" s="88"/>
      <c r="GY68" s="88"/>
      <c r="GZ68" s="88"/>
      <c r="HA68" s="88"/>
      <c r="HB68" s="88"/>
      <c r="HC68" s="88"/>
      <c r="HD68" s="88"/>
      <c r="HE68" s="88"/>
    </row>
    <row r="69" spans="1:213">
      <c r="A69" s="1" t="s">
        <v>282</v>
      </c>
      <c r="B69" s="452"/>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c r="FZ69" s="88"/>
      <c r="GA69" s="88"/>
      <c r="GB69" s="88"/>
      <c r="GC69" s="88"/>
      <c r="GD69" s="88"/>
      <c r="GE69" s="88"/>
      <c r="GF69" s="88"/>
      <c r="GG69" s="88"/>
      <c r="GH69" s="88"/>
      <c r="GI69" s="88"/>
      <c r="GJ69" s="88"/>
      <c r="GK69" s="88"/>
      <c r="GL69" s="88"/>
      <c r="GM69" s="88"/>
      <c r="GN69" s="88"/>
      <c r="GO69" s="88"/>
      <c r="GP69" s="88"/>
      <c r="GQ69" s="88"/>
      <c r="GR69" s="88"/>
      <c r="GS69" s="88"/>
      <c r="GT69" s="88"/>
      <c r="GU69" s="88"/>
      <c r="GV69" s="88"/>
      <c r="GW69" s="88"/>
      <c r="GX69" s="88"/>
      <c r="GY69" s="88"/>
      <c r="GZ69" s="88"/>
      <c r="HA69" s="88"/>
      <c r="HB69" s="88"/>
      <c r="HC69" s="88"/>
      <c r="HD69" s="88"/>
      <c r="HE69" s="88"/>
    </row>
    <row r="70" spans="1:213">
      <c r="A70" s="1" t="s">
        <v>283</v>
      </c>
      <c r="B70" s="452"/>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88"/>
      <c r="GA70" s="88"/>
      <c r="GB70" s="88"/>
      <c r="GC70" s="88"/>
      <c r="GD70" s="88"/>
      <c r="GE70" s="88"/>
      <c r="GF70" s="88"/>
      <c r="GG70" s="88"/>
      <c r="GH70" s="88"/>
      <c r="GI70" s="88"/>
      <c r="GJ70" s="88"/>
      <c r="GK70" s="88"/>
      <c r="GL70" s="88"/>
      <c r="GM70" s="88"/>
      <c r="GN70" s="88"/>
      <c r="GO70" s="88"/>
      <c r="GP70" s="88"/>
      <c r="GQ70" s="88"/>
      <c r="GR70" s="88"/>
      <c r="GS70" s="88"/>
      <c r="GT70" s="88"/>
      <c r="GU70" s="88"/>
      <c r="GV70" s="88"/>
      <c r="GW70" s="88"/>
      <c r="GX70" s="88"/>
      <c r="GY70" s="88"/>
      <c r="GZ70" s="88"/>
      <c r="HA70" s="88"/>
      <c r="HB70" s="88"/>
      <c r="HC70" s="88"/>
      <c r="HD70" s="88"/>
      <c r="HE70" s="88"/>
    </row>
    <row r="71" spans="1:213">
      <c r="A71" s="1" t="s">
        <v>284</v>
      </c>
      <c r="B71" s="452"/>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c r="EW71" s="88"/>
      <c r="EX71" s="88"/>
      <c r="EY71" s="88"/>
      <c r="EZ71" s="88"/>
      <c r="FA71" s="88"/>
      <c r="FB71" s="88"/>
      <c r="FC71" s="88"/>
      <c r="FD71" s="88"/>
      <c r="FE71" s="88"/>
      <c r="FF71" s="88"/>
      <c r="FG71" s="88"/>
      <c r="FH71" s="88"/>
      <c r="FI71" s="88"/>
      <c r="FJ71" s="88"/>
      <c r="FK71" s="88"/>
      <c r="FL71" s="88"/>
      <c r="FM71" s="88"/>
      <c r="FN71" s="88"/>
      <c r="FO71" s="88"/>
      <c r="FP71" s="88"/>
      <c r="FQ71" s="88"/>
      <c r="FR71" s="88"/>
      <c r="FS71" s="88"/>
      <c r="FT71" s="88"/>
      <c r="FU71" s="88"/>
      <c r="FV71" s="88"/>
      <c r="FW71" s="88"/>
      <c r="FX71" s="88"/>
      <c r="FY71" s="88"/>
      <c r="FZ71" s="88"/>
      <c r="GA71" s="88"/>
      <c r="GB71" s="88"/>
      <c r="GC71" s="88"/>
      <c r="GD71" s="88"/>
      <c r="GE71" s="88"/>
      <c r="GF71" s="88"/>
      <c r="GG71" s="88"/>
      <c r="GH71" s="88"/>
      <c r="GI71" s="88"/>
      <c r="GJ71" s="88"/>
      <c r="GK71" s="88"/>
      <c r="GL71" s="88"/>
      <c r="GM71" s="88"/>
      <c r="GN71" s="88"/>
      <c r="GO71" s="88"/>
      <c r="GP71" s="88"/>
      <c r="GQ71" s="88"/>
      <c r="GR71" s="88"/>
      <c r="GS71" s="88"/>
      <c r="GT71" s="88"/>
      <c r="GU71" s="88"/>
      <c r="GV71" s="88"/>
      <c r="GW71" s="88"/>
      <c r="GX71" s="88"/>
      <c r="GY71" s="88"/>
      <c r="GZ71" s="88"/>
      <c r="HA71" s="88"/>
      <c r="HB71" s="88"/>
      <c r="HC71" s="88"/>
      <c r="HD71" s="88"/>
      <c r="HE71" s="88"/>
    </row>
    <row r="72" spans="1:213">
      <c r="A72" s="1" t="s">
        <v>285</v>
      </c>
      <c r="B72" s="452"/>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c r="FW72" s="88"/>
      <c r="FX72" s="88"/>
      <c r="FY72" s="88"/>
      <c r="FZ72" s="88"/>
      <c r="GA72" s="88"/>
      <c r="GB72" s="88"/>
      <c r="GC72" s="88"/>
      <c r="GD72" s="88"/>
      <c r="GE72" s="88"/>
      <c r="GF72" s="88"/>
      <c r="GG72" s="88"/>
      <c r="GH72" s="88"/>
      <c r="GI72" s="88"/>
      <c r="GJ72" s="88"/>
      <c r="GK72" s="88"/>
      <c r="GL72" s="88"/>
      <c r="GM72" s="88"/>
      <c r="GN72" s="88"/>
      <c r="GO72" s="88"/>
      <c r="GP72" s="88"/>
      <c r="GQ72" s="88"/>
      <c r="GR72" s="88"/>
      <c r="GS72" s="88"/>
      <c r="GT72" s="88"/>
      <c r="GU72" s="88"/>
      <c r="GV72" s="88"/>
      <c r="GW72" s="88"/>
      <c r="GX72" s="88"/>
      <c r="GY72" s="88"/>
      <c r="GZ72" s="88"/>
      <c r="HA72" s="88"/>
      <c r="HB72" s="88"/>
      <c r="HC72" s="88"/>
      <c r="HD72" s="88"/>
      <c r="HE72" s="88"/>
    </row>
    <row r="73" spans="1:213">
      <c r="A73" s="1" t="s">
        <v>286</v>
      </c>
      <c r="B73" s="452"/>
      <c r="C73" s="320"/>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c r="EO73" s="88"/>
      <c r="EP73" s="88"/>
      <c r="EQ73" s="88"/>
      <c r="ER73" s="88"/>
      <c r="ES73" s="88"/>
      <c r="ET73" s="88"/>
      <c r="EU73" s="88"/>
      <c r="EV73" s="88"/>
      <c r="EW73" s="88"/>
      <c r="EX73" s="88"/>
      <c r="EY73" s="88"/>
      <c r="EZ73" s="88"/>
      <c r="FA73" s="88"/>
      <c r="FB73" s="88"/>
      <c r="FC73" s="88"/>
      <c r="FD73" s="88"/>
      <c r="FE73" s="88"/>
      <c r="FF73" s="88"/>
      <c r="FG73" s="88"/>
      <c r="FH73" s="88"/>
      <c r="FI73" s="88"/>
      <c r="FJ73" s="88"/>
      <c r="FK73" s="88"/>
      <c r="FL73" s="88"/>
      <c r="FM73" s="88"/>
      <c r="FN73" s="88"/>
      <c r="FO73" s="88"/>
      <c r="FP73" s="88"/>
      <c r="FQ73" s="88"/>
      <c r="FR73" s="88"/>
      <c r="FS73" s="88"/>
      <c r="FT73" s="88"/>
      <c r="FU73" s="88"/>
      <c r="FV73" s="88"/>
      <c r="FW73" s="88"/>
      <c r="FX73" s="88"/>
      <c r="FY73" s="88"/>
      <c r="FZ73" s="88"/>
      <c r="GA73" s="88"/>
      <c r="GB73" s="88"/>
      <c r="GC73" s="88"/>
      <c r="GD73" s="88"/>
      <c r="GE73" s="88"/>
      <c r="GF73" s="88"/>
      <c r="GG73" s="88"/>
      <c r="GH73" s="88"/>
      <c r="GI73" s="88"/>
      <c r="GJ73" s="88"/>
      <c r="GK73" s="88"/>
      <c r="GL73" s="88"/>
      <c r="GM73" s="88"/>
      <c r="GN73" s="88"/>
      <c r="GO73" s="88"/>
      <c r="GP73" s="88"/>
      <c r="GQ73" s="88"/>
      <c r="GR73" s="88"/>
      <c r="GS73" s="88"/>
      <c r="GT73" s="88"/>
      <c r="GU73" s="88"/>
      <c r="GV73" s="88"/>
      <c r="GW73" s="88"/>
      <c r="GX73" s="88"/>
      <c r="GY73" s="88"/>
      <c r="GZ73" s="88"/>
      <c r="HA73" s="88"/>
      <c r="HB73" s="88"/>
      <c r="HC73" s="88"/>
      <c r="HD73" s="88"/>
      <c r="HE73" s="88"/>
    </row>
    <row r="74" spans="1:213">
      <c r="A74" s="60" t="s">
        <v>287</v>
      </c>
      <c r="B74" s="452"/>
      <c r="C74"/>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c r="EW74" s="88"/>
      <c r="EX74" s="88"/>
      <c r="EY74" s="88"/>
      <c r="EZ74" s="88"/>
      <c r="FA74" s="88"/>
      <c r="FB74" s="88"/>
      <c r="FC74" s="88"/>
      <c r="FD74" s="88"/>
      <c r="FE74" s="88"/>
      <c r="FF74" s="88"/>
      <c r="FG74" s="88"/>
      <c r="FH74" s="88"/>
      <c r="FI74" s="88"/>
      <c r="FJ74" s="88"/>
      <c r="FK74" s="88"/>
      <c r="FL74" s="88"/>
      <c r="FM74" s="88"/>
      <c r="FN74" s="88"/>
      <c r="FO74" s="88"/>
      <c r="FP74" s="88"/>
      <c r="FQ74" s="88"/>
      <c r="FR74" s="88"/>
      <c r="FS74" s="88"/>
      <c r="FT74" s="88"/>
      <c r="FU74" s="88"/>
      <c r="FV74" s="88"/>
      <c r="FW74" s="88"/>
      <c r="FX74" s="88"/>
      <c r="FY74" s="88"/>
      <c r="FZ74" s="88"/>
      <c r="GA74" s="88"/>
      <c r="GB74" s="88"/>
      <c r="GC74" s="88"/>
      <c r="GD74" s="88"/>
      <c r="GE74" s="88"/>
      <c r="GF74" s="88"/>
      <c r="GG74" s="88"/>
      <c r="GH74" s="88"/>
      <c r="GI74" s="88"/>
      <c r="GJ74" s="88"/>
      <c r="GK74" s="88"/>
      <c r="GL74" s="88"/>
      <c r="GM74" s="88"/>
      <c r="GN74" s="88"/>
      <c r="GO74" s="88"/>
      <c r="GP74" s="88"/>
      <c r="GQ74" s="88"/>
      <c r="GR74" s="88"/>
      <c r="GS74" s="88"/>
      <c r="GT74" s="88"/>
      <c r="GU74" s="88"/>
      <c r="GV74" s="88"/>
      <c r="GW74" s="88"/>
      <c r="GX74" s="88"/>
      <c r="GY74" s="88"/>
      <c r="GZ74" s="88"/>
      <c r="HA74" s="88"/>
      <c r="HB74" s="88"/>
      <c r="HC74" s="88"/>
      <c r="HD74" s="88"/>
      <c r="HE74" s="88"/>
    </row>
    <row r="75" spans="1:213">
      <c r="A75" s="17" t="s">
        <v>288</v>
      </c>
      <c r="B75" s="284"/>
      <c r="C75" s="255"/>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8"/>
      <c r="EU75" s="88"/>
      <c r="EV75" s="88"/>
      <c r="EW75" s="88"/>
      <c r="EX75" s="88"/>
      <c r="EY75" s="88"/>
      <c r="EZ75" s="88"/>
      <c r="FA75" s="88"/>
      <c r="FB75" s="88"/>
      <c r="FC75" s="88"/>
      <c r="FD75" s="88"/>
      <c r="FE75" s="88"/>
      <c r="FF75" s="88"/>
      <c r="FG75" s="88"/>
      <c r="FH75" s="88"/>
      <c r="FI75" s="88"/>
      <c r="FJ75" s="88"/>
      <c r="FK75" s="88"/>
      <c r="FL75" s="88"/>
      <c r="FM75" s="88"/>
      <c r="FN75" s="88"/>
      <c r="FO75" s="88"/>
      <c r="FP75" s="88"/>
      <c r="FQ75" s="88"/>
      <c r="FR75" s="88"/>
      <c r="FS75" s="88"/>
      <c r="FT75" s="88"/>
      <c r="FU75" s="88"/>
      <c r="FV75" s="88"/>
      <c r="FW75" s="88"/>
      <c r="FX75" s="88"/>
      <c r="FY75" s="88"/>
      <c r="FZ75" s="88"/>
      <c r="GA75" s="88"/>
      <c r="GB75" s="88"/>
      <c r="GC75" s="88"/>
      <c r="GD75" s="88"/>
      <c r="GE75" s="88"/>
      <c r="GF75" s="88"/>
      <c r="GG75" s="88"/>
      <c r="GH75" s="88"/>
      <c r="GI75" s="88"/>
      <c r="GJ75" s="88"/>
      <c r="GK75" s="88"/>
      <c r="GL75" s="88"/>
      <c r="GM75" s="88"/>
      <c r="GN75" s="88"/>
      <c r="GO75" s="88"/>
      <c r="GP75" s="88"/>
      <c r="GQ75" s="88"/>
      <c r="GR75" s="88"/>
      <c r="GS75" s="88"/>
      <c r="GT75" s="88"/>
      <c r="GU75" s="88"/>
      <c r="GV75" s="88"/>
      <c r="GW75" s="88"/>
      <c r="GX75" s="88"/>
      <c r="GY75" s="88"/>
      <c r="GZ75" s="88"/>
      <c r="HA75" s="88"/>
      <c r="HB75" s="88"/>
      <c r="HC75" s="88"/>
      <c r="HD75" s="88"/>
      <c r="HE75" s="88"/>
    </row>
    <row r="76" spans="1:213">
      <c r="A76" s="17" t="s">
        <v>289</v>
      </c>
      <c r="B76" s="457">
        <v>0</v>
      </c>
      <c r="C76" s="6" t="s">
        <v>290</v>
      </c>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8"/>
      <c r="EU76" s="88"/>
      <c r="EV76" s="88"/>
      <c r="EW76" s="88"/>
      <c r="EX76" s="88"/>
      <c r="EY76" s="88"/>
      <c r="EZ76" s="88"/>
      <c r="FA76" s="88"/>
      <c r="FB76" s="88"/>
      <c r="FC76" s="88"/>
      <c r="FD76" s="88"/>
      <c r="FE76" s="88"/>
      <c r="FF76" s="88"/>
      <c r="FG76" s="88"/>
      <c r="FH76" s="88"/>
      <c r="FI76" s="88"/>
      <c r="FJ76" s="88"/>
      <c r="FK76" s="88"/>
      <c r="FL76" s="88"/>
      <c r="FM76" s="88"/>
      <c r="FN76" s="88"/>
      <c r="FO76" s="88"/>
      <c r="FP76" s="88"/>
      <c r="FQ76" s="88"/>
      <c r="FR76" s="88"/>
      <c r="FS76" s="88"/>
      <c r="FT76" s="88"/>
      <c r="FU76" s="88"/>
      <c r="FV76" s="88"/>
      <c r="FW76" s="88"/>
      <c r="FX76" s="88"/>
      <c r="FY76" s="88"/>
      <c r="FZ76" s="88"/>
      <c r="GA76" s="88"/>
      <c r="GB76" s="88"/>
      <c r="GC76" s="88"/>
      <c r="GD76" s="88"/>
      <c r="GE76" s="88"/>
      <c r="GF76" s="88"/>
      <c r="GG76" s="88"/>
      <c r="GH76" s="88"/>
      <c r="GI76" s="88"/>
      <c r="GJ76" s="88"/>
      <c r="GK76" s="88"/>
      <c r="GL76" s="88"/>
      <c r="GM76" s="88"/>
      <c r="GN76" s="88"/>
      <c r="GO76" s="88"/>
      <c r="GP76" s="88"/>
      <c r="GQ76" s="88"/>
      <c r="GR76" s="88"/>
      <c r="GS76" s="88"/>
      <c r="GT76" s="88"/>
      <c r="GU76" s="88"/>
      <c r="GV76" s="88"/>
      <c r="GW76" s="88"/>
      <c r="GX76" s="88"/>
      <c r="GY76" s="88"/>
      <c r="GZ76" s="88"/>
      <c r="HA76" s="88"/>
      <c r="HB76" s="88"/>
      <c r="HC76" s="88"/>
      <c r="HD76" s="88"/>
      <c r="HE76" s="88"/>
    </row>
    <row r="77" spans="1:213">
      <c r="A77" s="17" t="s">
        <v>291</v>
      </c>
      <c r="B77" s="457">
        <v>0</v>
      </c>
      <c r="C77" s="6" t="s">
        <v>290</v>
      </c>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8"/>
      <c r="FJ77" s="88"/>
      <c r="FK77" s="88"/>
      <c r="FL77" s="88"/>
      <c r="FM77" s="88"/>
      <c r="FN77" s="88"/>
      <c r="FO77" s="88"/>
      <c r="FP77" s="88"/>
      <c r="FQ77" s="88"/>
      <c r="FR77" s="88"/>
      <c r="FS77" s="88"/>
      <c r="FT77" s="88"/>
      <c r="FU77" s="88"/>
      <c r="FV77" s="88"/>
      <c r="FW77" s="88"/>
      <c r="FX77" s="88"/>
      <c r="FY77" s="88"/>
      <c r="FZ77" s="88"/>
      <c r="GA77" s="88"/>
      <c r="GB77" s="88"/>
      <c r="GC77" s="88"/>
      <c r="GD77" s="88"/>
      <c r="GE77" s="88"/>
      <c r="GF77" s="88"/>
      <c r="GG77" s="88"/>
      <c r="GH77" s="88"/>
      <c r="GI77" s="88"/>
      <c r="GJ77" s="88"/>
      <c r="GK77" s="88"/>
      <c r="GL77" s="88"/>
      <c r="GM77" s="88"/>
      <c r="GN77" s="88"/>
      <c r="GO77" s="88"/>
      <c r="GP77" s="88"/>
      <c r="GQ77" s="88"/>
      <c r="GR77" s="88"/>
      <c r="GS77" s="88"/>
      <c r="GT77" s="88"/>
      <c r="GU77" s="88"/>
      <c r="GV77" s="88"/>
      <c r="GW77" s="88"/>
      <c r="GX77" s="88"/>
      <c r="GY77" s="88"/>
      <c r="GZ77" s="88"/>
      <c r="HA77" s="88"/>
      <c r="HB77" s="88"/>
      <c r="HC77" s="88"/>
      <c r="HD77" s="88"/>
      <c r="HE77" s="88"/>
    </row>
    <row r="78" spans="1:213">
      <c r="A78" s="17" t="s">
        <v>292</v>
      </c>
      <c r="B78" s="457">
        <v>0</v>
      </c>
      <c r="C78" s="6" t="s">
        <v>290</v>
      </c>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c r="FD78" s="88"/>
      <c r="FE78" s="88"/>
      <c r="FF78" s="88"/>
      <c r="FG78" s="88"/>
      <c r="FH78" s="88"/>
      <c r="FI78" s="88"/>
      <c r="FJ78" s="88"/>
      <c r="FK78" s="88"/>
      <c r="FL78" s="88"/>
      <c r="FM78" s="88"/>
      <c r="FN78" s="88"/>
      <c r="FO78" s="88"/>
      <c r="FP78" s="88"/>
      <c r="FQ78" s="88"/>
      <c r="FR78" s="88"/>
      <c r="FS78" s="88"/>
      <c r="FT78" s="88"/>
      <c r="FU78" s="88"/>
      <c r="FV78" s="88"/>
      <c r="FW78" s="88"/>
      <c r="FX78" s="88"/>
      <c r="FY78" s="88"/>
      <c r="FZ78" s="88"/>
      <c r="GA78" s="88"/>
      <c r="GB78" s="88"/>
      <c r="GC78" s="88"/>
      <c r="GD78" s="88"/>
      <c r="GE78" s="88"/>
      <c r="GF78" s="88"/>
      <c r="GG78" s="88"/>
      <c r="GH78" s="88"/>
      <c r="GI78" s="88"/>
      <c r="GJ78" s="88"/>
      <c r="GK78" s="88"/>
      <c r="GL78" s="88"/>
      <c r="GM78" s="88"/>
      <c r="GN78" s="88"/>
      <c r="GO78" s="88"/>
      <c r="GP78" s="88"/>
      <c r="GQ78" s="88"/>
      <c r="GR78" s="88"/>
      <c r="GS78" s="88"/>
      <c r="GT78" s="88"/>
      <c r="GU78" s="88"/>
      <c r="GV78" s="88"/>
      <c r="GW78" s="88"/>
      <c r="GX78" s="88"/>
      <c r="GY78" s="88"/>
      <c r="GZ78" s="88"/>
      <c r="HA78" s="88"/>
      <c r="HB78" s="88"/>
      <c r="HC78" s="88"/>
      <c r="HD78" s="88"/>
      <c r="HE78" s="88"/>
    </row>
    <row r="79" spans="1:213">
      <c r="A79" s="17" t="s">
        <v>293</v>
      </c>
      <c r="B79" s="457">
        <v>0</v>
      </c>
      <c r="C79" s="6" t="s">
        <v>290</v>
      </c>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8"/>
      <c r="GD79" s="88"/>
      <c r="GE79" s="88"/>
      <c r="GF79" s="88"/>
      <c r="GG79" s="88"/>
      <c r="GH79" s="88"/>
      <c r="GI79" s="88"/>
      <c r="GJ79" s="88"/>
      <c r="GK79" s="88"/>
      <c r="GL79" s="88"/>
      <c r="GM79" s="88"/>
      <c r="GN79" s="88"/>
      <c r="GO79" s="88"/>
      <c r="GP79" s="88"/>
      <c r="GQ79" s="88"/>
      <c r="GR79" s="88"/>
      <c r="GS79" s="88"/>
      <c r="GT79" s="88"/>
      <c r="GU79" s="88"/>
      <c r="GV79" s="88"/>
      <c r="GW79" s="88"/>
      <c r="GX79" s="88"/>
      <c r="GY79" s="88"/>
      <c r="GZ79" s="88"/>
      <c r="HA79" s="88"/>
      <c r="HB79" s="88"/>
      <c r="HC79" s="88"/>
      <c r="HD79" s="88"/>
      <c r="HE79" s="88"/>
    </row>
    <row r="80" spans="1:213">
      <c r="A80" s="17" t="s">
        <v>294</v>
      </c>
      <c r="B80" s="284"/>
      <c r="C80" s="255" t="s">
        <v>295</v>
      </c>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c r="EW80" s="88"/>
      <c r="EX80" s="88"/>
      <c r="EY80" s="88"/>
      <c r="EZ80" s="88"/>
      <c r="FA80" s="88"/>
      <c r="FB80" s="88"/>
      <c r="FC80" s="88"/>
      <c r="FD80" s="88"/>
      <c r="FE80" s="88"/>
      <c r="FF80" s="88"/>
      <c r="FG80" s="88"/>
      <c r="FH80" s="88"/>
      <c r="FI80" s="88"/>
      <c r="FJ80" s="88"/>
      <c r="FK80" s="88"/>
      <c r="FL80" s="88"/>
      <c r="FM80" s="88"/>
      <c r="FN80" s="88"/>
      <c r="FO80" s="88"/>
      <c r="FP80" s="88"/>
      <c r="FQ80" s="88"/>
      <c r="FR80" s="88"/>
      <c r="FS80" s="88"/>
      <c r="FT80" s="88"/>
      <c r="FU80" s="88"/>
      <c r="FV80" s="88"/>
      <c r="FW80" s="88"/>
      <c r="FX80" s="88"/>
      <c r="FY80" s="88"/>
      <c r="FZ80" s="88"/>
      <c r="GA80" s="88"/>
      <c r="GB80" s="88"/>
      <c r="GC80" s="88"/>
      <c r="GD80" s="88"/>
      <c r="GE80" s="88"/>
      <c r="GF80" s="88"/>
      <c r="GG80" s="88"/>
      <c r="GH80" s="88"/>
      <c r="GI80" s="88"/>
      <c r="GJ80" s="88"/>
      <c r="GK80" s="88"/>
      <c r="GL80" s="88"/>
      <c r="GM80" s="88"/>
      <c r="GN80" s="88"/>
      <c r="GO80" s="88"/>
      <c r="GP80" s="88"/>
      <c r="GQ80" s="88"/>
      <c r="GR80" s="88"/>
      <c r="GS80" s="88"/>
      <c r="GT80" s="88"/>
      <c r="GU80" s="88"/>
      <c r="GV80" s="88"/>
      <c r="GW80" s="88"/>
      <c r="GX80" s="88"/>
      <c r="GY80" s="88"/>
      <c r="GZ80" s="88"/>
      <c r="HA80" s="88"/>
      <c r="HB80" s="88"/>
      <c r="HC80" s="88"/>
      <c r="HD80" s="88"/>
      <c r="HE80" s="88"/>
    </row>
    <row r="81" spans="1:213">
      <c r="A81" s="17" t="s">
        <v>296</v>
      </c>
      <c r="B81" s="457">
        <v>0</v>
      </c>
      <c r="C81" s="255" t="s">
        <v>295</v>
      </c>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c r="FZ81" s="88"/>
      <c r="GA81" s="88"/>
      <c r="GB81" s="88"/>
      <c r="GC81" s="88"/>
      <c r="GD81" s="88"/>
      <c r="GE81" s="88"/>
      <c r="GF81" s="88"/>
      <c r="GG81" s="88"/>
      <c r="GH81" s="88"/>
      <c r="GI81" s="88"/>
      <c r="GJ81" s="88"/>
      <c r="GK81" s="88"/>
      <c r="GL81" s="88"/>
      <c r="GM81" s="88"/>
      <c r="GN81" s="88"/>
      <c r="GO81" s="88"/>
      <c r="GP81" s="88"/>
      <c r="GQ81" s="88"/>
      <c r="GR81" s="88"/>
      <c r="GS81" s="88"/>
      <c r="GT81" s="88"/>
      <c r="GU81" s="88"/>
      <c r="GV81" s="88"/>
      <c r="GW81" s="88"/>
      <c r="GX81" s="88"/>
      <c r="GY81" s="88"/>
      <c r="GZ81" s="88"/>
      <c r="HA81" s="88"/>
      <c r="HB81" s="88"/>
      <c r="HC81" s="88"/>
      <c r="HD81" s="88"/>
      <c r="HE81" s="88"/>
    </row>
    <row r="82" spans="1:213">
      <c r="A82" s="60" t="s">
        <v>297</v>
      </c>
      <c r="B82" s="452"/>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c r="EW82" s="88"/>
      <c r="EX82" s="88"/>
      <c r="EY82" s="88"/>
      <c r="EZ82" s="88"/>
      <c r="FA82" s="88"/>
      <c r="FB82" s="88"/>
      <c r="FC82" s="88"/>
      <c r="FD82" s="88"/>
      <c r="FE82" s="88"/>
      <c r="FF82" s="88"/>
      <c r="FG82" s="88"/>
      <c r="FH82" s="88"/>
      <c r="FI82" s="88"/>
      <c r="FJ82" s="88"/>
      <c r="FK82" s="88"/>
      <c r="FL82" s="88"/>
      <c r="FM82" s="88"/>
      <c r="FN82" s="88"/>
      <c r="FO82" s="88"/>
      <c r="FP82" s="88"/>
      <c r="FQ82" s="88"/>
      <c r="FR82" s="88"/>
      <c r="FS82" s="88"/>
      <c r="FT82" s="88"/>
      <c r="FU82" s="88"/>
      <c r="FV82" s="88"/>
      <c r="FW82" s="88"/>
      <c r="FX82" s="88"/>
      <c r="FY82" s="88"/>
      <c r="FZ82" s="88"/>
      <c r="GA82" s="88"/>
      <c r="GB82" s="88"/>
      <c r="GC82" s="88"/>
      <c r="GD82" s="88"/>
      <c r="GE82" s="88"/>
      <c r="GF82" s="88"/>
      <c r="GG82" s="88"/>
      <c r="GH82" s="88"/>
      <c r="GI82" s="88"/>
      <c r="GJ82" s="88"/>
      <c r="GK82" s="88"/>
      <c r="GL82" s="88"/>
      <c r="GM82" s="88"/>
      <c r="GN82" s="88"/>
      <c r="GO82" s="88"/>
      <c r="GP82" s="88"/>
      <c r="GQ82" s="88"/>
      <c r="GR82" s="88"/>
      <c r="GS82" s="88"/>
      <c r="GT82" s="88"/>
      <c r="GU82" s="88"/>
      <c r="GV82" s="88"/>
      <c r="GW82" s="88"/>
      <c r="GX82" s="88"/>
      <c r="GY82" s="88"/>
      <c r="GZ82" s="88"/>
      <c r="HA82" s="88"/>
      <c r="HB82" s="88"/>
      <c r="HC82" s="88"/>
      <c r="HD82" s="88"/>
      <c r="HE82" s="88"/>
    </row>
    <row r="83" spans="1:213">
      <c r="A83" s="17" t="s">
        <v>298</v>
      </c>
      <c r="B83" s="457"/>
      <c r="C83" s="6" t="s">
        <v>290</v>
      </c>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c r="FZ83" s="88"/>
      <c r="GA83" s="88"/>
      <c r="GB83" s="88"/>
      <c r="GC83" s="88"/>
      <c r="GD83" s="88"/>
      <c r="GE83" s="88"/>
      <c r="GF83" s="88"/>
      <c r="GG83" s="88"/>
      <c r="GH83" s="88"/>
      <c r="GI83" s="88"/>
      <c r="GJ83" s="88"/>
      <c r="GK83" s="88"/>
      <c r="GL83" s="88"/>
      <c r="GM83" s="88"/>
      <c r="GN83" s="88"/>
      <c r="GO83" s="88"/>
      <c r="GP83" s="88"/>
      <c r="GQ83" s="88"/>
      <c r="GR83" s="88"/>
      <c r="GS83" s="88"/>
      <c r="GT83" s="88"/>
      <c r="GU83" s="88"/>
      <c r="GV83" s="88"/>
      <c r="GW83" s="88"/>
      <c r="GX83" s="88"/>
      <c r="GY83" s="88"/>
      <c r="GZ83" s="88"/>
      <c r="HA83" s="88"/>
      <c r="HB83" s="88"/>
      <c r="HC83" s="88"/>
      <c r="HD83" s="88"/>
      <c r="HE83" s="88"/>
    </row>
    <row r="84" spans="1:213">
      <c r="A84" s="1" t="s">
        <v>299</v>
      </c>
      <c r="B84" s="452"/>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c r="EW84" s="88"/>
      <c r="EX84" s="88"/>
      <c r="EY84" s="88"/>
      <c r="EZ84" s="88"/>
      <c r="FA84" s="88"/>
      <c r="FB84" s="88"/>
      <c r="FC84" s="88"/>
      <c r="FD84" s="88"/>
      <c r="FE84" s="88"/>
      <c r="FF84" s="88"/>
      <c r="FG84" s="88"/>
      <c r="FH84" s="88"/>
      <c r="FI84" s="88"/>
      <c r="FJ84" s="88"/>
      <c r="FK84" s="88"/>
      <c r="FL84" s="88"/>
      <c r="FM84" s="88"/>
      <c r="FN84" s="88"/>
      <c r="FO84" s="88"/>
      <c r="FP84" s="88"/>
      <c r="FQ84" s="88"/>
      <c r="FR84" s="88"/>
      <c r="FS84" s="88"/>
      <c r="FT84" s="88"/>
      <c r="FU84" s="88"/>
      <c r="FV84" s="88"/>
      <c r="FW84" s="88"/>
      <c r="FX84" s="88"/>
      <c r="FY84" s="88"/>
      <c r="FZ84" s="88"/>
      <c r="GA84" s="88"/>
      <c r="GB84" s="88"/>
      <c r="GC84" s="88"/>
      <c r="GD84" s="88"/>
      <c r="GE84" s="88"/>
      <c r="GF84" s="88"/>
      <c r="GG84" s="88"/>
      <c r="GH84" s="88"/>
      <c r="GI84" s="88"/>
      <c r="GJ84" s="88"/>
      <c r="GK84" s="88"/>
      <c r="GL84" s="88"/>
      <c r="GM84" s="88"/>
      <c r="GN84" s="88"/>
      <c r="GO84" s="88"/>
      <c r="GP84" s="88"/>
      <c r="GQ84" s="88"/>
      <c r="GR84" s="88"/>
      <c r="GS84" s="88"/>
      <c r="GT84" s="88"/>
      <c r="GU84" s="88"/>
      <c r="GV84" s="88"/>
      <c r="GW84" s="88"/>
      <c r="GX84" s="88"/>
      <c r="GY84" s="88"/>
      <c r="GZ84" s="88"/>
      <c r="HA84" s="88"/>
      <c r="HB84" s="88"/>
      <c r="HC84" s="88"/>
      <c r="HD84" s="88"/>
      <c r="HE84" s="88"/>
    </row>
    <row r="85" spans="1:213">
      <c r="A85" s="17" t="s">
        <v>300</v>
      </c>
      <c r="B85" s="457">
        <v>0</v>
      </c>
      <c r="C85" s="6" t="s">
        <v>290</v>
      </c>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c r="EW85" s="88"/>
      <c r="EX85" s="88"/>
      <c r="EY85" s="88"/>
      <c r="EZ85" s="88"/>
      <c r="FA85" s="88"/>
      <c r="FB85" s="88"/>
      <c r="FC85" s="88"/>
      <c r="FD85" s="88"/>
      <c r="FE85" s="88"/>
      <c r="FF85" s="88"/>
      <c r="FG85" s="88"/>
      <c r="FH85" s="88"/>
      <c r="FI85" s="88"/>
      <c r="FJ85" s="88"/>
      <c r="FK85" s="88"/>
      <c r="FL85" s="88"/>
      <c r="FM85" s="88"/>
      <c r="FN85" s="88"/>
      <c r="FO85" s="88"/>
      <c r="FP85" s="88"/>
      <c r="FQ85" s="88"/>
      <c r="FR85" s="88"/>
      <c r="FS85" s="88"/>
      <c r="FT85" s="88"/>
      <c r="FU85" s="88"/>
      <c r="FV85" s="88"/>
      <c r="FW85" s="88"/>
      <c r="FX85" s="88"/>
      <c r="FY85" s="88"/>
      <c r="FZ85" s="88"/>
      <c r="GA85" s="88"/>
      <c r="GB85" s="88"/>
      <c r="GC85" s="88"/>
      <c r="GD85" s="88"/>
      <c r="GE85" s="88"/>
      <c r="GF85" s="88"/>
      <c r="GG85" s="88"/>
      <c r="GH85" s="88"/>
      <c r="GI85" s="88"/>
      <c r="GJ85" s="88"/>
      <c r="GK85" s="88"/>
      <c r="GL85" s="88"/>
      <c r="GM85" s="88"/>
      <c r="GN85" s="88"/>
      <c r="GO85" s="88"/>
      <c r="GP85" s="88"/>
      <c r="GQ85" s="88"/>
      <c r="GR85" s="88"/>
      <c r="GS85" s="88"/>
      <c r="GT85" s="88"/>
      <c r="GU85" s="88"/>
      <c r="GV85" s="88"/>
      <c r="GW85" s="88"/>
      <c r="GX85" s="88"/>
      <c r="GY85" s="88"/>
      <c r="GZ85" s="88"/>
      <c r="HA85" s="88"/>
      <c r="HB85" s="88"/>
      <c r="HC85" s="88"/>
      <c r="HD85" s="88"/>
      <c r="HE85" s="88"/>
    </row>
    <row r="86" spans="1:213">
      <c r="A86" s="1" t="s">
        <v>301</v>
      </c>
      <c r="B86" s="452"/>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c r="EW86" s="88"/>
      <c r="EX86" s="88"/>
      <c r="EY86" s="88"/>
      <c r="EZ86" s="88"/>
      <c r="FA86" s="88"/>
      <c r="FB86" s="88"/>
      <c r="FC86" s="88"/>
      <c r="FD86" s="88"/>
      <c r="FE86" s="88"/>
      <c r="FF86" s="88"/>
      <c r="FG86" s="88"/>
      <c r="FH86" s="88"/>
      <c r="FI86" s="88"/>
      <c r="FJ86" s="88"/>
      <c r="FK86" s="88"/>
      <c r="FL86" s="88"/>
      <c r="FM86" s="88"/>
      <c r="FN86" s="88"/>
      <c r="FO86" s="88"/>
      <c r="FP86" s="88"/>
      <c r="FQ86" s="88"/>
      <c r="FR86" s="88"/>
      <c r="FS86" s="88"/>
      <c r="FT86" s="88"/>
      <c r="FU86" s="88"/>
      <c r="FV86" s="88"/>
      <c r="FW86" s="88"/>
      <c r="FX86" s="88"/>
      <c r="FY86" s="88"/>
      <c r="FZ86" s="88"/>
      <c r="GA86" s="88"/>
      <c r="GB86" s="88"/>
      <c r="GC86" s="88"/>
      <c r="GD86" s="88"/>
      <c r="GE86" s="88"/>
      <c r="GF86" s="88"/>
      <c r="GG86" s="88"/>
      <c r="GH86" s="88"/>
      <c r="GI86" s="88"/>
      <c r="GJ86" s="88"/>
      <c r="GK86" s="88"/>
      <c r="GL86" s="88"/>
      <c r="GM86" s="88"/>
      <c r="GN86" s="88"/>
      <c r="GO86" s="88"/>
      <c r="GP86" s="88"/>
      <c r="GQ86" s="88"/>
      <c r="GR86" s="88"/>
      <c r="GS86" s="88"/>
      <c r="GT86" s="88"/>
      <c r="GU86" s="88"/>
      <c r="GV86" s="88"/>
      <c r="GW86" s="88"/>
      <c r="GX86" s="88"/>
      <c r="GY86" s="88"/>
      <c r="GZ86" s="88"/>
      <c r="HA86" s="88"/>
      <c r="HB86" s="88"/>
      <c r="HC86" s="88"/>
      <c r="HD86" s="88"/>
      <c r="HE86" s="88"/>
    </row>
    <row r="87" spans="1:213">
      <c r="A87" s="17" t="s">
        <v>302</v>
      </c>
      <c r="B87" s="457">
        <v>0</v>
      </c>
      <c r="C87" s="6" t="s">
        <v>290</v>
      </c>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88"/>
      <c r="ET87" s="88"/>
      <c r="EU87" s="88"/>
      <c r="EV87" s="88"/>
      <c r="EW87" s="88"/>
      <c r="EX87" s="88"/>
      <c r="EY87" s="88"/>
      <c r="EZ87" s="88"/>
      <c r="FA87" s="88"/>
      <c r="FB87" s="88"/>
      <c r="FC87" s="88"/>
      <c r="FD87" s="88"/>
      <c r="FE87" s="88"/>
      <c r="FF87" s="88"/>
      <c r="FG87" s="88"/>
      <c r="FH87" s="88"/>
      <c r="FI87" s="88"/>
      <c r="FJ87" s="88"/>
      <c r="FK87" s="88"/>
      <c r="FL87" s="88"/>
      <c r="FM87" s="88"/>
      <c r="FN87" s="88"/>
      <c r="FO87" s="88"/>
      <c r="FP87" s="88"/>
      <c r="FQ87" s="88"/>
      <c r="FR87" s="88"/>
      <c r="FS87" s="88"/>
      <c r="FT87" s="88"/>
      <c r="FU87" s="88"/>
      <c r="FV87" s="88"/>
      <c r="FW87" s="88"/>
      <c r="FX87" s="88"/>
      <c r="FY87" s="88"/>
      <c r="FZ87" s="88"/>
      <c r="GA87" s="88"/>
      <c r="GB87" s="88"/>
      <c r="GC87" s="88"/>
      <c r="GD87" s="88"/>
      <c r="GE87" s="88"/>
      <c r="GF87" s="88"/>
      <c r="GG87" s="88"/>
      <c r="GH87" s="88"/>
      <c r="GI87" s="88"/>
      <c r="GJ87" s="88"/>
      <c r="GK87" s="88"/>
      <c r="GL87" s="88"/>
      <c r="GM87" s="88"/>
      <c r="GN87" s="88"/>
      <c r="GO87" s="88"/>
      <c r="GP87" s="88"/>
      <c r="GQ87" s="88"/>
      <c r="GR87" s="88"/>
      <c r="GS87" s="88"/>
      <c r="GT87" s="88"/>
      <c r="GU87" s="88"/>
      <c r="GV87" s="88"/>
      <c r="GW87" s="88"/>
      <c r="GX87" s="88"/>
      <c r="GY87" s="88"/>
      <c r="GZ87" s="88"/>
      <c r="HA87" s="88"/>
      <c r="HB87" s="88"/>
      <c r="HC87" s="88"/>
      <c r="HD87" s="88"/>
      <c r="HE87" s="88"/>
    </row>
    <row r="88" spans="1:213">
      <c r="A88" s="1" t="s">
        <v>4239</v>
      </c>
      <c r="B88" s="452"/>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c r="EA88" s="88"/>
      <c r="EB88" s="88"/>
      <c r="EC88" s="88"/>
      <c r="ED88" s="88"/>
      <c r="EE88" s="88"/>
      <c r="EF88" s="88"/>
      <c r="EG88" s="88"/>
      <c r="EH88" s="88"/>
      <c r="EI88" s="88"/>
      <c r="EJ88" s="88"/>
      <c r="EK88" s="88"/>
      <c r="EL88" s="88"/>
      <c r="EM88" s="88"/>
      <c r="EN88" s="88"/>
      <c r="EO88" s="88"/>
      <c r="EP88" s="88"/>
      <c r="EQ88" s="88"/>
      <c r="ER88" s="88"/>
      <c r="ES88" s="88"/>
      <c r="ET88" s="88"/>
      <c r="EU88" s="88"/>
      <c r="EV88" s="88"/>
      <c r="EW88" s="88"/>
      <c r="EX88" s="88"/>
      <c r="EY88" s="88"/>
      <c r="EZ88" s="88"/>
      <c r="FA88" s="88"/>
      <c r="FB88" s="88"/>
      <c r="FC88" s="88"/>
      <c r="FD88" s="88"/>
      <c r="FE88" s="88"/>
      <c r="FF88" s="88"/>
      <c r="FG88" s="88"/>
      <c r="FH88" s="88"/>
      <c r="FI88" s="88"/>
      <c r="FJ88" s="88"/>
      <c r="FK88" s="88"/>
      <c r="FL88" s="88"/>
      <c r="FM88" s="88"/>
      <c r="FN88" s="88"/>
      <c r="FO88" s="88"/>
      <c r="FP88" s="88"/>
      <c r="FQ88" s="88"/>
      <c r="FR88" s="88"/>
      <c r="FS88" s="88"/>
      <c r="FT88" s="88"/>
      <c r="FU88" s="88"/>
      <c r="FV88" s="88"/>
      <c r="FW88" s="88"/>
      <c r="FX88" s="88"/>
      <c r="FY88" s="88"/>
      <c r="FZ88" s="88"/>
      <c r="GA88" s="88"/>
      <c r="GB88" s="88"/>
      <c r="GC88" s="88"/>
      <c r="GD88" s="88"/>
      <c r="GE88" s="88"/>
      <c r="GF88" s="88"/>
      <c r="GG88" s="88"/>
      <c r="GH88" s="88"/>
      <c r="GI88" s="88"/>
      <c r="GJ88" s="88"/>
      <c r="GK88" s="88"/>
      <c r="GL88" s="88"/>
      <c r="GM88" s="88"/>
      <c r="GN88" s="88"/>
      <c r="GO88" s="88"/>
      <c r="GP88" s="88"/>
      <c r="GQ88" s="88"/>
      <c r="GR88" s="88"/>
      <c r="GS88" s="88"/>
      <c r="GT88" s="88"/>
      <c r="GU88" s="88"/>
      <c r="GV88" s="88"/>
      <c r="GW88" s="88"/>
      <c r="GX88" s="88"/>
      <c r="GY88" s="88"/>
      <c r="GZ88" s="88"/>
      <c r="HA88" s="88"/>
      <c r="HB88" s="88"/>
      <c r="HC88" s="88"/>
      <c r="HD88" s="88"/>
      <c r="HE88" s="88"/>
    </row>
    <row r="89" spans="1:213">
      <c r="A89" s="458" t="s">
        <v>303</v>
      </c>
      <c r="B89" s="457">
        <v>0</v>
      </c>
      <c r="C89" s="6" t="s">
        <v>290</v>
      </c>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88"/>
      <c r="ET89" s="88"/>
      <c r="EU89" s="88"/>
      <c r="EV89" s="88"/>
      <c r="EW89" s="88"/>
      <c r="EX89" s="88"/>
      <c r="EY89" s="88"/>
      <c r="EZ89" s="88"/>
      <c r="FA89" s="88"/>
      <c r="FB89" s="88"/>
      <c r="FC89" s="88"/>
      <c r="FD89" s="88"/>
      <c r="FE89" s="88"/>
      <c r="FF89" s="88"/>
      <c r="FG89" s="88"/>
      <c r="FH89" s="88"/>
      <c r="FI89" s="88"/>
      <c r="FJ89" s="88"/>
      <c r="FK89" s="88"/>
      <c r="FL89" s="88"/>
      <c r="FM89" s="88"/>
      <c r="FN89" s="88"/>
      <c r="FO89" s="88"/>
      <c r="FP89" s="88"/>
      <c r="FQ89" s="88"/>
      <c r="FR89" s="88"/>
      <c r="FS89" s="88"/>
      <c r="FT89" s="88"/>
      <c r="FU89" s="88"/>
      <c r="FV89" s="88"/>
      <c r="FW89" s="88"/>
      <c r="FX89" s="88"/>
      <c r="FY89" s="88"/>
      <c r="FZ89" s="88"/>
      <c r="GA89" s="88"/>
      <c r="GB89" s="88"/>
      <c r="GC89" s="88"/>
      <c r="GD89" s="88"/>
      <c r="GE89" s="88"/>
      <c r="GF89" s="88"/>
      <c r="GG89" s="88"/>
      <c r="GH89" s="88"/>
      <c r="GI89" s="88"/>
      <c r="GJ89" s="88"/>
      <c r="GK89" s="88"/>
      <c r="GL89" s="88"/>
      <c r="GM89" s="88"/>
      <c r="GN89" s="88"/>
      <c r="GO89" s="88"/>
      <c r="GP89" s="88"/>
      <c r="GQ89" s="88"/>
      <c r="GR89" s="88"/>
      <c r="GS89" s="88"/>
      <c r="GT89" s="88"/>
      <c r="GU89" s="88"/>
      <c r="GV89" s="88"/>
      <c r="GW89" s="88"/>
      <c r="GX89" s="88"/>
      <c r="GY89" s="88"/>
      <c r="GZ89" s="88"/>
      <c r="HA89" s="88"/>
      <c r="HB89" s="88"/>
      <c r="HC89" s="88"/>
      <c r="HD89" s="88"/>
      <c r="HE89" s="88"/>
    </row>
    <row r="90" spans="1:213">
      <c r="A90" s="1" t="s">
        <v>304</v>
      </c>
      <c r="B90" s="452"/>
      <c r="C90" s="6"/>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c r="EA90" s="88"/>
      <c r="EB90" s="88"/>
      <c r="EC90" s="88"/>
      <c r="ED90" s="88"/>
      <c r="EE90" s="88"/>
      <c r="EF90" s="88"/>
      <c r="EG90" s="88"/>
      <c r="EH90" s="88"/>
      <c r="EI90" s="88"/>
      <c r="EJ90" s="88"/>
      <c r="EK90" s="88"/>
      <c r="EL90" s="88"/>
      <c r="EM90" s="88"/>
      <c r="EN90" s="88"/>
      <c r="EO90" s="88"/>
      <c r="EP90" s="88"/>
      <c r="EQ90" s="88"/>
      <c r="ER90" s="88"/>
      <c r="ES90" s="88"/>
      <c r="ET90" s="88"/>
      <c r="EU90" s="88"/>
      <c r="EV90" s="88"/>
      <c r="EW90" s="88"/>
      <c r="EX90" s="88"/>
      <c r="EY90" s="88"/>
      <c r="EZ90" s="88"/>
      <c r="FA90" s="88"/>
      <c r="FB90" s="88"/>
      <c r="FC90" s="88"/>
      <c r="FD90" s="88"/>
      <c r="FE90" s="88"/>
      <c r="FF90" s="88"/>
      <c r="FG90" s="88"/>
      <c r="FH90" s="88"/>
      <c r="FI90" s="88"/>
      <c r="FJ90" s="88"/>
      <c r="FK90" s="88"/>
      <c r="FL90" s="88"/>
      <c r="FM90" s="88"/>
      <c r="FN90" s="88"/>
      <c r="FO90" s="88"/>
      <c r="FP90" s="88"/>
      <c r="FQ90" s="88"/>
      <c r="FR90" s="88"/>
      <c r="FS90" s="88"/>
      <c r="FT90" s="88"/>
      <c r="FU90" s="88"/>
      <c r="FV90" s="88"/>
      <c r="FW90" s="88"/>
      <c r="FX90" s="88"/>
      <c r="FY90" s="88"/>
      <c r="FZ90" s="88"/>
      <c r="GA90" s="88"/>
      <c r="GB90" s="88"/>
      <c r="GC90" s="88"/>
      <c r="GD90" s="88"/>
      <c r="GE90" s="88"/>
      <c r="GF90" s="88"/>
      <c r="GG90" s="88"/>
      <c r="GH90" s="88"/>
      <c r="GI90" s="88"/>
      <c r="GJ90" s="88"/>
      <c r="GK90" s="88"/>
      <c r="GL90" s="88"/>
      <c r="GM90" s="88"/>
      <c r="GN90" s="88"/>
      <c r="GO90" s="88"/>
      <c r="GP90" s="88"/>
      <c r="GQ90" s="88"/>
      <c r="GR90" s="88"/>
      <c r="GS90" s="88"/>
      <c r="GT90" s="88"/>
      <c r="GU90" s="88"/>
      <c r="GV90" s="88"/>
      <c r="GW90" s="88"/>
      <c r="GX90" s="88"/>
      <c r="GY90" s="88"/>
      <c r="GZ90" s="88"/>
      <c r="HA90" s="88"/>
      <c r="HB90" s="88"/>
      <c r="HC90" s="88"/>
      <c r="HD90" s="88"/>
      <c r="HE90" s="88"/>
    </row>
    <row r="91" spans="1:213">
      <c r="A91" s="458" t="s">
        <v>305</v>
      </c>
      <c r="B91" s="457">
        <v>0</v>
      </c>
      <c r="C91" s="6" t="s">
        <v>290</v>
      </c>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c r="EA91" s="88"/>
      <c r="EB91" s="88"/>
      <c r="EC91" s="88"/>
      <c r="ED91" s="88"/>
      <c r="EE91" s="88"/>
      <c r="EF91" s="88"/>
      <c r="EG91" s="88"/>
      <c r="EH91" s="88"/>
      <c r="EI91" s="88"/>
      <c r="EJ91" s="88"/>
      <c r="EK91" s="88"/>
      <c r="EL91" s="88"/>
      <c r="EM91" s="88"/>
      <c r="EN91" s="88"/>
      <c r="EO91" s="88"/>
      <c r="EP91" s="88"/>
      <c r="EQ91" s="88"/>
      <c r="ER91" s="88"/>
      <c r="ES91" s="88"/>
      <c r="ET91" s="88"/>
      <c r="EU91" s="88"/>
      <c r="EV91" s="88"/>
      <c r="EW91" s="88"/>
      <c r="EX91" s="88"/>
      <c r="EY91" s="88"/>
      <c r="EZ91" s="88"/>
      <c r="FA91" s="88"/>
      <c r="FB91" s="88"/>
      <c r="FC91" s="88"/>
      <c r="FD91" s="88"/>
      <c r="FE91" s="88"/>
      <c r="FF91" s="88"/>
      <c r="FG91" s="88"/>
      <c r="FH91" s="88"/>
      <c r="FI91" s="88"/>
      <c r="FJ91" s="88"/>
      <c r="FK91" s="88"/>
      <c r="FL91" s="88"/>
      <c r="FM91" s="88"/>
      <c r="FN91" s="88"/>
      <c r="FO91" s="88"/>
      <c r="FP91" s="88"/>
      <c r="FQ91" s="88"/>
      <c r="FR91" s="88"/>
      <c r="FS91" s="88"/>
      <c r="FT91" s="88"/>
      <c r="FU91" s="88"/>
      <c r="FV91" s="88"/>
      <c r="FW91" s="88"/>
      <c r="FX91" s="88"/>
      <c r="FY91" s="88"/>
      <c r="FZ91" s="88"/>
      <c r="GA91" s="88"/>
      <c r="GB91" s="88"/>
      <c r="GC91" s="88"/>
      <c r="GD91" s="88"/>
      <c r="GE91" s="88"/>
      <c r="GF91" s="88"/>
      <c r="GG91" s="88"/>
      <c r="GH91" s="88"/>
      <c r="GI91" s="88"/>
      <c r="GJ91" s="88"/>
      <c r="GK91" s="88"/>
      <c r="GL91" s="88"/>
      <c r="GM91" s="88"/>
      <c r="GN91" s="88"/>
      <c r="GO91" s="88"/>
      <c r="GP91" s="88"/>
      <c r="GQ91" s="88"/>
      <c r="GR91" s="88"/>
      <c r="GS91" s="88"/>
      <c r="GT91" s="88"/>
      <c r="GU91" s="88"/>
      <c r="GV91" s="88"/>
      <c r="GW91" s="88"/>
      <c r="GX91" s="88"/>
      <c r="GY91" s="88"/>
      <c r="GZ91" s="88"/>
      <c r="HA91" s="88"/>
      <c r="HB91" s="88"/>
      <c r="HC91" s="88"/>
      <c r="HD91" s="88"/>
      <c r="HE91" s="88"/>
    </row>
    <row r="92" spans="1:213">
      <c r="A92" s="63" t="s">
        <v>306</v>
      </c>
      <c r="B92" s="284"/>
      <c r="C92" s="6"/>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c r="FD92" s="88"/>
      <c r="FE92" s="88"/>
      <c r="FF92" s="88"/>
      <c r="FG92" s="88"/>
      <c r="FH92" s="88"/>
      <c r="FI92" s="88"/>
      <c r="FJ92" s="88"/>
      <c r="FK92" s="88"/>
      <c r="FL92" s="88"/>
      <c r="FM92" s="88"/>
      <c r="FN92" s="88"/>
      <c r="FO92" s="88"/>
      <c r="FP92" s="88"/>
      <c r="FQ92" s="88"/>
      <c r="FR92" s="88"/>
      <c r="FS92" s="88"/>
      <c r="FT92" s="88"/>
      <c r="FU92" s="88"/>
      <c r="FV92" s="88"/>
      <c r="FW92" s="88"/>
      <c r="FX92" s="88"/>
      <c r="FY92" s="88"/>
      <c r="FZ92" s="88"/>
      <c r="GA92" s="88"/>
      <c r="GB92" s="88"/>
      <c r="GC92" s="88"/>
      <c r="GD92" s="88"/>
      <c r="GE92" s="88"/>
      <c r="GF92" s="88"/>
      <c r="GG92" s="88"/>
      <c r="GH92" s="88"/>
      <c r="GI92" s="88"/>
      <c r="GJ92" s="88"/>
      <c r="GK92" s="88"/>
      <c r="GL92" s="88"/>
      <c r="GM92" s="88"/>
      <c r="GN92" s="88"/>
      <c r="GO92" s="88"/>
      <c r="GP92" s="88"/>
      <c r="GQ92" s="88"/>
      <c r="GR92" s="88"/>
      <c r="GS92" s="88"/>
      <c r="GT92" s="88"/>
      <c r="GU92" s="88"/>
      <c r="GV92" s="88"/>
      <c r="GW92" s="88"/>
      <c r="GX92" s="88"/>
      <c r="GY92" s="88"/>
      <c r="GZ92" s="88"/>
      <c r="HA92" s="88"/>
      <c r="HB92" s="88"/>
      <c r="HC92" s="88"/>
      <c r="HD92" s="88"/>
      <c r="HE92" s="88"/>
    </row>
    <row r="93" spans="1:213">
      <c r="A93" s="1" t="s">
        <v>307</v>
      </c>
      <c r="B93" s="284"/>
      <c r="C93" s="6"/>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c r="GF93" s="88"/>
      <c r="GG93" s="88"/>
      <c r="GH93" s="88"/>
      <c r="GI93" s="88"/>
      <c r="GJ93" s="88"/>
      <c r="GK93" s="88"/>
      <c r="GL93" s="88"/>
      <c r="GM93" s="88"/>
      <c r="GN93" s="88"/>
      <c r="GO93" s="88"/>
      <c r="GP93" s="88"/>
      <c r="GQ93" s="88"/>
      <c r="GR93" s="88"/>
      <c r="GS93" s="88"/>
      <c r="GT93" s="88"/>
      <c r="GU93" s="88"/>
      <c r="GV93" s="88"/>
      <c r="GW93" s="88"/>
      <c r="GX93" s="88"/>
      <c r="GY93" s="88"/>
      <c r="GZ93" s="88"/>
      <c r="HA93" s="88"/>
      <c r="HB93" s="88"/>
      <c r="HC93" s="88"/>
      <c r="HD93" s="88"/>
      <c r="HE93" s="88"/>
    </row>
    <row r="94" spans="1:213">
      <c r="A94" s="1" t="s">
        <v>308</v>
      </c>
      <c r="B94" s="452"/>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88"/>
      <c r="EU94" s="88"/>
      <c r="EV94" s="88"/>
      <c r="EW94" s="88"/>
      <c r="EX94" s="88"/>
      <c r="EY94" s="88"/>
      <c r="EZ94" s="88"/>
      <c r="FA94" s="88"/>
      <c r="FB94" s="88"/>
      <c r="FC94" s="88"/>
      <c r="FD94" s="88"/>
      <c r="FE94" s="88"/>
      <c r="FF94" s="88"/>
      <c r="FG94" s="88"/>
      <c r="FH94" s="88"/>
      <c r="FI94" s="88"/>
      <c r="FJ94" s="88"/>
      <c r="FK94" s="88"/>
      <c r="FL94" s="88"/>
      <c r="FM94" s="88"/>
      <c r="FN94" s="88"/>
      <c r="FO94" s="88"/>
      <c r="FP94" s="88"/>
      <c r="FQ94" s="88"/>
      <c r="FR94" s="88"/>
      <c r="FS94" s="88"/>
      <c r="FT94" s="88"/>
      <c r="FU94" s="88"/>
      <c r="FV94" s="88"/>
      <c r="FW94" s="88"/>
      <c r="FX94" s="88"/>
      <c r="FY94" s="88"/>
      <c r="FZ94" s="88"/>
      <c r="GA94" s="88"/>
      <c r="GB94" s="88"/>
      <c r="GC94" s="88"/>
      <c r="GD94" s="88"/>
      <c r="GE94" s="88"/>
      <c r="GF94" s="88"/>
      <c r="GG94" s="88"/>
      <c r="GH94" s="88"/>
      <c r="GI94" s="88"/>
      <c r="GJ94" s="88"/>
      <c r="GK94" s="88"/>
      <c r="GL94" s="88"/>
      <c r="GM94" s="88"/>
      <c r="GN94" s="88"/>
      <c r="GO94" s="88"/>
      <c r="GP94" s="88"/>
      <c r="GQ94" s="88"/>
      <c r="GR94" s="88"/>
      <c r="GS94" s="88"/>
      <c r="GT94" s="88"/>
      <c r="GU94" s="88"/>
      <c r="GV94" s="88"/>
      <c r="GW94" s="88"/>
      <c r="GX94" s="88"/>
      <c r="GY94" s="88"/>
      <c r="GZ94" s="88"/>
      <c r="HA94" s="88"/>
      <c r="HB94" s="88"/>
      <c r="HC94" s="88"/>
      <c r="HD94" s="88"/>
      <c r="HE94" s="88"/>
    </row>
    <row r="95" spans="1:213">
      <c r="A95" s="63" t="s">
        <v>309</v>
      </c>
      <c r="B95" s="452"/>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88"/>
      <c r="EU95" s="88"/>
      <c r="EV95" s="88"/>
      <c r="EW95" s="88"/>
      <c r="EX95" s="88"/>
      <c r="EY95" s="88"/>
      <c r="EZ95" s="88"/>
      <c r="FA95" s="88"/>
      <c r="FB95" s="88"/>
      <c r="FC95" s="88"/>
      <c r="FD95" s="88"/>
      <c r="FE95" s="88"/>
      <c r="FF95" s="88"/>
      <c r="FG95" s="88"/>
      <c r="FH95" s="88"/>
      <c r="FI95" s="88"/>
      <c r="FJ95" s="88"/>
      <c r="FK95" s="88"/>
      <c r="FL95" s="88"/>
      <c r="FM95" s="88"/>
      <c r="FN95" s="88"/>
      <c r="FO95" s="88"/>
      <c r="FP95" s="88"/>
      <c r="FQ95" s="88"/>
      <c r="FR95" s="88"/>
      <c r="FS95" s="88"/>
      <c r="FT95" s="88"/>
      <c r="FU95" s="88"/>
      <c r="FV95" s="88"/>
      <c r="FW95" s="88"/>
      <c r="FX95" s="88"/>
      <c r="FY95" s="88"/>
      <c r="FZ95" s="88"/>
      <c r="GA95" s="88"/>
      <c r="GB95" s="88"/>
      <c r="GC95" s="88"/>
      <c r="GD95" s="88"/>
      <c r="GE95" s="88"/>
      <c r="GF95" s="88"/>
      <c r="GG95" s="88"/>
      <c r="GH95" s="88"/>
      <c r="GI95" s="88"/>
      <c r="GJ95" s="88"/>
      <c r="GK95" s="88"/>
      <c r="GL95" s="88"/>
      <c r="GM95" s="88"/>
      <c r="GN95" s="88"/>
      <c r="GO95" s="88"/>
      <c r="GP95" s="88"/>
      <c r="GQ95" s="88"/>
      <c r="GR95" s="88"/>
      <c r="GS95" s="88"/>
      <c r="GT95" s="88"/>
      <c r="GU95" s="88"/>
      <c r="GV95" s="88"/>
      <c r="GW95" s="88"/>
      <c r="GX95" s="88"/>
      <c r="GY95" s="88"/>
      <c r="GZ95" s="88"/>
      <c r="HA95" s="88"/>
      <c r="HB95" s="88"/>
      <c r="HC95" s="88"/>
      <c r="HD95" s="88"/>
      <c r="HE95" s="88"/>
    </row>
    <row r="96" spans="1:213">
      <c r="A96" s="1" t="s">
        <v>310</v>
      </c>
      <c r="B96" s="452"/>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88"/>
      <c r="EU96" s="88"/>
      <c r="EV96" s="88"/>
      <c r="EW96" s="88"/>
      <c r="EX96" s="88"/>
      <c r="EY96" s="88"/>
      <c r="EZ96" s="88"/>
      <c r="FA96" s="88"/>
      <c r="FB96" s="88"/>
      <c r="FC96" s="88"/>
      <c r="FD96" s="88"/>
      <c r="FE96" s="88"/>
      <c r="FF96" s="88"/>
      <c r="FG96" s="88"/>
      <c r="FH96" s="88"/>
      <c r="FI96" s="88"/>
      <c r="FJ96" s="88"/>
      <c r="FK96" s="88"/>
      <c r="FL96" s="88"/>
      <c r="FM96" s="88"/>
      <c r="FN96" s="88"/>
      <c r="FO96" s="88"/>
      <c r="FP96" s="88"/>
      <c r="FQ96" s="88"/>
      <c r="FR96" s="88"/>
      <c r="FS96" s="88"/>
      <c r="FT96" s="88"/>
      <c r="FU96" s="88"/>
      <c r="FV96" s="88"/>
      <c r="FW96" s="88"/>
      <c r="FX96" s="88"/>
      <c r="FY96" s="88"/>
      <c r="FZ96" s="88"/>
      <c r="GA96" s="88"/>
      <c r="GB96" s="88"/>
      <c r="GC96" s="88"/>
      <c r="GD96" s="88"/>
      <c r="GE96" s="88"/>
      <c r="GF96" s="88"/>
      <c r="GG96" s="88"/>
      <c r="GH96" s="88"/>
      <c r="GI96" s="88"/>
      <c r="GJ96" s="88"/>
      <c r="GK96" s="88"/>
      <c r="GL96" s="88"/>
      <c r="GM96" s="88"/>
      <c r="GN96" s="88"/>
      <c r="GO96" s="88"/>
      <c r="GP96" s="88"/>
      <c r="GQ96" s="88"/>
      <c r="GR96" s="88"/>
      <c r="GS96" s="88"/>
      <c r="GT96" s="88"/>
      <c r="GU96" s="88"/>
      <c r="GV96" s="88"/>
      <c r="GW96" s="88"/>
      <c r="GX96" s="88"/>
      <c r="GY96" s="88"/>
      <c r="GZ96" s="88"/>
      <c r="HA96" s="88"/>
      <c r="HB96" s="88"/>
      <c r="HC96" s="88"/>
      <c r="HD96" s="88"/>
      <c r="HE96" s="88"/>
    </row>
    <row r="97" spans="1:213">
      <c r="A97" s="459" t="s">
        <v>311</v>
      </c>
      <c r="B97" s="452"/>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c r="DR97" s="88"/>
      <c r="DS97" s="88"/>
      <c r="DT97" s="88"/>
      <c r="DU97" s="88"/>
      <c r="DV97" s="88"/>
      <c r="DW97" s="88"/>
      <c r="DX97" s="88"/>
      <c r="DY97" s="88"/>
      <c r="DZ97" s="88"/>
      <c r="EA97" s="88"/>
      <c r="EB97" s="88"/>
      <c r="EC97" s="88"/>
      <c r="ED97" s="88"/>
      <c r="EE97" s="88"/>
      <c r="EF97" s="88"/>
      <c r="EG97" s="88"/>
      <c r="EH97" s="88"/>
      <c r="EI97" s="88"/>
      <c r="EJ97" s="88"/>
      <c r="EK97" s="88"/>
      <c r="EL97" s="88"/>
      <c r="EM97" s="88"/>
      <c r="EN97" s="88"/>
      <c r="EO97" s="88"/>
      <c r="EP97" s="88"/>
      <c r="EQ97" s="88"/>
      <c r="ER97" s="88"/>
      <c r="ES97" s="88"/>
      <c r="ET97" s="88"/>
      <c r="EU97" s="88"/>
      <c r="EV97" s="88"/>
      <c r="EW97" s="88"/>
      <c r="EX97" s="88"/>
      <c r="EY97" s="88"/>
      <c r="EZ97" s="88"/>
      <c r="FA97" s="88"/>
      <c r="FB97" s="88"/>
      <c r="FC97" s="88"/>
      <c r="FD97" s="88"/>
      <c r="FE97" s="88"/>
      <c r="FF97" s="88"/>
      <c r="FG97" s="88"/>
      <c r="FH97" s="88"/>
      <c r="FI97" s="88"/>
      <c r="FJ97" s="88"/>
      <c r="FK97" s="88"/>
      <c r="FL97" s="88"/>
      <c r="FM97" s="88"/>
      <c r="FN97" s="88"/>
      <c r="FO97" s="88"/>
      <c r="FP97" s="88"/>
      <c r="FQ97" s="88"/>
      <c r="FR97" s="88"/>
      <c r="FS97" s="88"/>
      <c r="FT97" s="88"/>
      <c r="FU97" s="88"/>
      <c r="FV97" s="88"/>
      <c r="FW97" s="88"/>
      <c r="FX97" s="88"/>
      <c r="FY97" s="88"/>
      <c r="FZ97" s="88"/>
      <c r="GA97" s="88"/>
      <c r="GB97" s="88"/>
      <c r="GC97" s="88"/>
      <c r="GD97" s="88"/>
      <c r="GE97" s="88"/>
      <c r="GF97" s="88"/>
      <c r="GG97" s="88"/>
      <c r="GH97" s="88"/>
      <c r="GI97" s="88"/>
      <c r="GJ97" s="88"/>
      <c r="GK97" s="88"/>
      <c r="GL97" s="88"/>
      <c r="GM97" s="88"/>
      <c r="GN97" s="88"/>
      <c r="GO97" s="88"/>
      <c r="GP97" s="88"/>
      <c r="GQ97" s="88"/>
      <c r="GR97" s="88"/>
      <c r="GS97" s="88"/>
      <c r="GT97" s="88"/>
      <c r="GU97" s="88"/>
      <c r="GV97" s="88"/>
      <c r="GW97" s="88"/>
      <c r="GX97" s="88"/>
      <c r="GY97" s="88"/>
      <c r="GZ97" s="88"/>
      <c r="HA97" s="88"/>
      <c r="HB97" s="88"/>
      <c r="HC97" s="88"/>
      <c r="HD97" s="88"/>
      <c r="HE97" s="88"/>
    </row>
    <row r="98" spans="1:213">
      <c r="A98" s="1" t="s">
        <v>312</v>
      </c>
      <c r="B98" s="452"/>
      <c r="C98" s="255" t="s">
        <v>313</v>
      </c>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c r="EW98" s="88"/>
      <c r="EX98" s="88"/>
      <c r="EY98" s="88"/>
      <c r="EZ98" s="88"/>
      <c r="FA98" s="88"/>
      <c r="FB98" s="88"/>
      <c r="FC98" s="88"/>
      <c r="FD98" s="88"/>
      <c r="FE98" s="88"/>
      <c r="FF98" s="88"/>
      <c r="FG98" s="88"/>
      <c r="FH98" s="88"/>
      <c r="FI98" s="88"/>
      <c r="FJ98" s="88"/>
      <c r="FK98" s="88"/>
      <c r="FL98" s="88"/>
      <c r="FM98" s="88"/>
      <c r="FN98" s="88"/>
      <c r="FO98" s="88"/>
      <c r="FP98" s="88"/>
      <c r="FQ98" s="88"/>
      <c r="FR98" s="88"/>
      <c r="FS98" s="88"/>
      <c r="FT98" s="88"/>
      <c r="FU98" s="88"/>
      <c r="FV98" s="88"/>
      <c r="FW98" s="88"/>
      <c r="FX98" s="88"/>
      <c r="FY98" s="88"/>
      <c r="FZ98" s="88"/>
      <c r="GA98" s="88"/>
      <c r="GB98" s="88"/>
      <c r="GC98" s="88"/>
      <c r="GD98" s="88"/>
      <c r="GE98" s="88"/>
      <c r="GF98" s="88"/>
      <c r="GG98" s="88"/>
      <c r="GH98" s="88"/>
      <c r="GI98" s="88"/>
      <c r="GJ98" s="88"/>
      <c r="GK98" s="88"/>
      <c r="GL98" s="88"/>
      <c r="GM98" s="88"/>
      <c r="GN98" s="88"/>
      <c r="GO98" s="88"/>
      <c r="GP98" s="88"/>
      <c r="GQ98" s="88"/>
      <c r="GR98" s="88"/>
      <c r="GS98" s="88"/>
      <c r="GT98" s="88"/>
      <c r="GU98" s="88"/>
      <c r="GV98" s="88"/>
      <c r="GW98" s="88"/>
      <c r="GX98" s="88"/>
      <c r="GY98" s="88"/>
      <c r="GZ98" s="88"/>
      <c r="HA98" s="88"/>
      <c r="HB98" s="88"/>
      <c r="HC98" s="88"/>
      <c r="HD98" s="88"/>
      <c r="HE98" s="88"/>
    </row>
    <row r="99" spans="1:213">
      <c r="A99" s="17" t="s">
        <v>314</v>
      </c>
      <c r="B99" s="452">
        <v>0</v>
      </c>
      <c r="C99" s="6" t="s">
        <v>290</v>
      </c>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c r="CZ99" s="88"/>
      <c r="DA99" s="88"/>
      <c r="DB99" s="88"/>
      <c r="DC99" s="88"/>
      <c r="DD99" s="88"/>
      <c r="DE99" s="88"/>
      <c r="DF99" s="88"/>
      <c r="DG99" s="88"/>
      <c r="DH99" s="88"/>
      <c r="DI99" s="88"/>
      <c r="DJ99" s="88"/>
      <c r="DK99" s="88"/>
      <c r="DL99" s="88"/>
      <c r="DM99" s="88"/>
      <c r="DN99" s="88"/>
      <c r="DO99" s="88"/>
      <c r="DP99" s="88"/>
      <c r="DQ99" s="88"/>
      <c r="DR99" s="88"/>
      <c r="DS99" s="88"/>
      <c r="DT99" s="88"/>
      <c r="DU99" s="88"/>
      <c r="DV99" s="88"/>
      <c r="DW99" s="88"/>
      <c r="DX99" s="88"/>
      <c r="DY99" s="88"/>
      <c r="DZ99" s="88"/>
      <c r="EA99" s="88"/>
      <c r="EB99" s="88"/>
      <c r="EC99" s="88"/>
      <c r="ED99" s="88"/>
      <c r="EE99" s="88"/>
      <c r="EF99" s="88"/>
      <c r="EG99" s="88"/>
      <c r="EH99" s="88"/>
      <c r="EI99" s="88"/>
      <c r="EJ99" s="88"/>
      <c r="EK99" s="88"/>
      <c r="EL99" s="88"/>
      <c r="EM99" s="88"/>
      <c r="EN99" s="88"/>
      <c r="EO99" s="88"/>
      <c r="EP99" s="88"/>
      <c r="EQ99" s="88"/>
      <c r="ER99" s="88"/>
      <c r="ES99" s="88"/>
      <c r="ET99" s="88"/>
      <c r="EU99" s="88"/>
      <c r="EV99" s="88"/>
      <c r="EW99" s="88"/>
      <c r="EX99" s="88"/>
      <c r="EY99" s="88"/>
      <c r="EZ99" s="88"/>
      <c r="FA99" s="88"/>
      <c r="FB99" s="88"/>
      <c r="FC99" s="88"/>
      <c r="FD99" s="88"/>
      <c r="FE99" s="88"/>
      <c r="FF99" s="88"/>
      <c r="FG99" s="88"/>
      <c r="FH99" s="88"/>
      <c r="FI99" s="88"/>
      <c r="FJ99" s="88"/>
      <c r="FK99" s="88"/>
      <c r="FL99" s="88"/>
      <c r="FM99" s="88"/>
      <c r="FN99" s="88"/>
      <c r="FO99" s="88"/>
      <c r="FP99" s="88"/>
      <c r="FQ99" s="88"/>
      <c r="FR99" s="88"/>
      <c r="FS99" s="88"/>
      <c r="FT99" s="88"/>
      <c r="FU99" s="88"/>
      <c r="FV99" s="88"/>
      <c r="FW99" s="88"/>
      <c r="FX99" s="88"/>
      <c r="FY99" s="88"/>
      <c r="FZ99" s="88"/>
      <c r="GA99" s="88"/>
      <c r="GB99" s="88"/>
      <c r="GC99" s="88"/>
      <c r="GD99" s="88"/>
      <c r="GE99" s="88"/>
      <c r="GF99" s="88"/>
      <c r="GG99" s="88"/>
      <c r="GH99" s="88"/>
      <c r="GI99" s="88"/>
      <c r="GJ99" s="88"/>
      <c r="GK99" s="88"/>
      <c r="GL99" s="88"/>
      <c r="GM99" s="88"/>
      <c r="GN99" s="88"/>
      <c r="GO99" s="88"/>
      <c r="GP99" s="88"/>
      <c r="GQ99" s="88"/>
      <c r="GR99" s="88"/>
      <c r="GS99" s="88"/>
      <c r="GT99" s="88"/>
      <c r="GU99" s="88"/>
      <c r="GV99" s="88"/>
      <c r="GW99" s="88"/>
      <c r="GX99" s="88"/>
      <c r="GY99" s="88"/>
      <c r="GZ99" s="88"/>
      <c r="HA99" s="88"/>
      <c r="HB99" s="88"/>
      <c r="HC99" s="88"/>
      <c r="HD99" s="88"/>
      <c r="HE99" s="88"/>
    </row>
    <row r="100" spans="1:213">
      <c r="A100" s="1" t="s">
        <v>315</v>
      </c>
      <c r="B100" s="452"/>
      <c r="C100"/>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88"/>
      <c r="ET100" s="88"/>
      <c r="EU100" s="88"/>
      <c r="EV100" s="88"/>
      <c r="EW100" s="88"/>
      <c r="EX100" s="88"/>
      <c r="EY100" s="88"/>
      <c r="EZ100" s="88"/>
      <c r="FA100" s="88"/>
      <c r="FB100" s="88"/>
      <c r="FC100" s="88"/>
      <c r="FD100" s="88"/>
      <c r="FE100" s="88"/>
      <c r="FF100" s="88"/>
      <c r="FG100" s="88"/>
      <c r="FH100" s="88"/>
      <c r="FI100" s="88"/>
      <c r="FJ100" s="88"/>
      <c r="FK100" s="88"/>
      <c r="FL100" s="88"/>
      <c r="FM100" s="88"/>
      <c r="FN100" s="88"/>
      <c r="FO100" s="88"/>
      <c r="FP100" s="88"/>
      <c r="FQ100" s="88"/>
      <c r="FR100" s="88"/>
      <c r="FS100" s="88"/>
      <c r="FT100" s="88"/>
      <c r="FU100" s="88"/>
      <c r="FV100" s="88"/>
      <c r="FW100" s="88"/>
      <c r="FX100" s="88"/>
      <c r="FY100" s="88"/>
      <c r="FZ100" s="88"/>
      <c r="GA100" s="88"/>
      <c r="GB100" s="88"/>
      <c r="GC100" s="88"/>
      <c r="GD100" s="88"/>
      <c r="GE100" s="88"/>
      <c r="GF100" s="88"/>
      <c r="GG100" s="88"/>
      <c r="GH100" s="88"/>
      <c r="GI100" s="88"/>
      <c r="GJ100" s="88"/>
      <c r="GK100" s="88"/>
      <c r="GL100" s="88"/>
      <c r="GM100" s="88"/>
      <c r="GN100" s="88"/>
      <c r="GO100" s="88"/>
      <c r="GP100" s="88"/>
      <c r="GQ100" s="88"/>
      <c r="GR100" s="88"/>
      <c r="GS100" s="88"/>
      <c r="GT100" s="88"/>
      <c r="GU100" s="88"/>
      <c r="GV100" s="88"/>
      <c r="GW100" s="88"/>
      <c r="GX100" s="88"/>
      <c r="GY100" s="88"/>
      <c r="GZ100" s="88"/>
      <c r="HA100" s="88"/>
      <c r="HB100" s="88"/>
      <c r="HC100" s="88"/>
      <c r="HD100" s="88"/>
      <c r="HE100" s="88"/>
    </row>
    <row r="101" spans="1:213">
      <c r="A101" s="1" t="s">
        <v>316</v>
      </c>
      <c r="B101" s="284"/>
      <c r="C101"/>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8"/>
      <c r="FL101" s="88"/>
      <c r="FM101" s="88"/>
      <c r="FN101" s="88"/>
      <c r="FO101" s="88"/>
      <c r="FP101" s="88"/>
      <c r="FQ101" s="88"/>
      <c r="FR101" s="88"/>
      <c r="FS101" s="88"/>
      <c r="FT101" s="88"/>
      <c r="FU101" s="88"/>
      <c r="FV101" s="88"/>
      <c r="FW101" s="88"/>
      <c r="FX101" s="88"/>
      <c r="FY101" s="88"/>
      <c r="FZ101" s="88"/>
      <c r="GA101" s="88"/>
      <c r="GB101" s="88"/>
      <c r="GC101" s="88"/>
      <c r="GD101" s="88"/>
      <c r="GE101" s="88"/>
      <c r="GF101" s="88"/>
      <c r="GG101" s="88"/>
      <c r="GH101" s="88"/>
      <c r="GI101" s="88"/>
      <c r="GJ101" s="88"/>
      <c r="GK101" s="88"/>
      <c r="GL101" s="88"/>
      <c r="GM101" s="88"/>
      <c r="GN101" s="88"/>
      <c r="GO101" s="88"/>
      <c r="GP101" s="88"/>
      <c r="GQ101" s="88"/>
      <c r="GR101" s="88"/>
      <c r="GS101" s="88"/>
      <c r="GT101" s="88"/>
      <c r="GU101" s="88"/>
      <c r="GV101" s="88"/>
      <c r="GW101" s="88"/>
      <c r="GX101" s="88"/>
      <c r="GY101" s="88"/>
      <c r="GZ101" s="88"/>
      <c r="HA101" s="88"/>
      <c r="HB101" s="88"/>
      <c r="HC101" s="88"/>
      <c r="HD101" s="88"/>
      <c r="HE101" s="88"/>
    </row>
    <row r="102" spans="1:213" customFormat="1">
      <c r="A102" s="1" t="s">
        <v>317</v>
      </c>
      <c r="B102" s="452"/>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c r="EW102" s="88"/>
      <c r="EX102" s="88"/>
      <c r="EY102" s="88"/>
      <c r="EZ102" s="88"/>
      <c r="FA102" s="88"/>
      <c r="FB102" s="88"/>
      <c r="FC102" s="88"/>
      <c r="FD102" s="88"/>
      <c r="FE102" s="88"/>
      <c r="FF102" s="88"/>
      <c r="FG102" s="88"/>
      <c r="FH102" s="88"/>
      <c r="FI102" s="88"/>
      <c r="FJ102" s="88"/>
      <c r="FK102" s="88"/>
      <c r="FL102" s="88"/>
      <c r="FM102" s="88"/>
      <c r="FN102" s="88"/>
      <c r="FO102" s="88"/>
      <c r="FP102" s="88"/>
      <c r="FQ102" s="88"/>
      <c r="FR102" s="88"/>
      <c r="FS102" s="88"/>
      <c r="FT102" s="88"/>
      <c r="FU102" s="88"/>
      <c r="FV102" s="88"/>
      <c r="FW102" s="88"/>
      <c r="FX102" s="88"/>
      <c r="FY102" s="88"/>
      <c r="FZ102" s="88"/>
      <c r="GA102" s="88"/>
      <c r="GB102" s="88"/>
      <c r="GC102" s="88"/>
      <c r="GD102" s="88"/>
      <c r="GE102" s="88"/>
      <c r="GF102" s="88"/>
      <c r="GG102" s="88"/>
      <c r="GH102" s="88"/>
      <c r="GI102" s="88"/>
      <c r="GJ102" s="88"/>
      <c r="GK102" s="88"/>
      <c r="GL102" s="88"/>
      <c r="GM102" s="88"/>
      <c r="GN102" s="88"/>
      <c r="GO102" s="88"/>
      <c r="GP102" s="88"/>
      <c r="GQ102" s="88"/>
      <c r="GR102" s="88"/>
      <c r="GS102" s="88"/>
      <c r="GT102" s="88"/>
      <c r="GU102" s="88"/>
      <c r="GV102" s="88"/>
      <c r="GW102" s="88"/>
      <c r="GX102" s="88"/>
      <c r="GY102" s="88"/>
      <c r="GZ102" s="88"/>
      <c r="HA102" s="88"/>
      <c r="HB102" s="88"/>
      <c r="HC102" s="88"/>
      <c r="HD102" s="88"/>
      <c r="HE102" s="88"/>
    </row>
    <row r="103" spans="1:213" customFormat="1">
      <c r="A103" s="17" t="s">
        <v>318</v>
      </c>
      <c r="B103" s="284"/>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c r="EO103" s="88"/>
      <c r="EP103" s="88"/>
      <c r="EQ103" s="88"/>
      <c r="ER103" s="88"/>
      <c r="ES103" s="88"/>
      <c r="ET103" s="88"/>
      <c r="EU103" s="88"/>
      <c r="EV103" s="88"/>
      <c r="EW103" s="88"/>
      <c r="EX103" s="88"/>
      <c r="EY103" s="88"/>
      <c r="EZ103" s="88"/>
      <c r="FA103" s="88"/>
      <c r="FB103" s="88"/>
      <c r="FC103" s="88"/>
      <c r="FD103" s="88"/>
      <c r="FE103" s="88"/>
      <c r="FF103" s="88"/>
      <c r="FG103" s="88"/>
      <c r="FH103" s="88"/>
      <c r="FI103" s="88"/>
      <c r="FJ103" s="88"/>
      <c r="FK103" s="88"/>
      <c r="FL103" s="88"/>
      <c r="FM103" s="88"/>
      <c r="FN103" s="88"/>
      <c r="FO103" s="88"/>
      <c r="FP103" s="88"/>
      <c r="FQ103" s="88"/>
      <c r="FR103" s="88"/>
      <c r="FS103" s="88"/>
      <c r="FT103" s="88"/>
      <c r="FU103" s="88"/>
      <c r="FV103" s="88"/>
      <c r="FW103" s="88"/>
      <c r="FX103" s="88"/>
      <c r="FY103" s="88"/>
      <c r="FZ103" s="88"/>
      <c r="GA103" s="88"/>
      <c r="GB103" s="88"/>
      <c r="GC103" s="88"/>
      <c r="GD103" s="88"/>
      <c r="GE103" s="88"/>
      <c r="GF103" s="88"/>
      <c r="GG103" s="88"/>
      <c r="GH103" s="88"/>
      <c r="GI103" s="88"/>
      <c r="GJ103" s="88"/>
      <c r="GK103" s="88"/>
      <c r="GL103" s="88"/>
      <c r="GM103" s="88"/>
      <c r="GN103" s="88"/>
      <c r="GO103" s="88"/>
      <c r="GP103" s="88"/>
      <c r="GQ103" s="88"/>
      <c r="GR103" s="88"/>
      <c r="GS103" s="88"/>
      <c r="GT103" s="88"/>
      <c r="GU103" s="88"/>
      <c r="GV103" s="88"/>
      <c r="GW103" s="88"/>
      <c r="GX103" s="88"/>
      <c r="GY103" s="88"/>
      <c r="GZ103" s="88"/>
      <c r="HA103" s="88"/>
      <c r="HB103" s="88"/>
      <c r="HC103" s="88"/>
      <c r="HD103" s="88"/>
      <c r="HE103" s="88"/>
    </row>
    <row r="104" spans="1:213" customFormat="1">
      <c r="A104" s="17" t="s">
        <v>319</v>
      </c>
      <c r="B104" s="452">
        <v>0</v>
      </c>
      <c r="C104" s="6" t="s">
        <v>290</v>
      </c>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c r="EO104" s="88"/>
      <c r="EP104" s="88"/>
      <c r="EQ104" s="88"/>
      <c r="ER104" s="88"/>
      <c r="ES104" s="88"/>
      <c r="ET104" s="88"/>
      <c r="EU104" s="88"/>
      <c r="EV104" s="88"/>
      <c r="EW104" s="88"/>
      <c r="EX104" s="88"/>
      <c r="EY104" s="88"/>
      <c r="EZ104" s="88"/>
      <c r="FA104" s="88"/>
      <c r="FB104" s="88"/>
      <c r="FC104" s="88"/>
      <c r="FD104" s="88"/>
      <c r="FE104" s="88"/>
      <c r="FF104" s="88"/>
      <c r="FG104" s="88"/>
      <c r="FH104" s="88"/>
      <c r="FI104" s="88"/>
      <c r="FJ104" s="88"/>
      <c r="FK104" s="88"/>
      <c r="FL104" s="88"/>
      <c r="FM104" s="88"/>
      <c r="FN104" s="88"/>
      <c r="FO104" s="88"/>
      <c r="FP104" s="88"/>
      <c r="FQ104" s="88"/>
      <c r="FR104" s="88"/>
      <c r="FS104" s="88"/>
      <c r="FT104" s="88"/>
      <c r="FU104" s="88"/>
      <c r="FV104" s="88"/>
      <c r="FW104" s="88"/>
      <c r="FX104" s="88"/>
      <c r="FY104" s="88"/>
      <c r="FZ104" s="88"/>
      <c r="GA104" s="88"/>
      <c r="GB104" s="88"/>
      <c r="GC104" s="88"/>
      <c r="GD104" s="88"/>
      <c r="GE104" s="88"/>
      <c r="GF104" s="88"/>
      <c r="GG104" s="88"/>
      <c r="GH104" s="88"/>
      <c r="GI104" s="88"/>
      <c r="GJ104" s="88"/>
      <c r="GK104" s="88"/>
      <c r="GL104" s="88"/>
      <c r="GM104" s="88"/>
      <c r="GN104" s="88"/>
      <c r="GO104" s="88"/>
      <c r="GP104" s="88"/>
      <c r="GQ104" s="88"/>
      <c r="GR104" s="88"/>
      <c r="GS104" s="88"/>
      <c r="GT104" s="88"/>
      <c r="GU104" s="88"/>
      <c r="GV104" s="88"/>
      <c r="GW104" s="88"/>
      <c r="GX104" s="88"/>
      <c r="GY104" s="88"/>
      <c r="GZ104" s="88"/>
      <c r="HA104" s="88"/>
      <c r="HB104" s="88"/>
      <c r="HC104" s="88"/>
      <c r="HD104" s="88"/>
      <c r="HE104" s="88"/>
    </row>
    <row r="105" spans="1:213" customFormat="1">
      <c r="A105" s="17" t="s">
        <v>320</v>
      </c>
      <c r="B105" s="284"/>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8"/>
      <c r="ET105" s="88"/>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c r="FW105" s="88"/>
      <c r="FX105" s="88"/>
      <c r="FY105" s="88"/>
      <c r="FZ105" s="88"/>
      <c r="GA105" s="88"/>
      <c r="GB105" s="88"/>
      <c r="GC105" s="88"/>
      <c r="GD105" s="88"/>
      <c r="GE105" s="88"/>
      <c r="GF105" s="88"/>
      <c r="GG105" s="88"/>
      <c r="GH105" s="88"/>
      <c r="GI105" s="88"/>
      <c r="GJ105" s="88"/>
      <c r="GK105" s="88"/>
      <c r="GL105" s="88"/>
      <c r="GM105" s="88"/>
      <c r="GN105" s="88"/>
      <c r="GO105" s="88"/>
      <c r="GP105" s="88"/>
      <c r="GQ105" s="88"/>
      <c r="GR105" s="88"/>
      <c r="GS105" s="88"/>
      <c r="GT105" s="88"/>
      <c r="GU105" s="88"/>
      <c r="GV105" s="88"/>
      <c r="GW105" s="88"/>
      <c r="GX105" s="88"/>
      <c r="GY105" s="88"/>
      <c r="GZ105" s="88"/>
      <c r="HA105" s="88"/>
      <c r="HB105" s="88"/>
      <c r="HC105" s="88"/>
      <c r="HD105" s="88"/>
      <c r="HE105" s="88"/>
    </row>
    <row r="106" spans="1:213" customFormat="1">
      <c r="A106" s="1" t="s">
        <v>321</v>
      </c>
      <c r="B106" s="452"/>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c r="EW106" s="88"/>
      <c r="EX106" s="88"/>
      <c r="EY106" s="88"/>
      <c r="EZ106" s="88"/>
      <c r="FA106" s="88"/>
      <c r="FB106" s="88"/>
      <c r="FC106" s="88"/>
      <c r="FD106" s="88"/>
      <c r="FE106" s="88"/>
      <c r="FF106" s="88"/>
      <c r="FG106" s="88"/>
      <c r="FH106" s="88"/>
      <c r="FI106" s="88"/>
      <c r="FJ106" s="88"/>
      <c r="FK106" s="88"/>
      <c r="FL106" s="88"/>
      <c r="FM106" s="88"/>
      <c r="FN106" s="88"/>
      <c r="FO106" s="88"/>
      <c r="FP106" s="88"/>
      <c r="FQ106" s="88"/>
      <c r="FR106" s="88"/>
      <c r="FS106" s="88"/>
      <c r="FT106" s="88"/>
      <c r="FU106" s="88"/>
      <c r="FV106" s="88"/>
      <c r="FW106" s="88"/>
      <c r="FX106" s="88"/>
      <c r="FY106" s="88"/>
      <c r="FZ106" s="88"/>
      <c r="GA106" s="88"/>
      <c r="GB106" s="88"/>
      <c r="GC106" s="88"/>
      <c r="GD106" s="88"/>
      <c r="GE106" s="88"/>
      <c r="GF106" s="88"/>
      <c r="GG106" s="88"/>
      <c r="GH106" s="88"/>
      <c r="GI106" s="88"/>
      <c r="GJ106" s="88"/>
      <c r="GK106" s="88"/>
      <c r="GL106" s="88"/>
      <c r="GM106" s="88"/>
      <c r="GN106" s="88"/>
      <c r="GO106" s="88"/>
      <c r="GP106" s="88"/>
      <c r="GQ106" s="88"/>
      <c r="GR106" s="88"/>
      <c r="GS106" s="88"/>
      <c r="GT106" s="88"/>
      <c r="GU106" s="88"/>
      <c r="GV106" s="88"/>
      <c r="GW106" s="88"/>
      <c r="GX106" s="88"/>
      <c r="GY106" s="88"/>
      <c r="GZ106" s="88"/>
      <c r="HA106" s="88"/>
      <c r="HB106" s="88"/>
      <c r="HC106" s="88"/>
      <c r="HD106" s="88"/>
      <c r="HE106" s="88"/>
    </row>
    <row r="107" spans="1:213" customFormat="1">
      <c r="A107" s="60" t="s">
        <v>322</v>
      </c>
      <c r="B107" s="284"/>
      <c r="C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88"/>
      <c r="FL107" s="88"/>
      <c r="FM107" s="88"/>
      <c r="FN107" s="88"/>
      <c r="FO107" s="88"/>
      <c r="FP107" s="88"/>
      <c r="FQ107" s="88"/>
      <c r="FR107" s="88"/>
      <c r="FS107" s="88"/>
      <c r="FT107" s="88"/>
      <c r="FU107" s="88"/>
      <c r="FV107" s="88"/>
      <c r="FW107" s="88"/>
      <c r="FX107" s="88"/>
      <c r="FY107" s="88"/>
      <c r="FZ107" s="88"/>
      <c r="GA107" s="88"/>
      <c r="GB107" s="88"/>
      <c r="GC107" s="88"/>
      <c r="GD107" s="88"/>
      <c r="GE107" s="88"/>
      <c r="GF107" s="88"/>
      <c r="GG107" s="88"/>
      <c r="GH107" s="88"/>
      <c r="GI107" s="88"/>
      <c r="GJ107" s="88"/>
      <c r="GK107" s="88"/>
      <c r="GL107" s="88"/>
      <c r="GM107" s="88"/>
      <c r="GN107" s="88"/>
      <c r="GO107" s="88"/>
      <c r="GP107" s="88"/>
      <c r="GQ107" s="88"/>
      <c r="GR107" s="88"/>
      <c r="GS107" s="88"/>
      <c r="GT107" s="88"/>
      <c r="GU107" s="88"/>
      <c r="GV107" s="88"/>
      <c r="GW107" s="88"/>
      <c r="GX107" s="88"/>
      <c r="GY107" s="88"/>
      <c r="GZ107" s="88"/>
      <c r="HA107" s="88"/>
      <c r="HB107" s="88"/>
      <c r="HC107" s="88"/>
      <c r="HD107" s="88"/>
      <c r="HE107" s="88"/>
    </row>
    <row r="108" spans="1:213">
      <c r="A108" s="3" t="s">
        <v>323</v>
      </c>
      <c r="B108" s="802" t="s">
        <v>324</v>
      </c>
      <c r="C108" s="3"/>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88"/>
      <c r="FL108" s="88"/>
      <c r="FM108" s="88"/>
      <c r="FN108" s="88"/>
      <c r="FO108" s="88"/>
      <c r="FP108" s="88"/>
      <c r="FQ108" s="88"/>
      <c r="FR108" s="88"/>
      <c r="FS108" s="88"/>
      <c r="FT108" s="88"/>
      <c r="FU108" s="88"/>
      <c r="FV108" s="88"/>
      <c r="FW108" s="88"/>
      <c r="FX108" s="88"/>
      <c r="FY108" s="88"/>
      <c r="FZ108" s="88"/>
      <c r="GA108" s="88"/>
      <c r="GB108" s="88"/>
      <c r="GC108" s="88"/>
      <c r="GD108" s="88"/>
      <c r="GE108" s="88"/>
      <c r="GF108" s="88"/>
      <c r="GG108" s="88"/>
      <c r="GH108" s="88"/>
      <c r="GI108" s="88"/>
      <c r="GJ108" s="88"/>
      <c r="GK108" s="88"/>
      <c r="GL108" s="88"/>
      <c r="GM108" s="88"/>
      <c r="GN108" s="88"/>
      <c r="GO108" s="88"/>
      <c r="GP108" s="88"/>
      <c r="GQ108" s="88"/>
      <c r="GR108" s="88"/>
      <c r="GS108" s="88"/>
      <c r="GT108" s="88"/>
      <c r="GU108" s="88"/>
      <c r="GV108" s="88"/>
      <c r="GW108" s="88"/>
      <c r="GX108" s="88"/>
      <c r="GY108" s="88"/>
      <c r="GZ108" s="88"/>
      <c r="HA108" s="88"/>
      <c r="HB108" s="88"/>
      <c r="HC108" s="88"/>
      <c r="HD108" s="88"/>
      <c r="HE108" s="88"/>
    </row>
    <row r="109" spans="1:213">
      <c r="A109" s="1" t="s">
        <v>326</v>
      </c>
      <c r="B109" s="284">
        <v>0</v>
      </c>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row>
    <row r="110" spans="1:213">
      <c r="A110" s="1" t="s">
        <v>327</v>
      </c>
      <c r="B110" s="452">
        <v>0</v>
      </c>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c r="DR110" s="88"/>
      <c r="DS110" s="88"/>
      <c r="DT110" s="88"/>
      <c r="DU110" s="88"/>
      <c r="DV110" s="88"/>
      <c r="DW110" s="88"/>
      <c r="DX110" s="88"/>
      <c r="DY110" s="88"/>
      <c r="DZ110" s="88"/>
      <c r="EA110" s="88"/>
      <c r="EB110" s="88"/>
      <c r="EC110" s="88"/>
      <c r="ED110" s="88"/>
      <c r="EE110" s="88"/>
      <c r="EF110" s="88"/>
      <c r="EG110" s="88"/>
      <c r="EH110" s="88"/>
      <c r="EI110" s="88"/>
      <c r="EJ110" s="88"/>
      <c r="EK110" s="88"/>
      <c r="EL110" s="88"/>
      <c r="EM110" s="88"/>
      <c r="EN110" s="88"/>
      <c r="EO110" s="88"/>
      <c r="EP110" s="88"/>
      <c r="EQ110" s="88"/>
      <c r="ER110" s="88"/>
      <c r="ES110" s="88"/>
      <c r="ET110" s="88"/>
      <c r="EU110" s="88"/>
      <c r="EV110" s="88"/>
      <c r="EW110" s="88"/>
      <c r="EX110" s="88"/>
      <c r="EY110" s="88"/>
      <c r="EZ110" s="88"/>
      <c r="FA110" s="88"/>
      <c r="FB110" s="88"/>
      <c r="FC110" s="88"/>
      <c r="FD110" s="88"/>
      <c r="FE110" s="88"/>
      <c r="FF110" s="88"/>
      <c r="FG110" s="88"/>
      <c r="FH110" s="88"/>
      <c r="FI110" s="88"/>
      <c r="FJ110" s="88"/>
      <c r="FK110" s="88"/>
      <c r="FL110" s="88"/>
      <c r="FM110" s="88"/>
      <c r="FN110" s="88"/>
      <c r="FO110" s="88"/>
      <c r="FP110" s="88"/>
      <c r="FQ110" s="88"/>
      <c r="FR110" s="88"/>
      <c r="FS110" s="88"/>
      <c r="FT110" s="88"/>
      <c r="FU110" s="88"/>
      <c r="FV110" s="88"/>
      <c r="FW110" s="88"/>
      <c r="FX110" s="88"/>
      <c r="FY110" s="88"/>
      <c r="FZ110" s="88"/>
      <c r="GA110" s="88"/>
      <c r="GB110" s="88"/>
      <c r="GC110" s="88"/>
      <c r="GD110" s="88"/>
      <c r="GE110" s="88"/>
      <c r="GF110" s="88"/>
      <c r="GG110" s="88"/>
      <c r="GH110" s="88"/>
      <c r="GI110" s="88"/>
      <c r="GJ110" s="88"/>
      <c r="GK110" s="88"/>
      <c r="GL110" s="88"/>
      <c r="GM110" s="88"/>
      <c r="GN110" s="88"/>
      <c r="GO110" s="88"/>
      <c r="GP110" s="88"/>
      <c r="GQ110" s="88"/>
      <c r="GR110" s="88"/>
      <c r="GS110" s="88"/>
      <c r="GT110" s="88"/>
      <c r="GU110" s="88"/>
      <c r="GV110" s="88"/>
      <c r="GW110" s="88"/>
      <c r="GX110" s="88"/>
      <c r="GY110" s="88"/>
      <c r="GZ110" s="88"/>
      <c r="HA110" s="88"/>
      <c r="HB110" s="88"/>
      <c r="HC110" s="88"/>
      <c r="HD110" s="88"/>
      <c r="HE110" s="88"/>
    </row>
    <row r="111" spans="1:213">
      <c r="A111" s="352" t="s">
        <v>328</v>
      </c>
      <c r="B111" s="452">
        <v>0</v>
      </c>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c r="FD111" s="88"/>
      <c r="FE111" s="88"/>
      <c r="FF111" s="88"/>
      <c r="FG111" s="88"/>
      <c r="FH111" s="88"/>
      <c r="FI111" s="88"/>
      <c r="FJ111" s="88"/>
      <c r="FK111" s="88"/>
      <c r="FL111" s="88"/>
      <c r="FM111" s="88"/>
      <c r="FN111" s="88"/>
      <c r="FO111" s="88"/>
      <c r="FP111" s="88"/>
      <c r="FQ111" s="88"/>
      <c r="FR111" s="88"/>
      <c r="FS111" s="88"/>
      <c r="FT111" s="88"/>
      <c r="FU111" s="88"/>
      <c r="FV111" s="88"/>
      <c r="FW111" s="88"/>
      <c r="FX111" s="88"/>
      <c r="FY111" s="88"/>
      <c r="FZ111" s="88"/>
      <c r="GA111" s="88"/>
      <c r="GB111" s="88"/>
      <c r="GC111" s="88"/>
      <c r="GD111" s="88"/>
      <c r="GE111" s="88"/>
      <c r="GF111" s="88"/>
      <c r="GG111" s="88"/>
      <c r="GH111" s="88"/>
      <c r="GI111" s="88"/>
      <c r="GJ111" s="88"/>
      <c r="GK111" s="88"/>
      <c r="GL111" s="88"/>
      <c r="GM111" s="88"/>
      <c r="GN111" s="88"/>
      <c r="GO111" s="88"/>
      <c r="GP111" s="88"/>
      <c r="GQ111" s="88"/>
      <c r="GR111" s="88"/>
      <c r="GS111" s="88"/>
      <c r="GT111" s="88"/>
      <c r="GU111" s="88"/>
      <c r="GV111" s="88"/>
      <c r="GW111" s="88"/>
      <c r="GX111" s="88"/>
      <c r="GY111" s="88"/>
      <c r="GZ111" s="88"/>
      <c r="HA111" s="88"/>
      <c r="HB111" s="88"/>
      <c r="HC111" s="88"/>
      <c r="HD111" s="88"/>
      <c r="HE111" s="88"/>
    </row>
    <row r="112" spans="1:213">
      <c r="A112" s="1" t="s">
        <v>329</v>
      </c>
      <c r="B112" s="452">
        <v>0</v>
      </c>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c r="EW112" s="88"/>
      <c r="EX112" s="88"/>
      <c r="EY112" s="88"/>
      <c r="EZ112" s="88"/>
      <c r="FA112" s="88"/>
      <c r="FB112" s="88"/>
      <c r="FC112" s="88"/>
      <c r="FD112" s="88"/>
      <c r="FE112" s="88"/>
      <c r="FF112" s="88"/>
      <c r="FG112" s="88"/>
      <c r="FH112" s="88"/>
      <c r="FI112" s="88"/>
      <c r="FJ112" s="88"/>
      <c r="FK112" s="88"/>
      <c r="FL112" s="88"/>
      <c r="FM112" s="88"/>
      <c r="FN112" s="88"/>
      <c r="FO112" s="88"/>
      <c r="FP112" s="88"/>
      <c r="FQ112" s="88"/>
      <c r="FR112" s="88"/>
      <c r="FS112" s="88"/>
      <c r="FT112" s="88"/>
      <c r="FU112" s="88"/>
      <c r="FV112" s="88"/>
      <c r="FW112" s="88"/>
      <c r="FX112" s="88"/>
      <c r="FY112" s="88"/>
      <c r="FZ112" s="88"/>
      <c r="GA112" s="88"/>
      <c r="GB112" s="88"/>
      <c r="GC112" s="88"/>
      <c r="GD112" s="88"/>
      <c r="GE112" s="88"/>
      <c r="GF112" s="88"/>
      <c r="GG112" s="88"/>
      <c r="GH112" s="88"/>
      <c r="GI112" s="88"/>
      <c r="GJ112" s="88"/>
      <c r="GK112" s="88"/>
      <c r="GL112" s="88"/>
      <c r="GM112" s="88"/>
      <c r="GN112" s="88"/>
      <c r="GO112" s="88"/>
      <c r="GP112" s="88"/>
      <c r="GQ112" s="88"/>
      <c r="GR112" s="88"/>
      <c r="GS112" s="88"/>
      <c r="GT112" s="88"/>
      <c r="GU112" s="88"/>
      <c r="GV112" s="88"/>
      <c r="GW112" s="88"/>
      <c r="GX112" s="88"/>
      <c r="GY112" s="88"/>
      <c r="GZ112" s="88"/>
      <c r="HA112" s="88"/>
      <c r="HB112" s="88"/>
      <c r="HC112" s="88"/>
      <c r="HD112" s="88"/>
      <c r="HE112" s="88"/>
    </row>
    <row r="113" spans="1:213">
      <c r="A113" s="1" t="s">
        <v>330</v>
      </c>
      <c r="B113" s="452">
        <v>0</v>
      </c>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c r="DR113" s="88"/>
      <c r="DS113" s="88"/>
      <c r="DT113" s="88"/>
      <c r="DU113" s="88"/>
      <c r="DV113" s="88"/>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8"/>
      <c r="EU113" s="88"/>
      <c r="EV113" s="88"/>
      <c r="EW113" s="88"/>
      <c r="EX113" s="88"/>
      <c r="EY113" s="88"/>
      <c r="EZ113" s="88"/>
      <c r="FA113" s="88"/>
      <c r="FB113" s="88"/>
      <c r="FC113" s="88"/>
      <c r="FD113" s="88"/>
      <c r="FE113" s="88"/>
      <c r="FF113" s="88"/>
      <c r="FG113" s="88"/>
      <c r="FH113" s="88"/>
      <c r="FI113" s="88"/>
      <c r="FJ113" s="88"/>
      <c r="FK113" s="88"/>
      <c r="FL113" s="88"/>
      <c r="FM113" s="88"/>
      <c r="FN113" s="88"/>
      <c r="FO113" s="88"/>
      <c r="FP113" s="88"/>
      <c r="FQ113" s="88"/>
      <c r="FR113" s="88"/>
      <c r="FS113" s="88"/>
      <c r="FT113" s="88"/>
      <c r="FU113" s="88"/>
      <c r="FV113" s="88"/>
      <c r="FW113" s="88"/>
      <c r="FX113" s="88"/>
      <c r="FY113" s="88"/>
      <c r="FZ113" s="88"/>
      <c r="GA113" s="88"/>
      <c r="GB113" s="88"/>
      <c r="GC113" s="88"/>
      <c r="GD113" s="88"/>
      <c r="GE113" s="88"/>
      <c r="GF113" s="88"/>
      <c r="GG113" s="88"/>
      <c r="GH113" s="88"/>
      <c r="GI113" s="88"/>
      <c r="GJ113" s="88"/>
      <c r="GK113" s="88"/>
      <c r="GL113" s="88"/>
      <c r="GM113" s="88"/>
      <c r="GN113" s="88"/>
      <c r="GO113" s="88"/>
      <c r="GP113" s="88"/>
      <c r="GQ113" s="88"/>
      <c r="GR113" s="88"/>
      <c r="GS113" s="88"/>
      <c r="GT113" s="88"/>
      <c r="GU113" s="88"/>
      <c r="GV113" s="88"/>
      <c r="GW113" s="88"/>
      <c r="GX113" s="88"/>
      <c r="GY113" s="88"/>
      <c r="GZ113" s="88"/>
      <c r="HA113" s="88"/>
      <c r="HB113" s="88"/>
      <c r="HC113" s="88"/>
      <c r="HD113" s="88"/>
      <c r="HE113" s="88"/>
    </row>
    <row r="114" spans="1:213">
      <c r="A114" s="1" t="s">
        <v>331</v>
      </c>
      <c r="B114" s="452">
        <v>0</v>
      </c>
      <c r="C114"/>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8"/>
      <c r="EU114" s="88"/>
      <c r="EV114" s="88"/>
      <c r="EW114" s="88"/>
      <c r="EX114" s="88"/>
      <c r="EY114" s="88"/>
      <c r="EZ114" s="88"/>
      <c r="FA114" s="88"/>
      <c r="FB114" s="88"/>
      <c r="FC114" s="88"/>
      <c r="FD114" s="88"/>
      <c r="FE114" s="88"/>
      <c r="FF114" s="88"/>
      <c r="FG114" s="88"/>
      <c r="FH114" s="88"/>
      <c r="FI114" s="88"/>
      <c r="FJ114" s="88"/>
      <c r="FK114" s="88"/>
      <c r="FL114" s="88"/>
      <c r="FM114" s="88"/>
      <c r="FN114" s="88"/>
      <c r="FO114" s="88"/>
      <c r="FP114" s="88"/>
      <c r="FQ114" s="88"/>
      <c r="FR114" s="88"/>
      <c r="FS114" s="88"/>
      <c r="FT114" s="88"/>
      <c r="FU114" s="88"/>
      <c r="FV114" s="88"/>
      <c r="FW114" s="88"/>
      <c r="FX114" s="88"/>
      <c r="FY114" s="88"/>
      <c r="FZ114" s="88"/>
      <c r="GA114" s="88"/>
      <c r="GB114" s="88"/>
      <c r="GC114" s="88"/>
      <c r="GD114" s="88"/>
      <c r="GE114" s="88"/>
      <c r="GF114" s="88"/>
      <c r="GG114" s="88"/>
      <c r="GH114" s="88"/>
      <c r="GI114" s="88"/>
      <c r="GJ114" s="88"/>
      <c r="GK114" s="88"/>
      <c r="GL114" s="88"/>
      <c r="GM114" s="88"/>
      <c r="GN114" s="88"/>
      <c r="GO114" s="88"/>
      <c r="GP114" s="88"/>
      <c r="GQ114" s="88"/>
      <c r="GR114" s="88"/>
      <c r="GS114" s="88"/>
      <c r="GT114" s="88"/>
      <c r="GU114" s="88"/>
      <c r="GV114" s="88"/>
      <c r="GW114" s="88"/>
      <c r="GX114" s="88"/>
      <c r="GY114" s="88"/>
      <c r="GZ114" s="88"/>
      <c r="HA114" s="88"/>
      <c r="HB114" s="88"/>
      <c r="HC114" s="88"/>
      <c r="HD114" s="88"/>
      <c r="HE114" s="88"/>
    </row>
    <row r="115" spans="1:213">
      <c r="A115" s="3" t="s">
        <v>332</v>
      </c>
      <c r="B115" s="802" t="s">
        <v>324</v>
      </c>
      <c r="C115" s="3"/>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8"/>
      <c r="EU115" s="88"/>
      <c r="EV115" s="88"/>
      <c r="EW115" s="88"/>
      <c r="EX115" s="88"/>
      <c r="EY115" s="88"/>
      <c r="EZ115" s="88"/>
      <c r="FA115" s="88"/>
      <c r="FB115" s="88"/>
      <c r="FC115" s="88"/>
      <c r="FD115" s="88"/>
      <c r="FE115" s="88"/>
      <c r="FF115" s="88"/>
      <c r="FG115" s="88"/>
      <c r="FH115" s="88"/>
      <c r="FI115" s="88"/>
      <c r="FJ115" s="88"/>
      <c r="FK115" s="88"/>
      <c r="FL115" s="88"/>
      <c r="FM115" s="88"/>
      <c r="FN115" s="88"/>
      <c r="FO115" s="88"/>
      <c r="FP115" s="88"/>
      <c r="FQ115" s="88"/>
      <c r="FR115" s="88"/>
      <c r="FS115" s="88"/>
      <c r="FT115" s="88"/>
      <c r="FU115" s="88"/>
      <c r="FV115" s="88"/>
      <c r="FW115" s="88"/>
      <c r="FX115" s="88"/>
      <c r="FY115" s="88"/>
      <c r="FZ115" s="88"/>
      <c r="GA115" s="88"/>
      <c r="GB115" s="88"/>
      <c r="GC115" s="88"/>
      <c r="GD115" s="88"/>
      <c r="GE115" s="88"/>
      <c r="GF115" s="88"/>
      <c r="GG115" s="88"/>
      <c r="GH115" s="88"/>
      <c r="GI115" s="88"/>
      <c r="GJ115" s="88"/>
      <c r="GK115" s="88"/>
      <c r="GL115" s="88"/>
      <c r="GM115" s="88"/>
      <c r="GN115" s="88"/>
      <c r="GO115" s="88"/>
      <c r="GP115" s="88"/>
      <c r="GQ115" s="88"/>
      <c r="GR115" s="88"/>
      <c r="GS115" s="88"/>
      <c r="GT115" s="88"/>
      <c r="GU115" s="88"/>
      <c r="GV115" s="88"/>
      <c r="GW115" s="88"/>
      <c r="GX115" s="88"/>
      <c r="GY115" s="88"/>
      <c r="GZ115" s="88"/>
      <c r="HA115" s="88"/>
      <c r="HB115" s="88"/>
      <c r="HC115" s="88"/>
      <c r="HD115" s="88"/>
      <c r="HE115" s="88"/>
    </row>
    <row r="116" spans="1:213">
      <c r="A116" s="1" t="s">
        <v>333</v>
      </c>
      <c r="B116" s="452">
        <v>0</v>
      </c>
      <c r="C116"/>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88"/>
      <c r="ET116" s="88"/>
      <c r="EU116" s="88"/>
      <c r="EV116" s="88"/>
      <c r="EW116" s="88"/>
      <c r="EX116" s="88"/>
      <c r="EY116" s="88"/>
      <c r="EZ116" s="88"/>
      <c r="FA116" s="88"/>
      <c r="FB116" s="88"/>
      <c r="FC116" s="88"/>
      <c r="FD116" s="88"/>
      <c r="FE116" s="88"/>
      <c r="FF116" s="88"/>
      <c r="FG116" s="88"/>
      <c r="FH116" s="88"/>
      <c r="FI116" s="88"/>
      <c r="FJ116" s="88"/>
      <c r="FK116" s="88"/>
      <c r="FL116" s="88"/>
      <c r="FM116" s="88"/>
      <c r="FN116" s="88"/>
      <c r="FO116" s="88"/>
      <c r="FP116" s="88"/>
      <c r="FQ116" s="88"/>
      <c r="FR116" s="88"/>
      <c r="FS116" s="88"/>
      <c r="FT116" s="88"/>
      <c r="FU116" s="88"/>
      <c r="FV116" s="88"/>
      <c r="FW116" s="88"/>
      <c r="FX116" s="88"/>
      <c r="FY116" s="88"/>
      <c r="FZ116" s="88"/>
      <c r="GA116" s="88"/>
      <c r="GB116" s="88"/>
      <c r="GC116" s="88"/>
      <c r="GD116" s="88"/>
      <c r="GE116" s="88"/>
      <c r="GF116" s="88"/>
      <c r="GG116" s="88"/>
      <c r="GH116" s="88"/>
      <c r="GI116" s="88"/>
      <c r="GJ116" s="88"/>
      <c r="GK116" s="88"/>
      <c r="GL116" s="88"/>
      <c r="GM116" s="88"/>
      <c r="GN116" s="88"/>
      <c r="GO116" s="88"/>
      <c r="GP116" s="88"/>
      <c r="GQ116" s="88"/>
      <c r="GR116" s="88"/>
      <c r="GS116" s="88"/>
      <c r="GT116" s="88"/>
      <c r="GU116" s="88"/>
      <c r="GV116" s="88"/>
      <c r="GW116" s="88"/>
      <c r="GX116" s="88"/>
      <c r="GY116" s="88"/>
      <c r="GZ116" s="88"/>
      <c r="HA116" s="88"/>
      <c r="HB116" s="88"/>
      <c r="HC116" s="88"/>
      <c r="HD116" s="88"/>
      <c r="HE116" s="88"/>
    </row>
    <row r="117" spans="1:213">
      <c r="A117" s="1" t="s">
        <v>334</v>
      </c>
      <c r="B117" s="452">
        <v>0</v>
      </c>
      <c r="C117"/>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8"/>
      <c r="EU117" s="88"/>
      <c r="EV117" s="88"/>
      <c r="EW117" s="88"/>
      <c r="EX117" s="88"/>
      <c r="EY117" s="88"/>
      <c r="EZ117" s="88"/>
      <c r="FA117" s="88"/>
      <c r="FB117" s="88"/>
      <c r="FC117" s="88"/>
      <c r="FD117" s="88"/>
      <c r="FE117" s="88"/>
      <c r="FF117" s="88"/>
      <c r="FG117" s="88"/>
      <c r="FH117" s="88"/>
      <c r="FI117" s="88"/>
      <c r="FJ117" s="88"/>
      <c r="FK117" s="88"/>
      <c r="FL117" s="88"/>
      <c r="FM117" s="88"/>
      <c r="FN117" s="88"/>
      <c r="FO117" s="88"/>
      <c r="FP117" s="88"/>
      <c r="FQ117" s="88"/>
      <c r="FR117" s="88"/>
      <c r="FS117" s="88"/>
      <c r="FT117" s="88"/>
      <c r="FU117" s="88"/>
      <c r="FV117" s="88"/>
      <c r="FW117" s="88"/>
      <c r="FX117" s="88"/>
      <c r="FY117" s="88"/>
      <c r="FZ117" s="88"/>
      <c r="GA117" s="88"/>
      <c r="GB117" s="88"/>
      <c r="GC117" s="88"/>
      <c r="GD117" s="88"/>
      <c r="GE117" s="88"/>
      <c r="GF117" s="88"/>
      <c r="GG117" s="88"/>
      <c r="GH117" s="88"/>
      <c r="GI117" s="88"/>
      <c r="GJ117" s="88"/>
      <c r="GK117" s="88"/>
      <c r="GL117" s="88"/>
      <c r="GM117" s="88"/>
      <c r="GN117" s="88"/>
      <c r="GO117" s="88"/>
      <c r="GP117" s="88"/>
      <c r="GQ117" s="88"/>
      <c r="GR117" s="88"/>
      <c r="GS117" s="88"/>
      <c r="GT117" s="88"/>
      <c r="GU117" s="88"/>
      <c r="GV117" s="88"/>
      <c r="GW117" s="88"/>
      <c r="GX117" s="88"/>
      <c r="GY117" s="88"/>
      <c r="GZ117" s="88"/>
      <c r="HA117" s="88"/>
      <c r="HB117" s="88"/>
      <c r="HC117" s="88"/>
      <c r="HD117" s="88"/>
      <c r="HE117" s="88"/>
    </row>
    <row r="118" spans="1:213">
      <c r="A118" s="88"/>
      <c r="B118" s="88"/>
      <c r="C11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8"/>
      <c r="EU118" s="88"/>
      <c r="EV118" s="88"/>
      <c r="EW118" s="88"/>
      <c r="EX118" s="88"/>
      <c r="EY118" s="88"/>
      <c r="EZ118" s="88"/>
      <c r="FA118" s="88"/>
      <c r="FB118" s="88"/>
      <c r="FC118" s="88"/>
      <c r="FD118" s="88"/>
      <c r="FE118" s="88"/>
      <c r="FF118" s="88"/>
      <c r="FG118" s="88"/>
      <c r="FH118" s="88"/>
      <c r="FI118" s="88"/>
      <c r="FJ118" s="88"/>
      <c r="FK118" s="88"/>
      <c r="FL118" s="88"/>
      <c r="FM118" s="88"/>
      <c r="FN118" s="88"/>
      <c r="FO118" s="88"/>
      <c r="FP118" s="88"/>
      <c r="FQ118" s="88"/>
      <c r="FR118" s="88"/>
      <c r="FS118" s="88"/>
      <c r="FT118" s="88"/>
      <c r="FU118" s="88"/>
      <c r="FV118" s="88"/>
      <c r="FW118" s="88"/>
      <c r="FX118" s="88"/>
      <c r="FY118" s="88"/>
      <c r="FZ118" s="88"/>
      <c r="GA118" s="88"/>
      <c r="GB118" s="88"/>
      <c r="GC118" s="88"/>
      <c r="GD118" s="88"/>
      <c r="GE118" s="88"/>
      <c r="GF118" s="88"/>
      <c r="GG118" s="88"/>
      <c r="GH118" s="88"/>
      <c r="GI118" s="88"/>
      <c r="GJ118" s="88"/>
      <c r="GK118" s="88"/>
      <c r="GL118" s="88"/>
      <c r="GM118" s="88"/>
      <c r="GN118" s="88"/>
      <c r="GO118" s="88"/>
      <c r="GP118" s="88"/>
      <c r="GQ118" s="88"/>
      <c r="GR118" s="88"/>
      <c r="GS118" s="88"/>
      <c r="GT118" s="88"/>
      <c r="GU118" s="88"/>
      <c r="GV118" s="88"/>
      <c r="GW118" s="88"/>
      <c r="GX118" s="88"/>
      <c r="GY118" s="88"/>
      <c r="GZ118" s="88"/>
      <c r="HA118" s="88"/>
      <c r="HB118" s="88"/>
      <c r="HC118" s="88"/>
      <c r="HD118" s="88"/>
      <c r="HE118" s="88"/>
    </row>
    <row r="119" spans="1:213" ht="21">
      <c r="A119" s="7" t="s">
        <v>335</v>
      </c>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c r="FW119" s="88"/>
      <c r="FX119" s="88"/>
      <c r="FY119" s="88"/>
      <c r="FZ119" s="88"/>
      <c r="GA119" s="88"/>
      <c r="GB119" s="88"/>
      <c r="GC119" s="88"/>
      <c r="GD119" s="88"/>
      <c r="GE119" s="88"/>
      <c r="GF119" s="88"/>
      <c r="GG119" s="88"/>
      <c r="GH119" s="88"/>
      <c r="GI119" s="88"/>
      <c r="GJ119" s="88"/>
      <c r="GK119" s="88"/>
      <c r="GL119" s="88"/>
      <c r="GM119" s="88"/>
      <c r="GN119" s="88"/>
      <c r="GO119" s="88"/>
      <c r="GP119" s="88"/>
      <c r="GQ119" s="88"/>
      <c r="GR119" s="88"/>
      <c r="GS119" s="88"/>
      <c r="GT119" s="88"/>
      <c r="GU119" s="88"/>
      <c r="GV119" s="88"/>
      <c r="GW119" s="88"/>
      <c r="GX119" s="88"/>
      <c r="GY119" s="88"/>
      <c r="GZ119" s="88"/>
      <c r="HA119" s="88"/>
      <c r="HB119" s="88"/>
      <c r="HC119" s="88"/>
      <c r="HD119" s="88"/>
      <c r="HE119" s="88"/>
    </row>
    <row r="120" spans="1:213">
      <c r="A120" s="3" t="s">
        <v>336</v>
      </c>
      <c r="B120" s="3"/>
      <c r="C120" s="3"/>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c r="EA120" s="88"/>
      <c r="EB120" s="88"/>
      <c r="EC120" s="88"/>
      <c r="ED120" s="88"/>
      <c r="EE120" s="88"/>
      <c r="EF120" s="88"/>
      <c r="EG120" s="88"/>
      <c r="EH120" s="88"/>
      <c r="EI120" s="88"/>
      <c r="EJ120" s="88"/>
      <c r="EK120" s="88"/>
      <c r="EL120" s="88"/>
      <c r="EM120" s="88"/>
      <c r="EN120" s="88"/>
      <c r="EO120" s="88"/>
      <c r="EP120" s="88"/>
      <c r="EQ120" s="88"/>
      <c r="ER120" s="88"/>
      <c r="ES120" s="88"/>
      <c r="ET120" s="88"/>
      <c r="EU120" s="88"/>
      <c r="EV120" s="88"/>
      <c r="EW120" s="88"/>
      <c r="EX120" s="88"/>
      <c r="EY120" s="88"/>
      <c r="EZ120" s="88"/>
      <c r="FA120" s="88"/>
      <c r="FB120" s="88"/>
      <c r="FC120" s="88"/>
      <c r="FD120" s="88"/>
      <c r="FE120" s="88"/>
      <c r="FF120" s="88"/>
      <c r="FG120" s="88"/>
      <c r="FH120" s="88"/>
      <c r="FI120" s="88"/>
      <c r="FJ120" s="88"/>
      <c r="FK120" s="88"/>
      <c r="FL120" s="88"/>
      <c r="FM120" s="88"/>
      <c r="FN120" s="88"/>
      <c r="FO120" s="88"/>
      <c r="FP120" s="88"/>
      <c r="FQ120" s="88"/>
      <c r="FR120" s="88"/>
      <c r="FS120" s="88"/>
      <c r="FT120" s="88"/>
      <c r="FU120" s="88"/>
      <c r="FV120" s="88"/>
      <c r="FW120" s="88"/>
      <c r="FX120" s="88"/>
      <c r="FY120" s="88"/>
      <c r="FZ120" s="88"/>
      <c r="GA120" s="88"/>
      <c r="GB120" s="88"/>
      <c r="GC120" s="88"/>
      <c r="GD120" s="88"/>
      <c r="GE120" s="88"/>
      <c r="GF120" s="88"/>
      <c r="GG120" s="88"/>
      <c r="GH120" s="88"/>
      <c r="GI120" s="88"/>
      <c r="GJ120" s="88"/>
      <c r="GK120" s="88"/>
      <c r="GL120" s="88"/>
      <c r="GM120" s="88"/>
      <c r="GN120" s="88"/>
      <c r="GO120" s="88"/>
      <c r="GP120" s="88"/>
      <c r="GQ120" s="88"/>
      <c r="GR120" s="88"/>
      <c r="GS120" s="88"/>
      <c r="GT120" s="88"/>
      <c r="GU120" s="88"/>
      <c r="GV120" s="88"/>
      <c r="GW120" s="88"/>
      <c r="GX120" s="88"/>
      <c r="GY120" s="88"/>
      <c r="GZ120" s="88"/>
      <c r="HA120" s="88"/>
      <c r="HB120" s="88"/>
      <c r="HC120" s="88"/>
      <c r="HD120" s="88"/>
      <c r="HE120" s="88"/>
    </row>
    <row r="121" spans="1:213">
      <c r="A121" s="1" t="s">
        <v>337</v>
      </c>
      <c r="B121" s="450"/>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8"/>
      <c r="EU121" s="88"/>
      <c r="EV121" s="88"/>
      <c r="EW121" s="88"/>
      <c r="EX121" s="88"/>
      <c r="EY121" s="88"/>
      <c r="EZ121" s="88"/>
      <c r="FA121" s="88"/>
      <c r="FB121" s="88"/>
      <c r="FC121" s="88"/>
      <c r="FD121" s="88"/>
      <c r="FE121" s="88"/>
      <c r="FF121" s="88"/>
      <c r="FG121" s="88"/>
      <c r="FH121" s="88"/>
      <c r="FI121" s="88"/>
      <c r="FJ121" s="88"/>
      <c r="FK121" s="88"/>
      <c r="FL121" s="88"/>
      <c r="FM121" s="88"/>
      <c r="FN121" s="88"/>
      <c r="FO121" s="88"/>
      <c r="FP121" s="88"/>
      <c r="FQ121" s="88"/>
      <c r="FR121" s="88"/>
      <c r="FS121" s="88"/>
      <c r="FT121" s="88"/>
      <c r="FU121" s="88"/>
      <c r="FV121" s="88"/>
      <c r="FW121" s="88"/>
      <c r="FX121" s="88"/>
      <c r="FY121" s="88"/>
      <c r="FZ121" s="88"/>
      <c r="GA121" s="88"/>
      <c r="GB121" s="88"/>
      <c r="GC121" s="88"/>
      <c r="GD121" s="88"/>
      <c r="GE121" s="88"/>
      <c r="GF121" s="88"/>
      <c r="GG121" s="88"/>
      <c r="GH121" s="88"/>
      <c r="GI121" s="88"/>
      <c r="GJ121" s="88"/>
      <c r="GK121" s="88"/>
      <c r="GL121" s="88"/>
      <c r="GM121" s="88"/>
      <c r="GN121" s="88"/>
      <c r="GO121" s="88"/>
      <c r="GP121" s="88"/>
      <c r="GQ121" s="88"/>
      <c r="GR121" s="88"/>
      <c r="GS121" s="88"/>
      <c r="GT121" s="88"/>
      <c r="GU121" s="88"/>
      <c r="GV121" s="88"/>
      <c r="GW121" s="88"/>
      <c r="GX121" s="88"/>
      <c r="GY121" s="88"/>
      <c r="GZ121" s="88"/>
      <c r="HA121" s="88"/>
      <c r="HB121" s="88"/>
      <c r="HC121" s="88"/>
      <c r="HD121" s="88"/>
      <c r="HE121" s="88"/>
    </row>
    <row r="122" spans="1:213">
      <c r="A122" s="1" t="s">
        <v>338</v>
      </c>
      <c r="B122" s="450"/>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c r="GF122" s="88"/>
      <c r="GG122" s="88"/>
      <c r="GH122" s="88"/>
      <c r="GI122" s="88"/>
      <c r="GJ122" s="88"/>
      <c r="GK122" s="88"/>
      <c r="GL122" s="88"/>
      <c r="GM122" s="88"/>
      <c r="GN122" s="88"/>
      <c r="GO122" s="88"/>
      <c r="GP122" s="88"/>
      <c r="GQ122" s="88"/>
      <c r="GR122" s="88"/>
      <c r="GS122" s="88"/>
      <c r="GT122" s="88"/>
      <c r="GU122" s="88"/>
      <c r="GV122" s="88"/>
      <c r="GW122" s="88"/>
      <c r="GX122" s="88"/>
      <c r="GY122" s="88"/>
      <c r="GZ122" s="88"/>
      <c r="HA122" s="88"/>
      <c r="HB122" s="88"/>
      <c r="HC122" s="88"/>
      <c r="HD122" s="88"/>
      <c r="HE122" s="88"/>
    </row>
    <row r="123" spans="1:213">
      <c r="A123" s="1" t="s">
        <v>339</v>
      </c>
      <c r="B123" s="450"/>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c r="DQ123" s="88"/>
      <c r="DR123" s="88"/>
      <c r="DS123" s="88"/>
      <c r="DT123" s="88"/>
      <c r="DU123" s="88"/>
      <c r="DV123" s="88"/>
      <c r="DW123" s="88"/>
      <c r="DX123" s="88"/>
      <c r="DY123" s="88"/>
      <c r="DZ123" s="88"/>
      <c r="EA123" s="88"/>
      <c r="EB123" s="88"/>
      <c r="EC123" s="88"/>
      <c r="ED123" s="88"/>
      <c r="EE123" s="88"/>
      <c r="EF123" s="88"/>
      <c r="EG123" s="88"/>
      <c r="EH123" s="88"/>
      <c r="EI123" s="88"/>
      <c r="EJ123" s="88"/>
      <c r="EK123" s="88"/>
      <c r="EL123" s="88"/>
      <c r="EM123" s="88"/>
      <c r="EN123" s="88"/>
      <c r="EO123" s="88"/>
      <c r="EP123" s="88"/>
      <c r="EQ123" s="88"/>
      <c r="ER123" s="88"/>
      <c r="ES123" s="88"/>
      <c r="ET123" s="88"/>
      <c r="EU123" s="88"/>
      <c r="EV123" s="88"/>
      <c r="EW123" s="88"/>
      <c r="EX123" s="88"/>
      <c r="EY123" s="88"/>
      <c r="EZ123" s="88"/>
      <c r="FA123" s="88"/>
      <c r="FB123" s="88"/>
      <c r="FC123" s="88"/>
      <c r="FD123" s="88"/>
      <c r="FE123" s="88"/>
      <c r="FF123" s="88"/>
      <c r="FG123" s="88"/>
      <c r="FH123" s="88"/>
      <c r="FI123" s="88"/>
      <c r="FJ123" s="88"/>
      <c r="FK123" s="88"/>
      <c r="FL123" s="88"/>
      <c r="FM123" s="88"/>
      <c r="FN123" s="88"/>
      <c r="FO123" s="88"/>
      <c r="FP123" s="88"/>
      <c r="FQ123" s="88"/>
      <c r="FR123" s="88"/>
      <c r="FS123" s="88"/>
      <c r="FT123" s="88"/>
      <c r="FU123" s="88"/>
      <c r="FV123" s="88"/>
      <c r="FW123" s="88"/>
      <c r="FX123" s="88"/>
      <c r="FY123" s="88"/>
      <c r="FZ123" s="88"/>
      <c r="GA123" s="88"/>
      <c r="GB123" s="88"/>
      <c r="GC123" s="88"/>
      <c r="GD123" s="88"/>
      <c r="GE123" s="88"/>
      <c r="GF123" s="88"/>
      <c r="GG123" s="88"/>
      <c r="GH123" s="88"/>
      <c r="GI123" s="88"/>
      <c r="GJ123" s="88"/>
      <c r="GK123" s="88"/>
      <c r="GL123" s="88"/>
      <c r="GM123" s="88"/>
      <c r="GN123" s="88"/>
      <c r="GO123" s="88"/>
      <c r="GP123" s="88"/>
      <c r="GQ123" s="88"/>
      <c r="GR123" s="88"/>
      <c r="GS123" s="88"/>
      <c r="GT123" s="88"/>
      <c r="GU123" s="88"/>
      <c r="GV123" s="88"/>
      <c r="GW123" s="88"/>
      <c r="GX123" s="88"/>
      <c r="GY123" s="88"/>
      <c r="GZ123" s="88"/>
      <c r="HA123" s="88"/>
      <c r="HB123" s="88"/>
      <c r="HC123" s="88"/>
      <c r="HD123" s="88"/>
      <c r="HE123" s="88"/>
    </row>
    <row r="124" spans="1:213" ht="15" customHeight="1">
      <c r="A124" s="3" t="s">
        <v>340</v>
      </c>
      <c r="B124" s="3"/>
      <c r="C124" s="3"/>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8"/>
      <c r="EU124" s="88"/>
      <c r="EV124" s="88"/>
      <c r="EW124" s="88"/>
      <c r="EX124" s="88"/>
      <c r="EY124" s="88"/>
      <c r="EZ124" s="88"/>
      <c r="FA124" s="88"/>
      <c r="FB124" s="88"/>
      <c r="FC124" s="88"/>
      <c r="FD124" s="88"/>
      <c r="FE124" s="88"/>
      <c r="FF124" s="88"/>
      <c r="FG124" s="88"/>
      <c r="FH124" s="88"/>
      <c r="FI124" s="88"/>
      <c r="FJ124" s="88"/>
      <c r="FK124" s="88"/>
      <c r="FL124" s="88"/>
      <c r="FM124" s="88"/>
      <c r="FN124" s="88"/>
      <c r="FO124" s="88"/>
      <c r="FP124" s="88"/>
      <c r="FQ124" s="88"/>
      <c r="FR124" s="88"/>
      <c r="FS124" s="88"/>
      <c r="FT124" s="88"/>
      <c r="FU124" s="88"/>
      <c r="FV124" s="88"/>
      <c r="FW124" s="88"/>
      <c r="FX124" s="88"/>
      <c r="FY124" s="88"/>
      <c r="FZ124" s="88"/>
      <c r="GA124" s="88"/>
      <c r="GB124" s="88"/>
      <c r="GC124" s="88"/>
      <c r="GD124" s="88"/>
      <c r="GE124" s="88"/>
      <c r="GF124" s="88"/>
      <c r="GG124" s="88"/>
      <c r="GH124" s="88"/>
      <c r="GI124" s="88"/>
      <c r="GJ124" s="88"/>
      <c r="GK124" s="88"/>
      <c r="GL124" s="88"/>
      <c r="GM124" s="88"/>
      <c r="GN124" s="88"/>
      <c r="GO124" s="88"/>
      <c r="GP124" s="88"/>
      <c r="GQ124" s="88"/>
      <c r="GR124" s="88"/>
      <c r="GS124" s="88"/>
      <c r="GT124" s="88"/>
      <c r="GU124" s="88"/>
      <c r="GV124" s="88"/>
      <c r="GW124" s="88"/>
      <c r="GX124" s="88"/>
      <c r="GY124" s="88"/>
      <c r="GZ124" s="88"/>
      <c r="HA124" s="88"/>
      <c r="HB124" s="88"/>
      <c r="HC124" s="88"/>
      <c r="HD124" s="88"/>
      <c r="HE124" s="88"/>
    </row>
    <row r="125" spans="1:213">
      <c r="A125" s="1" t="s">
        <v>341</v>
      </c>
      <c r="B125" s="450"/>
      <c r="C125" t="s">
        <v>342</v>
      </c>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c r="GO125" s="88"/>
      <c r="GP125" s="88"/>
      <c r="GQ125" s="88"/>
      <c r="GR125" s="88"/>
      <c r="GS125" s="88"/>
      <c r="GT125" s="88"/>
      <c r="GU125" s="88"/>
      <c r="GV125" s="88"/>
      <c r="GW125" s="88"/>
      <c r="GX125" s="88"/>
      <c r="GY125" s="88"/>
      <c r="GZ125" s="88"/>
      <c r="HA125" s="88"/>
      <c r="HB125" s="88"/>
      <c r="HC125" s="88"/>
      <c r="HD125" s="88"/>
      <c r="HE125" s="88"/>
    </row>
    <row r="126" spans="1:213">
      <c r="A126" s="1" t="s">
        <v>343</v>
      </c>
      <c r="B126" s="450"/>
      <c r="C126" t="s">
        <v>342</v>
      </c>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c r="FW126" s="88"/>
      <c r="FX126" s="88"/>
      <c r="FY126" s="88"/>
      <c r="FZ126" s="88"/>
      <c r="GA126" s="88"/>
      <c r="GB126" s="88"/>
      <c r="GC126" s="88"/>
      <c r="GD126" s="88"/>
      <c r="GE126" s="88"/>
      <c r="GF126" s="88"/>
      <c r="GG126" s="88"/>
      <c r="GH126" s="88"/>
      <c r="GI126" s="88"/>
      <c r="GJ126" s="88"/>
      <c r="GK126" s="88"/>
      <c r="GL126" s="88"/>
      <c r="GM126" s="88"/>
      <c r="GN126" s="88"/>
      <c r="GO126" s="88"/>
      <c r="GP126" s="88"/>
      <c r="GQ126" s="88"/>
      <c r="GR126" s="88"/>
      <c r="GS126" s="88"/>
      <c r="GT126" s="88"/>
      <c r="GU126" s="88"/>
      <c r="GV126" s="88"/>
      <c r="GW126" s="88"/>
      <c r="GX126" s="88"/>
      <c r="GY126" s="88"/>
      <c r="GZ126" s="88"/>
      <c r="HA126" s="88"/>
      <c r="HB126" s="88"/>
      <c r="HC126" s="88"/>
      <c r="HD126" s="88"/>
      <c r="HE126" s="88"/>
    </row>
    <row r="127" spans="1:213">
      <c r="A127" s="1" t="s">
        <v>344</v>
      </c>
      <c r="B127" s="450"/>
      <c r="C127" t="s">
        <v>342</v>
      </c>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8"/>
      <c r="EU127" s="88"/>
      <c r="EV127" s="88"/>
      <c r="EW127" s="88"/>
      <c r="EX127" s="88"/>
      <c r="EY127" s="88"/>
      <c r="EZ127" s="88"/>
      <c r="FA127" s="88"/>
      <c r="FB127" s="88"/>
      <c r="FC127" s="88"/>
      <c r="FD127" s="88"/>
      <c r="FE127" s="88"/>
      <c r="FF127" s="88"/>
      <c r="FG127" s="88"/>
      <c r="FH127" s="88"/>
      <c r="FI127" s="88"/>
      <c r="FJ127" s="88"/>
      <c r="FK127" s="88"/>
      <c r="FL127" s="88"/>
      <c r="FM127" s="88"/>
      <c r="FN127" s="88"/>
      <c r="FO127" s="88"/>
      <c r="FP127" s="88"/>
      <c r="FQ127" s="88"/>
      <c r="FR127" s="88"/>
      <c r="FS127" s="88"/>
      <c r="FT127" s="88"/>
      <c r="FU127" s="88"/>
      <c r="FV127" s="88"/>
      <c r="FW127" s="88"/>
      <c r="FX127" s="88"/>
      <c r="FY127" s="88"/>
      <c r="FZ127" s="88"/>
      <c r="GA127" s="88"/>
      <c r="GB127" s="88"/>
      <c r="GC127" s="88"/>
      <c r="GD127" s="88"/>
      <c r="GE127" s="88"/>
      <c r="GF127" s="88"/>
      <c r="GG127" s="88"/>
      <c r="GH127" s="88"/>
      <c r="GI127" s="88"/>
      <c r="GJ127" s="88"/>
      <c r="GK127" s="88"/>
      <c r="GL127" s="88"/>
      <c r="GM127" s="88"/>
      <c r="GN127" s="88"/>
      <c r="GO127" s="88"/>
      <c r="GP127" s="88"/>
      <c r="GQ127" s="88"/>
      <c r="GR127" s="88"/>
      <c r="GS127" s="88"/>
      <c r="GT127" s="88"/>
      <c r="GU127" s="88"/>
      <c r="GV127" s="88"/>
      <c r="GW127" s="88"/>
      <c r="GX127" s="88"/>
      <c r="GY127" s="88"/>
      <c r="GZ127" s="88"/>
      <c r="HA127" s="88"/>
      <c r="HB127" s="88"/>
      <c r="HC127" s="88"/>
      <c r="HD127" s="88"/>
      <c r="HE127" s="88"/>
    </row>
    <row r="128" spans="1:213" ht="15" customHeight="1">
      <c r="A128" s="1" t="s">
        <v>345</v>
      </c>
      <c r="B128" s="450"/>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88"/>
      <c r="EU128" s="88"/>
      <c r="EV128" s="88"/>
      <c r="EW128" s="88"/>
      <c r="EX128" s="88"/>
      <c r="EY128" s="88"/>
      <c r="EZ128" s="88"/>
      <c r="FA128" s="88"/>
      <c r="FB128" s="88"/>
      <c r="FC128" s="88"/>
      <c r="FD128" s="88"/>
      <c r="FE128" s="88"/>
      <c r="FF128" s="88"/>
      <c r="FG128" s="88"/>
      <c r="FH128" s="88"/>
      <c r="FI128" s="88"/>
      <c r="FJ128" s="88"/>
      <c r="FK128" s="88"/>
      <c r="FL128" s="88"/>
      <c r="FM128" s="88"/>
      <c r="FN128" s="88"/>
      <c r="FO128" s="88"/>
      <c r="FP128" s="88"/>
      <c r="FQ128" s="88"/>
      <c r="FR128" s="88"/>
      <c r="FS128" s="88"/>
      <c r="FT128" s="88"/>
      <c r="FU128" s="88"/>
      <c r="FV128" s="88"/>
      <c r="FW128" s="88"/>
      <c r="FX128" s="88"/>
      <c r="FY128" s="88"/>
      <c r="FZ128" s="88"/>
      <c r="GA128" s="88"/>
      <c r="GB128" s="88"/>
      <c r="GC128" s="88"/>
      <c r="GD128" s="88"/>
      <c r="GE128" s="88"/>
      <c r="GF128" s="88"/>
      <c r="GG128" s="88"/>
      <c r="GH128" s="88"/>
      <c r="GI128" s="88"/>
      <c r="GJ128" s="88"/>
      <c r="GK128" s="88"/>
      <c r="GL128" s="88"/>
      <c r="GM128" s="88"/>
      <c r="GN128" s="88"/>
      <c r="GO128" s="88"/>
      <c r="GP128" s="88"/>
      <c r="GQ128" s="88"/>
      <c r="GR128" s="88"/>
      <c r="GS128" s="88"/>
      <c r="GT128" s="88"/>
      <c r="GU128" s="88"/>
      <c r="GV128" s="88"/>
      <c r="GW128" s="88"/>
      <c r="GX128" s="88"/>
      <c r="GY128" s="88"/>
      <c r="GZ128" s="88"/>
      <c r="HA128" s="88"/>
      <c r="HB128" s="88"/>
      <c r="HC128" s="88"/>
      <c r="HD128" s="88"/>
      <c r="HE128" s="88"/>
    </row>
    <row r="129" spans="1:213">
      <c r="A129" s="1" t="s">
        <v>346</v>
      </c>
      <c r="B129" s="450"/>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c r="EW129" s="88"/>
      <c r="EX129" s="88"/>
      <c r="EY129" s="88"/>
      <c r="EZ129" s="88"/>
      <c r="FA129" s="88"/>
      <c r="FB129" s="88"/>
      <c r="FC129" s="88"/>
      <c r="FD129" s="88"/>
      <c r="FE129" s="88"/>
      <c r="FF129" s="88"/>
      <c r="FG129" s="88"/>
      <c r="FH129" s="88"/>
      <c r="FI129" s="88"/>
      <c r="FJ129" s="88"/>
      <c r="FK129" s="88"/>
      <c r="FL129" s="88"/>
      <c r="FM129" s="88"/>
      <c r="FN129" s="88"/>
      <c r="FO129" s="88"/>
      <c r="FP129" s="88"/>
      <c r="FQ129" s="88"/>
      <c r="FR129" s="88"/>
      <c r="FS129" s="88"/>
      <c r="FT129" s="88"/>
      <c r="FU129" s="88"/>
      <c r="FV129" s="88"/>
      <c r="FW129" s="88"/>
      <c r="FX129" s="88"/>
      <c r="FY129" s="88"/>
      <c r="FZ129" s="88"/>
      <c r="GA129" s="88"/>
      <c r="GB129" s="88"/>
      <c r="GC129" s="88"/>
      <c r="GD129" s="88"/>
      <c r="GE129" s="88"/>
      <c r="GF129" s="88"/>
      <c r="GG129" s="88"/>
      <c r="GH129" s="88"/>
      <c r="GI129" s="88"/>
      <c r="GJ129" s="88"/>
      <c r="GK129" s="88"/>
      <c r="GL129" s="88"/>
      <c r="GM129" s="88"/>
      <c r="GN129" s="88"/>
      <c r="GO129" s="88"/>
      <c r="GP129" s="88"/>
      <c r="GQ129" s="88"/>
      <c r="GR129" s="88"/>
      <c r="GS129" s="88"/>
      <c r="GT129" s="88"/>
      <c r="GU129" s="88"/>
      <c r="GV129" s="88"/>
      <c r="GW129" s="88"/>
      <c r="GX129" s="88"/>
      <c r="GY129" s="88"/>
      <c r="GZ129" s="88"/>
      <c r="HA129" s="88"/>
      <c r="HB129" s="88"/>
      <c r="HC129" s="88"/>
      <c r="HD129" s="88"/>
      <c r="HE129" s="88"/>
    </row>
    <row r="130" spans="1:213">
      <c r="A130" s="1" t="s">
        <v>347</v>
      </c>
      <c r="B130" s="450"/>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c r="EW130" s="88"/>
      <c r="EX130" s="88"/>
      <c r="EY130" s="88"/>
      <c r="EZ130" s="88"/>
      <c r="FA130" s="88"/>
      <c r="FB130" s="88"/>
      <c r="FC130" s="88"/>
      <c r="FD130" s="88"/>
      <c r="FE130" s="88"/>
      <c r="FF130" s="88"/>
      <c r="FG130" s="88"/>
      <c r="FH130" s="88"/>
      <c r="FI130" s="88"/>
      <c r="FJ130" s="88"/>
      <c r="FK130" s="88"/>
      <c r="FL130" s="88"/>
      <c r="FM130" s="88"/>
      <c r="FN130" s="88"/>
      <c r="FO130" s="88"/>
      <c r="FP130" s="88"/>
      <c r="FQ130" s="88"/>
      <c r="FR130" s="88"/>
      <c r="FS130" s="88"/>
      <c r="FT130" s="88"/>
      <c r="FU130" s="88"/>
      <c r="FV130" s="88"/>
      <c r="FW130" s="88"/>
      <c r="FX130" s="88"/>
      <c r="FY130" s="88"/>
      <c r="FZ130" s="88"/>
      <c r="GA130" s="88"/>
      <c r="GB130" s="88"/>
      <c r="GC130" s="88"/>
      <c r="GD130" s="88"/>
      <c r="GE130" s="88"/>
      <c r="GF130" s="88"/>
      <c r="GG130" s="88"/>
      <c r="GH130" s="88"/>
      <c r="GI130" s="88"/>
      <c r="GJ130" s="88"/>
      <c r="GK130" s="88"/>
      <c r="GL130" s="88"/>
      <c r="GM130" s="88"/>
      <c r="GN130" s="88"/>
      <c r="GO130" s="88"/>
      <c r="GP130" s="88"/>
      <c r="GQ130" s="88"/>
      <c r="GR130" s="88"/>
      <c r="GS130" s="88"/>
      <c r="GT130" s="88"/>
      <c r="GU130" s="88"/>
      <c r="GV130" s="88"/>
      <c r="GW130" s="88"/>
      <c r="GX130" s="88"/>
      <c r="GY130" s="88"/>
      <c r="GZ130" s="88"/>
      <c r="HA130" s="88"/>
      <c r="HB130" s="88"/>
      <c r="HC130" s="88"/>
      <c r="HD130" s="88"/>
      <c r="HE130" s="88"/>
    </row>
    <row r="131" spans="1:213">
      <c r="A131" s="1" t="s">
        <v>348</v>
      </c>
      <c r="B131" s="450"/>
      <c r="C131" t="s">
        <v>349</v>
      </c>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c r="EW131" s="88"/>
      <c r="EX131" s="88"/>
      <c r="EY131" s="88"/>
      <c r="EZ131" s="88"/>
      <c r="FA131" s="88"/>
      <c r="FB131" s="88"/>
      <c r="FC131" s="88"/>
      <c r="FD131" s="88"/>
      <c r="FE131" s="88"/>
      <c r="FF131" s="88"/>
      <c r="FG131" s="88"/>
      <c r="FH131" s="88"/>
      <c r="FI131" s="88"/>
      <c r="FJ131" s="88"/>
      <c r="FK131" s="88"/>
      <c r="FL131" s="88"/>
      <c r="FM131" s="88"/>
      <c r="FN131" s="88"/>
      <c r="FO131" s="88"/>
      <c r="FP131" s="88"/>
      <c r="FQ131" s="88"/>
      <c r="FR131" s="88"/>
      <c r="FS131" s="88"/>
      <c r="FT131" s="88"/>
      <c r="FU131" s="88"/>
      <c r="FV131" s="88"/>
      <c r="FW131" s="88"/>
      <c r="FX131" s="88"/>
      <c r="FY131" s="88"/>
      <c r="FZ131" s="88"/>
      <c r="GA131" s="88"/>
      <c r="GB131" s="88"/>
      <c r="GC131" s="88"/>
      <c r="GD131" s="88"/>
      <c r="GE131" s="88"/>
      <c r="GF131" s="88"/>
      <c r="GG131" s="88"/>
      <c r="GH131" s="88"/>
      <c r="GI131" s="88"/>
      <c r="GJ131" s="88"/>
      <c r="GK131" s="88"/>
      <c r="GL131" s="88"/>
      <c r="GM131" s="88"/>
      <c r="GN131" s="88"/>
      <c r="GO131" s="88"/>
      <c r="GP131" s="88"/>
      <c r="GQ131" s="88"/>
      <c r="GR131" s="88"/>
      <c r="GS131" s="88"/>
      <c r="GT131" s="88"/>
      <c r="GU131" s="88"/>
      <c r="GV131" s="88"/>
      <c r="GW131" s="88"/>
      <c r="GX131" s="88"/>
      <c r="GY131" s="88"/>
      <c r="GZ131" s="88"/>
      <c r="HA131" s="88"/>
      <c r="HB131" s="88"/>
      <c r="HC131" s="88"/>
      <c r="HD131" s="88"/>
      <c r="HE131" s="88"/>
    </row>
    <row r="132" spans="1:213">
      <c r="A132" s="1" t="s">
        <v>350</v>
      </c>
      <c r="B132" s="450"/>
      <c r="C132" t="s">
        <v>351</v>
      </c>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8"/>
      <c r="FP132" s="88"/>
      <c r="FQ132" s="88"/>
      <c r="FR132" s="88"/>
      <c r="FS132" s="88"/>
      <c r="FT132" s="88"/>
      <c r="FU132" s="88"/>
      <c r="FV132" s="88"/>
      <c r="FW132" s="88"/>
      <c r="FX132" s="88"/>
      <c r="FY132" s="88"/>
      <c r="FZ132" s="88"/>
      <c r="GA132" s="88"/>
      <c r="GB132" s="88"/>
      <c r="GC132" s="88"/>
      <c r="GD132" s="88"/>
      <c r="GE132" s="88"/>
      <c r="GF132" s="88"/>
      <c r="GG132" s="88"/>
      <c r="GH132" s="88"/>
      <c r="GI132" s="88"/>
      <c r="GJ132" s="88"/>
      <c r="GK132" s="88"/>
      <c r="GL132" s="88"/>
      <c r="GM132" s="88"/>
      <c r="GN132" s="88"/>
      <c r="GO132" s="88"/>
      <c r="GP132" s="88"/>
      <c r="GQ132" s="88"/>
      <c r="GR132" s="88"/>
      <c r="GS132" s="88"/>
      <c r="GT132" s="88"/>
      <c r="GU132" s="88"/>
      <c r="GV132" s="88"/>
      <c r="GW132" s="88"/>
      <c r="GX132" s="88"/>
      <c r="GY132" s="88"/>
      <c r="GZ132" s="88"/>
      <c r="HA132" s="88"/>
      <c r="HB132" s="88"/>
      <c r="HC132" s="88"/>
      <c r="HD132" s="88"/>
      <c r="HE132" s="88"/>
    </row>
    <row r="133" spans="1:213">
      <c r="A133" s="3" t="s">
        <v>352</v>
      </c>
      <c r="B133" s="3"/>
      <c r="C133" s="3"/>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8"/>
      <c r="GD133" s="88"/>
      <c r="GE133" s="88"/>
      <c r="GF133" s="88"/>
      <c r="GG133" s="88"/>
      <c r="GH133" s="88"/>
      <c r="GI133" s="88"/>
      <c r="GJ133" s="88"/>
      <c r="GK133" s="88"/>
      <c r="GL133" s="88"/>
      <c r="GM133" s="88"/>
      <c r="GN133" s="88"/>
      <c r="GO133" s="88"/>
      <c r="GP133" s="88"/>
      <c r="GQ133" s="88"/>
      <c r="GR133" s="88"/>
      <c r="GS133" s="88"/>
      <c r="GT133" s="88"/>
      <c r="GU133" s="88"/>
      <c r="GV133" s="88"/>
      <c r="GW133" s="88"/>
      <c r="GX133" s="88"/>
      <c r="GY133" s="88"/>
      <c r="GZ133" s="88"/>
      <c r="HA133" s="88"/>
      <c r="HB133" s="88"/>
      <c r="HC133" s="88"/>
      <c r="HD133" s="88"/>
      <c r="HE133" s="88"/>
    </row>
    <row r="134" spans="1:213" ht="30">
      <c r="A134" s="510" t="s">
        <v>353</v>
      </c>
      <c r="B134" s="450"/>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c r="FW134" s="88"/>
      <c r="FX134" s="88"/>
      <c r="FY134" s="88"/>
      <c r="FZ134" s="88"/>
      <c r="GA134" s="88"/>
      <c r="GB134" s="88"/>
      <c r="GC134" s="88"/>
      <c r="GD134" s="88"/>
      <c r="GE134" s="88"/>
      <c r="GF134" s="88"/>
      <c r="GG134" s="88"/>
      <c r="GH134" s="88"/>
      <c r="GI134" s="88"/>
      <c r="GJ134" s="88"/>
      <c r="GK134" s="88"/>
      <c r="GL134" s="88"/>
      <c r="GM134" s="88"/>
      <c r="GN134" s="88"/>
      <c r="GO134" s="88"/>
      <c r="GP134" s="88"/>
      <c r="GQ134" s="88"/>
      <c r="GR134" s="88"/>
      <c r="GS134" s="88"/>
      <c r="GT134" s="88"/>
      <c r="GU134" s="88"/>
      <c r="GV134" s="88"/>
      <c r="GW134" s="88"/>
      <c r="GX134" s="88"/>
      <c r="GY134" s="88"/>
      <c r="GZ134" s="88"/>
      <c r="HA134" s="88"/>
      <c r="HB134" s="88"/>
      <c r="HC134" s="88"/>
      <c r="HD134" s="88"/>
      <c r="HE134" s="88"/>
    </row>
    <row r="135" spans="1:213">
      <c r="A135" s="1" t="s">
        <v>354</v>
      </c>
      <c r="B135" s="450"/>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c r="EW135" s="88"/>
      <c r="EX135" s="88"/>
      <c r="EY135" s="88"/>
      <c r="EZ135" s="88"/>
      <c r="FA135" s="88"/>
      <c r="FB135" s="88"/>
      <c r="FC135" s="88"/>
      <c r="FD135" s="88"/>
      <c r="FE135" s="88"/>
      <c r="FF135" s="88"/>
      <c r="FG135" s="88"/>
      <c r="FH135" s="88"/>
      <c r="FI135" s="88"/>
      <c r="FJ135" s="88"/>
      <c r="FK135" s="88"/>
      <c r="FL135" s="88"/>
      <c r="FM135" s="88"/>
      <c r="FN135" s="88"/>
      <c r="FO135" s="88"/>
      <c r="FP135" s="88"/>
      <c r="FQ135" s="88"/>
      <c r="FR135" s="88"/>
      <c r="FS135" s="88"/>
      <c r="FT135" s="88"/>
      <c r="FU135" s="88"/>
      <c r="FV135" s="88"/>
      <c r="FW135" s="88"/>
      <c r="FX135" s="88"/>
      <c r="FY135" s="88"/>
      <c r="FZ135" s="88"/>
      <c r="GA135" s="88"/>
      <c r="GB135" s="88"/>
      <c r="GC135" s="88"/>
      <c r="GD135" s="88"/>
      <c r="GE135" s="88"/>
      <c r="GF135" s="88"/>
      <c r="GG135" s="88"/>
      <c r="GH135" s="88"/>
      <c r="GI135" s="88"/>
      <c r="GJ135" s="88"/>
      <c r="GK135" s="88"/>
      <c r="GL135" s="88"/>
      <c r="GM135" s="88"/>
      <c r="GN135" s="88"/>
      <c r="GO135" s="88"/>
      <c r="GP135" s="88"/>
      <c r="GQ135" s="88"/>
      <c r="GR135" s="88"/>
      <c r="GS135" s="88"/>
      <c r="GT135" s="88"/>
      <c r="GU135" s="88"/>
      <c r="GV135" s="88"/>
      <c r="GW135" s="88"/>
      <c r="GX135" s="88"/>
      <c r="GY135" s="88"/>
      <c r="GZ135" s="88"/>
      <c r="HA135" s="88"/>
      <c r="HB135" s="88"/>
      <c r="HC135" s="88"/>
      <c r="HD135" s="88"/>
      <c r="HE135" s="88"/>
    </row>
    <row r="136" spans="1:213">
      <c r="A136" s="1" t="s">
        <v>355</v>
      </c>
      <c r="B136" s="450"/>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c r="EW136" s="88"/>
      <c r="EX136" s="88"/>
      <c r="EY136" s="88"/>
      <c r="EZ136" s="88"/>
      <c r="FA136" s="88"/>
      <c r="FB136" s="88"/>
      <c r="FC136" s="88"/>
      <c r="FD136" s="88"/>
      <c r="FE136" s="88"/>
      <c r="FF136" s="88"/>
      <c r="FG136" s="88"/>
      <c r="FH136" s="88"/>
      <c r="FI136" s="88"/>
      <c r="FJ136" s="88"/>
      <c r="FK136" s="88"/>
      <c r="FL136" s="88"/>
      <c r="FM136" s="88"/>
      <c r="FN136" s="88"/>
      <c r="FO136" s="88"/>
      <c r="FP136" s="88"/>
      <c r="FQ136" s="88"/>
      <c r="FR136" s="88"/>
      <c r="FS136" s="88"/>
      <c r="FT136" s="88"/>
      <c r="FU136" s="88"/>
      <c r="FV136" s="88"/>
      <c r="FW136" s="88"/>
      <c r="FX136" s="88"/>
      <c r="FY136" s="88"/>
      <c r="FZ136" s="88"/>
      <c r="GA136" s="88"/>
      <c r="GB136" s="88"/>
      <c r="GC136" s="88"/>
      <c r="GD136" s="88"/>
      <c r="GE136" s="88"/>
      <c r="GF136" s="88"/>
      <c r="GG136" s="88"/>
      <c r="GH136" s="88"/>
      <c r="GI136" s="88"/>
      <c r="GJ136" s="88"/>
      <c r="GK136" s="88"/>
      <c r="GL136" s="88"/>
      <c r="GM136" s="88"/>
      <c r="GN136" s="88"/>
      <c r="GO136" s="88"/>
      <c r="GP136" s="88"/>
      <c r="GQ136" s="88"/>
      <c r="GR136" s="88"/>
      <c r="GS136" s="88"/>
      <c r="GT136" s="88"/>
      <c r="GU136" s="88"/>
      <c r="GV136" s="88"/>
      <c r="GW136" s="88"/>
      <c r="GX136" s="88"/>
      <c r="GY136" s="88"/>
      <c r="GZ136" s="88"/>
      <c r="HA136" s="88"/>
      <c r="HB136" s="88"/>
      <c r="HC136" s="88"/>
      <c r="HD136" s="88"/>
      <c r="HE136" s="88"/>
    </row>
    <row r="137" spans="1:213">
      <c r="A137" s="1" t="s">
        <v>356</v>
      </c>
      <c r="B137" s="450"/>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c r="FN137" s="88"/>
      <c r="FO137" s="88"/>
      <c r="FP137" s="88"/>
      <c r="FQ137" s="88"/>
      <c r="FR137" s="88"/>
      <c r="FS137" s="88"/>
      <c r="FT137" s="88"/>
      <c r="FU137" s="88"/>
      <c r="FV137" s="88"/>
      <c r="FW137" s="88"/>
      <c r="FX137" s="88"/>
      <c r="FY137" s="88"/>
      <c r="FZ137" s="88"/>
      <c r="GA137" s="88"/>
      <c r="GB137" s="88"/>
      <c r="GC137" s="88"/>
      <c r="GD137" s="88"/>
      <c r="GE137" s="88"/>
      <c r="GF137" s="88"/>
      <c r="GG137" s="88"/>
      <c r="GH137" s="88"/>
      <c r="GI137" s="88"/>
      <c r="GJ137" s="88"/>
      <c r="GK137" s="88"/>
      <c r="GL137" s="88"/>
      <c r="GM137" s="88"/>
      <c r="GN137" s="88"/>
      <c r="GO137" s="88"/>
      <c r="GP137" s="88"/>
      <c r="GQ137" s="88"/>
      <c r="GR137" s="88"/>
      <c r="GS137" s="88"/>
      <c r="GT137" s="88"/>
      <c r="GU137" s="88"/>
      <c r="GV137" s="88"/>
      <c r="GW137" s="88"/>
      <c r="GX137" s="88"/>
      <c r="GY137" s="88"/>
      <c r="GZ137" s="88"/>
      <c r="HA137" s="88"/>
      <c r="HB137" s="88"/>
      <c r="HC137" s="88"/>
      <c r="HD137" s="88"/>
      <c r="HE137" s="88"/>
    </row>
    <row r="138" spans="1:213" ht="30">
      <c r="A138" s="510" t="s">
        <v>357</v>
      </c>
      <c r="B138" s="442"/>
      <c r="C13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c r="FD138" s="88"/>
      <c r="FE138" s="88"/>
      <c r="FF138" s="88"/>
      <c r="FG138" s="88"/>
      <c r="FH138" s="88"/>
      <c r="FI138" s="88"/>
      <c r="FJ138" s="88"/>
      <c r="FK138" s="88"/>
      <c r="FL138" s="88"/>
      <c r="FM138" s="88"/>
      <c r="FN138" s="88"/>
      <c r="FO138" s="88"/>
      <c r="FP138" s="88"/>
      <c r="FQ138" s="88"/>
      <c r="FR138" s="88"/>
      <c r="FS138" s="88"/>
      <c r="FT138" s="88"/>
      <c r="FU138" s="88"/>
      <c r="FV138" s="88"/>
      <c r="FW138" s="88"/>
      <c r="FX138" s="88"/>
      <c r="FY138" s="88"/>
      <c r="FZ138" s="88"/>
      <c r="GA138" s="88"/>
      <c r="GB138" s="88"/>
      <c r="GC138" s="88"/>
      <c r="GD138" s="88"/>
      <c r="GE138" s="88"/>
      <c r="GF138" s="88"/>
      <c r="GG138" s="88"/>
      <c r="GH138" s="88"/>
      <c r="GI138" s="88"/>
      <c r="GJ138" s="88"/>
      <c r="GK138" s="88"/>
      <c r="GL138" s="88"/>
      <c r="GM138" s="88"/>
      <c r="GN138" s="88"/>
      <c r="GO138" s="88"/>
      <c r="GP138" s="88"/>
      <c r="GQ138" s="88"/>
      <c r="GR138" s="88"/>
      <c r="GS138" s="88"/>
      <c r="GT138" s="88"/>
      <c r="GU138" s="88"/>
      <c r="GV138" s="88"/>
      <c r="GW138" s="88"/>
      <c r="GX138" s="88"/>
      <c r="GY138" s="88"/>
      <c r="GZ138" s="88"/>
      <c r="HA138" s="88"/>
      <c r="HB138" s="88"/>
      <c r="HC138" s="88"/>
      <c r="HD138" s="88"/>
      <c r="HE138" s="88"/>
    </row>
    <row r="139" spans="1:213">
      <c r="A139" s="1" t="s">
        <v>358</v>
      </c>
      <c r="B139" s="451"/>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88"/>
      <c r="ET139" s="88"/>
      <c r="EU139" s="88"/>
      <c r="EV139" s="88"/>
      <c r="EW139" s="88"/>
      <c r="EX139" s="88"/>
      <c r="EY139" s="88"/>
      <c r="EZ139" s="88"/>
      <c r="FA139" s="88"/>
      <c r="FB139" s="88"/>
      <c r="FC139" s="88"/>
      <c r="FD139" s="88"/>
      <c r="FE139" s="88"/>
      <c r="FF139" s="88"/>
      <c r="FG139" s="88"/>
      <c r="FH139" s="88"/>
      <c r="FI139" s="88"/>
      <c r="FJ139" s="88"/>
      <c r="FK139" s="88"/>
      <c r="FL139" s="88"/>
      <c r="FM139" s="88"/>
      <c r="FN139" s="88"/>
      <c r="FO139" s="88"/>
      <c r="FP139" s="88"/>
      <c r="FQ139" s="88"/>
      <c r="FR139" s="88"/>
      <c r="FS139" s="88"/>
      <c r="FT139" s="88"/>
      <c r="FU139" s="88"/>
      <c r="FV139" s="88"/>
      <c r="FW139" s="88"/>
      <c r="FX139" s="88"/>
      <c r="FY139" s="88"/>
      <c r="FZ139" s="88"/>
      <c r="GA139" s="88"/>
      <c r="GB139" s="88"/>
      <c r="GC139" s="88"/>
      <c r="GD139" s="88"/>
      <c r="GE139" s="88"/>
      <c r="GF139" s="88"/>
      <c r="GG139" s="88"/>
      <c r="GH139" s="88"/>
      <c r="GI139" s="88"/>
      <c r="GJ139" s="88"/>
      <c r="GK139" s="88"/>
      <c r="GL139" s="88"/>
      <c r="GM139" s="88"/>
      <c r="GN139" s="88"/>
      <c r="GO139" s="88"/>
      <c r="GP139" s="88"/>
      <c r="GQ139" s="88"/>
      <c r="GR139" s="88"/>
      <c r="GS139" s="88"/>
      <c r="GT139" s="88"/>
      <c r="GU139" s="88"/>
      <c r="GV139" s="88"/>
      <c r="GW139" s="88"/>
      <c r="GX139" s="88"/>
      <c r="GY139" s="88"/>
      <c r="GZ139" s="88"/>
      <c r="HA139" s="88"/>
      <c r="HB139" s="88"/>
      <c r="HC139" s="88"/>
      <c r="HD139" s="88"/>
      <c r="HE139" s="88"/>
    </row>
    <row r="140" spans="1:213">
      <c r="A140" s="3" t="s">
        <v>359</v>
      </c>
      <c r="B140" s="3"/>
      <c r="C140" s="3"/>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88"/>
      <c r="ED140" s="88"/>
      <c r="EE140" s="88"/>
      <c r="EF140" s="88"/>
      <c r="EG140" s="88"/>
      <c r="EH140" s="88"/>
      <c r="EI140" s="88"/>
      <c r="EJ140" s="88"/>
      <c r="EK140" s="8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88"/>
      <c r="FL140" s="88"/>
      <c r="FM140" s="88"/>
      <c r="FN140" s="88"/>
      <c r="FO140" s="88"/>
      <c r="FP140" s="88"/>
      <c r="FQ140" s="88"/>
      <c r="FR140" s="88"/>
      <c r="FS140" s="88"/>
      <c r="FT140" s="88"/>
      <c r="FU140" s="88"/>
      <c r="FV140" s="88"/>
      <c r="FW140" s="88"/>
      <c r="FX140" s="88"/>
      <c r="FY140" s="88"/>
      <c r="FZ140" s="88"/>
      <c r="GA140" s="88"/>
      <c r="GB140" s="88"/>
      <c r="GC140" s="88"/>
      <c r="GD140" s="88"/>
      <c r="GE140" s="88"/>
      <c r="GF140" s="88"/>
      <c r="GG140" s="88"/>
      <c r="GH140" s="88"/>
      <c r="GI140" s="88"/>
      <c r="GJ140" s="88"/>
      <c r="GK140" s="88"/>
      <c r="GL140" s="88"/>
      <c r="GM140" s="88"/>
      <c r="GN140" s="88"/>
      <c r="GO140" s="88"/>
      <c r="GP140" s="88"/>
      <c r="GQ140" s="88"/>
      <c r="GR140" s="88"/>
      <c r="GS140" s="88"/>
      <c r="GT140" s="88"/>
      <c r="GU140" s="88"/>
      <c r="GV140" s="88"/>
      <c r="GW140" s="88"/>
      <c r="GX140" s="88"/>
      <c r="GY140" s="88"/>
      <c r="GZ140" s="88"/>
      <c r="HA140" s="88"/>
      <c r="HB140" s="88"/>
      <c r="HC140" s="88"/>
      <c r="HD140" s="88"/>
      <c r="HE140" s="88"/>
    </row>
    <row r="141" spans="1:213" ht="30">
      <c r="A141" s="510" t="s">
        <v>360</v>
      </c>
      <c r="B141" s="450"/>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c r="DQ141" s="88"/>
      <c r="DR141" s="88"/>
      <c r="DS141" s="88"/>
      <c r="DT141" s="88"/>
      <c r="DU141" s="88"/>
      <c r="DV141" s="88"/>
      <c r="DW141" s="88"/>
      <c r="DX141" s="88"/>
      <c r="DY141" s="88"/>
      <c r="DZ141" s="88"/>
      <c r="EA141" s="88"/>
      <c r="EB141" s="88"/>
      <c r="EC141" s="88"/>
      <c r="ED141" s="88"/>
      <c r="EE141" s="88"/>
      <c r="EF141" s="88"/>
      <c r="EG141" s="88"/>
      <c r="EH141" s="88"/>
      <c r="EI141" s="88"/>
      <c r="EJ141" s="88"/>
      <c r="EK141" s="88"/>
      <c r="EL141" s="88"/>
      <c r="EM141" s="88"/>
      <c r="EN141" s="88"/>
      <c r="EO141" s="88"/>
      <c r="EP141" s="88"/>
      <c r="EQ141" s="88"/>
      <c r="ER141" s="88"/>
      <c r="ES141" s="88"/>
      <c r="ET141" s="88"/>
      <c r="EU141" s="88"/>
      <c r="EV141" s="88"/>
      <c r="EW141" s="88"/>
      <c r="EX141" s="88"/>
      <c r="EY141" s="88"/>
      <c r="EZ141" s="88"/>
      <c r="FA141" s="88"/>
      <c r="FB141" s="88"/>
      <c r="FC141" s="88"/>
      <c r="FD141" s="88"/>
      <c r="FE141" s="88"/>
      <c r="FF141" s="88"/>
      <c r="FG141" s="88"/>
      <c r="FH141" s="88"/>
      <c r="FI141" s="88"/>
      <c r="FJ141" s="88"/>
      <c r="FK141" s="88"/>
      <c r="FL141" s="88"/>
      <c r="FM141" s="88"/>
      <c r="FN141" s="88"/>
      <c r="FO141" s="88"/>
      <c r="FP141" s="88"/>
      <c r="FQ141" s="88"/>
      <c r="FR141" s="88"/>
      <c r="FS141" s="88"/>
      <c r="FT141" s="88"/>
      <c r="FU141" s="88"/>
      <c r="FV141" s="88"/>
      <c r="FW141" s="88"/>
      <c r="FX141" s="88"/>
      <c r="FY141" s="88"/>
      <c r="FZ141" s="88"/>
      <c r="GA141" s="88"/>
      <c r="GB141" s="88"/>
      <c r="GC141" s="88"/>
      <c r="GD141" s="88"/>
      <c r="GE141" s="88"/>
      <c r="GF141" s="88"/>
      <c r="GG141" s="88"/>
      <c r="GH141" s="88"/>
      <c r="GI141" s="88"/>
      <c r="GJ141" s="88"/>
      <c r="GK141" s="88"/>
      <c r="GL141" s="88"/>
      <c r="GM141" s="88"/>
      <c r="GN141" s="88"/>
      <c r="GO141" s="88"/>
      <c r="GP141" s="88"/>
      <c r="GQ141" s="88"/>
      <c r="GR141" s="88"/>
      <c r="GS141" s="88"/>
      <c r="GT141" s="88"/>
      <c r="GU141" s="88"/>
      <c r="GV141" s="88"/>
      <c r="GW141" s="88"/>
      <c r="GX141" s="88"/>
      <c r="GY141" s="88"/>
      <c r="GZ141" s="88"/>
      <c r="HA141" s="88"/>
      <c r="HB141" s="88"/>
      <c r="HC141" s="88"/>
      <c r="HD141" s="88"/>
      <c r="HE141" s="88"/>
    </row>
    <row r="142" spans="1:213">
      <c r="A142" s="510" t="s">
        <v>361</v>
      </c>
      <c r="B142" s="450"/>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8"/>
      <c r="DV142" s="88"/>
      <c r="DW142" s="88"/>
      <c r="DX142" s="88"/>
      <c r="DY142" s="88"/>
      <c r="DZ142" s="88"/>
      <c r="EA142" s="88"/>
      <c r="EB142" s="88"/>
      <c r="EC142" s="88"/>
      <c r="ED142" s="88"/>
      <c r="EE142" s="88"/>
      <c r="EF142" s="88"/>
      <c r="EG142" s="88"/>
      <c r="EH142" s="88"/>
      <c r="EI142" s="88"/>
      <c r="EJ142" s="88"/>
      <c r="EK142" s="88"/>
      <c r="EL142" s="88"/>
      <c r="EM142" s="88"/>
      <c r="EN142" s="88"/>
      <c r="EO142" s="88"/>
      <c r="EP142" s="88"/>
      <c r="EQ142" s="88"/>
      <c r="ER142" s="88"/>
      <c r="ES142" s="88"/>
      <c r="ET142" s="88"/>
      <c r="EU142" s="88"/>
      <c r="EV142" s="88"/>
      <c r="EW142" s="88"/>
      <c r="EX142" s="88"/>
      <c r="EY142" s="88"/>
      <c r="EZ142" s="88"/>
      <c r="FA142" s="88"/>
      <c r="FB142" s="88"/>
      <c r="FC142" s="88"/>
      <c r="FD142" s="88"/>
      <c r="FE142" s="88"/>
      <c r="FF142" s="88"/>
      <c r="FG142" s="88"/>
      <c r="FH142" s="88"/>
      <c r="FI142" s="88"/>
      <c r="FJ142" s="88"/>
      <c r="FK142" s="88"/>
      <c r="FL142" s="88"/>
      <c r="FM142" s="88"/>
      <c r="FN142" s="88"/>
      <c r="FO142" s="88"/>
      <c r="FP142" s="88"/>
      <c r="FQ142" s="88"/>
      <c r="FR142" s="88"/>
      <c r="FS142" s="88"/>
      <c r="FT142" s="88"/>
      <c r="FU142" s="88"/>
      <c r="FV142" s="88"/>
      <c r="FW142" s="88"/>
      <c r="FX142" s="88"/>
      <c r="FY142" s="88"/>
      <c r="FZ142" s="88"/>
      <c r="GA142" s="88"/>
      <c r="GB142" s="88"/>
      <c r="GC142" s="88"/>
      <c r="GD142" s="88"/>
      <c r="GE142" s="88"/>
      <c r="GF142" s="88"/>
      <c r="GG142" s="88"/>
      <c r="GH142" s="88"/>
      <c r="GI142" s="88"/>
      <c r="GJ142" s="88"/>
      <c r="GK142" s="88"/>
      <c r="GL142" s="88"/>
      <c r="GM142" s="88"/>
      <c r="GN142" s="88"/>
      <c r="GO142" s="88"/>
      <c r="GP142" s="88"/>
      <c r="GQ142" s="88"/>
      <c r="GR142" s="88"/>
      <c r="GS142" s="88"/>
      <c r="GT142" s="88"/>
      <c r="GU142" s="88"/>
      <c r="GV142" s="88"/>
      <c r="GW142" s="88"/>
      <c r="GX142" s="88"/>
      <c r="GY142" s="88"/>
      <c r="GZ142" s="88"/>
      <c r="HA142" s="88"/>
      <c r="HB142" s="88"/>
      <c r="HC142" s="88"/>
      <c r="HD142" s="88"/>
      <c r="HE142" s="88"/>
    </row>
    <row r="143" spans="1:213">
      <c r="A143" s="1" t="s">
        <v>362</v>
      </c>
      <c r="B143" s="450"/>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c r="GF143" s="88"/>
      <c r="GG143" s="88"/>
      <c r="GH143" s="88"/>
      <c r="GI143" s="88"/>
      <c r="GJ143" s="88"/>
      <c r="GK143" s="88"/>
      <c r="GL143" s="88"/>
      <c r="GM143" s="88"/>
      <c r="GN143" s="88"/>
      <c r="GO143" s="88"/>
      <c r="GP143" s="88"/>
      <c r="GQ143" s="88"/>
      <c r="GR143" s="88"/>
      <c r="GS143" s="88"/>
      <c r="GT143" s="88"/>
      <c r="GU143" s="88"/>
      <c r="GV143" s="88"/>
      <c r="GW143" s="88"/>
      <c r="GX143" s="88"/>
      <c r="GY143" s="88"/>
      <c r="GZ143" s="88"/>
      <c r="HA143" s="88"/>
      <c r="HB143" s="88"/>
      <c r="HC143" s="88"/>
      <c r="HD143" s="88"/>
      <c r="HE143" s="88"/>
    </row>
    <row r="144" spans="1:213">
      <c r="A144" s="1" t="s">
        <v>363</v>
      </c>
      <c r="B144" s="450"/>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c r="EW144" s="88"/>
      <c r="EX144" s="88"/>
      <c r="EY144" s="88"/>
      <c r="EZ144" s="88"/>
      <c r="FA144" s="88"/>
      <c r="FB144" s="88"/>
      <c r="FC144" s="88"/>
      <c r="FD144" s="88"/>
      <c r="FE144" s="88"/>
      <c r="FF144" s="88"/>
      <c r="FG144" s="88"/>
      <c r="FH144" s="88"/>
      <c r="FI144" s="88"/>
      <c r="FJ144" s="88"/>
      <c r="FK144" s="88"/>
      <c r="FL144" s="88"/>
      <c r="FM144" s="88"/>
      <c r="FN144" s="88"/>
      <c r="FO144" s="88"/>
      <c r="FP144" s="88"/>
      <c r="FQ144" s="88"/>
      <c r="FR144" s="88"/>
      <c r="FS144" s="88"/>
      <c r="FT144" s="88"/>
      <c r="FU144" s="88"/>
      <c r="FV144" s="88"/>
      <c r="FW144" s="88"/>
      <c r="FX144" s="88"/>
      <c r="FY144" s="88"/>
      <c r="FZ144" s="88"/>
      <c r="GA144" s="88"/>
      <c r="GB144" s="88"/>
      <c r="GC144" s="88"/>
      <c r="GD144" s="88"/>
      <c r="GE144" s="88"/>
      <c r="GF144" s="88"/>
      <c r="GG144" s="88"/>
      <c r="GH144" s="88"/>
      <c r="GI144" s="88"/>
      <c r="GJ144" s="88"/>
      <c r="GK144" s="88"/>
      <c r="GL144" s="88"/>
      <c r="GM144" s="88"/>
      <c r="GN144" s="88"/>
      <c r="GO144" s="88"/>
      <c r="GP144" s="88"/>
      <c r="GQ144" s="88"/>
      <c r="GR144" s="88"/>
      <c r="GS144" s="88"/>
      <c r="GT144" s="88"/>
      <c r="GU144" s="88"/>
      <c r="GV144" s="88"/>
      <c r="GW144" s="88"/>
      <c r="GX144" s="88"/>
      <c r="GY144" s="88"/>
      <c r="GZ144" s="88"/>
      <c r="HA144" s="88"/>
      <c r="HB144" s="88"/>
      <c r="HC144" s="88"/>
      <c r="HD144" s="88"/>
      <c r="HE144" s="88"/>
    </row>
    <row r="145" spans="1:213">
      <c r="A145" s="1" t="s">
        <v>364</v>
      </c>
      <c r="B145" s="450"/>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c r="DQ145" s="88"/>
      <c r="DR145" s="88"/>
      <c r="DS145" s="88"/>
      <c r="DT145" s="88"/>
      <c r="DU145" s="88"/>
      <c r="DV145" s="88"/>
      <c r="DW145" s="88"/>
      <c r="DX145" s="88"/>
      <c r="DY145" s="88"/>
      <c r="DZ145" s="88"/>
      <c r="EA145" s="88"/>
      <c r="EB145" s="88"/>
      <c r="EC145" s="88"/>
      <c r="ED145" s="88"/>
      <c r="EE145" s="88"/>
      <c r="EF145" s="88"/>
      <c r="EG145" s="88"/>
      <c r="EH145" s="88"/>
      <c r="EI145" s="88"/>
      <c r="EJ145" s="88"/>
      <c r="EK145" s="88"/>
      <c r="EL145" s="88"/>
      <c r="EM145" s="88"/>
      <c r="EN145" s="88"/>
      <c r="EO145" s="88"/>
      <c r="EP145" s="88"/>
      <c r="EQ145" s="88"/>
      <c r="ER145" s="88"/>
      <c r="ES145" s="88"/>
      <c r="ET145" s="88"/>
      <c r="EU145" s="88"/>
      <c r="EV145" s="88"/>
      <c r="EW145" s="88"/>
      <c r="EX145" s="88"/>
      <c r="EY145" s="88"/>
      <c r="EZ145" s="88"/>
      <c r="FA145" s="88"/>
      <c r="FB145" s="88"/>
      <c r="FC145" s="88"/>
      <c r="FD145" s="88"/>
      <c r="FE145" s="88"/>
      <c r="FF145" s="88"/>
      <c r="FG145" s="88"/>
      <c r="FH145" s="88"/>
      <c r="FI145" s="88"/>
      <c r="FJ145" s="88"/>
      <c r="FK145" s="88"/>
      <c r="FL145" s="88"/>
      <c r="FM145" s="88"/>
      <c r="FN145" s="88"/>
      <c r="FO145" s="88"/>
      <c r="FP145" s="88"/>
      <c r="FQ145" s="88"/>
      <c r="FR145" s="88"/>
      <c r="FS145" s="88"/>
      <c r="FT145" s="88"/>
      <c r="FU145" s="88"/>
      <c r="FV145" s="88"/>
      <c r="FW145" s="88"/>
      <c r="FX145" s="88"/>
      <c r="FY145" s="88"/>
      <c r="FZ145" s="88"/>
      <c r="GA145" s="88"/>
      <c r="GB145" s="88"/>
      <c r="GC145" s="88"/>
      <c r="GD145" s="88"/>
      <c r="GE145" s="88"/>
      <c r="GF145" s="88"/>
      <c r="GG145" s="88"/>
      <c r="GH145" s="88"/>
      <c r="GI145" s="88"/>
      <c r="GJ145" s="88"/>
      <c r="GK145" s="88"/>
      <c r="GL145" s="88"/>
      <c r="GM145" s="88"/>
      <c r="GN145" s="88"/>
      <c r="GO145" s="88"/>
      <c r="GP145" s="88"/>
      <c r="GQ145" s="88"/>
      <c r="GR145" s="88"/>
      <c r="GS145" s="88"/>
      <c r="GT145" s="88"/>
      <c r="GU145" s="88"/>
      <c r="GV145" s="88"/>
      <c r="GW145" s="88"/>
      <c r="GX145" s="88"/>
      <c r="GY145" s="88"/>
      <c r="GZ145" s="88"/>
      <c r="HA145" s="88"/>
      <c r="HB145" s="88"/>
      <c r="HC145" s="88"/>
      <c r="HD145" s="88"/>
      <c r="HE145" s="88"/>
    </row>
  </sheetData>
  <sheetProtection algorithmName="SHA-512" hashValue="XWbCK1m/fizJlTn5n34MLdcK8CPtOXFdW69l1edeRl9hlXpuxrEDXdELP40t0Y0extZUslIQXrkG7IaBGo8IxQ==" saltValue="4yMacQbQOGuB7Vr1eL8KMw==" spinCount="100000" sheet="1" objects="1" scenarios="1"/>
  <mergeCells count="1">
    <mergeCell ref="C21:C22"/>
  </mergeCells>
  <dataValidations count="34">
    <dataValidation type="decimal" allowBlank="1" showInputMessage="1" showErrorMessage="1" errorTitle="Applicable Percentage Rate" error="Value entered for Applicable Percentage Rate must be between 0 and 4%" sqref="B20:B22" xr:uid="{00000000-0002-0000-0300-000000000000}">
      <formula1>0</formula1>
      <formula2>0.09</formula2>
    </dataValidation>
    <dataValidation type="list" allowBlank="1" showInputMessage="1" showErrorMessage="1" errorTitle="Type of Tax Credit" error="Please select a valid value for Type of Tax Credit." sqref="B10" xr:uid="{00000000-0002-0000-0300-000006000000}">
      <formula1>Tax_Credit_Type_List</formula1>
    </dataValidation>
    <dataValidation type="list" allowBlank="1" showInputMessage="1" showErrorMessage="1" errorTitle="Project Type" error="Please select a valid value for Project Type." sqref="B13" xr:uid="{00000000-0002-0000-0300-000007000000}">
      <formula1>Project_Type_List</formula1>
    </dataValidation>
    <dataValidation type="list" allowBlank="1" showInputMessage="1" showErrorMessage="1" errorTitle="Site Control" error="Please select a valid value for Site Control." sqref="B38" xr:uid="{00000000-0002-0000-0300-000008000000}">
      <formula1>Site_Control_List</formula1>
    </dataValidation>
    <dataValidation type="list" allowBlank="1" showInputMessage="1" showErrorMessage="1" errorTitle="Type of Units/Housing" error="Please select a valid value for Type of Units/Housing." sqref="B66" xr:uid="{00000000-0002-0000-0300-000009000000}">
      <formula1>Type_of_Units_Housing_List</formula1>
    </dataValidation>
    <dataValidation type="list" allowBlank="1" showInputMessage="1" showErrorMessage="1" errorTitle="Building Construction" error="Please select a valid value for Building Construction." sqref="B61" xr:uid="{00000000-0002-0000-0300-00000A000000}">
      <formula1>Building_Construction_List</formula1>
    </dataValidation>
    <dataValidation type="list" allowBlank="1" showInputMessage="1" showErrorMessage="1" errorTitle="Building Type" error="Please select a valid value for Building Type." sqref="B62" xr:uid="{00000000-0002-0000-0300-00000B000000}">
      <formula1>Building_Type_List</formula1>
    </dataValidation>
    <dataValidation type="list" allowBlank="1" showInputMessage="1" showErrorMessage="1" errorTitle="Locking Aplicable Percentage" error="Please select a valid value for Locking Aplicable Percentage." sqref="B15" xr:uid="{00000000-0002-0000-0300-00000C000000}">
      <formula1>Yes_No_NA_List</formula1>
    </dataValidation>
    <dataValidation type="list" allowBlank="1" showInputMessage="1" showErrorMessage="1" errorTitle="Site Properly Zoned" error="Please select a valid value for Site Properly Zoned." sqref="B42" xr:uid="{00000000-0002-0000-0300-00000D000000}">
      <formula1>Yes_No_List</formula1>
    </dataValidation>
    <dataValidation type="list" allowBlank="1" showInputMessage="1" showErrorMessage="1" errorTitle="Supplemental Credit" error="Please select a valid value for Is Supplemental Credit being requested?_x000a_" sqref="B7" xr:uid="{00000000-0002-0000-0300-00001A000000}">
      <formula1>Yes_No_NA_List</formula1>
    </dataValidation>
    <dataValidation type="list" allowBlank="1" showInputMessage="1" showErrorMessage="1" errorTitle="CHFA DDA Basis Boost" error="Please select a valid value for Did Project receive a CHFA DDA Basis Boost." sqref="B8" xr:uid="{00000000-0002-0000-0300-00001B000000}">
      <formula1>Yes_No_NA_List</formula1>
    </dataValidation>
    <dataValidation type="list" allowBlank="1" showInputMessage="1" showErrorMessage="1" errorTitle="Lock-in gross rent floor" error="Please select a valid value for Lock-in gross rent floor?_x000a_" sqref="B24" xr:uid="{00000000-0002-0000-0300-00001C000000}">
      <formula1>Yes_No_NA_List</formula1>
    </dataValidation>
    <dataValidation type="custom" allowBlank="1" showInputMessage="1" showErrorMessage="1" errorTitle="Federal Equity Factor" error="Please enter a number for Federal Equity Factor and ensure that the number does not exceed 4 deimals." sqref="B16" xr:uid="{00000000-0002-0000-0300-00001D000000}">
      <formula1>INT(10000*B16) = (10000*B16)</formula1>
    </dataValidation>
    <dataValidation type="custom" allowBlank="1" showInputMessage="1" showErrorMessage="1" errorTitle="State Equity Factor" error="Please enter a number for State Equity Factor and ensure that the number does not exceed 4 deimals." sqref="B19" xr:uid="{00000000-0002-0000-0300-00001E000000}">
      <formula1>MOD(10000*B19,1)= 0</formula1>
    </dataValidation>
    <dataValidation type="whole" allowBlank="1" showInputMessage="1" showErrorMessage="1" errorTitle="Reservation Year" error="Please enter a valid reservation year." sqref="B5" xr:uid="{00000000-0002-0000-0300-000022000000}">
      <formula1>2010</formula1>
      <formula2>2030</formula2>
    </dataValidation>
    <dataValidation type="whole" allowBlank="1" showInputMessage="1" showErrorMessage="1" errorTitle="State Senate District" error="Please enter a valid value for State Senate District (whole number)" sqref="B35" xr:uid="{00000000-0002-0000-0300-000023000000}">
      <formula1>0</formula1>
      <formula2>100</formula2>
    </dataValidation>
    <dataValidation type="whole" allowBlank="1" showInputMessage="1" showErrorMessage="1" errorTitle="State House District" error="Please enter a valid value for State House Districtt (whole number)" sqref="B36" xr:uid="{00000000-0002-0000-0300-000024000000}">
      <formula1>0</formula1>
      <formula2>100</formula2>
    </dataValidation>
    <dataValidation type="whole" allowBlank="1" showInputMessage="1" showErrorMessage="1" errorTitle="Congressional District" error="Please enter a valid value for Congressional District (whole number)" sqref="B37" xr:uid="{00000000-0002-0000-0300-000025000000}">
      <formula1>0</formula1>
      <formula2>10</formula2>
    </dataValidation>
    <dataValidation type="custom" allowBlank="1" showInputMessage="1" showErrorMessage="1" errorTitle="State Equity Factor" error="Please enter a number for State Equity Factor and ensure that the number does not exceed 4 deimals." sqref="B17:B18" xr:uid="{00000000-0002-0000-0300-000026000000}">
      <formula1>INT(10000*B17) = (10000*B17)</formula1>
    </dataValidation>
    <dataValidation type="whole" allowBlank="1" showInputMessage="1" showErrorMessage="1" sqref="B59:B60" xr:uid="{00000000-0002-0000-0300-000027000000}">
      <formula1>0</formula1>
      <formula2>50</formula2>
    </dataValidation>
    <dataValidation type="date" allowBlank="1" showInputMessage="1" showErrorMessage="1" sqref="B26" xr:uid="{00000000-0002-0000-0300-000028000000}">
      <formula1>32874</formula1>
      <formula2>47484</formula2>
    </dataValidation>
    <dataValidation type="list" allowBlank="1" showInputMessage="1" showErrorMessage="1" errorTitle="Type of Heating In-Unit" error="Please select a valid value for Type of Heating In-Unit" sqref="B46" xr:uid="{00000000-0002-0000-0300-000029000000}">
      <formula1>Type_of_Heating_List</formula1>
    </dataValidation>
    <dataValidation type="whole" allowBlank="1" showInputMessage="1" showErrorMessage="1" sqref="B76:B79 B83 B85 B87 B89 B91" xr:uid="{4475B323-617B-4756-B964-957616185E11}">
      <formula1>0</formula1>
      <formula2>111111111111111</formula2>
    </dataValidation>
    <dataValidation type="whole" allowBlank="1" showInputMessage="1" showErrorMessage="1" sqref="B32" xr:uid="{72402B3E-5393-4193-BA8A-6652ABD5B3F6}">
      <formula1>0</formula1>
      <formula2>1111111</formula2>
    </dataValidation>
    <dataValidation type="date" allowBlank="1" showInputMessage="1" showErrorMessage="1" sqref="B121:B123 B134:B138 B141:B145 B125:B131" xr:uid="{B5527987-EC13-4E01-BDC4-1059FD3081E9}">
      <formula1>36161</formula1>
      <formula2>47484</formula2>
    </dataValidation>
    <dataValidation type="whole" allowBlank="1" showInputMessage="1" showErrorMessage="1" sqref="B139" xr:uid="{6BB0F7D2-147E-4A24-9C37-661ACAB4DE70}">
      <formula1>1</formula1>
      <formula2>48</formula2>
    </dataValidation>
    <dataValidation type="whole" allowBlank="1" showInputMessage="1" showErrorMessage="1" sqref="B99 B104" xr:uid="{E9523A0E-E3CA-4FBF-BE1A-92B6CDDBF970}">
      <formula1>0</formula1>
      <formula2>5000</formula2>
    </dataValidation>
    <dataValidation type="whole" allowBlank="1" showInputMessage="1" showErrorMessage="1" sqref="B64:B65" xr:uid="{FAE21AB3-2323-461B-9EDE-4B786614A378}">
      <formula1>0</formula1>
      <formula2>90000000</formula2>
    </dataValidation>
    <dataValidation type="list" allowBlank="1" showInputMessage="1" showErrorMessage="1" errorTitle="Related Party" error="Please select a valid value for Related Party._x000a_" sqref="B40" xr:uid="{CD9E5C2C-381F-44D2-B8FA-82F731255C6B}">
      <formula1>Yes_No_List</formula1>
    </dataValidation>
    <dataValidation type="list" allowBlank="1" showInputMessage="1" showErrorMessage="1" errorTitle="Zoning meets parking ratio req?" error="Zoning meets parking ratio req?" sqref="B43" xr:uid="{1E078509-75DF-4327-B3D4-9E26AE334013}">
      <formula1>Yes_No_List</formula1>
    </dataValidation>
    <dataValidation type="list" allowBlank="1" showInputMessage="1" showErrorMessage="1" errorTitle="Utilites avaiable " error="Please select a valid value for Utilites Avaiable. " sqref="B45" xr:uid="{6DF88094-9B5D-4407-9A25-75970CD7E5B5}">
      <formula1>Yes_No_List</formula1>
    </dataValidation>
    <dataValidation type="list" allowBlank="1" showInputMessage="1" showErrorMessage="1" errorTitle="Type of Cooling" error="Please select a valid value for Type of Cooling." sqref="B53:B54" xr:uid="{AB58CDB7-4124-4FF6-8700-4932707A4E56}">
      <formula1>Yes_No_List</formula1>
    </dataValidation>
    <dataValidation type="date" showInputMessage="1" showErrorMessage="1" sqref="B132" xr:uid="{D4818FBC-ECCC-4D98-84CC-02C0C95C3065}">
      <formula1>36161</formula1>
      <formula2>47484</formula2>
    </dataValidation>
    <dataValidation type="whole" allowBlank="1" showInputMessage="1" showErrorMessage="1" sqref="B116:B117 B109:B114" xr:uid="{86974C92-94CB-4C40-BF3C-BE1E6C9647E4}">
      <formula1>0</formula1>
      <formula2>500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6">
        <x14:dataValidation type="list" allowBlank="1" showInputMessage="1" showErrorMessage="1" errorTitle="Type of Ventalation System" error="Please select a valid value for Type of Ventalation System" xr:uid="{00000000-0002-0000-0300-00002A000000}">
          <x14:formula1>
            <xm:f>Lookup!$I$45:$I$49</xm:f>
          </x14:formula1>
          <xm:sqref>B52</xm:sqref>
        </x14:dataValidation>
        <x14:dataValidation type="list" allowBlank="1" showInputMessage="1" showErrorMessage="1" errorTitle="County" error="Please select a valid value for County." xr:uid="{00000000-0002-0000-0300-00002B000000}">
          <x14:formula1>
            <xm:f>Admin!$A$119:$A$182</xm:f>
          </x14:formula1>
          <xm:sqref>B33</xm:sqref>
        </x14:dataValidation>
        <x14:dataValidation type="list" allowBlank="1" showInputMessage="1" showErrorMessage="1" errorTitle="CHFA DDA Basis Boost" error="Please select a valid value for Did Project receive a CHFA DDA Basis Boost." xr:uid="{00000000-0002-0000-0300-00002C000000}">
          <x14:formula1>
            <xm:f>Lookup!$A$126:$A$127</xm:f>
          </x14:formula1>
          <xm:sqref>B9</xm:sqref>
        </x14:dataValidation>
        <x14:dataValidation type="list" allowBlank="1" showInputMessage="1" showErrorMessage="1" errorTitle="Energy Efficiency Program " error="Please select a valid value for Energy Efficiency Program." xr:uid="{00000000-0002-0000-0300-00002E000000}">
          <x14:formula1>
            <xm:f>Lookup!$G$45:$G$59</xm:f>
          </x14:formula1>
          <xm:sqref>B56</xm:sqref>
        </x14:dataValidation>
        <x14:dataValidation type="list" allowBlank="1" showInputMessage="1" showErrorMessage="1" errorTitle="Project Type" error="Please select a valid value for Project Type." xr:uid="{00000000-0002-0000-0300-00002F000000}">
          <x14:formula1>
            <xm:f>Lookup!$A$4:$A$5</xm:f>
          </x14:formula1>
          <xm:sqref>B14 B12</xm:sqref>
        </x14:dataValidation>
        <x14:dataValidation type="list" allowBlank="1" showInputMessage="1" showErrorMessage="1" xr:uid="{115E908D-0B13-45EC-B5E7-528B064EAD68}">
          <x14:formula1>
            <xm:f>Lookup!$A$4:$A$5</xm:f>
          </x14:formula1>
          <xm:sqref>B86 B88 B68:B74 B82 B84 B107 B100:B102 B90 B92:B98</xm:sqref>
        </x14:dataValidation>
        <x14:dataValidation type="list" allowBlank="1" showInputMessage="1" showErrorMessage="1" errorTitle="Radon Mitigation" error="Please select a valid value for Radon Mitigation. " xr:uid="{A646E240-4DB9-41F0-ACD5-FB3A837BC681}">
          <x14:formula1>
            <xm:f>Lookup!$E$11:$E$13</xm:f>
          </x14:formula1>
          <xm:sqref>B57</xm:sqref>
        </x14:dataValidation>
        <x14:dataValidation type="list" allowBlank="1" showInputMessage="1" showErrorMessage="1" errorTitle="Green Systems" error="Please select a valid value for Green Systems." xr:uid="{00000000-0002-0000-0300-00002D000000}">
          <x14:formula1>
            <xm:f>Lookup!$E$52:$E$57</xm:f>
          </x14:formula1>
          <xm:sqref>B55</xm:sqref>
        </x14:dataValidation>
        <x14:dataValidation type="list" allowBlank="1" showInputMessage="1" showErrorMessage="1" errorTitle="Water-Wise Landscaping" error="Please select a valid value for Water-Wise Landscaping" xr:uid="{6B04F9C0-D3BC-44CB-8FD6-020018C77F2C}">
          <x14:formula1>
            <xm:f>Lookup!$C$4:$C$6</xm:f>
          </x14:formula1>
          <xm:sqref>B58</xm:sqref>
        </x14:dataValidation>
        <x14:dataValidation type="list" allowBlank="1" showInputMessage="1" showErrorMessage="1" errorTitle="Type of Heating Common Area" error="Please select a valid value for Type of Heating Common Area" xr:uid="{04887282-86DB-448E-A401-48297B84BEAC}">
          <x14:formula1>
            <xm:f>Lookup!$B$52:$B$58</xm:f>
          </x14:formula1>
          <xm:sqref>B47</xm:sqref>
        </x14:dataValidation>
        <x14:dataValidation type="list" allowBlank="1" showInputMessage="1" showErrorMessage="1" errorTitle="Type of Cooling In-Unit" error="Please select a valid value for Type of Cooling In-Unit" xr:uid="{8D1EC081-25CA-4A12-ADBF-04BE653F17E6}">
          <x14:formula1>
            <xm:f>Lookup!$C$52:$C$54</xm:f>
          </x14:formula1>
          <xm:sqref>B48</xm:sqref>
        </x14:dataValidation>
        <x14:dataValidation type="list" allowBlank="1" showInputMessage="1" showErrorMessage="1" errorTitle="Type of HVAC System In-Unit" error="Please select a valid value for Type of HVAC System In-Unit" xr:uid="{988893E8-876D-483E-91AC-87FC25969456}">
          <x14:formula1>
            <xm:f>Lookup!$F$52:$F$57</xm:f>
          </x14:formula1>
          <xm:sqref>B50</xm:sqref>
        </x14:dataValidation>
        <x14:dataValidation type="list" allowBlank="1" showInputMessage="1" showErrorMessage="1" errorTitle="Type of Hot Water Heating " error="Please select a valid value for Type of Hot Water Heating " xr:uid="{94A4DDC1-65FA-4D00-951E-ED536737D6FA}">
          <x14:formula1>
            <xm:f>Lookup!$H$45:$H$47</xm:f>
          </x14:formula1>
          <xm:sqref>B51</xm:sqref>
        </x14:dataValidation>
        <x14:dataValidation type="list" allowBlank="1" showInputMessage="1" showErrorMessage="1" errorTitle="Type of Cooling Common Area" error="Please select a valid value for Type of Cooling Common Area" xr:uid="{54251FF4-17B3-4392-984F-2246191DB54E}">
          <x14:formula1>
            <xm:f>Lookup!$D$52:$D$54</xm:f>
          </x14:formula1>
          <xm:sqref>B49</xm:sqref>
        </x14:dataValidation>
        <x14:dataValidation type="list" allowBlank="1" showInputMessage="1" showErrorMessage="1" errorTitle="Application Stage" error="Please select a valid value for Application Stage." xr:uid="{00000000-0002-0000-0300-000005000000}">
          <x14:formula1>
            <xm:f>Lookup!$A$31:$A$34</xm:f>
          </x14:formula1>
          <xm:sqref>B6</xm:sqref>
        </x14:dataValidation>
        <x14:dataValidation type="date" allowBlank="1" showInputMessage="1" showErrorMessage="1" errorTitle="Application Date" error="Please enter a valid application date." xr:uid="{00000000-0002-0000-0300-000030000000}">
          <x14:formula1>
            <xm:f>Admin!B2</xm:f>
          </x14:formula1>
          <x14:formula2>
            <xm:f>Admin!B3</xm:f>
          </x14:formula2>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92D050"/>
  </sheetPr>
  <dimension ref="A1:F76"/>
  <sheetViews>
    <sheetView showGridLines="0" workbookViewId="0"/>
  </sheetViews>
  <sheetFormatPr defaultRowHeight="15"/>
  <cols>
    <col min="1" max="1" width="23.140625" customWidth="1"/>
    <col min="2" max="2" width="20" customWidth="1"/>
    <col min="3" max="3" width="16.5703125" customWidth="1"/>
    <col min="4" max="4" width="14" customWidth="1"/>
    <col min="5" max="5" width="19" bestFit="1" customWidth="1"/>
    <col min="6" max="6" width="38.5703125" customWidth="1"/>
  </cols>
  <sheetData>
    <row r="1" spans="1:6" ht="21">
      <c r="A1" s="4" t="s">
        <v>19</v>
      </c>
      <c r="B1" s="4"/>
      <c r="C1" s="4"/>
      <c r="D1" s="4"/>
      <c r="E1" s="4"/>
    </row>
    <row r="3" spans="1:6">
      <c r="A3" s="1" t="s">
        <v>100</v>
      </c>
      <c r="B3" s="285"/>
    </row>
    <row r="4" spans="1:6">
      <c r="A4" s="1" t="s">
        <v>101</v>
      </c>
      <c r="B4" s="287"/>
    </row>
    <row r="5" spans="1:6">
      <c r="A5" s="1"/>
    </row>
    <row r="6" spans="1:6">
      <c r="A6" s="3" t="s">
        <v>102</v>
      </c>
      <c r="B6" s="3"/>
      <c r="C6" s="3"/>
      <c r="D6" s="3"/>
      <c r="E6" s="3"/>
    </row>
    <row r="7" spans="1:6">
      <c r="A7" s="1" t="s">
        <v>103</v>
      </c>
      <c r="B7" s="286">
        <v>0</v>
      </c>
    </row>
    <row r="8" spans="1:6">
      <c r="A8" s="1" t="s">
        <v>104</v>
      </c>
      <c r="B8" s="286">
        <v>0</v>
      </c>
    </row>
    <row r="9" spans="1:6">
      <c r="A9" s="1" t="s">
        <v>105</v>
      </c>
      <c r="B9" s="286">
        <v>0</v>
      </c>
    </row>
    <row r="10" spans="1:6">
      <c r="A10" s="1" t="s">
        <v>106</v>
      </c>
      <c r="B10" s="286">
        <v>0</v>
      </c>
    </row>
    <row r="11" spans="1:6">
      <c r="A11" s="1" t="s">
        <v>107</v>
      </c>
      <c r="B11" s="286">
        <v>0</v>
      </c>
    </row>
    <row r="12" spans="1:6">
      <c r="A12" s="1" t="s">
        <v>108</v>
      </c>
      <c r="B12" s="286">
        <v>0</v>
      </c>
    </row>
    <row r="14" spans="1:6" ht="39.75" customHeight="1">
      <c r="A14" s="901" t="s">
        <v>109</v>
      </c>
      <c r="B14" s="902"/>
      <c r="C14" s="902"/>
      <c r="D14" s="902"/>
      <c r="E14" s="903"/>
    </row>
    <row r="16" spans="1:6">
      <c r="A16" s="3" t="s">
        <v>110</v>
      </c>
      <c r="B16" s="3" t="s">
        <v>111</v>
      </c>
      <c r="C16" s="3" t="s">
        <v>112</v>
      </c>
      <c r="D16" s="3" t="s">
        <v>113</v>
      </c>
      <c r="E16" s="3" t="s">
        <v>114</v>
      </c>
      <c r="F16" s="305" t="s">
        <v>115</v>
      </c>
    </row>
    <row r="17" spans="1:5">
      <c r="A17" s="890"/>
      <c r="B17" s="287"/>
      <c r="C17" s="288"/>
      <c r="D17" s="288"/>
      <c r="E17" s="290"/>
    </row>
    <row r="18" spans="1:5">
      <c r="A18" s="890"/>
      <c r="B18" s="287"/>
      <c r="C18" s="288"/>
      <c r="D18" s="288"/>
      <c r="E18" s="290"/>
    </row>
    <row r="19" spans="1:5">
      <c r="A19" s="890"/>
      <c r="B19" s="287"/>
      <c r="C19" s="288"/>
      <c r="D19" s="288"/>
      <c r="E19" s="290"/>
    </row>
    <row r="20" spans="1:5">
      <c r="A20" s="890"/>
      <c r="B20" s="287"/>
      <c r="C20" s="288"/>
      <c r="D20" s="288"/>
      <c r="E20" s="290"/>
    </row>
    <row r="21" spans="1:5">
      <c r="A21" s="890"/>
      <c r="B21" s="287"/>
      <c r="C21" s="288"/>
      <c r="D21" s="288"/>
      <c r="E21" s="290"/>
    </row>
    <row r="22" spans="1:5">
      <c r="A22" s="890"/>
      <c r="B22" s="287"/>
      <c r="C22" s="288"/>
      <c r="D22" s="288"/>
      <c r="E22" s="290"/>
    </row>
    <row r="23" spans="1:5">
      <c r="A23" s="890"/>
      <c r="B23" s="287"/>
      <c r="C23" s="288"/>
      <c r="D23" s="288"/>
      <c r="E23" s="290"/>
    </row>
    <row r="24" spans="1:5">
      <c r="A24" s="890"/>
      <c r="B24" s="287"/>
      <c r="C24" s="288"/>
      <c r="D24" s="288"/>
      <c r="E24" s="290"/>
    </row>
    <row r="25" spans="1:5">
      <c r="A25" s="890"/>
      <c r="B25" s="287"/>
      <c r="C25" s="288"/>
      <c r="D25" s="288"/>
      <c r="E25" s="290"/>
    </row>
    <row r="26" spans="1:5">
      <c r="A26" s="890"/>
      <c r="B26" s="287"/>
      <c r="C26" s="288"/>
      <c r="D26" s="288"/>
      <c r="E26" s="290"/>
    </row>
    <row r="27" spans="1:5">
      <c r="A27" s="890"/>
      <c r="B27" s="287"/>
      <c r="C27" s="288"/>
      <c r="D27" s="288"/>
      <c r="E27" s="290"/>
    </row>
    <row r="28" spans="1:5">
      <c r="A28" s="890"/>
      <c r="B28" s="287"/>
      <c r="C28" s="288"/>
      <c r="D28" s="288"/>
      <c r="E28" s="290"/>
    </row>
    <row r="29" spans="1:5">
      <c r="A29" s="890"/>
      <c r="B29" s="287"/>
      <c r="C29" s="288"/>
      <c r="D29" s="288"/>
      <c r="E29" s="290"/>
    </row>
    <row r="30" spans="1:5">
      <c r="A30" s="890"/>
      <c r="B30" s="287"/>
      <c r="C30" s="288"/>
      <c r="D30" s="288"/>
      <c r="E30" s="290"/>
    </row>
    <row r="31" spans="1:5">
      <c r="A31" s="890"/>
      <c r="B31" s="287"/>
      <c r="C31" s="288"/>
      <c r="D31" s="288"/>
      <c r="E31" s="290"/>
    </row>
    <row r="32" spans="1:5">
      <c r="A32" s="890"/>
      <c r="B32" s="287"/>
      <c r="C32" s="288"/>
      <c r="D32" s="288"/>
      <c r="E32" s="290"/>
    </row>
    <row r="33" spans="1:5">
      <c r="A33" s="890"/>
      <c r="B33" s="287"/>
      <c r="C33" s="288"/>
      <c r="D33" s="288"/>
      <c r="E33" s="290"/>
    </row>
    <row r="34" spans="1:5">
      <c r="A34" s="890"/>
      <c r="B34" s="287"/>
      <c r="C34" s="288"/>
      <c r="D34" s="288"/>
      <c r="E34" s="290"/>
    </row>
    <row r="35" spans="1:5">
      <c r="A35" s="890"/>
      <c r="B35" s="287"/>
      <c r="C35" s="288"/>
      <c r="D35" s="288"/>
      <c r="E35" s="290"/>
    </row>
    <row r="36" spans="1:5">
      <c r="A36" s="890"/>
      <c r="B36" s="287"/>
      <c r="C36" s="288"/>
      <c r="D36" s="288"/>
      <c r="E36" s="290"/>
    </row>
    <row r="37" spans="1:5">
      <c r="A37" s="890"/>
      <c r="B37" s="287"/>
      <c r="C37" s="288"/>
      <c r="D37" s="288"/>
      <c r="E37" s="290"/>
    </row>
    <row r="38" spans="1:5">
      <c r="A38" s="890"/>
      <c r="B38" s="287"/>
      <c r="C38" s="288"/>
      <c r="D38" s="288"/>
      <c r="E38" s="290"/>
    </row>
    <row r="39" spans="1:5">
      <c r="A39" s="890"/>
      <c r="B39" s="287"/>
      <c r="C39" s="288"/>
      <c r="D39" s="288"/>
      <c r="E39" s="290"/>
    </row>
    <row r="40" spans="1:5">
      <c r="A40" s="890"/>
      <c r="B40" s="287"/>
      <c r="C40" s="288"/>
      <c r="D40" s="288"/>
      <c r="E40" s="290"/>
    </row>
    <row r="41" spans="1:5">
      <c r="A41" s="890"/>
      <c r="B41" s="287"/>
      <c r="C41" s="288"/>
      <c r="D41" s="288"/>
      <c r="E41" s="290"/>
    </row>
    <row r="42" spans="1:5">
      <c r="A42" s="890"/>
      <c r="B42" s="287"/>
      <c r="C42" s="288"/>
      <c r="D42" s="288"/>
      <c r="E42" s="290"/>
    </row>
    <row r="43" spans="1:5">
      <c r="A43" s="890"/>
      <c r="B43" s="287"/>
      <c r="C43" s="288"/>
      <c r="D43" s="288"/>
      <c r="E43" s="290"/>
    </row>
    <row r="44" spans="1:5">
      <c r="A44" s="890"/>
      <c r="B44" s="287"/>
      <c r="C44" s="288"/>
      <c r="D44" s="288"/>
      <c r="E44" s="290"/>
    </row>
    <row r="45" spans="1:5">
      <c r="A45" s="890"/>
      <c r="B45" s="287"/>
      <c r="C45" s="288"/>
      <c r="D45" s="288"/>
      <c r="E45" s="290"/>
    </row>
    <row r="46" spans="1:5">
      <c r="A46" s="890"/>
      <c r="B46" s="287"/>
      <c r="C46" s="288"/>
      <c r="D46" s="288"/>
      <c r="E46" s="290"/>
    </row>
    <row r="47" spans="1:5">
      <c r="A47" s="890"/>
      <c r="B47" s="287"/>
      <c r="C47" s="288"/>
      <c r="D47" s="288"/>
      <c r="E47" s="290"/>
    </row>
    <row r="48" spans="1:5">
      <c r="A48" s="890"/>
      <c r="B48" s="287"/>
      <c r="C48" s="288"/>
      <c r="D48" s="288"/>
      <c r="E48" s="290"/>
    </row>
    <row r="49" spans="1:5">
      <c r="A49" s="890"/>
      <c r="B49" s="287"/>
      <c r="C49" s="288"/>
      <c r="D49" s="288"/>
      <c r="E49" s="290"/>
    </row>
    <row r="50" spans="1:5">
      <c r="A50" s="890"/>
      <c r="B50" s="287"/>
      <c r="C50" s="288"/>
      <c r="D50" s="288"/>
      <c r="E50" s="290"/>
    </row>
    <row r="51" spans="1:5">
      <c r="A51" s="890"/>
      <c r="B51" s="287"/>
      <c r="C51" s="288"/>
      <c r="D51" s="288"/>
      <c r="E51" s="290"/>
    </row>
    <row r="52" spans="1:5">
      <c r="A52" s="890"/>
      <c r="B52" s="287"/>
      <c r="C52" s="288"/>
      <c r="D52" s="288"/>
      <c r="E52" s="290"/>
    </row>
    <row r="53" spans="1:5">
      <c r="A53" s="890"/>
      <c r="B53" s="287"/>
      <c r="C53" s="288"/>
      <c r="D53" s="288"/>
      <c r="E53" s="290"/>
    </row>
    <row r="54" spans="1:5">
      <c r="A54" s="890"/>
      <c r="B54" s="287"/>
      <c r="C54" s="288"/>
      <c r="D54" s="288"/>
      <c r="E54" s="290"/>
    </row>
    <row r="55" spans="1:5">
      <c r="A55" s="890"/>
      <c r="B55" s="287"/>
      <c r="C55" s="288"/>
      <c r="D55" s="288"/>
      <c r="E55" s="290"/>
    </row>
    <row r="56" spans="1:5">
      <c r="A56" s="890"/>
      <c r="B56" s="287"/>
      <c r="C56" s="288"/>
      <c r="D56" s="288"/>
      <c r="E56" s="290"/>
    </row>
    <row r="57" spans="1:5">
      <c r="A57" s="890"/>
      <c r="B57" s="287"/>
      <c r="C57" s="288"/>
      <c r="D57" s="288"/>
      <c r="E57" s="290"/>
    </row>
    <row r="58" spans="1:5">
      <c r="A58" s="890"/>
      <c r="B58" s="287"/>
      <c r="C58" s="288"/>
      <c r="D58" s="288"/>
      <c r="E58" s="290"/>
    </row>
    <row r="59" spans="1:5">
      <c r="A59" s="890"/>
      <c r="B59" s="287"/>
      <c r="C59" s="288"/>
      <c r="D59" s="288"/>
      <c r="E59" s="290"/>
    </row>
    <row r="60" spans="1:5">
      <c r="A60" s="890"/>
      <c r="B60" s="287"/>
      <c r="C60" s="288"/>
      <c r="D60" s="288"/>
      <c r="E60" s="290"/>
    </row>
    <row r="61" spans="1:5">
      <c r="A61" s="890"/>
      <c r="B61" s="287"/>
      <c r="C61" s="288"/>
      <c r="D61" s="288"/>
      <c r="E61" s="290"/>
    </row>
    <row r="62" spans="1:5">
      <c r="A62" s="890"/>
      <c r="B62" s="287"/>
      <c r="C62" s="288"/>
      <c r="D62" s="288"/>
      <c r="E62" s="290"/>
    </row>
    <row r="63" spans="1:5">
      <c r="A63" s="890"/>
      <c r="B63" s="287"/>
      <c r="C63" s="288"/>
      <c r="D63" s="288"/>
      <c r="E63" s="290"/>
    </row>
    <row r="64" spans="1:5">
      <c r="A64" s="890"/>
      <c r="B64" s="287"/>
      <c r="C64" s="288"/>
      <c r="D64" s="288"/>
      <c r="E64" s="290"/>
    </row>
    <row r="65" spans="1:5">
      <c r="A65" s="890"/>
      <c r="B65" s="287"/>
      <c r="C65" s="288"/>
      <c r="D65" s="288"/>
      <c r="E65" s="290"/>
    </row>
    <row r="66" spans="1:5">
      <c r="A66" s="890"/>
      <c r="B66" s="287"/>
      <c r="C66" s="288"/>
      <c r="D66" s="288"/>
      <c r="E66" s="290"/>
    </row>
    <row r="67" spans="1:5">
      <c r="A67" s="890"/>
      <c r="B67" s="287"/>
      <c r="C67" s="288"/>
      <c r="D67" s="288"/>
      <c r="E67" s="290"/>
    </row>
    <row r="68" spans="1:5">
      <c r="A68" s="890"/>
      <c r="B68" s="287"/>
      <c r="C68" s="288"/>
      <c r="D68" s="288"/>
      <c r="E68" s="290"/>
    </row>
    <row r="69" spans="1:5">
      <c r="A69" s="890"/>
      <c r="B69" s="287"/>
      <c r="C69" s="288"/>
      <c r="D69" s="288"/>
      <c r="E69" s="290"/>
    </row>
    <row r="70" spans="1:5">
      <c r="A70" s="890"/>
      <c r="B70" s="287"/>
      <c r="C70" s="288"/>
      <c r="D70" s="288"/>
      <c r="E70" s="290"/>
    </row>
    <row r="71" spans="1:5">
      <c r="A71" s="890"/>
      <c r="B71" s="287"/>
      <c r="C71" s="288"/>
      <c r="D71" s="288"/>
      <c r="E71" s="290"/>
    </row>
    <row r="72" spans="1:5">
      <c r="A72" s="890"/>
      <c r="B72" s="287"/>
      <c r="C72" s="288"/>
      <c r="D72" s="288"/>
      <c r="E72" s="290"/>
    </row>
    <row r="73" spans="1:5">
      <c r="A73" s="890"/>
      <c r="B73" s="287"/>
      <c r="C73" s="288"/>
      <c r="D73" s="288"/>
      <c r="E73" s="290"/>
    </row>
    <row r="74" spans="1:5">
      <c r="A74" s="890"/>
      <c r="B74" s="287"/>
      <c r="C74" s="288"/>
      <c r="D74" s="288"/>
      <c r="E74" s="290"/>
    </row>
    <row r="75" spans="1:5">
      <c r="A75" s="890"/>
      <c r="B75" s="287"/>
      <c r="C75" s="288"/>
      <c r="D75" s="288"/>
      <c r="E75" s="290"/>
    </row>
    <row r="76" spans="1:5">
      <c r="A76" s="890"/>
      <c r="B76" s="287"/>
      <c r="C76" s="288"/>
      <c r="D76" s="288"/>
      <c r="E76" s="290"/>
    </row>
  </sheetData>
  <sheetProtection algorithmName="SHA-512" hashValue="i3UL72VLewrtVhntlfZIxldfzqPbkrEmfBCKUT3rmtwmrYl/ZCI/o77uTgMIIs9+cFSxzFleQnsdl4HHL3Udrg==" saltValue="CbNqTHPUh1ha8zmC7YfGDA==" spinCount="100000" sheet="1" objects="1" scenarios="1"/>
  <mergeCells count="1">
    <mergeCell ref="A14:E14"/>
  </mergeCells>
  <dataValidations count="7">
    <dataValidation type="whole" allowBlank="1" showInputMessage="1" showErrorMessage="1" errorTitle="# of  Units" error="Please enter a whole number for number of units." sqref="B3" xr:uid="{00000000-0002-0000-0400-000000000000}">
      <formula1>1</formula1>
      <formula2>1000</formula2>
    </dataValidation>
    <dataValidation type="list" allowBlank="1" showInputMessage="1" showErrorMessage="1" errorTitle="Do Rents Include Utilities" error="Please select a valid value for Do Rents Include Utilities." sqref="B4" xr:uid="{00000000-0002-0000-0400-000001000000}">
      <formula1>Yes_No_List</formula1>
    </dataValidation>
    <dataValidation type="list" allowBlank="1" showInputMessage="1" showErrorMessage="1" errorTitle="Income Level" error="Please select a valid value for Income Level." sqref="A17:A76" xr:uid="{00000000-0002-0000-0400-000002000000}">
      <formula1>Income_Level_List</formula1>
    </dataValidation>
    <dataValidation type="list" allowBlank="1" showInputMessage="1" showErrorMessage="1" errorTitle="Type of Unit" error="Please select a valid value for Type of Unit." sqref="B17:B76" xr:uid="{00000000-0002-0000-0400-000003000000}">
      <formula1>Unit_Mix_Type_List</formula1>
    </dataValidation>
    <dataValidation type="whole" allowBlank="1" showInputMessage="1" showErrorMessage="1" errorTitle="Whole Numbers Only" error="All Actual Rent per Unit values on the Unit Mix &amp; Rents worksheet must be entered as a whole number." sqref="E17:E76" xr:uid="{00000000-0002-0000-0400-000004000000}">
      <formula1>0</formula1>
      <formula2>100000</formula2>
    </dataValidation>
    <dataValidation type="whole" allowBlank="1" showInputMessage="1" showErrorMessage="1" errorTitle="Whole Numbers Only" error="All # of Units values on the Unit Mix &amp; Rents worksheet must be entered as a whole number." sqref="D17:D76" xr:uid="{00000000-0002-0000-0400-000005000000}">
      <formula1>0</formula1>
      <formula2>100000</formula2>
    </dataValidation>
    <dataValidation type="whole" allowBlank="1" showInputMessage="1" showErrorMessage="1" errorTitle="Whole Numbers Only" error="All Unit Size (sq. ft.) values on the Unit Mix &amp; Rents worksheet must be entered as a whole number." sqref="C17:C76" xr:uid="{00000000-0002-0000-0400-000006000000}">
      <formula1>0</formula1>
      <formula2>100000</formula2>
    </dataValidation>
  </dataValidations>
  <hyperlinks>
    <hyperlink ref="F16" location="'Tax Credit Summary'!B206" tooltip="Show me the maximum allowable rents in Tax Credit Details" display="Show me the maximum allowable rents" xr:uid="{00000000-0004-0000-04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92D050"/>
  </sheetPr>
  <dimension ref="A1:H79"/>
  <sheetViews>
    <sheetView showGridLines="0" workbookViewId="0"/>
  </sheetViews>
  <sheetFormatPr defaultRowHeight="15"/>
  <cols>
    <col min="1" max="1" width="29.5703125" customWidth="1"/>
    <col min="2" max="2" width="36.5703125" customWidth="1"/>
    <col min="3" max="3" width="19.140625" customWidth="1"/>
    <col min="4" max="4" width="14.140625" customWidth="1"/>
    <col min="5" max="6" width="19.5703125" bestFit="1" customWidth="1"/>
    <col min="7" max="7" width="16.5703125" customWidth="1"/>
    <col min="8" max="8" width="12.5703125" customWidth="1"/>
  </cols>
  <sheetData>
    <row r="1" spans="1:8" ht="21">
      <c r="A1" s="4" t="s">
        <v>365</v>
      </c>
      <c r="B1" s="4"/>
      <c r="C1" s="4"/>
      <c r="D1" s="4"/>
      <c r="E1" s="4"/>
      <c r="F1" s="4"/>
      <c r="G1" s="4"/>
      <c r="H1" s="4"/>
    </row>
    <row r="3" spans="1:8">
      <c r="A3" s="1" t="s">
        <v>366</v>
      </c>
      <c r="B3" s="290"/>
    </row>
    <row r="4" spans="1:8">
      <c r="A4" s="1" t="s">
        <v>367</v>
      </c>
      <c r="B4" s="426"/>
    </row>
    <row r="5" spans="1:8">
      <c r="A5" s="367" t="s">
        <v>368</v>
      </c>
      <c r="B5" s="452"/>
    </row>
    <row r="7" spans="1:8" ht="18.75">
      <c r="A7" s="5" t="s">
        <v>369</v>
      </c>
    </row>
    <row r="8" spans="1:8">
      <c r="A8" s="3" t="s">
        <v>370</v>
      </c>
      <c r="B8" s="3" t="s">
        <v>371</v>
      </c>
      <c r="C8" s="3" t="s">
        <v>372</v>
      </c>
      <c r="D8" s="3" t="s">
        <v>373</v>
      </c>
      <c r="E8" s="3" t="s">
        <v>374</v>
      </c>
      <c r="F8" s="3" t="s">
        <v>375</v>
      </c>
    </row>
    <row r="9" spans="1:8">
      <c r="A9" s="287"/>
      <c r="B9" s="290"/>
      <c r="C9" s="289"/>
      <c r="D9" s="287"/>
      <c r="E9" s="287"/>
      <c r="F9" s="287"/>
      <c r="G9" s="305" t="s">
        <v>376</v>
      </c>
    </row>
    <row r="10" spans="1:8">
      <c r="A10" s="287"/>
      <c r="B10" s="290"/>
      <c r="C10" s="289"/>
      <c r="D10" s="287"/>
      <c r="E10" s="287"/>
      <c r="F10" s="287"/>
    </row>
    <row r="11" spans="1:8">
      <c r="A11" s="287"/>
      <c r="B11" s="290"/>
      <c r="C11" s="289"/>
      <c r="D11" s="287"/>
      <c r="E11" s="287"/>
      <c r="F11" s="287"/>
    </row>
    <row r="12" spans="1:8">
      <c r="A12" s="68" t="s">
        <v>377</v>
      </c>
      <c r="B12" s="66">
        <f>SUM(B9:B11)</f>
        <v>0</v>
      </c>
    </row>
    <row r="14" spans="1:8" ht="18.75">
      <c r="A14" s="5" t="s">
        <v>378</v>
      </c>
    </row>
    <row r="15" spans="1:8">
      <c r="A15" s="3" t="s">
        <v>370</v>
      </c>
      <c r="B15" s="3" t="s">
        <v>371</v>
      </c>
      <c r="C15" s="3" t="s">
        <v>372</v>
      </c>
      <c r="D15" s="3" t="s">
        <v>373</v>
      </c>
      <c r="E15" s="3" t="s">
        <v>375</v>
      </c>
    </row>
    <row r="16" spans="1:8">
      <c r="A16" s="287"/>
      <c r="B16" s="290"/>
      <c r="C16" s="289"/>
      <c r="D16" s="287"/>
      <c r="E16" s="287"/>
    </row>
    <row r="17" spans="1:5">
      <c r="A17" s="287"/>
      <c r="B17" s="290"/>
      <c r="C17" s="289"/>
      <c r="D17" s="287"/>
      <c r="E17" s="287"/>
    </row>
    <row r="18" spans="1:5">
      <c r="A18" s="287"/>
      <c r="B18" s="290"/>
      <c r="C18" s="289"/>
      <c r="D18" s="287"/>
      <c r="E18" s="287"/>
    </row>
    <row r="19" spans="1:5">
      <c r="A19" s="287"/>
      <c r="B19" s="290"/>
      <c r="C19" s="289"/>
      <c r="D19" s="287"/>
      <c r="E19" s="287"/>
    </row>
    <row r="20" spans="1:5">
      <c r="A20" s="287"/>
      <c r="B20" s="290"/>
      <c r="C20" s="289"/>
      <c r="D20" s="287"/>
      <c r="E20" s="287"/>
    </row>
    <row r="21" spans="1:5">
      <c r="A21" s="287"/>
      <c r="B21" s="290"/>
      <c r="C21" s="289"/>
      <c r="D21" s="287"/>
      <c r="E21" s="287"/>
    </row>
    <row r="22" spans="1:5">
      <c r="A22" s="68" t="s">
        <v>377</v>
      </c>
      <c r="B22" s="66">
        <f>SUM(B16:B21)</f>
        <v>0</v>
      </c>
    </row>
    <row r="24" spans="1:5" ht="18.75">
      <c r="A24" s="5" t="s">
        <v>4240</v>
      </c>
    </row>
    <row r="25" spans="1:5">
      <c r="A25" s="3" t="s">
        <v>381</v>
      </c>
      <c r="B25" s="3" t="s">
        <v>371</v>
      </c>
    </row>
    <row r="26" spans="1:5">
      <c r="A26" s="287"/>
      <c r="B26" s="290"/>
    </row>
    <row r="27" spans="1:5">
      <c r="A27" s="287"/>
      <c r="B27" s="290"/>
    </row>
    <row r="28" spans="1:5">
      <c r="A28" s="287"/>
      <c r="B28" s="290"/>
    </row>
    <row r="29" spans="1:5">
      <c r="A29" s="287"/>
      <c r="B29" s="290"/>
    </row>
    <row r="30" spans="1:5">
      <c r="A30" s="287"/>
      <c r="B30" s="290"/>
    </row>
    <row r="31" spans="1:5">
      <c r="A31" s="287"/>
      <c r="B31" s="290"/>
    </row>
    <row r="32" spans="1:5">
      <c r="A32" s="287"/>
      <c r="B32" s="290"/>
    </row>
    <row r="33" spans="1:6">
      <c r="A33" s="287"/>
      <c r="B33" s="290"/>
    </row>
    <row r="34" spans="1:6">
      <c r="A34" s="68" t="s">
        <v>377</v>
      </c>
      <c r="B34" s="66">
        <f>SUM(B26:B33)</f>
        <v>0</v>
      </c>
    </row>
    <row r="36" spans="1:6" ht="18.75">
      <c r="A36" s="5" t="s">
        <v>380</v>
      </c>
    </row>
    <row r="37" spans="1:6">
      <c r="A37" s="3" t="s">
        <v>381</v>
      </c>
      <c r="B37" s="3" t="s">
        <v>371</v>
      </c>
    </row>
    <row r="38" spans="1:6">
      <c r="A38" s="1" t="s">
        <v>382</v>
      </c>
      <c r="B38" s="290">
        <v>0</v>
      </c>
    </row>
    <row r="39" spans="1:6">
      <c r="A39" s="1" t="s">
        <v>383</v>
      </c>
      <c r="B39" s="290">
        <v>0</v>
      </c>
    </row>
    <row r="40" spans="1:6">
      <c r="A40" s="1" t="s">
        <v>384</v>
      </c>
      <c r="B40" s="290">
        <v>0</v>
      </c>
      <c r="C40" s="10" t="s">
        <v>385</v>
      </c>
    </row>
    <row r="41" spans="1:6">
      <c r="A41" s="68" t="s">
        <v>377</v>
      </c>
      <c r="B41" s="66">
        <f>SUM(B38:B40)</f>
        <v>0</v>
      </c>
    </row>
    <row r="42" spans="1:6">
      <c r="A42" s="68" t="s">
        <v>386</v>
      </c>
      <c r="B42" s="66">
        <f>SUM(B12,B22,B34,B41)</f>
        <v>0</v>
      </c>
    </row>
    <row r="44" spans="1:6" ht="18.75">
      <c r="A44" s="5" t="s">
        <v>387</v>
      </c>
    </row>
    <row r="45" spans="1:6">
      <c r="A45" s="3" t="s">
        <v>370</v>
      </c>
      <c r="B45" s="3" t="s">
        <v>371</v>
      </c>
      <c r="C45" s="3" t="s">
        <v>372</v>
      </c>
      <c r="D45" s="3" t="s">
        <v>373</v>
      </c>
      <c r="E45" s="3" t="s">
        <v>374</v>
      </c>
      <c r="F45" s="10"/>
    </row>
    <row r="46" spans="1:6">
      <c r="A46" s="287"/>
      <c r="B46" s="290"/>
      <c r="C46" s="289"/>
      <c r="D46" s="287"/>
      <c r="E46" s="287"/>
    </row>
    <row r="47" spans="1:6">
      <c r="A47" s="287"/>
      <c r="B47" s="290"/>
      <c r="C47" s="289"/>
      <c r="D47" s="287"/>
      <c r="E47" s="287"/>
    </row>
    <row r="48" spans="1:6">
      <c r="A48" s="287"/>
      <c r="B48" s="290"/>
      <c r="C48" s="289"/>
      <c r="D48" s="287"/>
      <c r="E48" s="287"/>
    </row>
    <row r="49" spans="1:4">
      <c r="A49" s="68" t="s">
        <v>377</v>
      </c>
      <c r="B49" s="66">
        <f>SUM(B46:B48)</f>
        <v>0</v>
      </c>
    </row>
    <row r="51" spans="1:4" ht="18.75">
      <c r="A51" s="5" t="s">
        <v>388</v>
      </c>
    </row>
    <row r="52" spans="1:4">
      <c r="A52" s="3" t="s">
        <v>370</v>
      </c>
      <c r="B52" s="3" t="s">
        <v>371</v>
      </c>
      <c r="C52" s="3" t="s">
        <v>372</v>
      </c>
      <c r="D52" s="3" t="s">
        <v>373</v>
      </c>
    </row>
    <row r="53" spans="1:4">
      <c r="A53" s="287"/>
      <c r="B53" s="290"/>
      <c r="C53" s="289"/>
      <c r="D53" s="287"/>
    </row>
    <row r="54" spans="1:4">
      <c r="A54" s="287"/>
      <c r="B54" s="290"/>
      <c r="C54" s="289"/>
      <c r="D54" s="287"/>
    </row>
    <row r="55" spans="1:4">
      <c r="A55" s="287"/>
      <c r="B55" s="290"/>
      <c r="C55" s="289"/>
      <c r="D55" s="287"/>
    </row>
    <row r="56" spans="1:4">
      <c r="A56" s="287"/>
      <c r="B56" s="290"/>
      <c r="C56" s="289"/>
      <c r="D56" s="287"/>
    </row>
    <row r="57" spans="1:4">
      <c r="A57" s="287"/>
      <c r="B57" s="290"/>
      <c r="C57" s="289"/>
      <c r="D57" s="287"/>
    </row>
    <row r="58" spans="1:4">
      <c r="A58" s="287"/>
      <c r="B58" s="290"/>
      <c r="C58" s="289"/>
      <c r="D58" s="287"/>
    </row>
    <row r="59" spans="1:4">
      <c r="A59" s="68" t="s">
        <v>377</v>
      </c>
      <c r="B59" s="65">
        <f>SUM(B50:B58)</f>
        <v>0</v>
      </c>
    </row>
    <row r="61" spans="1:4" ht="18.75">
      <c r="A61" s="5" t="s">
        <v>389</v>
      </c>
    </row>
    <row r="62" spans="1:4">
      <c r="A62" s="3" t="s">
        <v>379</v>
      </c>
      <c r="B62" s="3" t="s">
        <v>371</v>
      </c>
    </row>
    <row r="63" spans="1:4">
      <c r="A63" s="287"/>
      <c r="B63" s="290"/>
    </row>
    <row r="64" spans="1:4">
      <c r="A64" s="287"/>
      <c r="B64" s="290"/>
    </row>
    <row r="65" spans="1:2">
      <c r="A65" s="287"/>
      <c r="B65" s="290"/>
    </row>
    <row r="66" spans="1:2">
      <c r="A66" s="287"/>
      <c r="B66" s="290"/>
    </row>
    <row r="67" spans="1:2">
      <c r="A67" s="287"/>
      <c r="B67" s="290"/>
    </row>
    <row r="68" spans="1:2">
      <c r="A68" s="287"/>
      <c r="B68" s="290"/>
    </row>
    <row r="69" spans="1:2">
      <c r="A69" s="287"/>
      <c r="B69" s="290"/>
    </row>
    <row r="70" spans="1:2">
      <c r="A70" s="287"/>
      <c r="B70" s="290"/>
    </row>
    <row r="71" spans="1:2">
      <c r="A71" s="68" t="s">
        <v>377</v>
      </c>
      <c r="B71" s="65">
        <f>SUM(B63:B70)</f>
        <v>0</v>
      </c>
    </row>
    <row r="73" spans="1:2" ht="18.75">
      <c r="A73" s="5" t="s">
        <v>390</v>
      </c>
    </row>
    <row r="74" spans="1:2">
      <c r="A74" s="3" t="s">
        <v>381</v>
      </c>
      <c r="B74" s="3" t="s">
        <v>391</v>
      </c>
    </row>
    <row r="75" spans="1:2">
      <c r="A75" s="1" t="s">
        <v>382</v>
      </c>
      <c r="B75" s="290">
        <v>0</v>
      </c>
    </row>
    <row r="76" spans="1:2">
      <c r="A76" s="1" t="s">
        <v>383</v>
      </c>
      <c r="B76" s="290">
        <v>0</v>
      </c>
    </row>
    <row r="77" spans="1:2">
      <c r="A77" s="68" t="s">
        <v>377</v>
      </c>
      <c r="B77" s="65">
        <f>SUM(B75:B76)</f>
        <v>0</v>
      </c>
    </row>
    <row r="78" spans="1:2">
      <c r="A78" s="68" t="s">
        <v>392</v>
      </c>
      <c r="B78" s="66">
        <f>SUM(B77,B71,B59,B49)</f>
        <v>0</v>
      </c>
    </row>
    <row r="79" spans="1:2">
      <c r="A79" s="6" t="s">
        <v>393</v>
      </c>
    </row>
  </sheetData>
  <sheetProtection algorithmName="SHA-512" hashValue="CNfu/GKPSvKkNluPOCYVW6at8j7wNR5jrLBNYPnRMDtSSg83IsRzwaJzLJeDNjP9Pvl/wXQ2qTqTjKCwNvM1KQ==" saltValue="C30eqJ5JOq71sAn/j8V1cQ==" spinCount="100000" sheet="1" objects="1" scenarios="1"/>
  <dataValidations count="8">
    <dataValidation type="list" allowBlank="1" showInputMessage="1" showErrorMessage="1" errorTitle="Residential Loan Type" error="Please enter a valid value for Residential Loan Type." sqref="G22 G12:G13" xr:uid="{00000000-0002-0000-0500-000000000000}">
      <formula1>Residential_Loan_Type_List</formula1>
    </dataValidation>
    <dataValidation type="list" allowBlank="1" showInputMessage="1" showErrorMessage="1" errorTitle="Residential Loan" error="Please select a valid value for Residential Loan Is Cash Flow." sqref="E22 E49:E50 E59" xr:uid="{00000000-0002-0000-0500-000001000000}">
      <formula1>Yes_No_List</formula1>
    </dataValidation>
    <dataValidation type="list" allowBlank="1" showInputMessage="1" showErrorMessage="1" errorTitle="Residential Loan Type" error="Please enter a valid value for Residential Loan Type." sqref="F9:F11 E16:E21" xr:uid="{00000000-0002-0000-0500-000002000000}">
      <formula1>Approval_List</formula1>
    </dataValidation>
    <dataValidation type="whole" allowBlank="1" showInputMessage="1" showErrorMessage="1" errorTitle="Whole Numbers Only" error="All Amount of Funds values on financing worksheet must be entered as a whole number." sqref="B9:B11 B75:B78 B26:B33 B38:B40 B46:B48 B53:B58 B63:B70 B16:B21" xr:uid="{00000000-0002-0000-0500-000003000000}">
      <formula1>0</formula1>
      <formula2>100000000</formula2>
    </dataValidation>
    <dataValidation type="whole" allowBlank="1" showInputMessage="1" showErrorMessage="1" sqref="D9:D11 D16:D21" xr:uid="{00000000-0002-0000-0500-000004000000}">
      <formula1>0</formula1>
      <formula2>100000</formula2>
    </dataValidation>
    <dataValidation type="decimal" allowBlank="1" showInputMessage="1" showErrorMessage="1" sqref="C9:C11 C16:C21" xr:uid="{00000000-0002-0000-0500-000005000000}">
      <formula1>0</formula1>
      <formula2>100</formula2>
    </dataValidation>
    <dataValidation type="list" allowBlank="1" showInputMessage="1" showErrorMessage="1" errorTitle="Site Properly Zoned" error="Please select a valid value for Site Properly Zoned." sqref="B5" xr:uid="{00000000-0002-0000-0500-000006000000}">
      <formula1>Yes_No_List</formula1>
    </dataValidation>
    <dataValidation type="decimal" allowBlank="1" showInputMessage="1" showErrorMessage="1" sqref="B4" xr:uid="{C44637F1-B4A2-4B58-A587-302793CDBF3A}">
      <formula1>0</formula1>
      <formula2>111.111111111</formula2>
    </dataValidation>
  </dataValidations>
  <hyperlinks>
    <hyperlink ref="G9" location="'Tax Credit Summary'!A134" tooltip="Show me annual debt in Tax Credit Summary" display="Show me annual debt" xr:uid="{00000000-0004-0000-0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92D050"/>
  </sheetPr>
  <dimension ref="A1:BP126"/>
  <sheetViews>
    <sheetView showGridLines="0" zoomScaleNormal="100" workbookViewId="0"/>
  </sheetViews>
  <sheetFormatPr defaultRowHeight="15"/>
  <cols>
    <col min="1" max="1" width="54.5703125" customWidth="1"/>
    <col min="2" max="6" width="23.5703125" customWidth="1"/>
    <col min="7" max="7" width="103.5703125" customWidth="1"/>
  </cols>
  <sheetData>
    <row r="1" spans="1:8" ht="21">
      <c r="A1" s="4" t="s">
        <v>394</v>
      </c>
      <c r="B1" s="4"/>
      <c r="C1" s="4"/>
      <c r="D1" s="4"/>
      <c r="E1" s="4"/>
      <c r="F1" s="4"/>
      <c r="G1" s="4"/>
    </row>
    <row r="2" spans="1:8">
      <c r="B2" s="1" t="s">
        <v>395</v>
      </c>
    </row>
    <row r="3" spans="1:8" ht="30">
      <c r="A3" s="3" t="s">
        <v>396</v>
      </c>
      <c r="B3" s="3" t="s">
        <v>397</v>
      </c>
      <c r="C3" s="3" t="s">
        <v>398</v>
      </c>
      <c r="D3" s="3" t="s">
        <v>399</v>
      </c>
      <c r="E3" s="511" t="s">
        <v>400</v>
      </c>
      <c r="F3" s="511" t="s">
        <v>401</v>
      </c>
      <c r="G3" s="511" t="s">
        <v>402</v>
      </c>
    </row>
    <row r="4" spans="1:8">
      <c r="A4" s="1" t="s">
        <v>403</v>
      </c>
      <c r="B4" s="290">
        <v>0</v>
      </c>
      <c r="E4" s="290">
        <v>0</v>
      </c>
      <c r="F4" s="290">
        <v>0</v>
      </c>
      <c r="G4" s="287"/>
    </row>
    <row r="5" spans="1:8">
      <c r="A5" s="1" t="s">
        <v>404</v>
      </c>
      <c r="B5" s="290">
        <v>0</v>
      </c>
      <c r="C5" s="290">
        <v>0</v>
      </c>
      <c r="E5" s="290">
        <v>0</v>
      </c>
      <c r="F5" s="290">
        <v>0</v>
      </c>
      <c r="G5" s="287"/>
    </row>
    <row r="6" spans="1:8">
      <c r="A6" s="1" t="s">
        <v>405</v>
      </c>
      <c r="B6" s="290">
        <v>0</v>
      </c>
      <c r="E6" s="290">
        <v>0</v>
      </c>
      <c r="F6" s="290">
        <v>0</v>
      </c>
      <c r="G6" s="287"/>
    </row>
    <row r="7" spans="1:8">
      <c r="A7" s="67"/>
      <c r="B7" s="66">
        <f>SUM(B4:B6)</f>
        <v>0</v>
      </c>
      <c r="C7" s="66">
        <f t="shared" ref="C7:F7" si="0">SUM(C4:C6)</f>
        <v>0</v>
      </c>
      <c r="D7" s="66">
        <f t="shared" si="0"/>
        <v>0</v>
      </c>
      <c r="E7" s="66">
        <f t="shared" si="0"/>
        <v>0</v>
      </c>
      <c r="F7" s="66">
        <f t="shared" si="0"/>
        <v>0</v>
      </c>
      <c r="G7" s="66"/>
    </row>
    <row r="8" spans="1:8">
      <c r="A8" s="3" t="s">
        <v>406</v>
      </c>
      <c r="B8" s="3"/>
      <c r="C8" s="3"/>
      <c r="D8" s="3"/>
      <c r="E8" s="3"/>
      <c r="F8" s="3"/>
      <c r="G8" s="3"/>
    </row>
    <row r="9" spans="1:8">
      <c r="A9" s="1" t="s">
        <v>407</v>
      </c>
      <c r="B9" s="290">
        <v>0</v>
      </c>
      <c r="C9" s="290">
        <v>0</v>
      </c>
      <c r="D9" s="290">
        <v>0</v>
      </c>
      <c r="E9" s="290">
        <v>0</v>
      </c>
      <c r="F9" s="290">
        <v>0</v>
      </c>
      <c r="G9" s="287"/>
      <c r="H9" s="49"/>
    </row>
    <row r="10" spans="1:8">
      <c r="A10" s="1" t="s">
        <v>408</v>
      </c>
      <c r="B10" s="290">
        <v>0</v>
      </c>
      <c r="E10" s="290">
        <v>0</v>
      </c>
      <c r="F10" s="366"/>
      <c r="G10" s="287"/>
    </row>
    <row r="11" spans="1:8">
      <c r="B11" s="66">
        <f>SUM(B9:B10)</f>
        <v>0</v>
      </c>
      <c r="C11" s="66">
        <f t="shared" ref="C11:E11" si="1">SUM(C9:C10)</f>
        <v>0</v>
      </c>
      <c r="D11" s="66">
        <f t="shared" si="1"/>
        <v>0</v>
      </c>
      <c r="E11" s="66">
        <f t="shared" si="1"/>
        <v>0</v>
      </c>
      <c r="F11" s="66">
        <f>SUM(F9:F10)</f>
        <v>0</v>
      </c>
    </row>
    <row r="12" spans="1:8">
      <c r="A12" s="3" t="s">
        <v>409</v>
      </c>
      <c r="B12" s="3"/>
      <c r="C12" s="3"/>
      <c r="D12" s="3"/>
      <c r="E12" s="3"/>
      <c r="F12" s="3"/>
      <c r="G12" s="3"/>
    </row>
    <row r="13" spans="1:8">
      <c r="A13" s="1" t="s">
        <v>410</v>
      </c>
      <c r="B13" s="290">
        <v>0</v>
      </c>
      <c r="C13" s="290">
        <v>0</v>
      </c>
      <c r="D13" s="290">
        <v>0</v>
      </c>
      <c r="E13" s="290">
        <v>0</v>
      </c>
      <c r="F13" s="290">
        <v>0</v>
      </c>
      <c r="G13" s="287"/>
    </row>
    <row r="14" spans="1:8">
      <c r="A14" s="1" t="s">
        <v>411</v>
      </c>
      <c r="B14" s="290">
        <v>0</v>
      </c>
      <c r="C14" s="290">
        <v>0</v>
      </c>
      <c r="D14" s="290">
        <v>0</v>
      </c>
      <c r="E14" s="290">
        <v>0</v>
      </c>
      <c r="F14" s="290">
        <v>0</v>
      </c>
      <c r="G14" s="287"/>
    </row>
    <row r="15" spans="1:8">
      <c r="A15" s="1" t="s">
        <v>412</v>
      </c>
      <c r="B15" s="290">
        <v>0</v>
      </c>
      <c r="C15" s="290">
        <v>0</v>
      </c>
      <c r="D15" s="290">
        <v>0</v>
      </c>
      <c r="E15" s="290">
        <v>0</v>
      </c>
      <c r="F15" s="290">
        <v>0</v>
      </c>
      <c r="G15" s="287"/>
    </row>
    <row r="16" spans="1:8">
      <c r="A16" s="1" t="s">
        <v>413</v>
      </c>
      <c r="B16" s="290">
        <v>0</v>
      </c>
      <c r="C16" s="290">
        <v>0</v>
      </c>
      <c r="D16" s="290">
        <v>0</v>
      </c>
      <c r="E16" s="290">
        <v>0</v>
      </c>
      <c r="F16" s="290">
        <v>0</v>
      </c>
      <c r="G16" s="287"/>
    </row>
    <row r="17" spans="1:7">
      <c r="A17" s="1" t="s">
        <v>414</v>
      </c>
      <c r="B17" s="290">
        <v>0</v>
      </c>
      <c r="C17" s="290">
        <v>0</v>
      </c>
      <c r="D17" s="290">
        <v>0</v>
      </c>
      <c r="E17" s="290">
        <v>0</v>
      </c>
      <c r="F17" s="290">
        <v>0</v>
      </c>
      <c r="G17" s="287"/>
    </row>
    <row r="18" spans="1:7">
      <c r="A18" s="1" t="s">
        <v>415</v>
      </c>
      <c r="B18" s="290">
        <v>0</v>
      </c>
      <c r="C18" s="290">
        <v>0</v>
      </c>
      <c r="D18" s="290">
        <v>0</v>
      </c>
      <c r="E18" s="290">
        <v>0</v>
      </c>
      <c r="F18" s="290">
        <v>0</v>
      </c>
      <c r="G18" s="287"/>
    </row>
    <row r="19" spans="1:7">
      <c r="A19" s="1" t="s">
        <v>416</v>
      </c>
      <c r="B19" s="290">
        <v>0</v>
      </c>
      <c r="C19" s="290">
        <v>0</v>
      </c>
      <c r="D19" s="290">
        <v>0</v>
      </c>
      <c r="E19" s="290">
        <v>0</v>
      </c>
      <c r="F19" s="290">
        <v>0</v>
      </c>
      <c r="G19" s="287"/>
    </row>
    <row r="20" spans="1:7">
      <c r="A20" s="1" t="s">
        <v>417</v>
      </c>
      <c r="B20" s="290">
        <v>0</v>
      </c>
      <c r="C20" s="290">
        <v>0</v>
      </c>
      <c r="D20" s="290">
        <v>0</v>
      </c>
      <c r="E20" s="290">
        <v>0</v>
      </c>
      <c r="F20" s="290">
        <v>0</v>
      </c>
      <c r="G20" s="287"/>
    </row>
    <row r="21" spans="1:7">
      <c r="A21" s="1" t="s">
        <v>418</v>
      </c>
      <c r="B21" s="290">
        <v>0</v>
      </c>
      <c r="C21" s="290">
        <v>0</v>
      </c>
      <c r="D21" s="290">
        <v>0</v>
      </c>
      <c r="E21" s="290">
        <v>0</v>
      </c>
      <c r="F21" s="290">
        <v>0</v>
      </c>
      <c r="G21" s="287"/>
    </row>
    <row r="22" spans="1:7">
      <c r="A22" s="1" t="s">
        <v>419</v>
      </c>
      <c r="B22" s="290">
        <v>0</v>
      </c>
      <c r="C22" s="290">
        <v>0</v>
      </c>
      <c r="D22" s="290">
        <v>0</v>
      </c>
      <c r="E22" s="290">
        <v>0</v>
      </c>
      <c r="F22" s="290">
        <v>0</v>
      </c>
      <c r="G22" s="287"/>
    </row>
    <row r="23" spans="1:7">
      <c r="A23" s="1" t="s">
        <v>420</v>
      </c>
      <c r="B23" s="290">
        <v>0</v>
      </c>
      <c r="C23" s="290">
        <v>0</v>
      </c>
      <c r="D23" s="290">
        <v>0</v>
      </c>
      <c r="E23" s="290">
        <v>0</v>
      </c>
      <c r="F23" s="290">
        <v>0</v>
      </c>
      <c r="G23" s="287"/>
    </row>
    <row r="24" spans="1:7">
      <c r="A24" s="291" t="str">
        <f>"Other (Specify)"</f>
        <v>Other (Specify)</v>
      </c>
      <c r="B24" s="290">
        <v>0</v>
      </c>
      <c r="C24" s="290">
        <v>0</v>
      </c>
      <c r="D24" s="290">
        <v>0</v>
      </c>
      <c r="E24" s="290">
        <v>0</v>
      </c>
      <c r="F24" s="290">
        <v>0</v>
      </c>
      <c r="G24" s="287"/>
    </row>
    <row r="25" spans="1:7">
      <c r="A25" s="291" t="str">
        <f t="shared" ref="A25:A26" si="2">"Other (Specify)"</f>
        <v>Other (Specify)</v>
      </c>
      <c r="B25" s="290">
        <v>0</v>
      </c>
      <c r="C25" s="290">
        <v>0</v>
      </c>
      <c r="D25" s="290">
        <v>0</v>
      </c>
      <c r="E25" s="290">
        <v>0</v>
      </c>
      <c r="F25" s="290">
        <v>0</v>
      </c>
      <c r="G25" s="287"/>
    </row>
    <row r="26" spans="1:7">
      <c r="A26" s="291" t="str">
        <f t="shared" si="2"/>
        <v>Other (Specify)</v>
      </c>
      <c r="B26" s="290">
        <v>0</v>
      </c>
      <c r="C26" s="290">
        <v>0</v>
      </c>
      <c r="D26" s="290">
        <v>0</v>
      </c>
      <c r="E26" s="290">
        <v>0</v>
      </c>
      <c r="F26" s="290">
        <v>0</v>
      </c>
      <c r="G26" s="287"/>
    </row>
    <row r="27" spans="1:7">
      <c r="B27" s="66">
        <f>SUM(B13:B26)</f>
        <v>0</v>
      </c>
      <c r="C27" s="66">
        <f t="shared" ref="C27:F27" si="3">SUM(C13:C26)</f>
        <v>0</v>
      </c>
      <c r="D27" s="66">
        <f t="shared" si="3"/>
        <v>0</v>
      </c>
      <c r="E27" s="66">
        <f t="shared" si="3"/>
        <v>0</v>
      </c>
      <c r="F27" s="66">
        <f t="shared" si="3"/>
        <v>0</v>
      </c>
    </row>
    <row r="28" spans="1:7">
      <c r="A28" s="3" t="s">
        <v>421</v>
      </c>
      <c r="B28" s="3"/>
      <c r="C28" s="3"/>
      <c r="D28" s="3"/>
      <c r="E28" s="3"/>
      <c r="F28" s="3"/>
      <c r="G28" s="3"/>
    </row>
    <row r="29" spans="1:7">
      <c r="A29" s="1" t="s">
        <v>422</v>
      </c>
      <c r="B29" s="290">
        <v>0</v>
      </c>
      <c r="C29" s="290">
        <v>0</v>
      </c>
      <c r="D29" s="290">
        <v>0</v>
      </c>
      <c r="E29" s="290">
        <v>0</v>
      </c>
      <c r="F29" s="290">
        <v>0</v>
      </c>
      <c r="G29" s="287"/>
    </row>
    <row r="30" spans="1:7">
      <c r="A30" s="1" t="s">
        <v>423</v>
      </c>
      <c r="B30" s="290">
        <v>0</v>
      </c>
      <c r="C30" s="290">
        <v>0</v>
      </c>
      <c r="D30" s="290">
        <v>0</v>
      </c>
      <c r="E30" s="290">
        <v>0</v>
      </c>
      <c r="F30" s="290">
        <v>0</v>
      </c>
      <c r="G30" s="287"/>
    </row>
    <row r="31" spans="1:7">
      <c r="A31" s="1" t="s">
        <v>424</v>
      </c>
      <c r="B31" s="290">
        <v>0</v>
      </c>
      <c r="C31" s="290">
        <v>0</v>
      </c>
      <c r="D31" s="290">
        <v>0</v>
      </c>
      <c r="E31" s="290">
        <v>0</v>
      </c>
      <c r="F31" s="290">
        <v>0</v>
      </c>
      <c r="G31" s="287"/>
    </row>
    <row r="32" spans="1:7">
      <c r="A32" s="1" t="s">
        <v>425</v>
      </c>
      <c r="B32" s="290">
        <v>0</v>
      </c>
      <c r="C32" s="290">
        <v>0</v>
      </c>
      <c r="D32" s="290">
        <v>0</v>
      </c>
      <c r="E32" s="290">
        <v>0</v>
      </c>
      <c r="F32" s="290">
        <v>0</v>
      </c>
      <c r="G32" s="287"/>
    </row>
    <row r="33" spans="1:7">
      <c r="A33" s="1" t="s">
        <v>426</v>
      </c>
      <c r="B33" s="290">
        <v>0</v>
      </c>
      <c r="C33" s="290">
        <v>0</v>
      </c>
      <c r="D33" s="290">
        <v>0</v>
      </c>
      <c r="E33" s="290">
        <v>0</v>
      </c>
      <c r="F33" s="290">
        <v>0</v>
      </c>
      <c r="G33" s="287"/>
    </row>
    <row r="34" spans="1:7">
      <c r="A34" s="1" t="s">
        <v>427</v>
      </c>
      <c r="B34" s="290">
        <v>0</v>
      </c>
      <c r="C34" s="290">
        <v>0</v>
      </c>
      <c r="D34" s="290">
        <v>0</v>
      </c>
      <c r="E34" s="290">
        <v>0</v>
      </c>
      <c r="F34" s="290">
        <v>0</v>
      </c>
      <c r="G34" s="287"/>
    </row>
    <row r="35" spans="1:7">
      <c r="A35" s="1" t="s">
        <v>428</v>
      </c>
      <c r="B35" s="290">
        <v>0</v>
      </c>
      <c r="C35" s="290">
        <v>0</v>
      </c>
      <c r="D35" s="290">
        <v>0</v>
      </c>
      <c r="E35" s="290">
        <v>0</v>
      </c>
      <c r="F35" s="290">
        <v>0</v>
      </c>
      <c r="G35" s="287"/>
    </row>
    <row r="36" spans="1:7">
      <c r="A36" s="1" t="s">
        <v>429</v>
      </c>
      <c r="B36" s="290">
        <v>0</v>
      </c>
      <c r="C36" s="290">
        <v>0</v>
      </c>
      <c r="D36" s="290">
        <v>0</v>
      </c>
      <c r="E36" s="290">
        <v>0</v>
      </c>
      <c r="F36" s="290">
        <v>0</v>
      </c>
      <c r="G36" s="287"/>
    </row>
    <row r="37" spans="1:7">
      <c r="A37" s="1" t="s">
        <v>195</v>
      </c>
      <c r="B37" s="290">
        <v>0</v>
      </c>
      <c r="C37" s="290">
        <v>0</v>
      </c>
      <c r="D37" s="290">
        <v>0</v>
      </c>
      <c r="E37" s="290">
        <v>0</v>
      </c>
      <c r="F37" s="290">
        <v>0</v>
      </c>
      <c r="G37" s="287"/>
    </row>
    <row r="38" spans="1:7">
      <c r="A38" s="1" t="s">
        <v>430</v>
      </c>
      <c r="B38" s="290">
        <v>0</v>
      </c>
      <c r="C38" s="290">
        <v>0</v>
      </c>
      <c r="D38" s="290">
        <v>0</v>
      </c>
      <c r="E38" s="290">
        <v>0</v>
      </c>
      <c r="F38" s="290">
        <v>0</v>
      </c>
      <c r="G38" s="287"/>
    </row>
    <row r="39" spans="1:7">
      <c r="A39" s="1" t="s">
        <v>431</v>
      </c>
      <c r="B39" s="290">
        <v>0</v>
      </c>
      <c r="C39" s="290">
        <v>0</v>
      </c>
      <c r="D39" s="290">
        <v>0</v>
      </c>
      <c r="E39" s="290">
        <v>0</v>
      </c>
      <c r="F39" s="290">
        <v>0</v>
      </c>
      <c r="G39" s="287"/>
    </row>
    <row r="40" spans="1:7">
      <c r="A40" s="291" t="str">
        <f t="shared" ref="A40:A42" si="4">"Other (Specify)"</f>
        <v>Other (Specify)</v>
      </c>
      <c r="B40" s="290">
        <v>0</v>
      </c>
      <c r="C40" s="290">
        <v>0</v>
      </c>
      <c r="D40" s="290">
        <v>0</v>
      </c>
      <c r="E40" s="290">
        <v>0</v>
      </c>
      <c r="F40" s="290">
        <v>0</v>
      </c>
      <c r="G40" s="287"/>
    </row>
    <row r="41" spans="1:7">
      <c r="A41" s="291" t="str">
        <f t="shared" si="4"/>
        <v>Other (Specify)</v>
      </c>
      <c r="B41" s="290">
        <v>0</v>
      </c>
      <c r="C41" s="290">
        <v>0</v>
      </c>
      <c r="D41" s="290">
        <v>0</v>
      </c>
      <c r="E41" s="290">
        <v>0</v>
      </c>
      <c r="F41" s="290">
        <v>0</v>
      </c>
      <c r="G41" s="287"/>
    </row>
    <row r="42" spans="1:7">
      <c r="A42" s="291" t="str">
        <f t="shared" si="4"/>
        <v>Other (Specify)</v>
      </c>
      <c r="B42" s="290">
        <v>0</v>
      </c>
      <c r="C42" s="290">
        <v>0</v>
      </c>
      <c r="D42" s="290">
        <v>0</v>
      </c>
      <c r="E42" s="290">
        <v>0</v>
      </c>
      <c r="F42" s="290">
        <v>0</v>
      </c>
      <c r="G42" s="287"/>
    </row>
    <row r="43" spans="1:7">
      <c r="B43" s="66">
        <f>SUM(B29:B42)</f>
        <v>0</v>
      </c>
      <c r="C43" s="66">
        <f t="shared" ref="C43:F43" si="5">SUM(C29:C42)</f>
        <v>0</v>
      </c>
      <c r="D43" s="66">
        <f t="shared" si="5"/>
        <v>0</v>
      </c>
      <c r="E43" s="66">
        <f t="shared" si="5"/>
        <v>0</v>
      </c>
      <c r="F43" s="66">
        <f t="shared" si="5"/>
        <v>0</v>
      </c>
    </row>
    <row r="44" spans="1:7">
      <c r="A44" s="3" t="s">
        <v>432</v>
      </c>
      <c r="B44" s="3"/>
      <c r="C44" s="3"/>
      <c r="D44" s="3"/>
      <c r="E44" s="3"/>
      <c r="F44" s="3"/>
      <c r="G44" s="3"/>
    </row>
    <row r="45" spans="1:7">
      <c r="A45" s="1" t="s">
        <v>433</v>
      </c>
      <c r="B45" s="290">
        <v>0</v>
      </c>
      <c r="C45" s="290">
        <v>0</v>
      </c>
      <c r="D45" s="290">
        <v>0</v>
      </c>
      <c r="E45" s="290">
        <v>0</v>
      </c>
      <c r="F45" s="290">
        <v>0</v>
      </c>
      <c r="G45" s="287"/>
    </row>
    <row r="46" spans="1:7">
      <c r="A46" s="1" t="s">
        <v>434</v>
      </c>
      <c r="B46" s="290">
        <v>0</v>
      </c>
      <c r="C46" s="290">
        <v>0</v>
      </c>
      <c r="D46" s="290">
        <v>0</v>
      </c>
      <c r="E46" s="290">
        <v>0</v>
      </c>
      <c r="F46" s="290">
        <v>0</v>
      </c>
      <c r="G46" s="287"/>
    </row>
    <row r="47" spans="1:7">
      <c r="A47" s="1" t="s">
        <v>435</v>
      </c>
      <c r="B47" s="290">
        <v>0</v>
      </c>
      <c r="C47" s="290">
        <v>0</v>
      </c>
      <c r="D47" s="290">
        <v>0</v>
      </c>
      <c r="E47" s="290">
        <v>0</v>
      </c>
      <c r="F47" s="290">
        <v>0</v>
      </c>
      <c r="G47" s="287"/>
    </row>
    <row r="48" spans="1:7">
      <c r="A48" s="1" t="s">
        <v>436</v>
      </c>
      <c r="B48" s="290">
        <v>0</v>
      </c>
      <c r="C48" s="290">
        <v>0</v>
      </c>
      <c r="D48" s="290">
        <v>0</v>
      </c>
      <c r="E48" s="290">
        <v>0</v>
      </c>
      <c r="F48" s="290">
        <v>0</v>
      </c>
      <c r="G48" s="287"/>
    </row>
    <row r="49" spans="1:7">
      <c r="A49" s="1" t="s">
        <v>437</v>
      </c>
      <c r="B49" s="290">
        <v>0</v>
      </c>
      <c r="C49" s="290">
        <v>0</v>
      </c>
      <c r="D49" s="290">
        <v>0</v>
      </c>
      <c r="E49" s="290">
        <v>0</v>
      </c>
      <c r="F49" s="290">
        <v>0</v>
      </c>
      <c r="G49" s="287"/>
    </row>
    <row r="50" spans="1:7">
      <c r="A50" s="1" t="s">
        <v>438</v>
      </c>
      <c r="B50" s="290">
        <v>0</v>
      </c>
      <c r="C50" s="290">
        <v>0</v>
      </c>
      <c r="D50" s="290">
        <v>0</v>
      </c>
      <c r="E50" s="290">
        <v>0</v>
      </c>
      <c r="F50" s="290">
        <v>0</v>
      </c>
      <c r="G50" s="287"/>
    </row>
    <row r="51" spans="1:7">
      <c r="A51" s="1" t="s">
        <v>439</v>
      </c>
      <c r="B51" s="290">
        <v>0</v>
      </c>
      <c r="C51" s="290">
        <v>0</v>
      </c>
      <c r="D51" s="290">
        <v>0</v>
      </c>
      <c r="E51" s="290">
        <v>0</v>
      </c>
      <c r="F51" s="290">
        <v>0</v>
      </c>
      <c r="G51" s="287"/>
    </row>
    <row r="52" spans="1:7">
      <c r="A52" s="1" t="s">
        <v>440</v>
      </c>
      <c r="B52" s="290">
        <v>0</v>
      </c>
      <c r="C52" s="290">
        <v>0</v>
      </c>
      <c r="D52" s="290">
        <v>0</v>
      </c>
      <c r="E52" s="290">
        <v>0</v>
      </c>
      <c r="F52" s="290">
        <v>0</v>
      </c>
      <c r="G52" s="287"/>
    </row>
    <row r="53" spans="1:7">
      <c r="A53" s="1" t="s">
        <v>441</v>
      </c>
      <c r="B53" s="290">
        <v>0</v>
      </c>
      <c r="C53" s="290">
        <v>0</v>
      </c>
      <c r="D53" s="290">
        <v>0</v>
      </c>
      <c r="E53" s="290">
        <v>0</v>
      </c>
      <c r="F53" s="290">
        <v>0</v>
      </c>
      <c r="G53" s="287"/>
    </row>
    <row r="54" spans="1:7">
      <c r="A54" s="1" t="s">
        <v>442</v>
      </c>
      <c r="B54" s="290">
        <v>0</v>
      </c>
      <c r="C54" s="290">
        <v>0</v>
      </c>
      <c r="D54" s="290">
        <v>0</v>
      </c>
      <c r="E54" s="290">
        <v>0</v>
      </c>
      <c r="F54" s="290">
        <v>0</v>
      </c>
      <c r="G54" s="287"/>
    </row>
    <row r="55" spans="1:7">
      <c r="A55" s="1" t="s">
        <v>443</v>
      </c>
      <c r="B55" s="290">
        <v>0</v>
      </c>
      <c r="C55" s="290">
        <v>0</v>
      </c>
      <c r="D55" s="290">
        <v>0</v>
      </c>
      <c r="E55" s="290">
        <v>0</v>
      </c>
      <c r="F55" s="290">
        <v>0</v>
      </c>
      <c r="G55" s="287"/>
    </row>
    <row r="56" spans="1:7">
      <c r="A56" s="1" t="s">
        <v>444</v>
      </c>
      <c r="B56" s="290">
        <v>0</v>
      </c>
      <c r="C56" s="290">
        <v>0</v>
      </c>
      <c r="D56" s="290">
        <v>0</v>
      </c>
      <c r="E56" s="290">
        <v>0</v>
      </c>
      <c r="F56" s="290">
        <v>0</v>
      </c>
      <c r="G56" s="287"/>
    </row>
    <row r="57" spans="1:7">
      <c r="A57" s="1" t="s">
        <v>445</v>
      </c>
      <c r="B57" s="290">
        <v>0</v>
      </c>
      <c r="C57" s="290">
        <v>0</v>
      </c>
      <c r="D57" s="290">
        <v>0</v>
      </c>
      <c r="E57" s="290">
        <v>0</v>
      </c>
      <c r="F57" s="290">
        <v>0</v>
      </c>
      <c r="G57" s="287"/>
    </row>
    <row r="58" spans="1:7">
      <c r="A58" s="1" t="s">
        <v>446</v>
      </c>
      <c r="B58" s="290">
        <v>0</v>
      </c>
      <c r="C58" s="290">
        <v>0</v>
      </c>
      <c r="D58" s="290">
        <v>0</v>
      </c>
      <c r="E58" s="290">
        <v>0</v>
      </c>
      <c r="F58" s="290">
        <v>0</v>
      </c>
      <c r="G58" s="287"/>
    </row>
    <row r="59" spans="1:7">
      <c r="A59" s="1" t="s">
        <v>447</v>
      </c>
      <c r="B59" s="290">
        <v>0</v>
      </c>
      <c r="C59" s="290">
        <v>0</v>
      </c>
      <c r="D59" s="290">
        <v>0</v>
      </c>
      <c r="E59" s="290">
        <v>0</v>
      </c>
      <c r="F59" s="290">
        <v>0</v>
      </c>
      <c r="G59" s="287"/>
    </row>
    <row r="60" spans="1:7">
      <c r="A60" s="291" t="str">
        <f t="shared" ref="A60" si="6">"Other (Specify)"</f>
        <v>Other (Specify)</v>
      </c>
      <c r="B60" s="290">
        <v>0</v>
      </c>
      <c r="C60" s="290">
        <v>0</v>
      </c>
      <c r="D60" s="290">
        <v>0</v>
      </c>
      <c r="E60" s="290">
        <v>0</v>
      </c>
      <c r="F60" s="290">
        <v>0</v>
      </c>
      <c r="G60" s="287"/>
    </row>
    <row r="61" spans="1:7">
      <c r="A61" s="291" t="str">
        <f t="shared" ref="A61:A62" si="7">"Other (Specify)"</f>
        <v>Other (Specify)</v>
      </c>
      <c r="B61" s="290">
        <v>0</v>
      </c>
      <c r="C61" s="290">
        <v>0</v>
      </c>
      <c r="D61" s="290">
        <v>0</v>
      </c>
      <c r="E61" s="290">
        <v>0</v>
      </c>
      <c r="F61" s="290">
        <v>0</v>
      </c>
      <c r="G61" s="287"/>
    </row>
    <row r="62" spans="1:7">
      <c r="A62" s="291" t="str">
        <f t="shared" si="7"/>
        <v>Other (Specify)</v>
      </c>
      <c r="B62" s="290">
        <v>0</v>
      </c>
      <c r="C62" s="290">
        <v>0</v>
      </c>
      <c r="D62" s="290">
        <v>0</v>
      </c>
      <c r="E62" s="290">
        <v>0</v>
      </c>
      <c r="F62" s="290">
        <v>0</v>
      </c>
      <c r="G62" s="287"/>
    </row>
    <row r="63" spans="1:7">
      <c r="B63" s="66">
        <f>SUM(B45:B62)</f>
        <v>0</v>
      </c>
      <c r="C63" s="66">
        <f t="shared" ref="C63:F63" si="8">SUM(C45:C62)</f>
        <v>0</v>
      </c>
      <c r="D63" s="66">
        <f t="shared" si="8"/>
        <v>0</v>
      </c>
      <c r="E63" s="66">
        <f t="shared" si="8"/>
        <v>0</v>
      </c>
      <c r="F63" s="66">
        <f t="shared" si="8"/>
        <v>0</v>
      </c>
    </row>
    <row r="64" spans="1:7">
      <c r="A64" s="3" t="s">
        <v>448</v>
      </c>
      <c r="B64" s="3"/>
      <c r="C64" s="3"/>
      <c r="D64" s="3"/>
      <c r="E64" s="3"/>
      <c r="F64" s="3"/>
      <c r="G64" s="3"/>
    </row>
    <row r="65" spans="1:7">
      <c r="A65" s="1" t="s">
        <v>449</v>
      </c>
      <c r="B65" s="290">
        <v>0</v>
      </c>
      <c r="E65" s="290">
        <v>0</v>
      </c>
      <c r="F65" s="366"/>
      <c r="G65" s="287"/>
    </row>
    <row r="66" spans="1:7">
      <c r="A66" s="1" t="s">
        <v>450</v>
      </c>
      <c r="B66" s="290">
        <v>0</v>
      </c>
      <c r="E66" s="290">
        <v>0</v>
      </c>
      <c r="F66" s="366"/>
      <c r="G66" s="287"/>
    </row>
    <row r="67" spans="1:7">
      <c r="A67" s="1" t="s">
        <v>451</v>
      </c>
      <c r="B67" s="290">
        <v>0</v>
      </c>
      <c r="E67" s="290">
        <v>0</v>
      </c>
      <c r="F67" s="366"/>
      <c r="G67" s="287"/>
    </row>
    <row r="68" spans="1:7">
      <c r="A68" s="1" t="s">
        <v>452</v>
      </c>
      <c r="B68" s="290">
        <v>0</v>
      </c>
      <c r="E68" s="290">
        <v>0</v>
      </c>
      <c r="F68" s="366"/>
      <c r="G68" s="287"/>
    </row>
    <row r="69" spans="1:7">
      <c r="A69" s="1" t="s">
        <v>453</v>
      </c>
      <c r="B69" s="290">
        <v>0</v>
      </c>
      <c r="E69" s="290">
        <v>0</v>
      </c>
      <c r="F69" s="366"/>
      <c r="G69" s="287"/>
    </row>
    <row r="70" spans="1:7">
      <c r="A70" s="1" t="s">
        <v>454</v>
      </c>
      <c r="B70" s="290">
        <v>0</v>
      </c>
      <c r="E70" s="290">
        <v>0</v>
      </c>
      <c r="F70" s="366"/>
      <c r="G70" s="287"/>
    </row>
    <row r="71" spans="1:7">
      <c r="A71" s="1" t="s">
        <v>443</v>
      </c>
      <c r="B71" s="290">
        <v>0</v>
      </c>
      <c r="E71" s="290">
        <v>0</v>
      </c>
      <c r="F71" s="366"/>
      <c r="G71" s="287"/>
    </row>
    <row r="72" spans="1:7">
      <c r="A72" s="1" t="s">
        <v>455</v>
      </c>
      <c r="B72" s="290">
        <v>0</v>
      </c>
      <c r="E72" s="290">
        <v>0</v>
      </c>
      <c r="F72" s="366"/>
      <c r="G72" s="287"/>
    </row>
    <row r="73" spans="1:7">
      <c r="A73" s="1" t="s">
        <v>456</v>
      </c>
      <c r="B73" s="290">
        <v>0</v>
      </c>
      <c r="E73" s="290">
        <v>0</v>
      </c>
      <c r="F73" s="366"/>
      <c r="G73" s="287"/>
    </row>
    <row r="74" spans="1:7">
      <c r="A74" s="1" t="s">
        <v>457</v>
      </c>
      <c r="B74" s="290">
        <v>0</v>
      </c>
      <c r="E74" s="290">
        <v>0</v>
      </c>
      <c r="F74" s="366"/>
      <c r="G74" s="287"/>
    </row>
    <row r="75" spans="1:7">
      <c r="A75" s="1" t="s">
        <v>458</v>
      </c>
      <c r="B75" s="290">
        <v>0</v>
      </c>
      <c r="E75" s="290">
        <v>0</v>
      </c>
      <c r="F75" s="366"/>
      <c r="G75" s="287"/>
    </row>
    <row r="76" spans="1:7">
      <c r="A76" s="291" t="str">
        <f t="shared" ref="A76:A78" si="9">"Other (Specify)"</f>
        <v>Other (Specify)</v>
      </c>
      <c r="B76" s="290">
        <v>0</v>
      </c>
      <c r="E76" s="290">
        <v>0</v>
      </c>
      <c r="F76" s="366"/>
      <c r="G76" s="287"/>
    </row>
    <row r="77" spans="1:7">
      <c r="A77" s="291" t="str">
        <f t="shared" si="9"/>
        <v>Other (Specify)</v>
      </c>
      <c r="B77" s="290">
        <v>0</v>
      </c>
      <c r="E77" s="290">
        <v>0</v>
      </c>
      <c r="F77" s="366"/>
      <c r="G77" s="287"/>
    </row>
    <row r="78" spans="1:7">
      <c r="A78" s="291" t="str">
        <f t="shared" si="9"/>
        <v>Other (Specify)</v>
      </c>
      <c r="B78" s="290">
        <v>0</v>
      </c>
      <c r="E78" s="290">
        <v>0</v>
      </c>
      <c r="F78" s="366"/>
      <c r="G78" s="287"/>
    </row>
    <row r="79" spans="1:7">
      <c r="B79" s="66">
        <f>SUM(B65:B78)</f>
        <v>0</v>
      </c>
      <c r="E79" s="66">
        <f t="shared" ref="E79" si="10">SUM(E65:E78)</f>
        <v>0</v>
      </c>
      <c r="F79" s="366"/>
      <c r="G79" s="320"/>
    </row>
    <row r="80" spans="1:7">
      <c r="A80" s="3" t="s">
        <v>459</v>
      </c>
      <c r="B80" s="3"/>
      <c r="C80" s="3"/>
      <c r="D80" s="3"/>
      <c r="E80" s="3"/>
      <c r="F80" s="3"/>
      <c r="G80" s="3"/>
    </row>
    <row r="81" spans="1:7">
      <c r="A81" s="1" t="s">
        <v>460</v>
      </c>
      <c r="B81" s="290">
        <v>0</v>
      </c>
      <c r="C81" t="s">
        <v>461</v>
      </c>
      <c r="D81" t="s">
        <v>461</v>
      </c>
      <c r="E81" s="290">
        <v>0</v>
      </c>
      <c r="F81" s="366"/>
      <c r="G81" s="287"/>
    </row>
    <row r="82" spans="1:7">
      <c r="A82" s="1" t="s">
        <v>462</v>
      </c>
      <c r="B82" s="290">
        <v>0</v>
      </c>
      <c r="C82" s="290">
        <v>0</v>
      </c>
      <c r="D82" s="290">
        <v>0</v>
      </c>
      <c r="E82" s="290">
        <v>0</v>
      </c>
      <c r="F82" s="290">
        <v>0</v>
      </c>
      <c r="G82" s="287"/>
    </row>
    <row r="83" spans="1:7">
      <c r="A83" s="1" t="s">
        <v>463</v>
      </c>
      <c r="B83" s="290">
        <v>0</v>
      </c>
      <c r="C83" s="290">
        <v>0</v>
      </c>
      <c r="D83" s="290">
        <v>0</v>
      </c>
      <c r="E83" s="290">
        <v>0</v>
      </c>
      <c r="F83" s="290">
        <v>0</v>
      </c>
      <c r="G83" s="287"/>
    </row>
    <row r="84" spans="1:7">
      <c r="A84" s="1" t="s">
        <v>464</v>
      </c>
      <c r="B84" s="290">
        <v>0</v>
      </c>
      <c r="C84" s="290">
        <v>0</v>
      </c>
      <c r="D84" s="290">
        <v>0</v>
      </c>
      <c r="E84" s="290">
        <v>0</v>
      </c>
      <c r="F84" s="290">
        <v>0</v>
      </c>
      <c r="G84" s="287"/>
    </row>
    <row r="85" spans="1:7">
      <c r="A85" s="1" t="s">
        <v>465</v>
      </c>
      <c r="B85" s="290">
        <v>0</v>
      </c>
      <c r="C85" s="290">
        <v>0</v>
      </c>
      <c r="D85" s="290">
        <v>0</v>
      </c>
      <c r="E85" s="290">
        <v>0</v>
      </c>
      <c r="F85" s="290">
        <v>0</v>
      </c>
      <c r="G85" s="287"/>
    </row>
    <row r="86" spans="1:7">
      <c r="A86" s="1" t="s">
        <v>466</v>
      </c>
      <c r="B86" s="290">
        <v>0</v>
      </c>
      <c r="C86" s="290">
        <v>0</v>
      </c>
      <c r="D86" s="290">
        <v>0</v>
      </c>
      <c r="E86" s="290">
        <v>0</v>
      </c>
      <c r="F86" s="290">
        <v>0</v>
      </c>
      <c r="G86" s="287"/>
    </row>
    <row r="87" spans="1:7">
      <c r="A87" s="1" t="s">
        <v>467</v>
      </c>
      <c r="B87" s="290">
        <v>0</v>
      </c>
      <c r="C87" s="290">
        <v>0</v>
      </c>
      <c r="D87" s="290">
        <v>0</v>
      </c>
      <c r="E87" s="290">
        <v>0</v>
      </c>
      <c r="F87" s="290">
        <v>0</v>
      </c>
      <c r="G87" s="287"/>
    </row>
    <row r="88" spans="1:7">
      <c r="A88" s="1" t="s">
        <v>468</v>
      </c>
      <c r="B88" s="290">
        <v>0</v>
      </c>
      <c r="C88" t="s">
        <v>461</v>
      </c>
      <c r="D88" t="s">
        <v>461</v>
      </c>
      <c r="E88" s="290">
        <v>0</v>
      </c>
      <c r="F88" s="290">
        <v>0</v>
      </c>
      <c r="G88" s="287"/>
    </row>
    <row r="89" spans="1:7">
      <c r="A89" s="1" t="s">
        <v>469</v>
      </c>
      <c r="B89" s="290">
        <v>0</v>
      </c>
      <c r="C89" t="s">
        <v>461</v>
      </c>
      <c r="D89" t="s">
        <v>461</v>
      </c>
      <c r="E89" s="290">
        <v>0</v>
      </c>
      <c r="F89" s="290">
        <v>0</v>
      </c>
      <c r="G89" s="287"/>
    </row>
    <row r="90" spans="1:7">
      <c r="A90" s="1" t="s">
        <v>470</v>
      </c>
      <c r="B90" s="290">
        <v>0</v>
      </c>
      <c r="C90" s="290">
        <v>0</v>
      </c>
      <c r="D90" s="290">
        <v>0</v>
      </c>
      <c r="E90" s="290">
        <v>0</v>
      </c>
      <c r="F90" s="290">
        <v>0</v>
      </c>
      <c r="G90" s="287"/>
    </row>
    <row r="91" spans="1:7">
      <c r="A91" s="1" t="s">
        <v>471</v>
      </c>
      <c r="B91" s="290">
        <v>0</v>
      </c>
      <c r="C91" s="290">
        <v>0</v>
      </c>
      <c r="D91" s="290">
        <v>0</v>
      </c>
      <c r="E91" s="290">
        <v>0</v>
      </c>
      <c r="F91" s="290">
        <v>0</v>
      </c>
      <c r="G91" s="287"/>
    </row>
    <row r="92" spans="1:7">
      <c r="A92" s="1" t="s">
        <v>472</v>
      </c>
      <c r="B92" s="290">
        <v>0</v>
      </c>
      <c r="C92" s="290">
        <v>0</v>
      </c>
      <c r="D92" s="290">
        <v>0</v>
      </c>
      <c r="E92" s="290">
        <v>0</v>
      </c>
      <c r="F92" s="290">
        <v>0</v>
      </c>
      <c r="G92" s="287"/>
    </row>
    <row r="93" spans="1:7">
      <c r="A93" s="1" t="s">
        <v>473</v>
      </c>
      <c r="B93" s="290">
        <v>0</v>
      </c>
      <c r="C93" s="290">
        <v>0</v>
      </c>
      <c r="D93" s="290">
        <v>0</v>
      </c>
      <c r="E93" s="290">
        <v>0</v>
      </c>
      <c r="F93" s="290">
        <v>0</v>
      </c>
      <c r="G93" s="287"/>
    </row>
    <row r="94" spans="1:7">
      <c r="A94" s="1" t="s">
        <v>474</v>
      </c>
      <c r="B94" s="290">
        <v>0</v>
      </c>
      <c r="C94" s="290">
        <v>0</v>
      </c>
      <c r="D94" s="290">
        <v>0</v>
      </c>
      <c r="E94" s="290">
        <v>0</v>
      </c>
      <c r="F94" s="290">
        <v>0</v>
      </c>
      <c r="G94" s="287"/>
    </row>
    <row r="95" spans="1:7">
      <c r="A95" s="291" t="str">
        <f t="shared" ref="A95:A96" si="11">"Other (Specify)"</f>
        <v>Other (Specify)</v>
      </c>
      <c r="B95" s="290">
        <v>0</v>
      </c>
      <c r="C95" s="290">
        <v>0</v>
      </c>
      <c r="D95" s="290">
        <v>0</v>
      </c>
      <c r="E95" s="290">
        <v>0</v>
      </c>
      <c r="F95" s="290">
        <v>0</v>
      </c>
      <c r="G95" s="287"/>
    </row>
    <row r="96" spans="1:7">
      <c r="A96" s="291" t="str">
        <f t="shared" si="11"/>
        <v>Other (Specify)</v>
      </c>
      <c r="B96" s="290">
        <v>0</v>
      </c>
      <c r="C96" s="290">
        <v>0</v>
      </c>
      <c r="D96" s="290">
        <v>0</v>
      </c>
      <c r="E96" s="290">
        <v>0</v>
      </c>
      <c r="F96" s="290">
        <v>0</v>
      </c>
      <c r="G96" s="287"/>
    </row>
    <row r="97" spans="1:68">
      <c r="A97" s="291" t="str">
        <f t="shared" ref="A97" si="12">"Other (Specify)"</f>
        <v>Other (Specify)</v>
      </c>
      <c r="B97" s="290">
        <v>0</v>
      </c>
      <c r="C97" s="290">
        <v>0</v>
      </c>
      <c r="D97" s="290">
        <v>0</v>
      </c>
      <c r="E97" s="290">
        <v>0</v>
      </c>
      <c r="F97" s="290">
        <v>0</v>
      </c>
      <c r="G97" s="287"/>
    </row>
    <row r="98" spans="1:68">
      <c r="B98" s="66">
        <f>SUM(B81:B97)</f>
        <v>0</v>
      </c>
      <c r="C98" s="66">
        <f t="shared" ref="C98:F98" si="13">SUM(C81:C97)</f>
        <v>0</v>
      </c>
      <c r="D98" s="66">
        <f t="shared" si="13"/>
        <v>0</v>
      </c>
      <c r="E98" s="66">
        <f t="shared" si="13"/>
        <v>0</v>
      </c>
      <c r="F98" s="66">
        <f t="shared" si="13"/>
        <v>0</v>
      </c>
    </row>
    <row r="99" spans="1:68">
      <c r="A99" s="3" t="s">
        <v>475</v>
      </c>
      <c r="B99" s="3"/>
      <c r="C99" s="3"/>
      <c r="D99" s="3"/>
      <c r="E99" s="3"/>
      <c r="F99" s="3"/>
      <c r="G99" s="3"/>
    </row>
    <row r="100" spans="1:68">
      <c r="A100" s="1" t="s">
        <v>476</v>
      </c>
      <c r="B100" s="290">
        <v>0</v>
      </c>
      <c r="E100" s="290"/>
      <c r="F100" s="366"/>
      <c r="G100" s="287"/>
    </row>
    <row r="101" spans="1:68">
      <c r="A101" s="1" t="s">
        <v>477</v>
      </c>
      <c r="B101" s="290">
        <v>0</v>
      </c>
      <c r="E101" s="290">
        <v>0</v>
      </c>
      <c r="F101" s="366"/>
      <c r="G101" s="287"/>
    </row>
    <row r="102" spans="1:68">
      <c r="A102" s="1" t="s">
        <v>478</v>
      </c>
      <c r="B102" s="290">
        <v>0</v>
      </c>
      <c r="E102" s="290">
        <v>0</v>
      </c>
      <c r="F102" s="366"/>
      <c r="G102" s="287"/>
    </row>
    <row r="103" spans="1:68">
      <c r="A103" s="291" t="str">
        <f t="shared" ref="A103:A105" si="14">"Other (Specify)"</f>
        <v>Other (Specify)</v>
      </c>
      <c r="B103" s="290">
        <v>0</v>
      </c>
      <c r="E103" s="290">
        <v>0</v>
      </c>
      <c r="F103" s="366"/>
      <c r="G103" s="287"/>
    </row>
    <row r="104" spans="1:68">
      <c r="A104" s="291" t="str">
        <f t="shared" si="14"/>
        <v>Other (Specify)</v>
      </c>
      <c r="B104" s="290">
        <v>0</v>
      </c>
      <c r="E104" s="290">
        <v>0</v>
      </c>
      <c r="F104" s="366"/>
      <c r="G104" s="287"/>
    </row>
    <row r="105" spans="1:68">
      <c r="A105" s="291" t="str">
        <f t="shared" si="14"/>
        <v>Other (Specify)</v>
      </c>
      <c r="B105" s="290">
        <v>0</v>
      </c>
      <c r="E105" s="290">
        <v>0</v>
      </c>
      <c r="F105" s="366"/>
      <c r="G105" s="287"/>
    </row>
    <row r="106" spans="1:68">
      <c r="B106" s="66">
        <f>SUM(B100:B105)</f>
        <v>0</v>
      </c>
      <c r="E106" s="66">
        <f t="shared" ref="E106" si="15">SUM(E100:E105)</f>
        <v>0</v>
      </c>
      <c r="F106" s="66"/>
    </row>
    <row r="107" spans="1:68">
      <c r="A107" s="3" t="s">
        <v>479</v>
      </c>
      <c r="B107" s="3"/>
      <c r="C107" s="3"/>
      <c r="D107" s="3"/>
      <c r="E107" s="3"/>
      <c r="F107" s="3"/>
      <c r="G107" s="3"/>
    </row>
    <row r="108" spans="1:68">
      <c r="A108" s="1" t="s">
        <v>480</v>
      </c>
      <c r="B108" s="290">
        <v>0</v>
      </c>
      <c r="C108" s="290">
        <v>0</v>
      </c>
      <c r="D108" s="290">
        <v>0</v>
      </c>
      <c r="E108" s="290">
        <v>0</v>
      </c>
      <c r="F108" s="290">
        <v>0</v>
      </c>
      <c r="G108" s="287"/>
    </row>
    <row r="109" spans="1:68">
      <c r="A109" s="1" t="s">
        <v>481</v>
      </c>
      <c r="B109" s="290">
        <v>0</v>
      </c>
      <c r="C109" s="290">
        <v>0</v>
      </c>
      <c r="D109" s="290">
        <v>0</v>
      </c>
      <c r="E109" s="290">
        <v>0</v>
      </c>
      <c r="F109" s="290">
        <v>0</v>
      </c>
      <c r="G109" s="287"/>
    </row>
    <row r="110" spans="1:68">
      <c r="A110" s="1" t="s">
        <v>482</v>
      </c>
      <c r="B110" s="290">
        <v>0</v>
      </c>
      <c r="C110" s="290">
        <v>0</v>
      </c>
      <c r="D110" s="290">
        <v>0</v>
      </c>
      <c r="E110" s="290">
        <v>0</v>
      </c>
      <c r="F110" s="290">
        <v>0</v>
      </c>
      <c r="G110" s="287"/>
    </row>
    <row r="111" spans="1:68" s="16" customFormat="1">
      <c r="A111" s="1" t="s">
        <v>483</v>
      </c>
      <c r="B111" s="290">
        <v>0</v>
      </c>
      <c r="C111" s="290">
        <v>0</v>
      </c>
      <c r="D111" s="290">
        <v>0</v>
      </c>
      <c r="E111" s="290">
        <v>0</v>
      </c>
      <c r="F111" s="290">
        <v>0</v>
      </c>
      <c r="G111" s="287"/>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row>
    <row r="112" spans="1:68">
      <c r="A112" s="1" t="s">
        <v>484</v>
      </c>
      <c r="B112" s="290">
        <v>0</v>
      </c>
      <c r="C112" s="290">
        <v>0</v>
      </c>
      <c r="D112" s="290">
        <v>0</v>
      </c>
      <c r="E112" s="290">
        <v>0</v>
      </c>
      <c r="F112" s="290">
        <v>0</v>
      </c>
      <c r="G112" s="287"/>
    </row>
    <row r="113" spans="1:7">
      <c r="A113" s="1" t="s">
        <v>485</v>
      </c>
      <c r="B113" s="290">
        <v>0</v>
      </c>
      <c r="C113" s="290">
        <v>0</v>
      </c>
      <c r="D113" s="290">
        <v>0</v>
      </c>
      <c r="E113" s="290">
        <v>0</v>
      </c>
      <c r="F113" s="290">
        <v>0</v>
      </c>
      <c r="G113" s="287"/>
    </row>
    <row r="114" spans="1:7">
      <c r="A114" s="1" t="s">
        <v>486</v>
      </c>
      <c r="B114" s="290">
        <v>0</v>
      </c>
      <c r="C114" s="290">
        <v>0</v>
      </c>
      <c r="D114" s="290">
        <v>0</v>
      </c>
      <c r="E114" s="290">
        <v>0</v>
      </c>
      <c r="F114" s="290">
        <v>0</v>
      </c>
      <c r="G114" s="287"/>
    </row>
    <row r="115" spans="1:7">
      <c r="B115" s="66">
        <f>SUM(B108:B114)</f>
        <v>0</v>
      </c>
      <c r="C115" s="66">
        <f t="shared" ref="C115:F115" si="16">SUM(C108:C114)</f>
        <v>0</v>
      </c>
      <c r="D115" s="66">
        <f t="shared" si="16"/>
        <v>0</v>
      </c>
      <c r="E115" s="66">
        <f t="shared" si="16"/>
        <v>0</v>
      </c>
      <c r="F115" s="66">
        <f t="shared" si="16"/>
        <v>0</v>
      </c>
    </row>
    <row r="116" spans="1:7">
      <c r="A116" s="3" t="s">
        <v>487</v>
      </c>
      <c r="B116" s="3"/>
      <c r="C116" s="3"/>
      <c r="D116" s="3"/>
      <c r="E116" s="3"/>
      <c r="F116" s="3"/>
      <c r="G116" s="3"/>
    </row>
    <row r="117" spans="1:7">
      <c r="A117" s="1" t="s">
        <v>488</v>
      </c>
      <c r="B117" s="290">
        <v>0</v>
      </c>
      <c r="E117" s="290">
        <v>0</v>
      </c>
      <c r="F117" s="366"/>
      <c r="G117" s="287"/>
    </row>
    <row r="118" spans="1:7">
      <c r="A118" s="1" t="s">
        <v>489</v>
      </c>
      <c r="B118" s="290">
        <v>0</v>
      </c>
      <c r="E118" s="290">
        <v>0</v>
      </c>
      <c r="F118" s="366"/>
      <c r="G118" s="287"/>
    </row>
    <row r="119" spans="1:7">
      <c r="A119" s="1" t="s">
        <v>490</v>
      </c>
      <c r="B119" s="290">
        <v>0</v>
      </c>
      <c r="E119" s="290">
        <v>0</v>
      </c>
      <c r="F119" s="366"/>
      <c r="G119" s="287"/>
    </row>
    <row r="120" spans="1:7">
      <c r="A120" s="1" t="s">
        <v>491</v>
      </c>
      <c r="B120" s="290">
        <v>0</v>
      </c>
      <c r="E120" s="290">
        <v>0</v>
      </c>
      <c r="F120" s="366"/>
      <c r="G120" s="287"/>
    </row>
    <row r="121" spans="1:7">
      <c r="A121" s="291" t="str">
        <f t="shared" ref="A121:A122" si="17">"Other (Specify)"</f>
        <v>Other (Specify)</v>
      </c>
      <c r="B121" s="290">
        <v>0</v>
      </c>
      <c r="E121" s="290">
        <v>0</v>
      </c>
      <c r="F121" s="366"/>
      <c r="G121" s="287"/>
    </row>
    <row r="122" spans="1:7">
      <c r="A122" s="291" t="str">
        <f t="shared" si="17"/>
        <v>Other (Specify)</v>
      </c>
      <c r="B122" s="290">
        <v>0</v>
      </c>
      <c r="E122" s="290">
        <v>0</v>
      </c>
      <c r="F122" s="366"/>
      <c r="G122" s="287"/>
    </row>
    <row r="123" spans="1:7" ht="15.75" thickBot="1">
      <c r="B123" s="66">
        <f>SUM(B117:B122)</f>
        <v>0</v>
      </c>
      <c r="E123" s="66">
        <f t="shared" ref="E123" si="18">SUM(E117:E122)</f>
        <v>0</v>
      </c>
      <c r="F123" s="366"/>
      <c r="G123" s="320"/>
    </row>
    <row r="124" spans="1:7" ht="15.75" thickTop="1">
      <c r="A124" s="68" t="s">
        <v>377</v>
      </c>
      <c r="B124" s="448">
        <f>SUM(B4:B6,B9:B10,B13:B26,B29:B42,B45:B62,B65:B78,B81:B97,B100:B105,B108:B114,B117:B122)</f>
        <v>0</v>
      </c>
      <c r="C124" s="448">
        <f t="shared" ref="C124:E124" si="19">SUM(C4:C6,C9:C10,C13:C26,C29:C42,C45:C62,C65:C78,C81:C97,C100:C105,C108:C114,C117:C122)</f>
        <v>0</v>
      </c>
      <c r="D124" s="448">
        <f t="shared" si="19"/>
        <v>0</v>
      </c>
      <c r="E124" s="448">
        <f t="shared" si="19"/>
        <v>0</v>
      </c>
      <c r="F124" s="448">
        <f>SUM(F4:F6,F9,F13:F26,F29:F42,F45:F62,F82:F97,F108:F114)</f>
        <v>0</v>
      </c>
      <c r="G124" s="448"/>
    </row>
    <row r="126" spans="1:7">
      <c r="A126" t="s">
        <v>492</v>
      </c>
    </row>
  </sheetData>
  <sheetProtection algorithmName="SHA-512" hashValue="y1jnsEx5SVnM0fk7X16ms7BEBfiBvE1VWi2I0zcY23HgsuAUMaQFnIOuH8OxH7IeIS5sS5mhYvEdXmbHIT4GAg==" saltValue="1wOtxwylJi+CFgvuTBfBVw==" spinCount="100000" sheet="1" objects="1" scenarios="1"/>
  <dataValidations count="1">
    <dataValidation type="whole" allowBlank="1" showInputMessage="1" showErrorMessage="1" errorTitle="Whole Numbers Only" error="All numbers on development budget must be entered as a whole number." sqref="C5 B4:B6 B45:F62 B9:F10 E4:F6 B29:F42 B117:B122 B65:B78 E65:F78 B81:B97 C82:D87 C90:D97 E81:F97 B100:B105 E100:F105 B108:F114 E117:F122 B13:F26" xr:uid="{00000000-0002-0000-0600-000000000000}">
      <formula1>0</formula1>
      <formula2>100000000</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92D050"/>
  </sheetPr>
  <dimension ref="A1:D98"/>
  <sheetViews>
    <sheetView showGridLines="0" workbookViewId="0"/>
  </sheetViews>
  <sheetFormatPr defaultRowHeight="15"/>
  <cols>
    <col min="1" max="1" width="47.5703125" customWidth="1"/>
    <col min="2" max="2" width="18" customWidth="1"/>
    <col min="3" max="3" width="19.140625" customWidth="1"/>
  </cols>
  <sheetData>
    <row r="1" spans="1:4" ht="21">
      <c r="A1" s="4" t="s">
        <v>493</v>
      </c>
      <c r="B1" s="4"/>
      <c r="C1" s="4"/>
    </row>
    <row r="2" spans="1:4">
      <c r="B2" s="1" t="s">
        <v>395</v>
      </c>
    </row>
    <row r="3" spans="1:4" ht="30">
      <c r="A3" s="3" t="s">
        <v>396</v>
      </c>
      <c r="B3" s="3" t="s">
        <v>397</v>
      </c>
      <c r="C3" s="511" t="s">
        <v>400</v>
      </c>
      <c r="D3" s="10" t="s">
        <v>494</v>
      </c>
    </row>
    <row r="4" spans="1:4">
      <c r="A4" s="1" t="s">
        <v>403</v>
      </c>
      <c r="B4" s="290">
        <v>0</v>
      </c>
      <c r="C4" s="290">
        <v>0</v>
      </c>
    </row>
    <row r="5" spans="1:4">
      <c r="A5" s="1" t="s">
        <v>404</v>
      </c>
      <c r="B5" s="290">
        <v>0</v>
      </c>
      <c r="C5" s="290">
        <v>0</v>
      </c>
    </row>
    <row r="6" spans="1:4">
      <c r="A6" s="1" t="s">
        <v>405</v>
      </c>
      <c r="B6" s="290">
        <v>0</v>
      </c>
      <c r="C6" s="290">
        <v>0</v>
      </c>
    </row>
    <row r="7" spans="1:4">
      <c r="B7" s="66">
        <f>SUM(B4:B6)</f>
        <v>0</v>
      </c>
      <c r="C7" s="66">
        <f>SUM(C4:C6)</f>
        <v>0</v>
      </c>
    </row>
    <row r="8" spans="1:4">
      <c r="A8" s="3" t="s">
        <v>406</v>
      </c>
      <c r="B8" s="3"/>
      <c r="C8" s="3"/>
    </row>
    <row r="9" spans="1:4">
      <c r="A9" s="1" t="s">
        <v>407</v>
      </c>
      <c r="B9" s="290">
        <v>0</v>
      </c>
      <c r="C9" s="290">
        <v>0</v>
      </c>
    </row>
    <row r="10" spans="1:4">
      <c r="A10" s="1" t="s">
        <v>408</v>
      </c>
      <c r="B10" s="290">
        <v>0</v>
      </c>
      <c r="C10" s="290">
        <v>0</v>
      </c>
    </row>
    <row r="11" spans="1:4">
      <c r="B11" s="66">
        <f>SUM(B9:B10)</f>
        <v>0</v>
      </c>
      <c r="C11" s="66">
        <f>SUM(C9:C10)</f>
        <v>0</v>
      </c>
    </row>
    <row r="12" spans="1:4">
      <c r="A12" s="3" t="s">
        <v>409</v>
      </c>
      <c r="B12" s="3"/>
      <c r="C12" s="3"/>
    </row>
    <row r="13" spans="1:4">
      <c r="A13" s="1" t="s">
        <v>410</v>
      </c>
      <c r="B13" s="290">
        <v>0</v>
      </c>
      <c r="C13" s="290">
        <v>0</v>
      </c>
    </row>
    <row r="14" spans="1:4">
      <c r="A14" s="1" t="s">
        <v>411</v>
      </c>
      <c r="B14" s="290">
        <v>0</v>
      </c>
      <c r="C14" s="290">
        <v>0</v>
      </c>
    </row>
    <row r="15" spans="1:4">
      <c r="A15" s="1" t="s">
        <v>495</v>
      </c>
      <c r="B15" s="290">
        <v>0</v>
      </c>
      <c r="C15" s="290">
        <v>0</v>
      </c>
    </row>
    <row r="16" spans="1:4">
      <c r="A16" s="1" t="s">
        <v>414</v>
      </c>
      <c r="B16" s="290">
        <v>0</v>
      </c>
      <c r="C16" s="290">
        <v>0</v>
      </c>
    </row>
    <row r="17" spans="1:3">
      <c r="A17" s="1" t="s">
        <v>415</v>
      </c>
      <c r="B17" s="290">
        <v>0</v>
      </c>
      <c r="C17" s="290">
        <v>0</v>
      </c>
    </row>
    <row r="18" spans="1:3">
      <c r="A18" s="1" t="s">
        <v>416</v>
      </c>
      <c r="B18" s="290">
        <v>0</v>
      </c>
      <c r="C18" s="290">
        <v>0</v>
      </c>
    </row>
    <row r="19" spans="1:3">
      <c r="A19" s="1" t="s">
        <v>496</v>
      </c>
      <c r="B19" s="290">
        <v>0</v>
      </c>
      <c r="C19" s="290">
        <v>0</v>
      </c>
    </row>
    <row r="20" spans="1:3">
      <c r="A20" s="1" t="s">
        <v>420</v>
      </c>
      <c r="B20" s="290">
        <v>0</v>
      </c>
      <c r="C20" s="290">
        <v>0</v>
      </c>
    </row>
    <row r="21" spans="1:3">
      <c r="A21" s="291" t="str">
        <f>"Other (Specify)"</f>
        <v>Other (Specify)</v>
      </c>
      <c r="B21" s="290">
        <v>0</v>
      </c>
      <c r="C21" s="290">
        <v>0</v>
      </c>
    </row>
    <row r="22" spans="1:3">
      <c r="A22" s="291" t="str">
        <f>"Other (Specify)"</f>
        <v>Other (Specify)</v>
      </c>
      <c r="B22" s="290">
        <v>0</v>
      </c>
      <c r="C22" s="290">
        <v>0</v>
      </c>
    </row>
    <row r="23" spans="1:3">
      <c r="A23" s="291" t="str">
        <f>"Other (Specify)"</f>
        <v>Other (Specify)</v>
      </c>
      <c r="B23" s="290">
        <v>0</v>
      </c>
      <c r="C23" s="290">
        <v>0</v>
      </c>
    </row>
    <row r="24" spans="1:3">
      <c r="B24" s="66">
        <f>SUM(B13:B23)</f>
        <v>0</v>
      </c>
      <c r="C24" s="66">
        <f>SUM(C13:C23)</f>
        <v>0</v>
      </c>
    </row>
    <row r="25" spans="1:3">
      <c r="A25" s="3" t="s">
        <v>421</v>
      </c>
      <c r="B25" s="3"/>
      <c r="C25" s="3"/>
    </row>
    <row r="26" spans="1:3">
      <c r="A26" s="1" t="s">
        <v>422</v>
      </c>
      <c r="B26" s="290">
        <v>0</v>
      </c>
      <c r="C26" s="290">
        <v>0</v>
      </c>
    </row>
    <row r="27" spans="1:3">
      <c r="A27" s="1" t="s">
        <v>497</v>
      </c>
      <c r="B27" s="290">
        <v>0</v>
      </c>
      <c r="C27" s="290">
        <v>0</v>
      </c>
    </row>
    <row r="28" spans="1:3">
      <c r="A28" s="1" t="s">
        <v>429</v>
      </c>
      <c r="B28" s="290">
        <v>0</v>
      </c>
      <c r="C28" s="290">
        <v>0</v>
      </c>
    </row>
    <row r="29" spans="1:3">
      <c r="A29" s="1" t="s">
        <v>498</v>
      </c>
      <c r="B29" s="290">
        <v>0</v>
      </c>
      <c r="C29" s="290">
        <v>0</v>
      </c>
    </row>
    <row r="30" spans="1:3">
      <c r="A30" s="1" t="s">
        <v>499</v>
      </c>
      <c r="B30" s="290">
        <v>0</v>
      </c>
      <c r="C30" s="290">
        <v>0</v>
      </c>
    </row>
    <row r="31" spans="1:3">
      <c r="A31" s="291" t="str">
        <f>"Other (Specify)"</f>
        <v>Other (Specify)</v>
      </c>
      <c r="B31" s="290">
        <v>0</v>
      </c>
      <c r="C31" s="290">
        <v>0</v>
      </c>
    </row>
    <row r="32" spans="1:3">
      <c r="A32" s="291" t="str">
        <f>"Other (Specify)"</f>
        <v>Other (Specify)</v>
      </c>
      <c r="B32" s="290">
        <v>0</v>
      </c>
      <c r="C32" s="290">
        <v>0</v>
      </c>
    </row>
    <row r="33" spans="1:3">
      <c r="A33" s="1" t="s">
        <v>500</v>
      </c>
      <c r="B33" s="290">
        <v>0</v>
      </c>
      <c r="C33" s="290">
        <v>0</v>
      </c>
    </row>
    <row r="34" spans="1:3">
      <c r="B34" s="66">
        <f>SUM(B26:B33)</f>
        <v>0</v>
      </c>
      <c r="C34" s="66">
        <f>SUM(C26:C33)</f>
        <v>0</v>
      </c>
    </row>
    <row r="35" spans="1:3">
      <c r="A35" s="3" t="s">
        <v>432</v>
      </c>
      <c r="B35" s="3"/>
      <c r="C35" s="3"/>
    </row>
    <row r="36" spans="1:3">
      <c r="A36" s="1" t="s">
        <v>433</v>
      </c>
      <c r="B36" s="290">
        <v>0</v>
      </c>
      <c r="C36" s="290">
        <v>0</v>
      </c>
    </row>
    <row r="37" spans="1:3">
      <c r="A37" s="1" t="s">
        <v>434</v>
      </c>
      <c r="B37" s="290">
        <v>0</v>
      </c>
      <c r="C37" s="290">
        <v>0</v>
      </c>
    </row>
    <row r="38" spans="1:3">
      <c r="A38" s="1" t="s">
        <v>435</v>
      </c>
      <c r="B38" s="290">
        <v>0</v>
      </c>
      <c r="C38" s="290">
        <v>0</v>
      </c>
    </row>
    <row r="39" spans="1:3">
      <c r="A39" s="1" t="s">
        <v>501</v>
      </c>
      <c r="B39" s="290">
        <v>0</v>
      </c>
      <c r="C39" s="290">
        <v>0</v>
      </c>
    </row>
    <row r="40" spans="1:3">
      <c r="A40" s="1" t="s">
        <v>436</v>
      </c>
      <c r="B40" s="290">
        <v>0</v>
      </c>
      <c r="C40" s="290">
        <v>0</v>
      </c>
    </row>
    <row r="41" spans="1:3">
      <c r="A41" s="1" t="s">
        <v>437</v>
      </c>
      <c r="B41" s="290">
        <v>0</v>
      </c>
      <c r="C41" s="290">
        <v>0</v>
      </c>
    </row>
    <row r="42" spans="1:3">
      <c r="A42" s="1" t="s">
        <v>438</v>
      </c>
      <c r="B42" s="290">
        <v>0</v>
      </c>
      <c r="C42" s="290">
        <v>0</v>
      </c>
    </row>
    <row r="43" spans="1:3">
      <c r="A43" s="1" t="s">
        <v>451</v>
      </c>
      <c r="B43" s="290">
        <v>0</v>
      </c>
      <c r="C43" s="290">
        <v>0</v>
      </c>
    </row>
    <row r="44" spans="1:3">
      <c r="A44" s="1" t="s">
        <v>502</v>
      </c>
      <c r="B44" s="290">
        <v>0</v>
      </c>
      <c r="C44" s="290">
        <v>0</v>
      </c>
    </row>
    <row r="45" spans="1:3">
      <c r="A45" s="1" t="s">
        <v>443</v>
      </c>
      <c r="B45" s="290">
        <v>0</v>
      </c>
      <c r="C45" s="290">
        <v>0</v>
      </c>
    </row>
    <row r="46" spans="1:3">
      <c r="A46" s="1" t="s">
        <v>455</v>
      </c>
      <c r="B46" s="290">
        <v>0</v>
      </c>
      <c r="C46" s="290">
        <v>0</v>
      </c>
    </row>
    <row r="47" spans="1:3">
      <c r="A47" s="1" t="s">
        <v>503</v>
      </c>
      <c r="B47" s="290">
        <v>0</v>
      </c>
      <c r="C47" s="290">
        <v>0</v>
      </c>
    </row>
    <row r="48" spans="1:3">
      <c r="A48" s="291" t="str">
        <f>"Other (Specify)"</f>
        <v>Other (Specify)</v>
      </c>
      <c r="B48" s="290">
        <v>0</v>
      </c>
      <c r="C48" s="290">
        <v>0</v>
      </c>
    </row>
    <row r="49" spans="1:3">
      <c r="A49" s="291" t="str">
        <f>"Other (Specify)"</f>
        <v>Other (Specify)</v>
      </c>
      <c r="B49" s="290">
        <v>0</v>
      </c>
      <c r="C49" s="290">
        <v>0</v>
      </c>
    </row>
    <row r="50" spans="1:3">
      <c r="A50" s="291" t="str">
        <f>"Other (Specify)"</f>
        <v>Other (Specify)</v>
      </c>
      <c r="B50" s="290">
        <v>0</v>
      </c>
      <c r="C50" s="290">
        <v>0</v>
      </c>
    </row>
    <row r="51" spans="1:3">
      <c r="B51" s="66">
        <f>SUM(B36:B50)</f>
        <v>0</v>
      </c>
      <c r="C51" s="66">
        <f>SUM(C36:C50)</f>
        <v>0</v>
      </c>
    </row>
    <row r="52" spans="1:3">
      <c r="A52" s="3" t="s">
        <v>448</v>
      </c>
      <c r="B52" s="3"/>
      <c r="C52" s="3"/>
    </row>
    <row r="53" spans="1:3">
      <c r="A53" s="1" t="s">
        <v>449</v>
      </c>
      <c r="B53" s="290">
        <v>0</v>
      </c>
      <c r="C53" s="290">
        <v>0</v>
      </c>
    </row>
    <row r="54" spans="1:3">
      <c r="A54" s="1" t="s">
        <v>450</v>
      </c>
      <c r="B54" s="290">
        <v>0</v>
      </c>
      <c r="C54" s="290">
        <v>0</v>
      </c>
    </row>
    <row r="55" spans="1:3">
      <c r="A55" s="1" t="s">
        <v>452</v>
      </c>
      <c r="B55" s="290">
        <v>0</v>
      </c>
      <c r="C55" s="290">
        <v>0</v>
      </c>
    </row>
    <row r="56" spans="1:3">
      <c r="A56" s="1" t="s">
        <v>453</v>
      </c>
      <c r="B56" s="290">
        <v>0</v>
      </c>
      <c r="C56" s="290">
        <v>0</v>
      </c>
    </row>
    <row r="57" spans="1:3">
      <c r="A57" s="1" t="s">
        <v>454</v>
      </c>
      <c r="B57" s="290">
        <v>0</v>
      </c>
      <c r="C57" s="290">
        <v>0</v>
      </c>
    </row>
    <row r="58" spans="1:3">
      <c r="A58" s="1" t="s">
        <v>443</v>
      </c>
      <c r="B58" s="290">
        <v>0</v>
      </c>
      <c r="C58" s="290">
        <v>0</v>
      </c>
    </row>
    <row r="59" spans="1:3">
      <c r="A59" s="1" t="s">
        <v>455</v>
      </c>
      <c r="B59" s="290">
        <v>0</v>
      </c>
      <c r="C59" s="290">
        <v>0</v>
      </c>
    </row>
    <row r="60" spans="1:3">
      <c r="A60" s="1" t="s">
        <v>456</v>
      </c>
      <c r="B60" s="290">
        <v>0</v>
      </c>
      <c r="C60" s="290">
        <v>0</v>
      </c>
    </row>
    <row r="61" spans="1:3">
      <c r="A61" s="291" t="str">
        <f>"Other (Specify)"</f>
        <v>Other (Specify)</v>
      </c>
      <c r="B61" s="290">
        <v>0</v>
      </c>
      <c r="C61" s="290">
        <v>0</v>
      </c>
    </row>
    <row r="62" spans="1:3">
      <c r="A62" s="291" t="str">
        <f>"Other (Specify)"</f>
        <v>Other (Specify)</v>
      </c>
      <c r="B62" s="290">
        <v>0</v>
      </c>
      <c r="C62" s="290">
        <v>0</v>
      </c>
    </row>
    <row r="63" spans="1:3">
      <c r="A63" s="291" t="str">
        <f>"Other (Specify)"</f>
        <v>Other (Specify)</v>
      </c>
      <c r="B63" s="290">
        <v>0</v>
      </c>
      <c r="C63" s="290">
        <v>0</v>
      </c>
    </row>
    <row r="64" spans="1:3">
      <c r="B64" s="66">
        <f>SUM(B53:B63)</f>
        <v>0</v>
      </c>
      <c r="C64" s="66">
        <f>SUM(C53:C63)</f>
        <v>0</v>
      </c>
    </row>
    <row r="65" spans="1:3">
      <c r="A65" s="3" t="s">
        <v>459</v>
      </c>
      <c r="B65" s="3"/>
      <c r="C65" s="3"/>
    </row>
    <row r="66" spans="1:3">
      <c r="A66" s="1" t="s">
        <v>504</v>
      </c>
      <c r="B66" s="290">
        <v>0</v>
      </c>
      <c r="C66" s="290">
        <v>0</v>
      </c>
    </row>
    <row r="67" spans="1:3">
      <c r="A67" s="1" t="s">
        <v>465</v>
      </c>
      <c r="B67" s="290">
        <v>0</v>
      </c>
      <c r="C67" s="290">
        <v>0</v>
      </c>
    </row>
    <row r="68" spans="1:3">
      <c r="A68" s="1" t="s">
        <v>505</v>
      </c>
      <c r="B68" s="290">
        <v>0</v>
      </c>
      <c r="C68" s="290">
        <v>0</v>
      </c>
    </row>
    <row r="69" spans="1:3">
      <c r="A69" s="1" t="s">
        <v>468</v>
      </c>
      <c r="B69" s="290">
        <v>0</v>
      </c>
      <c r="C69" s="290">
        <v>0</v>
      </c>
    </row>
    <row r="70" spans="1:3">
      <c r="A70" s="1" t="s">
        <v>469</v>
      </c>
      <c r="B70" s="290">
        <v>0</v>
      </c>
      <c r="C70" s="290">
        <v>0</v>
      </c>
    </row>
    <row r="71" spans="1:3">
      <c r="A71" s="1" t="s">
        <v>464</v>
      </c>
      <c r="B71" s="290">
        <v>0</v>
      </c>
      <c r="C71" s="290">
        <v>0</v>
      </c>
    </row>
    <row r="72" spans="1:3">
      <c r="A72" s="1" t="s">
        <v>470</v>
      </c>
      <c r="B72" s="290">
        <v>0</v>
      </c>
      <c r="C72" s="290">
        <v>0</v>
      </c>
    </row>
    <row r="73" spans="1:3">
      <c r="A73" s="291" t="str">
        <f>"Other (Specify)"</f>
        <v>Other (Specify)</v>
      </c>
      <c r="B73" s="290">
        <v>0</v>
      </c>
      <c r="C73" s="290">
        <v>0</v>
      </c>
    </row>
    <row r="74" spans="1:3">
      <c r="A74" s="291" t="str">
        <f>"Other (Specify)"</f>
        <v>Other (Specify)</v>
      </c>
      <c r="B74" s="290">
        <v>0</v>
      </c>
      <c r="C74" s="290">
        <v>0</v>
      </c>
    </row>
    <row r="75" spans="1:3">
      <c r="A75" s="291" t="str">
        <f>"Other (Specify)"</f>
        <v>Other (Specify)</v>
      </c>
      <c r="B75" s="290">
        <v>0</v>
      </c>
      <c r="C75" s="290">
        <v>0</v>
      </c>
    </row>
    <row r="76" spans="1:3">
      <c r="B76" s="66">
        <f>SUM(B66:B75)</f>
        <v>0</v>
      </c>
      <c r="C76" s="66">
        <f>SUM(C66:C75)</f>
        <v>0</v>
      </c>
    </row>
    <row r="77" spans="1:3">
      <c r="A77" s="3" t="s">
        <v>475</v>
      </c>
      <c r="B77" s="3"/>
      <c r="C77" s="3"/>
    </row>
    <row r="78" spans="1:3">
      <c r="A78" s="1" t="s">
        <v>476</v>
      </c>
      <c r="B78" s="290">
        <v>0</v>
      </c>
      <c r="C78" s="290">
        <v>0</v>
      </c>
    </row>
    <row r="79" spans="1:3">
      <c r="A79" s="1" t="s">
        <v>446</v>
      </c>
      <c r="B79" s="290">
        <v>0</v>
      </c>
      <c r="C79" s="290">
        <v>0</v>
      </c>
    </row>
    <row r="80" spans="1:3">
      <c r="A80" s="1" t="s">
        <v>477</v>
      </c>
      <c r="B80" s="290">
        <v>0</v>
      </c>
      <c r="C80" s="290">
        <v>0</v>
      </c>
    </row>
    <row r="81" spans="1:3">
      <c r="A81" s="291" t="str">
        <f>"Other (Specify)"</f>
        <v>Other (Specify)</v>
      </c>
      <c r="B81" s="290">
        <v>0</v>
      </c>
      <c r="C81" s="290">
        <v>0</v>
      </c>
    </row>
    <row r="82" spans="1:3">
      <c r="A82" s="291" t="str">
        <f>"Other (Specify)"</f>
        <v>Other (Specify)</v>
      </c>
      <c r="B82" s="290">
        <v>0</v>
      </c>
      <c r="C82" s="290">
        <v>0</v>
      </c>
    </row>
    <row r="83" spans="1:3">
      <c r="A83" s="1" t="s">
        <v>506</v>
      </c>
      <c r="B83" s="290">
        <v>0</v>
      </c>
      <c r="C83" s="290">
        <v>0</v>
      </c>
    </row>
    <row r="84" spans="1:3">
      <c r="B84" s="66">
        <f>SUM(B78:B83)</f>
        <v>0</v>
      </c>
      <c r="C84" s="66">
        <f>SUM(C78:C83)</f>
        <v>0</v>
      </c>
    </row>
    <row r="85" spans="1:3">
      <c r="A85" s="3" t="s">
        <v>479</v>
      </c>
      <c r="B85" s="3"/>
      <c r="C85" s="3"/>
    </row>
    <row r="86" spans="1:3">
      <c r="A86" s="1" t="s">
        <v>480</v>
      </c>
      <c r="B86" s="290">
        <v>0</v>
      </c>
      <c r="C86" s="290">
        <v>0</v>
      </c>
    </row>
    <row r="87" spans="1:3">
      <c r="A87" s="1" t="s">
        <v>481</v>
      </c>
      <c r="B87" s="290">
        <v>0</v>
      </c>
      <c r="C87" s="290">
        <v>0</v>
      </c>
    </row>
    <row r="88" spans="1:3">
      <c r="A88" s="1" t="s">
        <v>482</v>
      </c>
      <c r="B88" s="290">
        <v>0</v>
      </c>
      <c r="C88" s="290">
        <v>0</v>
      </c>
    </row>
    <row r="89" spans="1:3">
      <c r="A89" s="291" t="str">
        <f>"Other (Specify)"</f>
        <v>Other (Specify)</v>
      </c>
      <c r="B89" s="290">
        <v>0</v>
      </c>
      <c r="C89" s="290">
        <v>0</v>
      </c>
    </row>
    <row r="90" spans="1:3">
      <c r="B90" s="66">
        <f>SUM(B86:B89)</f>
        <v>0</v>
      </c>
      <c r="C90" s="66">
        <f>SUM(C86:C89)</f>
        <v>0</v>
      </c>
    </row>
    <row r="91" spans="1:3">
      <c r="A91" s="3" t="s">
        <v>487</v>
      </c>
      <c r="B91" s="3"/>
      <c r="C91" s="3"/>
    </row>
    <row r="92" spans="1:3">
      <c r="A92" s="1" t="s">
        <v>488</v>
      </c>
      <c r="B92" s="290">
        <v>0</v>
      </c>
      <c r="C92" s="290">
        <v>0</v>
      </c>
    </row>
    <row r="93" spans="1:3">
      <c r="A93" s="1" t="s">
        <v>489</v>
      </c>
      <c r="B93" s="290">
        <v>0</v>
      </c>
      <c r="C93" s="290">
        <v>0</v>
      </c>
    </row>
    <row r="94" spans="1:3">
      <c r="A94" s="1" t="s">
        <v>490</v>
      </c>
      <c r="B94" s="290">
        <v>0</v>
      </c>
      <c r="C94" s="290">
        <v>0</v>
      </c>
    </row>
    <row r="95" spans="1:3">
      <c r="A95" s="1" t="s">
        <v>507</v>
      </c>
      <c r="B95" s="290">
        <v>0</v>
      </c>
      <c r="C95" s="290">
        <v>0</v>
      </c>
    </row>
    <row r="96" spans="1:3">
      <c r="A96" s="291" t="str">
        <f>"Other (Specify)"</f>
        <v>Other (Specify)</v>
      </c>
      <c r="B96" s="290">
        <v>0</v>
      </c>
      <c r="C96" s="290">
        <v>0</v>
      </c>
    </row>
    <row r="97" spans="1:3" ht="15.75" thickBot="1">
      <c r="B97" s="66">
        <f>SUM(B92:B96)</f>
        <v>0</v>
      </c>
      <c r="C97" s="66">
        <f>SUM(C92:C96)</f>
        <v>0</v>
      </c>
    </row>
    <row r="98" spans="1:3" ht="15.75" thickTop="1">
      <c r="A98" s="68" t="s">
        <v>377</v>
      </c>
      <c r="B98" s="448">
        <f>SUM(B4:B6,B9:B10,B13:B23,B26:B33,B36:B50,B53:B63,B66:B75,B78:B83, B86:B89, B92:B96)</f>
        <v>0</v>
      </c>
      <c r="C98" s="448">
        <f>SUM(C4:C6,C9:C10,C13:C23,C26:C33,C36:C50,C53:C63,C66:C75,C78:C83, C86:C89, C92:C96)</f>
        <v>0</v>
      </c>
    </row>
  </sheetData>
  <sheetProtection algorithmName="SHA-512" hashValue="iSzPUmWZ09Knbx1QfzcNZiyfVwlEnyGM7EJlzJIOwrteED38DNb+1RyJtMvXtma4hgadbLtPdIbw/vyhDJK1nw==" saltValue="83FbX9jKvlYJSea4R7a4Dg==" spinCount="100000" sheet="1" objects="1" scenarios="1"/>
  <dataValidations count="1">
    <dataValidation type="whole" allowBlank="1" showInputMessage="1" showErrorMessage="1" errorTitle="Whole Numbers Only" error="All numbers on commercial budget must be entered as a whole number." sqref="B4:C6 B9:C10 B13:C23 B26:C33 B36:C50 B53:C63 B66:C75 B78:C83 B86:C89 B92:C96" xr:uid="{00000000-0002-0000-0700-000000000000}">
      <formula1>0</formula1>
      <formula2>100000000</formula2>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92D050"/>
  </sheetPr>
  <dimension ref="A1:G45"/>
  <sheetViews>
    <sheetView showGridLines="0" zoomScaleNormal="100" workbookViewId="0"/>
  </sheetViews>
  <sheetFormatPr defaultRowHeight="15"/>
  <cols>
    <col min="1" max="1" width="88.5703125" customWidth="1"/>
    <col min="2" max="2" width="72" customWidth="1"/>
  </cols>
  <sheetData>
    <row r="1" spans="1:3" ht="21">
      <c r="A1" s="4" t="s">
        <v>66</v>
      </c>
      <c r="B1" s="2"/>
    </row>
    <row r="2" spans="1:3" ht="21">
      <c r="A2" s="904"/>
      <c r="B2" s="904"/>
    </row>
    <row r="3" spans="1:3" ht="21">
      <c r="A3" s="7" t="s">
        <v>508</v>
      </c>
    </row>
    <row r="4" spans="1:3">
      <c r="A4" s="3" t="s">
        <v>509</v>
      </c>
      <c r="B4" s="3"/>
    </row>
    <row r="5" spans="1:3">
      <c r="A5" s="1" t="s">
        <v>510</v>
      </c>
      <c r="B5" s="287"/>
      <c r="C5" s="10" t="s">
        <v>511</v>
      </c>
    </row>
    <row r="6" spans="1:3">
      <c r="C6" s="10" t="s">
        <v>512</v>
      </c>
    </row>
    <row r="7" spans="1:3">
      <c r="A7" s="3" t="s">
        <v>513</v>
      </c>
      <c r="B7" s="3"/>
    </row>
    <row r="8" spans="1:3">
      <c r="A8" s="1" t="s">
        <v>514</v>
      </c>
      <c r="B8" s="287"/>
      <c r="C8" s="10" t="s">
        <v>515</v>
      </c>
    </row>
    <row r="10" spans="1:3">
      <c r="A10" s="3" t="s">
        <v>516</v>
      </c>
      <c r="B10" s="3"/>
      <c r="C10" t="s">
        <v>461</v>
      </c>
    </row>
    <row r="11" spans="1:3">
      <c r="A11" s="1" t="s">
        <v>516</v>
      </c>
      <c r="B11" s="287"/>
      <c r="C11" s="10" t="s">
        <v>4198</v>
      </c>
    </row>
    <row r="13" spans="1:3">
      <c r="A13" s="3" t="s">
        <v>517</v>
      </c>
      <c r="B13" s="3"/>
    </row>
    <row r="14" spans="1:3" ht="45">
      <c r="A14" s="510" t="s">
        <v>518</v>
      </c>
      <c r="B14" s="292"/>
      <c r="C14" s="10" t="s">
        <v>519</v>
      </c>
    </row>
    <row r="16" spans="1:3">
      <c r="A16" s="10" t="s">
        <v>520</v>
      </c>
    </row>
    <row r="18" spans="1:7" ht="21">
      <c r="A18" s="7" t="s">
        <v>521</v>
      </c>
    </row>
    <row r="19" spans="1:7">
      <c r="A19" s="3" t="s">
        <v>858</v>
      </c>
      <c r="B19" s="3"/>
    </row>
    <row r="20" spans="1:7" ht="60">
      <c r="A20" s="510" t="s">
        <v>4208</v>
      </c>
      <c r="B20" s="292"/>
      <c r="C20" s="10" t="s">
        <v>4207</v>
      </c>
    </row>
    <row r="21" spans="1:7" ht="45">
      <c r="A21" s="510" t="s">
        <v>4211</v>
      </c>
      <c r="B21" s="292"/>
      <c r="C21" s="10" t="s">
        <v>4207</v>
      </c>
    </row>
    <row r="22" spans="1:7" ht="15" customHeight="1">
      <c r="A22" s="9"/>
      <c r="B22" s="9"/>
    </row>
    <row r="23" spans="1:7">
      <c r="A23" s="3" t="s">
        <v>522</v>
      </c>
      <c r="B23" s="3"/>
    </row>
    <row r="24" spans="1:7" ht="30">
      <c r="A24" s="510" t="s">
        <v>4206</v>
      </c>
      <c r="B24" s="292"/>
      <c r="C24" s="10" t="s">
        <v>523</v>
      </c>
    </row>
    <row r="25" spans="1:7">
      <c r="A25" s="510" t="s">
        <v>524</v>
      </c>
      <c r="B25" s="292"/>
      <c r="C25" s="10" t="s">
        <v>523</v>
      </c>
    </row>
    <row r="26" spans="1:7" ht="30">
      <c r="A26" s="510" t="s">
        <v>525</v>
      </c>
      <c r="B26" s="292"/>
      <c r="C26" s="10" t="s">
        <v>523</v>
      </c>
      <c r="G26" t="s">
        <v>461</v>
      </c>
    </row>
    <row r="27" spans="1:7" ht="30">
      <c r="A27" s="510" t="s">
        <v>526</v>
      </c>
      <c r="B27" s="292"/>
      <c r="C27" s="10" t="s">
        <v>527</v>
      </c>
      <c r="G27" t="s">
        <v>461</v>
      </c>
    </row>
    <row r="28" spans="1:7" ht="45">
      <c r="A28" s="510" t="s">
        <v>4205</v>
      </c>
      <c r="B28" s="292"/>
      <c r="C28" s="10" t="s">
        <v>519</v>
      </c>
    </row>
    <row r="29" spans="1:7" ht="45">
      <c r="A29" s="510" t="s">
        <v>4209</v>
      </c>
      <c r="B29" s="292"/>
      <c r="C29" s="10" t="s">
        <v>523</v>
      </c>
    </row>
    <row r="30" spans="1:7" ht="45">
      <c r="A30" s="510" t="s">
        <v>4210</v>
      </c>
      <c r="B30" s="292"/>
      <c r="C30" s="10" t="s">
        <v>4199</v>
      </c>
    </row>
    <row r="31" spans="1:7">
      <c r="A31" s="9"/>
      <c r="B31" s="9"/>
    </row>
    <row r="32" spans="1:7">
      <c r="A32" s="3" t="s">
        <v>528</v>
      </c>
      <c r="B32" s="3"/>
      <c r="G32" t="s">
        <v>461</v>
      </c>
    </row>
    <row r="33" spans="1:6" ht="105">
      <c r="A33" s="510" t="s">
        <v>529</v>
      </c>
      <c r="B33" s="292"/>
      <c r="C33" s="10" t="s">
        <v>523</v>
      </c>
    </row>
    <row r="34" spans="1:6" ht="15" customHeight="1">
      <c r="A34" s="9"/>
      <c r="B34" s="9"/>
    </row>
    <row r="35" spans="1:6">
      <c r="A35" s="3" t="s">
        <v>530</v>
      </c>
      <c r="B35" s="3"/>
    </row>
    <row r="36" spans="1:6" ht="30">
      <c r="A36" s="510" t="s">
        <v>531</v>
      </c>
      <c r="B36" s="292"/>
      <c r="C36" s="10" t="s">
        <v>527</v>
      </c>
    </row>
    <row r="38" spans="1:6">
      <c r="A38" s="3" t="s">
        <v>532</v>
      </c>
      <c r="B38" s="3"/>
    </row>
    <row r="39" spans="1:6">
      <c r="A39" s="1" t="s">
        <v>532</v>
      </c>
      <c r="B39" s="292"/>
      <c r="C39" s="10" t="s">
        <v>533</v>
      </c>
    </row>
    <row r="42" spans="1:6">
      <c r="A42" s="305" t="s">
        <v>534</v>
      </c>
    </row>
    <row r="45" spans="1:6">
      <c r="F45" t="s">
        <v>461</v>
      </c>
    </row>
  </sheetData>
  <sheetProtection algorithmName="SHA-512" hashValue="e/AKue0nwVQt2bU1D1XuPTRNnXzf8I+R2MPOGf+jJf42xHOheKAgy4NvfdOTM1GKBD5cc+e+3neGJq70WIze0A==" saltValue="cNIGy6ldBAvVcWzBe1Q6ng==" spinCount="100000" sheet="1" objects="1" scenarios="1"/>
  <mergeCells count="1">
    <mergeCell ref="A2:B2"/>
  </mergeCells>
  <dataValidations count="8">
    <dataValidation type="list" allowBlank="1" showInputMessage="1" showErrorMessage="1" errorTitle="Threshold" error="Please select a valid value for Threshold." sqref="B5" xr:uid="{00000000-0002-0000-0C00-000000000000}">
      <formula1 xml:space="preserve"> Scoring_Threshold_List</formula1>
    </dataValidation>
    <dataValidation type="list" allowBlank="1" showInputMessage="1" showErrorMessage="1" errorTitle="Low-Income Targeting" error="Please select a valid value for Very, Very Low-Income Targeting." sqref="B8" xr:uid="{00000000-0002-0000-0C00-000001000000}">
      <formula1>Very_Very_Low_Income_Targeting_List</formula1>
    </dataValidation>
    <dataValidation type="list" allowBlank="1" showInputMessage="1" showErrorMessage="1" errorTitle="Extended Low-Income Use" error="Please select a valid value for Extended Low-Income Use." sqref="B11" xr:uid="{00000000-0002-0000-0C00-000002000000}">
      <formula1>Extended_Low_Income_Use_List</formula1>
    </dataValidation>
    <dataValidation type="list" allowBlank="1" showInputMessage="1" showErrorMessage="1" errorTitle="Tenant Population" error="Please select a valid value for Tenant Population with Special Housing Needs." sqref="B36" xr:uid="{00000000-0002-0000-0C00-000004000000}">
      <formula1>Tenant_Population_with_Special_Housing_Needs_List</formula1>
    </dataValidation>
    <dataValidation type="list" allowBlank="1" showInputMessage="1" showErrorMessage="1" errorTitle="Qualified Census Tract" error="Please select a valid value for Qualified Census Tract." sqref="B14" xr:uid="{00000000-0002-0000-0C00-000005000000}">
      <formula1>Yes_No_List</formula1>
    </dataValidation>
    <dataValidation type="list" allowBlank="1" showInputMessage="1" showErrorMessage="1" errorTitle="Subsidized Housing Waiting List" error="Please select a valid value for Subsidized Housing Waiting List." sqref="B39" xr:uid="{00000000-0002-0000-0C00-000006000000}">
      <formula1>Yes_No_List</formula1>
    </dataValidation>
    <dataValidation type="list" allowBlank="1" showInputMessage="1" showErrorMessage="1" errorTitle="Applicant Characteristics" error="Please select a valid value for Applicant Characteristics." sqref="B33" xr:uid="{00000000-0002-0000-0C00-000007000000}">
      <formula1>Yes_No_List</formula1>
    </dataValidation>
    <dataValidation type="list" allowBlank="1" showInputMessage="1" showErrorMessage="1" errorTitle="Development Characteristics" error="Please select a valid value for Development Characteristics - Income Mix." sqref="B24:B30 B20:B21" xr:uid="{00000000-0002-0000-0C00-000008000000}">
      <formula1>Yes_No_List</formula1>
    </dataValidation>
  </dataValidations>
  <hyperlinks>
    <hyperlink ref="A42" location="'Tax Credit Details'!B40" tooltip="Show me the Scoring Details" display="Show me the Scoring Details" xr:uid="{00000000-0004-0000-0C00-000000000000}"/>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M U D A A B Q S w M E F A A C A A g A A F 0 r V 8 4 e l 8 e j A A A A 9 g A A A B I A H A B D b 2 5 m a W c v U G F j a 2 F n Z S 5 4 b W w g o h g A K K A U A A A A A A A A A A A A A A A A A A A A A A A A A A A A h Y + x D o I w G I R f h X S n L X U x 5 K c O r p K Y E I 1 r U y o 0 w o + h x f J u D j 6 S r y B G U T f H u / s u u b t f b 7 A a 2 y a 6 m N 7 Z D j O S U E 4 i g 7 o r L V Y Z G f w x X p K V h K 3 S J 1 W Z a I L R p a O z G a m 9 P 6 e M h R B o W N C u r 5 j g P G G H f F P o 2 r Q q t u i 8 Q m 3 I p 1 X + b x E J + 9 c Y K W g i O B V C U A 5 s N i G 3 + A X E t P e Z / p i w H h o / 9 E Y a j H c F s F k C e 3 + Q D 1 B L A w Q U A A I A C A A A X S t 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F 0 r V x D i j j P A A A A A q w E A A B M A H A B G b 3 J t d W x h c y 9 T Z W N 0 a W 9 u M S 5 t I K I Y A C i g F A A A A A A A A A A A A A A A A A A A A A A A A A A A A K 2 P v Q r C Q B C E + 0 D e Y T k b A 1 E Q L C J i I Y e g j U 3 8 K S T F G V c N J n t y t w E l 5 N 2 9 G D s t R N x m Y W b 2 W 8 Z i y p k m i N s 9 G P u e 7 9 m z M n i A l d r n O B z B B H J k 3 w M 3 s S 5 N i k 6 Z 3 V L M + 7 I 0 B o m 3 2 l z 2 W l + 6 Q b V b q g I n 4 n U q k n o n N b H L J G F L 6 A h 5 V n R q 8 P c r C o d 6 Z v s r o 8 g e t S m k z s u C G t N 2 2 3 d h V Y l W H Y g Q 2 D n A e O O 6 D n w v o 4 / Y 9 x r R 7 z W i / 9 W Y b 6 Y S 4 r t l L G B B v T V l / H W l B 1 B L A Q I t A B Q A A g A I A A B d K 1 f O H p f H o w A A A P Y A A A A S A A A A A A A A A A A A A A A A A A A A A A B D b 2 5 m a W c v U G F j a 2 F n Z S 5 4 b W x Q S w E C L Q A U A A I A C A A A X S t X D 8 r p q 6 Q A A A D p A A A A E w A A A A A A A A A A A A A A A A D v A A A A W 0 N v b n R l b n R f V H l w Z X N d L n h t b F B L A Q I t A B Q A A g A I A A B d K 1 c Q 4 o 4 z w A A A A K s B A A A T A A A A A A A A A A A A A A A A A O A B A A B G b 3 J t d W x h c y 9 T Z W N 0 a W 9 u M S 5 t U E s F B g A A A A A D A A M A w g A A A O 0 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o 8 O A A A A A A A A b Q 4 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N D 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i I C 8 + P E V u d H J 5 I F R 5 c G U 9 I k Z p b G x F c n J v c k N v Z G U i I F Z h b H V l P S J z V W 5 r b m 9 3 b i I g L z 4 8 R W 5 0 c n k g V H l w Z T 0 i R m l s b E V y c m 9 y Q 2 9 1 b n Q i I F Z h b H V l P S J s M C I g L z 4 8 R W 5 0 c n k g V H l w Z T 0 i R m l s b E x h c 3 R V c G R h d G V k I i B W Y W x 1 Z T 0 i Z D I w M j E t M T E t M j N U M j A 6 M j c 6 N D Y u O T M 0 N T E 5 N V o i I C 8 + P E V u d H J 5 I F R 5 c G U 9 I k Z p b G x D b 2 x 1 b W 5 U e X B l c y I g V m F s d W U 9 I n N C Z z 0 9 I i A v P j x F b n R y e S B U e X B l P S J G a W x s Q 2 9 s d W 1 u T m F t Z X M i I F Z h b H V l P S J z W y Z x d W 9 0 O 0 N v b H V t b j E 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9 U Y W J s Z T Q 5 L 0 N o Y W 5 n Z W Q g V H l w Z S 5 7 Q 2 9 s d W 1 u M S w w f S Z x d W 9 0 O 1 0 s J n F 1 b 3 Q 7 Q 2 9 s d W 1 u Q 2 9 1 b n Q m c X V v d D s 6 M S w m c X V v d D t L Z X l D b 2 x 1 b W 5 O Y W 1 l c y Z x d W 9 0 O z p b X S w m c X V v d D t D b 2 x 1 b W 5 J Z G V u d G l 0 a W V z J n F 1 b 3 Q 7 O l s m c X V v d D t T Z W N 0 a W 9 u M S 9 U Y W J s Z T Q 5 L 0 N o Y W 5 n Z W Q g V H l w Z S 5 7 Q 2 9 s d W 1 u M S w w f S Z x d W 9 0 O 1 0 s J n F 1 b 3 Q 7 U m V s Y X R p b 2 5 z a G l w S W 5 m b y Z x d W 9 0 O z p b X X 0 i I C 8 + P C 9 T d G F i b G V F b n R y a W V z P j w v S X R l b T 4 8 S X R l b T 4 8 S X R l b U x v Y 2 F 0 a W 9 u P j x J d G V t V H l w Z T 5 G b 3 J t d W x h P C 9 J d G V t V H l w Z T 4 8 S X R l b V B h d G g + U 2 V j d G l v b j E v V G F i b G U 0 O S 9 T b 3 V y Y 2 U 8 L 0 l 0 Z W 1 Q Y X R o P j w v S X R l b U x v Y 2 F 0 a W 9 u P j x T d G F i b G V F b n R y a W V z I C 8 + P C 9 J d G V t P j x J d G V t P j x J d G V t T G 9 j Y X R p b 2 4 + P E l 0 Z W 1 U e X B l P k Z v c m 1 1 b G E 8 L 0 l 0 Z W 1 U e X B l P j x J d G V t U G F 0 a D 5 T Z W N 0 a W 9 u M S 9 U Y W J s Z T Q 5 L 0 N o Y W 5 n Z W Q l M j B U e X B l P C 9 J d G V t U G F 0 a D 4 8 L 0 l 0 Z W 1 M b 2 N h d G l v b j 4 8 U 3 R h Y m x l R W 5 0 c m l l c y A v P j w v S X R l b T 4 8 S X R l b T 4 8 S X R l b U x v Y 2 F 0 a W 9 u P j x J d G V t V H l w Z T 5 G b 3 J t d W x h P C 9 J d G V t V H l w Z T 4 8 S X R l b V B h d G g + U 2 V j d G l v b j E v V G F i b G U 0 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2 I i A v P j x F b n R y e S B U e X B l P S J G a W x s R X J y b 3 J D b 2 R l I i B W Y W x 1 Z T 0 i c 1 V u a 2 5 v d 2 4 i I C 8 + P E V u d H J 5 I F R 5 c G U 9 I k Z p b G x F c n J v c k N v d W 5 0 I i B W Y W x 1 Z T 0 i b D A i I C 8 + P E V u d H J 5 I F R 5 c G U 9 I k Z p b G x M Y X N 0 V X B k Y X R l Z C I g V m F s d W U 9 I m Q y M D I z L T A 5 L T E x V D E 3 O j M 5 O j A 0 L j M 0 M j A 4 O D V a I i A v P j x F b n R y e S B U e X B l P S J G a W x s Q 2 9 s d W 1 u V H l w Z X M i I F Z h b H V l P S J z Q m c 9 P S I g L z 4 8 R W 5 0 c n k g V H l w Z T 0 i R m l s b E N v b H V t b k 5 h b W V z I i B W Y W x 1 Z T 0 i c 1 s m c X V v d D t I V k F D I F N 5 c 3 R l b S B J b i 1 V b m l 0 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U 0 O C 9 B d X R v U m V t b 3 Z l Z E N v b H V t b n M x L n t I V k F D I F N 5 c 3 R l b S B J b i 1 V b m l 0 L D B 9 J n F 1 b 3 Q 7 X S w m c X V v d D t D b 2 x 1 b W 5 D b 3 V u d C Z x d W 9 0 O z o x L C Z x d W 9 0 O 0 t l e U N v b H V t b k 5 h b W V z J n F 1 b 3 Q 7 O l t d L C Z x d W 9 0 O 0 N v b H V t b k l k Z W 5 0 a X R p Z X M m c X V v d D s 6 W y Z x d W 9 0 O 1 N l Y 3 R p b 2 4 x L 1 R h Y m x l N D g v Q X V 0 b 1 J l b W 9 2 Z W R D b 2 x 1 b W 5 z M S 5 7 S F Z B Q y B T e X N 0 Z W 0 g S W 4 t V W 5 p d C w w f S Z x d W 9 0 O 1 0 s J n F 1 b 3 Q 7 U m V s Y X R p b 2 5 z a G l w S W 5 m b y Z x d W 9 0 O z p b X X 0 i I C 8 + P C 9 T d G F i b G V F b n R y a W V z P j w v S X R l b T 4 8 S X R l b T 4 8 S X R l b U x v Y 2 F 0 a W 9 u P j x J d G V t V H l w Z T 5 G b 3 J t d W x h P C 9 J d G V t V H l w Z T 4 8 S X R l b V B h d G g + U 2 V j d G l v b j E v V G F i b G U 0 O C 9 T b 3 V y Y 2 U 8 L 0 l 0 Z W 1 Q Y X R o P j w v S X R l b U x v Y 2 F 0 a W 9 u P j x T d G F i b G V F b n R y a W V z I C 8 + P C 9 J d G V t P j x J d G V t P j x J d G V t T G 9 j Y X R p b 2 4 + P E l 0 Z W 1 U e X B l P k Z v c m 1 1 b G E 8 L 0 l 0 Z W 1 U e X B l P j x J d G V t U G F 0 a D 5 T Z W N 0 a W 9 u M S 9 U Y W J s Z T Q 4 L 0 N o Y W 5 n Z W Q l M j B U e X B l P C 9 J d G V t U G F 0 a D 4 8 L 0 l 0 Z W 1 M b 2 N h d G l v b j 4 8 U 3 R h Y m x l R W 5 0 c m l l c y A v P j w v S X R l b T 4 8 L 0 l 0 Z W 1 z P j w v T G 9 j Y W x Q Y W N r Y W d l T W V 0 Y W R h d G F G a W x l P h Y A A A B Q S w U G A A A A A A A A A A A A A A A A A A A A A A A A 2 g A A A A E A A A D Q j J 3 f A R X R E Y x 6 A M B P w p f r A Q A A A P A J k j H Q m m h G q s e + p b S n 3 + E A A A A A A g A A A A A A A 2 Y A A M A A A A A Q A A A A t 7 p + R 2 y g 5 C j d l M d 4 e R b 5 d g A A A A A E g A A A o A A A A B A A A A A A m y X L g G s G e 7 A / v D h h o N a 9 U A A A A O a L d A i H f 2 Y G r H 4 i 5 D K Z o U s 3 9 a Q 4 + k D Y k K 1 0 o I s N z D 2 E N Y K g 2 n 1 K d S A 9 k 8 8 W 4 Z R 0 3 k m D k U M a U d g 0 I e r B / 3 A Z G r 9 p K G F U m I / 9 w k X b c + x u j y K K F A A A A E p A m 0 C j 4 f 6 N Q W E + V 7 X h S 0 i g O e 7 M < / D a t a M a s h u p > 
</file>

<file path=customXml/item2.xml><?xml version="1.0" encoding="utf-8"?>
<ct:contentTypeSchema xmlns:ct="http://schemas.microsoft.com/office/2006/metadata/contentType" xmlns:ma="http://schemas.microsoft.com/office/2006/metadata/properties/metaAttributes" ct:_="" ma:_="" ma:contentTypeName="Document" ma:contentTypeID="0x010100C916C7433835294CA926112460FC2029" ma:contentTypeVersion="" ma:contentTypeDescription="Create a new document." ma:contentTypeScope="" ma:versionID="ed5640a0c9f2c7640ec612485b45eb06">
  <xsd:schema xmlns:xsd="http://www.w3.org/2001/XMLSchema" xmlns:xs="http://www.w3.org/2001/XMLSchema" xmlns:p="http://schemas.microsoft.com/office/2006/metadata/properties" xmlns:ns2="9478f293-2795-44b5-9bde-ea8184e0b4d4" xmlns:ns3="6a127908-9e32-4e62-ae59-2487f976f7a6" targetNamespace="http://schemas.microsoft.com/office/2006/metadata/properties" ma:root="true" ma:fieldsID="4edfc17f0942f0a95f34cf1270a01294" ns2:_="" ns3:_="">
    <xsd:import namespace="9478f293-2795-44b5-9bde-ea8184e0b4d4"/>
    <xsd:import namespace="6a127908-9e32-4e62-ae59-2487f976f7a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78f293-2795-44b5-9bde-ea8184e0b4d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127908-9e32-4e62-ae59-2487f976f7a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6a127908-9e32-4e62-ae59-2487f976f7a6">
      <UserInfo>
        <DisplayName>Kaylen Lanser</DisplayName>
        <AccountId>16</AccountId>
        <AccountType/>
      </UserInfo>
      <UserInfo>
        <DisplayName>Lolita M. Monjaraz</DisplayName>
        <AccountId>384</AccountId>
        <AccountType/>
      </UserInfo>
      <UserInfo>
        <DisplayName>Wes Bauer</DisplayName>
        <AccountId>155</AccountId>
        <AccountType/>
      </UserInfo>
      <UserInfo>
        <DisplayName>Megan Herrera</DisplayName>
        <AccountId>237</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1988D4-5F60-464B-871C-FF1797F508FA}">
  <ds:schemaRefs>
    <ds:schemaRef ds:uri="http://schemas.microsoft.com/DataMashup"/>
  </ds:schemaRefs>
</ds:datastoreItem>
</file>

<file path=customXml/itemProps2.xml><?xml version="1.0" encoding="utf-8"?>
<ds:datastoreItem xmlns:ds="http://schemas.openxmlformats.org/officeDocument/2006/customXml" ds:itemID="{3DD00824-1F7A-4FDD-99F9-A373A50A29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78f293-2795-44b5-9bde-ea8184e0b4d4"/>
    <ds:schemaRef ds:uri="6a127908-9e32-4e62-ae59-2487f976f7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B810C07-6853-4A8A-855E-DE09CBDC2220}">
  <ds:schemaRefs>
    <ds:schemaRef ds:uri="http://purl.org/dc/elements/1.1/"/>
    <ds:schemaRef ds:uri="http://schemas.microsoft.com/office/2006/metadata/properties"/>
    <ds:schemaRef ds:uri="http://schemas.microsoft.com/office/infopath/2007/PartnerControls"/>
    <ds:schemaRef ds:uri="6a127908-9e32-4e62-ae59-2487f976f7a6"/>
    <ds:schemaRef ds:uri="http://purl.org/dc/terms/"/>
    <ds:schemaRef ds:uri="http://schemas.microsoft.com/office/2006/documentManagement/types"/>
    <ds:schemaRef ds:uri="http://purl.org/dc/dcmitype/"/>
    <ds:schemaRef ds:uri="http://schemas.openxmlformats.org/package/2006/metadata/core-properties"/>
    <ds:schemaRef ds:uri="9478f293-2795-44b5-9bde-ea8184e0b4d4"/>
    <ds:schemaRef ds:uri="http://www.w3.org/XML/1998/namespace"/>
  </ds:schemaRefs>
</ds:datastoreItem>
</file>

<file path=customXml/itemProps4.xml><?xml version="1.0" encoding="utf-8"?>
<ds:datastoreItem xmlns:ds="http://schemas.openxmlformats.org/officeDocument/2006/customXml" ds:itemID="{E07FF757-1722-4EB6-968E-9A8AF3DDAD9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49</vt:i4>
      </vt:variant>
    </vt:vector>
  </HeadingPairs>
  <TitlesOfParts>
    <vt:vector size="77" baseType="lpstr">
      <vt:lpstr>Application Instructions</vt:lpstr>
      <vt:lpstr>Data Issues</vt:lpstr>
      <vt:lpstr>Contact Information</vt:lpstr>
      <vt:lpstr>Application</vt:lpstr>
      <vt:lpstr>Unit Mix &amp; Rents</vt:lpstr>
      <vt:lpstr>Financing</vt:lpstr>
      <vt:lpstr>Development Budget</vt:lpstr>
      <vt:lpstr>Commercial Budget</vt:lpstr>
      <vt:lpstr>Scoring</vt:lpstr>
      <vt:lpstr>Proforma, Income &amp; Expense</vt:lpstr>
      <vt:lpstr>Amenities</vt:lpstr>
      <vt:lpstr>Cost Summary</vt:lpstr>
      <vt:lpstr>Final Building Profile</vt:lpstr>
      <vt:lpstr>Contact Summary</vt:lpstr>
      <vt:lpstr>Tax Credit Details</vt:lpstr>
      <vt:lpstr>Tax Credit Summary</vt:lpstr>
      <vt:lpstr>Budget Output</vt:lpstr>
      <vt:lpstr>Development_Budget</vt:lpstr>
      <vt:lpstr>Income+Expense</vt:lpstr>
      <vt:lpstr>Financing DOH</vt:lpstr>
      <vt:lpstr>Rent &amp; Income Limits</vt:lpstr>
      <vt:lpstr>Final Totals</vt:lpstr>
      <vt:lpstr> Stress Test &amp; Attachments</vt:lpstr>
      <vt:lpstr>Prolink</vt:lpstr>
      <vt:lpstr>Calculations</vt:lpstr>
      <vt:lpstr>Admin</vt:lpstr>
      <vt:lpstr>Validation</vt:lpstr>
      <vt:lpstr>Lookup</vt:lpstr>
      <vt:lpstr>Application_Stage_List</vt:lpstr>
      <vt:lpstr>Approval_List</vt:lpstr>
      <vt:lpstr>Bond_Placement_List</vt:lpstr>
      <vt:lpstr>Building_Construction_List</vt:lpstr>
      <vt:lpstr>Building_Type_List</vt:lpstr>
      <vt:lpstr>Cable_List</vt:lpstr>
      <vt:lpstr>City_List</vt:lpstr>
      <vt:lpstr>Determination_TC_Range</vt:lpstr>
      <vt:lpstr>Developer_Additional_Question_List</vt:lpstr>
      <vt:lpstr>Drawings_Complete</vt:lpstr>
      <vt:lpstr>Entity_Type_List</vt:lpstr>
      <vt:lpstr>Extended_Low_Income_Use_List</vt:lpstr>
      <vt:lpstr>Historic_Rehabilitation_Tax_Credits_List</vt:lpstr>
      <vt:lpstr>Income_Level_List</vt:lpstr>
      <vt:lpstr>Jurisdiction_Title_List</vt:lpstr>
      <vt:lpstr>Legal_Status_List</vt:lpstr>
      <vt:lpstr>Number_of_beds_per_room_List</vt:lpstr>
      <vt:lpstr>' Stress Test &amp; Attachments'!Print_Area</vt:lpstr>
      <vt:lpstr>'Budget Output'!Print_Area</vt:lpstr>
      <vt:lpstr>Development_Budget!Print_Area</vt:lpstr>
      <vt:lpstr>'Financing DOH'!Print_Area</vt:lpstr>
      <vt:lpstr>'Income+Expense'!Print_Area</vt:lpstr>
      <vt:lpstr>'Tax Credit Details'!Print_Area</vt:lpstr>
      <vt:lpstr>'Tax Credit Summary'!Print_Area</vt:lpstr>
      <vt:lpstr>' Stress Test &amp; Attachments'!Print_Titles</vt:lpstr>
      <vt:lpstr>'Budget Output'!Print_Titles</vt:lpstr>
      <vt:lpstr>'Tax Credit Details'!Print_Titles</vt:lpstr>
      <vt:lpstr>'Tax Credit Summary'!Print_Titles</vt:lpstr>
      <vt:lpstr>Project_Type_List</vt:lpstr>
      <vt:lpstr>Residential_Loan_Type_List</vt:lpstr>
      <vt:lpstr>Scoring_Details_Range</vt:lpstr>
      <vt:lpstr>Scoring_Threshold_List</vt:lpstr>
      <vt:lpstr>Scoring_VeryLowIncome</vt:lpstr>
      <vt:lpstr>Site_Control_List</vt:lpstr>
      <vt:lpstr>Tax_Credit_Type_List</vt:lpstr>
      <vt:lpstr>Tenant_Population_with_Special_Housing_Needs_List</vt:lpstr>
      <vt:lpstr>Type_of_Cooling_List</vt:lpstr>
      <vt:lpstr>Type_of_Heating_List</vt:lpstr>
      <vt:lpstr>Type_of_Units_Housing_List</vt:lpstr>
      <vt:lpstr>Unit_Mix_Type_List</vt:lpstr>
      <vt:lpstr>Unit_Rent_Matrix_Income</vt:lpstr>
      <vt:lpstr>Unit_Rent_Matrix_NumberUnits</vt:lpstr>
      <vt:lpstr>Unit_Rent_Matrix_TotalRent</vt:lpstr>
      <vt:lpstr>Unit_Rent_Matrix_TotalSqFt</vt:lpstr>
      <vt:lpstr>Unit_Rent_Matrix_UnitType</vt:lpstr>
      <vt:lpstr>Utilitiy_Model_List</vt:lpstr>
      <vt:lpstr>Very_Very_Low_Income_Targeting_List</vt:lpstr>
      <vt:lpstr>Yes_No_List</vt:lpstr>
      <vt:lpstr>Yes_No_NA_List</vt:lpstr>
    </vt:vector>
  </TitlesOfParts>
  <Manager/>
  <Company>CHFA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Wes Bauer</dc:creator>
  <cp:keywords/>
  <dc:description/>
  <cp:lastModifiedBy>Megan Herrera</cp:lastModifiedBy>
  <cp:revision/>
  <dcterms:created xsi:type="dcterms:W3CDTF">2017-09-13T19:27:22Z</dcterms:created>
  <dcterms:modified xsi:type="dcterms:W3CDTF">2025-01-22T13:28:00Z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chemaType">
    <vt:lpwstr>Tax Credit Deal</vt:lpwstr>
  </property>
  <property fmtid="{D5CDD505-2E9C-101B-9397-08002B2CF9AE}" pid="3" name="SD_RESERVED_IsProtected">
    <vt:lpwstr>False</vt:lpwstr>
  </property>
  <property fmtid="{D5CDD505-2E9C-101B-9397-08002B2CF9AE}" pid="4" name="SD_RESERVED_Protection0«7b0HYBxJliUmL23Ke39K9UrX4HShCIBgEyTYkEAQ7MGIzeaS7B1pRyMpqyqBymVWZV1mFkDM7Z28995777333nvvvfe6O51OJ/ff/z9cZmQBbPbOStrJniGAqsgfP358Hz8iHr98nb787KO3D76qfir/9t373zn95Dt1+fndn2rW1cVnn32Unn335elnH7X1Osfvr90fx8efffTpR+l3X742n3z35Xc/++g8K5v">
    <vt:lpwstr>SD_RESERVED_Protection1«8o6PH33395iX+PTpercpimrVFtUzPlg01neL35vFd+hINnmZtlp41zTp3n3kv2c++WhZt+kXxLv2F2WJ1mL7Kl6174VmxzJbTYnnhwOaXeVmtFtQsfbKeXeSt/eqkWizyelpkZfebl3V1XtWLbESoTqtFrn2dvlvlyya3zd5k79KTOp8RQk/zNitKh4j31ev1YpHV1/Yr6Sv9ct2u1q7L19Oq9vE+JoyLtvCIcV</vt:lpwstr>
  </property>
  <property fmtid="{D5CDD505-2E9C-101B-9397-08002B2CF9AE}" pid="5" name="SD_RESERVED_Protection2«It22zaEkqMW0CUk6rpdwRiYGhFOSPIKQZVlA57UE4HpqN8XiwKj5hEOsB1H3y5Ihh9WqcnT7/8tkMlK6frMgsn9yezspiFKB/PFoX7S3B9U7WZR0R/VOkxNbhuCvft67bOmyZ9kzceFYvlW2D0bL2chd88r6q365U/wyW1tX+flsVFMSlzM2nHi2q91LfvChPfffk=+uj/AQ==§">
    <vt:lpwstr/>
  </property>
  <property fmtid="{D5CDD505-2E9C-101B-9397-08002B2CF9AE}" pid="6" name="ContentTypeId">
    <vt:lpwstr>0x010100C916C7433835294CA926112460FC2029</vt:lpwstr>
  </property>
  <property fmtid="{D5CDD505-2E9C-101B-9397-08002B2CF9AE}" pid="7" name="AuthorIds_UIVersion_6656">
    <vt:lpwstr>75</vt:lpwstr>
  </property>
  <property fmtid="{D5CDD505-2E9C-101B-9397-08002B2CF9AE}" pid="8" name="BeforeSendVBAMethod">
    <vt:lpwstr/>
  </property>
  <property fmtid="{D5CDD505-2E9C-101B-9397-08002B2CF9AE}" pid="9" name="WorkbookGuid">
    <vt:lpwstr>a7c7662e-ec99-462b-b26c-9547d087f97f</vt:lpwstr>
  </property>
  <property fmtid="{D5CDD505-2E9C-101B-9397-08002B2CF9AE}" pid="10" name="SmartDoxTemplateName">
    <vt:lpwstr/>
  </property>
  <property fmtid="{D5CDD505-2E9C-101B-9397-08002B2CF9AE}" pid="11" name="AfterGetVBAMethod">
    <vt:lpwstr/>
  </property>
  <property fmtid="{D5CDD505-2E9C-101B-9397-08002B2CF9AE}" pid="12" name="BeforeGetVBAMethod">
    <vt:lpwstr/>
  </property>
  <property fmtid="{D5CDD505-2E9C-101B-9397-08002B2CF9AE}" pid="13" name="AfterSendVBAMethod">
    <vt:lpwstr/>
  </property>
</Properties>
</file>